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050" windowWidth="15195" windowHeight="6975" tabRatio="665"/>
  </bookViews>
  <sheets>
    <sheet name="Part 1" sheetId="1" r:id="rId1"/>
    <sheet name="Part 2" sheetId="6" r:id="rId2"/>
    <sheet name="Part 3" sheetId="31" r:id="rId3"/>
    <sheet name="Part 4" sheetId="23" r:id="rId4"/>
    <sheet name="Datasheet1" sheetId="32" r:id="rId5"/>
    <sheet name="Datasheet2" sheetId="33" r:id="rId6"/>
    <sheet name="Datasheet3" sheetId="34" r:id="rId7"/>
    <sheet name="Datasheet4" sheetId="35" r:id="rId8"/>
    <sheet name="Sheet1" sheetId="36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5" hidden="1">Datasheet2!$G$1:$G$339</definedName>
    <definedName name="Adur" localSheetId="4">[1]DATA!#REF!</definedName>
    <definedName name="Adur" localSheetId="5">[1]DATA!#REF!</definedName>
    <definedName name="Adur" localSheetId="6">[1]DATA!#REF!</definedName>
    <definedName name="Adur" localSheetId="7">[1]DATA!#REF!</definedName>
    <definedName name="Adur" localSheetId="2">[1]DATA!#REF!</definedName>
    <definedName name="Adur">[1]DATA!#REF!</definedName>
    <definedName name="BRprint1" localSheetId="4">#REF!</definedName>
    <definedName name="BRprint1" localSheetId="5">#REF!</definedName>
    <definedName name="BRprint1" localSheetId="6">#REF!</definedName>
    <definedName name="BRprint1" localSheetId="7">#REF!</definedName>
    <definedName name="BRprint1" localSheetId="2">#REF!</definedName>
    <definedName name="BRprint1">#REF!</definedName>
    <definedName name="BRprint2" localSheetId="4">#REF!</definedName>
    <definedName name="BRprint2" localSheetId="5">#REF!</definedName>
    <definedName name="BRprint2" localSheetId="6">#REF!</definedName>
    <definedName name="BRprint2" localSheetId="7">#REF!</definedName>
    <definedName name="BRprint2" localSheetId="2">#REF!</definedName>
    <definedName name="BRprint2">#REF!</definedName>
    <definedName name="CERDATA" localSheetId="4">'[2]Section A'!#REF!</definedName>
    <definedName name="CERDATA" localSheetId="5">'[2]Section A'!#REF!</definedName>
    <definedName name="CERDATA" localSheetId="6">'[2]Section A'!#REF!</definedName>
    <definedName name="CERDATA" localSheetId="7">'[2]Section A'!#REF!</definedName>
    <definedName name="CERDATA" localSheetId="2">'[2]Section A'!#REF!</definedName>
    <definedName name="CERDATA">'[2]Section A'!#REF!</definedName>
    <definedName name="CONTACT" localSheetId="4">#REF!</definedName>
    <definedName name="CONTACT" localSheetId="5">#REF!</definedName>
    <definedName name="CONTACT" localSheetId="6">#REF!</definedName>
    <definedName name="CONTACT" localSheetId="7">#REF!</definedName>
    <definedName name="CONTACT" localSheetId="8">#REF!</definedName>
    <definedName name="CONTACT">'Part 1'!#REF!</definedName>
    <definedName name="datar">#REF!</definedName>
    <definedName name="detruse" localSheetId="4">#REF!</definedName>
    <definedName name="detruse" localSheetId="5">#REF!</definedName>
    <definedName name="detruse" localSheetId="6">#REF!</definedName>
    <definedName name="detruse" localSheetId="7">#REF!</definedName>
    <definedName name="detruse" localSheetId="2">#REF!</definedName>
    <definedName name="detruse">#REF!</definedName>
    <definedName name="dtlruse" localSheetId="4">#REF!</definedName>
    <definedName name="dtlruse" localSheetId="5">#REF!</definedName>
    <definedName name="dtlruse" localSheetId="6">#REF!</definedName>
    <definedName name="dtlruse" localSheetId="7">#REF!</definedName>
    <definedName name="dtlruse" localSheetId="2">#REF!</definedName>
    <definedName name="dtlruse">#REF!</definedName>
    <definedName name="LAcodes" localSheetId="4">#REF!</definedName>
    <definedName name="LAcodes" localSheetId="5">#REF!</definedName>
    <definedName name="LAcodes" localSheetId="6">#REF!</definedName>
    <definedName name="LAcodes" localSheetId="7">#REF!</definedName>
    <definedName name="LAcodes" localSheetId="2">#REF!</definedName>
    <definedName name="LAcodes">#REF!</definedName>
    <definedName name="LAlist" localSheetId="4">#REF!</definedName>
    <definedName name="LAlist" localSheetId="5">#REF!</definedName>
    <definedName name="LAlist" localSheetId="6">#REF!</definedName>
    <definedName name="LAlist" localSheetId="7">#REF!</definedName>
    <definedName name="LAlist" localSheetId="2">#REF!</definedName>
    <definedName name="LAlist">#REF!</definedName>
    <definedName name="NNDR1" localSheetId="4">#REF!</definedName>
    <definedName name="NNDR1" localSheetId="5">#REF!</definedName>
    <definedName name="NNDR1" localSheetId="6">#REF!</definedName>
    <definedName name="NNDR1" localSheetId="7">#REF!</definedName>
    <definedName name="NNDR1" localSheetId="2">#REF!</definedName>
    <definedName name="NNDR1">#REF!</definedName>
    <definedName name="NNDR1S" localSheetId="4">#REF!</definedName>
    <definedName name="NNDR1S" localSheetId="5">#REF!</definedName>
    <definedName name="NNDR1S" localSheetId="6">#REF!</definedName>
    <definedName name="NNDR1S" localSheetId="7">#REF!</definedName>
    <definedName name="NNDR1S">#REF!</definedName>
    <definedName name="numberhered" localSheetId="4">#REF!</definedName>
    <definedName name="numberhered" localSheetId="5">#REF!</definedName>
    <definedName name="numberhered" localSheetId="6">#REF!</definedName>
    <definedName name="numberhered" localSheetId="7">#REF!</definedName>
    <definedName name="numberhered" localSheetId="2">#REF!</definedName>
    <definedName name="numberhered">#REF!</definedName>
    <definedName name="Part1" localSheetId="8">[3]Datasheet1!$A$8:$U$339</definedName>
    <definedName name="Part1">Datasheet1!$A$8:$CW$334</definedName>
    <definedName name="Part2" localSheetId="4">Datasheet1!$A$8:$CL$333</definedName>
    <definedName name="Part2" localSheetId="8">[3]Datasheet2!$A$8:$AP$339</definedName>
    <definedName name="Part2">Datasheet2!$A$8:$DS$334</definedName>
    <definedName name="Part3" localSheetId="7">Datasheet4!$A$8:$AA$334</definedName>
    <definedName name="Part3" localSheetId="8">[3]Datasheet3!$A$7:$EM$339</definedName>
    <definedName name="Part3">Datasheet3!$A$8:$AS$334</definedName>
    <definedName name="Part4" localSheetId="8">[3]Datasheet4!$A$8:$BI$339</definedName>
    <definedName name="Part4">Datasheet4!$A$8:$AB$334</definedName>
    <definedName name="Part5">[3]Datasheet5!$A$8:$CD$339</definedName>
    <definedName name="_xlnm.Print_Area" localSheetId="4">'[2]Section A'!#REF!</definedName>
    <definedName name="_xlnm.Print_Area" localSheetId="5">'[2]Section A'!#REF!</definedName>
    <definedName name="_xlnm.Print_Area" localSheetId="6">'[2]Section A'!#REF!</definedName>
    <definedName name="_xlnm.Print_Area" localSheetId="7">'[2]Section A'!#REF!</definedName>
    <definedName name="_xlnm.Print_Area" localSheetId="0">'Part 1'!$A$1:$Z$126</definedName>
    <definedName name="_xlnm.Print_Area" localSheetId="1">'Part 2'!$A$1:$U$176</definedName>
    <definedName name="_xlnm.Print_Area" localSheetId="2">'Part 3'!$A$1:$Z$42</definedName>
    <definedName name="_xlnm.Print_Area" localSheetId="3">'Part 4'!$A$1:$N$65</definedName>
    <definedName name="_xlnm.Print_Area" localSheetId="8">'[2]Section A'!#REF!</definedName>
    <definedName name="_xlnm.Print_Area">'[2]Section A'!#REF!</definedName>
    <definedName name="_xlnm.Print_Titles" localSheetId="0">'Part 1'!$1:$10</definedName>
    <definedName name="_xlnm.Print_Titles" localSheetId="1">'Part 2'!$1:$10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 localSheetId="2">#REF!</definedName>
    <definedName name="Table">#REF!</definedName>
    <definedName name="table1" localSheetId="4">#REF!</definedName>
    <definedName name="table1" localSheetId="5">#REF!</definedName>
    <definedName name="table1" localSheetId="6">#REF!</definedName>
    <definedName name="table1" localSheetId="7">#REF!</definedName>
    <definedName name="table1" localSheetId="2">#REF!</definedName>
    <definedName name="table1">#REF!</definedName>
    <definedName name="tiersplit" localSheetId="4">#REF!</definedName>
    <definedName name="tiersplit" localSheetId="5">#REF!</definedName>
    <definedName name="tiersplit" localSheetId="6">#REF!</definedName>
    <definedName name="tiersplit" localSheetId="7">#REF!</definedName>
    <definedName name="tiersplit">#REF!</definedName>
    <definedName name="Validation" localSheetId="4">#REF!</definedName>
    <definedName name="Validation" localSheetId="5">#REF!</definedName>
    <definedName name="Validation" localSheetId="6">#REF!</definedName>
    <definedName name="Validation" localSheetId="7">#REF!</definedName>
    <definedName name="Validation" localSheetId="2">#REF!</definedName>
    <definedName name="Validation">#REF!</definedName>
    <definedName name="zzz" localSheetId="4">#REF!</definedName>
    <definedName name="zzz" localSheetId="5">#REF!</definedName>
    <definedName name="zzz" localSheetId="6">#REF!</definedName>
    <definedName name="zzz" localSheetId="7">#REF!</definedName>
    <definedName name="zzz" localSheetId="2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AN334" i="34" l="1"/>
  <c r="AM334" i="34"/>
  <c r="AL334" i="34"/>
  <c r="AK334" i="34"/>
  <c r="AJ334" i="34"/>
  <c r="AI334" i="34"/>
  <c r="AH334" i="34"/>
  <c r="AG334" i="34"/>
  <c r="AF334" i="34"/>
  <c r="AE334" i="34"/>
  <c r="AD334" i="34"/>
  <c r="AC334" i="34"/>
  <c r="AB334" i="34"/>
  <c r="AA334" i="34"/>
  <c r="Z334" i="34"/>
  <c r="Y334" i="34"/>
  <c r="X334" i="34"/>
  <c r="W334" i="34"/>
  <c r="V334" i="34"/>
  <c r="U334" i="34"/>
  <c r="T334" i="34"/>
  <c r="S334" i="34"/>
  <c r="R334" i="34"/>
  <c r="Q334" i="34"/>
  <c r="P334" i="34"/>
  <c r="O334" i="34"/>
  <c r="N334" i="34"/>
  <c r="M334" i="34"/>
  <c r="L334" i="34"/>
  <c r="K334" i="34"/>
  <c r="J334" i="34"/>
  <c r="I334" i="34"/>
  <c r="H334" i="34"/>
  <c r="F334" i="34"/>
  <c r="H334" i="33"/>
  <c r="I334" i="33"/>
  <c r="K334" i="33"/>
  <c r="L334" i="33"/>
  <c r="M334" i="33"/>
  <c r="N334" i="33"/>
  <c r="O334" i="33"/>
  <c r="P334" i="33"/>
  <c r="Q334" i="33"/>
  <c r="R334" i="33"/>
  <c r="S334" i="33"/>
  <c r="T334" i="33"/>
  <c r="U334" i="33"/>
  <c r="V334" i="33"/>
  <c r="W334" i="33"/>
  <c r="X334" i="33"/>
  <c r="Y334" i="33"/>
  <c r="Z334" i="33"/>
  <c r="AA334" i="33"/>
  <c r="AB334" i="33"/>
  <c r="AC334" i="33"/>
  <c r="AD334" i="33"/>
  <c r="AE334" i="33"/>
  <c r="AF334" i="33"/>
  <c r="AG334" i="33"/>
  <c r="AH334" i="33"/>
  <c r="AI334" i="33"/>
  <c r="AJ334" i="33"/>
  <c r="AK334" i="33"/>
  <c r="AL334" i="33"/>
  <c r="AM334" i="33"/>
  <c r="AN334" i="33"/>
  <c r="AO334" i="33"/>
  <c r="AP334" i="33"/>
  <c r="AQ334" i="33"/>
  <c r="AR334" i="33"/>
  <c r="AS334" i="33"/>
  <c r="AT334" i="33"/>
  <c r="AU334" i="33"/>
  <c r="AV334" i="33"/>
  <c r="AW334" i="33"/>
  <c r="AX334" i="33"/>
  <c r="AY334" i="33"/>
  <c r="AZ334" i="33"/>
  <c r="BA334" i="33"/>
  <c r="BB334" i="33"/>
  <c r="BC334" i="33"/>
  <c r="BD334" i="33"/>
  <c r="BE334" i="33"/>
  <c r="BF334" i="33"/>
  <c r="BG334" i="33"/>
  <c r="BH334" i="33"/>
  <c r="BI334" i="33"/>
  <c r="BJ334" i="33"/>
  <c r="BK334" i="33"/>
  <c r="BL334" i="33"/>
  <c r="BM334" i="33"/>
  <c r="BN334" i="33"/>
  <c r="BO334" i="33"/>
  <c r="BP334" i="33"/>
  <c r="BQ334" i="33"/>
  <c r="BR334" i="33"/>
  <c r="BS334" i="33"/>
  <c r="BT334" i="33"/>
  <c r="BU334" i="33"/>
  <c r="BV334" i="33"/>
  <c r="BW334" i="33"/>
  <c r="BX334" i="33"/>
  <c r="BY334" i="33"/>
  <c r="BZ334" i="33"/>
  <c r="CA334" i="33"/>
  <c r="CB334" i="33"/>
  <c r="CC334" i="33"/>
  <c r="CD334" i="33"/>
  <c r="CE334" i="33"/>
  <c r="CF334" i="33"/>
  <c r="CG334" i="33"/>
  <c r="CH334" i="33"/>
  <c r="CI334" i="33"/>
  <c r="CJ334" i="33"/>
  <c r="CK334" i="33"/>
  <c r="CL334" i="33"/>
  <c r="CM334" i="33"/>
  <c r="CN334" i="33"/>
  <c r="CO334" i="33"/>
  <c r="CP334" i="33"/>
  <c r="CQ334" i="33"/>
  <c r="CR334" i="33"/>
  <c r="CS334" i="33"/>
  <c r="CT334" i="33"/>
  <c r="CU334" i="33"/>
  <c r="CV334" i="33"/>
  <c r="CW334" i="33"/>
  <c r="CX334" i="33"/>
  <c r="CY334" i="33"/>
  <c r="CZ334" i="33"/>
  <c r="DA334" i="33"/>
  <c r="DB334" i="33"/>
  <c r="DC334" i="33"/>
  <c r="DD334" i="33"/>
  <c r="DE334" i="33"/>
  <c r="DF334" i="33"/>
  <c r="DG334" i="33"/>
  <c r="DH334" i="33"/>
  <c r="DI334" i="33"/>
  <c r="DJ334" i="33"/>
  <c r="DK334" i="33"/>
  <c r="DL334" i="33"/>
  <c r="DM334" i="33"/>
  <c r="DN334" i="33"/>
  <c r="DO334" i="33"/>
  <c r="DP334" i="33"/>
  <c r="G334" i="33"/>
  <c r="W121" i="1" l="1"/>
  <c r="T121" i="1"/>
  <c r="Q121" i="1"/>
  <c r="N121" i="1"/>
  <c r="W117" i="1"/>
  <c r="T117" i="1"/>
  <c r="Q117" i="1"/>
  <c r="N117" i="1"/>
  <c r="W114" i="1"/>
  <c r="T114" i="1"/>
  <c r="Q114" i="1"/>
  <c r="N114" i="1"/>
  <c r="W111" i="1"/>
  <c r="T111" i="1"/>
  <c r="Q111" i="1"/>
  <c r="N111" i="1"/>
  <c r="W108" i="1"/>
  <c r="T108" i="1"/>
  <c r="Q108" i="1"/>
  <c r="N108" i="1"/>
  <c r="W106" i="1"/>
  <c r="T106" i="1"/>
  <c r="Q106" i="1"/>
  <c r="N106" i="1"/>
  <c r="W103" i="1"/>
  <c r="T103" i="1"/>
  <c r="Q103" i="1"/>
  <c r="N103" i="1"/>
  <c r="W92" i="1"/>
  <c r="T92" i="1"/>
  <c r="Q92" i="1"/>
  <c r="N92" i="1"/>
  <c r="K92" i="1"/>
  <c r="W88" i="1"/>
  <c r="T88" i="1"/>
  <c r="Q88" i="1"/>
  <c r="N88" i="1"/>
  <c r="K88" i="1"/>
  <c r="W85" i="1"/>
  <c r="T85" i="1"/>
  <c r="Q85" i="1"/>
  <c r="N85" i="1"/>
  <c r="T140" i="1" l="1"/>
  <c r="T57" i="1" s="1"/>
  <c r="Q140" i="1"/>
  <c r="Q57" i="1" s="1"/>
  <c r="N140" i="1"/>
  <c r="C6" i="6" s="1"/>
  <c r="B6" i="23" l="1"/>
  <c r="C6" i="31"/>
  <c r="N57" i="1"/>
  <c r="W83" i="1" l="1"/>
  <c r="N83" i="1"/>
  <c r="W81" i="1"/>
  <c r="T81" i="1"/>
  <c r="Q81" i="1"/>
  <c r="N81" i="1"/>
  <c r="W79" i="1"/>
  <c r="Q79" i="1"/>
  <c r="N79" i="1"/>
  <c r="W77" i="1"/>
  <c r="N77" i="1"/>
  <c r="W75" i="1"/>
  <c r="N75" i="1"/>
  <c r="W72" i="1"/>
  <c r="T72" i="1"/>
  <c r="Q72" i="1"/>
  <c r="N72" i="1"/>
  <c r="K72" i="1"/>
  <c r="W68" i="1"/>
  <c r="T68" i="1"/>
  <c r="Q68" i="1"/>
  <c r="N68" i="1"/>
  <c r="K68" i="1"/>
  <c r="W65" i="1"/>
  <c r="T65" i="1"/>
  <c r="Q65" i="1"/>
  <c r="N65" i="1"/>
  <c r="K65" i="1"/>
  <c r="W61" i="1"/>
  <c r="T61" i="1"/>
  <c r="Q61" i="1"/>
  <c r="N61" i="1"/>
  <c r="K61" i="1"/>
  <c r="T134" i="1" l="1"/>
  <c r="Q134" i="1"/>
  <c r="N134" i="1"/>
  <c r="CV3" i="32"/>
  <c r="CW3" i="32" s="1"/>
  <c r="K5" i="33" l="1"/>
  <c r="O5" i="33"/>
  <c r="P5" i="33"/>
  <c r="Q5" i="33"/>
  <c r="R5" i="33" s="1"/>
  <c r="S5" i="33" s="1"/>
  <c r="T5" i="33" s="1"/>
  <c r="U5" i="33" s="1"/>
  <c r="V5" i="33" s="1"/>
  <c r="W5" i="33" s="1"/>
  <c r="AB5" i="33"/>
  <c r="AC5" i="33"/>
  <c r="AD5" i="33" s="1"/>
  <c r="AE5" i="33" s="1"/>
  <c r="AF5" i="33" s="1"/>
  <c r="AG5" i="33" s="1"/>
  <c r="AH5" i="33" s="1"/>
  <c r="AI5" i="33" s="1"/>
  <c r="AJ5" i="33" s="1"/>
  <c r="AK5" i="33" s="1"/>
  <c r="AL5" i="33" s="1"/>
  <c r="AM5" i="33" s="1"/>
  <c r="AN5" i="33" s="1"/>
  <c r="AO5" i="33" s="1"/>
  <c r="AP5" i="33" s="1"/>
  <c r="AQ5" i="33" s="1"/>
  <c r="AR5" i="33" s="1"/>
  <c r="AS5" i="33" s="1"/>
  <c r="AT5" i="33" s="1"/>
  <c r="AU5" i="33" s="1"/>
  <c r="AV5" i="33" s="1"/>
  <c r="AW5" i="33" s="1"/>
  <c r="AX5" i="33" s="1"/>
  <c r="AY5" i="33" s="1"/>
  <c r="AZ5" i="33" s="1"/>
  <c r="BA5" i="33" s="1"/>
  <c r="BB5" i="33" s="1"/>
  <c r="BG5" i="33"/>
  <c r="BH5" i="33"/>
  <c r="BI5" i="33" s="1"/>
  <c r="BJ5" i="33" s="1"/>
  <c r="BK5" i="33" s="1"/>
  <c r="BL5" i="33" s="1"/>
  <c r="BM5" i="33" s="1"/>
  <c r="BN5" i="33" s="1"/>
  <c r="BO5" i="33" s="1"/>
  <c r="BT5" i="33"/>
  <c r="BU5" i="33"/>
  <c r="BV5" i="33" s="1"/>
  <c r="BW5" i="33" s="1"/>
  <c r="BX5" i="33" s="1"/>
  <c r="BY5" i="33" s="1"/>
  <c r="BZ5" i="33" s="1"/>
  <c r="CA5" i="33" s="1"/>
  <c r="CB5" i="33" s="1"/>
  <c r="CC5" i="33" s="1"/>
  <c r="CD5" i="33" s="1"/>
  <c r="CE5" i="33" s="1"/>
  <c r="CF5" i="33" s="1"/>
  <c r="CG5" i="33" s="1"/>
  <c r="CH5" i="33" s="1"/>
  <c r="CI5" i="33" s="1"/>
  <c r="CJ5" i="33" s="1"/>
  <c r="CK5" i="33" s="1"/>
  <c r="Q6" i="33"/>
  <c r="R6" i="33" s="1"/>
  <c r="S6" i="33" s="1"/>
  <c r="T6" i="33" s="1"/>
  <c r="U6" i="33" s="1"/>
  <c r="V6" i="33" s="1"/>
  <c r="W6" i="33" s="1"/>
  <c r="AD6" i="33"/>
  <c r="AE6" i="33" s="1"/>
  <c r="AF6" i="33" s="1"/>
  <c r="AG6" i="33" s="1"/>
  <c r="AH6" i="33" s="1"/>
  <c r="AI6" i="33" s="1"/>
  <c r="AJ6" i="33" s="1"/>
  <c r="AK6" i="33" s="1"/>
  <c r="AL6" i="33" s="1"/>
  <c r="AM6" i="33" s="1"/>
  <c r="AN6" i="33" s="1"/>
  <c r="AO6" i="33" s="1"/>
  <c r="AP6" i="33" s="1"/>
  <c r="AQ6" i="33" s="1"/>
  <c r="AR6" i="33" s="1"/>
  <c r="AS6" i="33" s="1"/>
  <c r="AT6" i="33" s="1"/>
  <c r="AU6" i="33" s="1"/>
  <c r="AV6" i="33" s="1"/>
  <c r="AW6" i="33" s="1"/>
  <c r="AX6" i="33" s="1"/>
  <c r="AY6" i="33" s="1"/>
  <c r="AZ6" i="33" s="1"/>
  <c r="BA6" i="33" s="1"/>
  <c r="BB6" i="33" s="1"/>
  <c r="BI6" i="33"/>
  <c r="BJ6" i="33" s="1"/>
  <c r="BK6" i="33" s="1"/>
  <c r="BL6" i="33" s="1"/>
  <c r="BM6" i="33" s="1"/>
  <c r="BN6" i="33" s="1"/>
  <c r="BO6" i="33" s="1"/>
  <c r="BV6" i="33"/>
  <c r="BW6" i="33" s="1"/>
  <c r="BX6" i="33" s="1"/>
  <c r="BY6" i="33" s="1"/>
  <c r="BZ6" i="33" s="1"/>
  <c r="CA6" i="33" s="1"/>
  <c r="CB6" i="33" s="1"/>
  <c r="CC6" i="33" s="1"/>
  <c r="CD6" i="33" s="1"/>
  <c r="CE6" i="33" s="1"/>
  <c r="CF6" i="33" s="1"/>
  <c r="CG6" i="33" s="1"/>
  <c r="CH6" i="33" s="1"/>
  <c r="CI6" i="33" s="1"/>
  <c r="CJ6" i="33" s="1"/>
  <c r="CK6" i="33" s="1"/>
  <c r="J43" i="1" l="1"/>
  <c r="J33" i="1"/>
  <c r="J46" i="1"/>
  <c r="J41" i="1"/>
  <c r="J38" i="1"/>
  <c r="J36" i="1"/>
  <c r="J30" i="1"/>
  <c r="J28" i="1"/>
  <c r="J26" i="1"/>
  <c r="J23" i="1"/>
  <c r="J21" i="1"/>
  <c r="J15" i="1"/>
  <c r="C125" i="6" l="1"/>
  <c r="T70" i="1"/>
  <c r="B36" i="1"/>
  <c r="B33" i="1"/>
  <c r="F1" i="6" l="1"/>
  <c r="DL6" i="33"/>
  <c r="DM6" i="33" s="1"/>
  <c r="DN6" i="33" s="1"/>
  <c r="DO6" i="33" s="1"/>
  <c r="DP6" i="33" s="1"/>
  <c r="DK5" i="33"/>
  <c r="DL5" i="33" s="1"/>
  <c r="DM5" i="33" s="1"/>
  <c r="DN5" i="33" s="1"/>
  <c r="DO5" i="33" s="1"/>
  <c r="DP5" i="33" s="1"/>
  <c r="CU6" i="33"/>
  <c r="CV6" i="33" s="1"/>
  <c r="CW6" i="33" s="1"/>
  <c r="CX6" i="33" s="1"/>
  <c r="CY6" i="33" s="1"/>
  <c r="CZ6" i="33" s="1"/>
  <c r="DC6" i="33" s="1"/>
  <c r="DD6" i="33" s="1"/>
  <c r="DE6" i="33" s="1"/>
  <c r="DF6" i="33" s="1"/>
  <c r="CU5" i="33"/>
  <c r="CV5" i="33" s="1"/>
  <c r="CW5" i="33" s="1"/>
  <c r="CX5" i="33" s="1"/>
  <c r="CY5" i="33" s="1"/>
  <c r="CZ5" i="33" s="1"/>
  <c r="DA5" i="33" s="1"/>
  <c r="DB5" i="33" s="1"/>
  <c r="DC5" i="33" s="1"/>
  <c r="DD5" i="33" s="1"/>
  <c r="DE5" i="33" s="1"/>
  <c r="DF5" i="33" s="1"/>
  <c r="DG5" i="33" s="1"/>
  <c r="DH5" i="33" s="1"/>
  <c r="CL6" i="33"/>
  <c r="CM6" i="33" s="1"/>
  <c r="CN6" i="33" s="1"/>
  <c r="CL5" i="33"/>
  <c r="CM5" i="33" s="1"/>
  <c r="CN5" i="33" s="1"/>
  <c r="D184" i="6" l="1"/>
  <c r="N12" i="6" s="1"/>
  <c r="F14" i="6"/>
  <c r="R175" i="6"/>
  <c r="N167" i="6"/>
  <c r="N159" i="6"/>
  <c r="J155" i="6"/>
  <c r="R149" i="6"/>
  <c r="N141" i="6"/>
  <c r="N134" i="6"/>
  <c r="R124" i="6"/>
  <c r="N121" i="6"/>
  <c r="J118" i="6"/>
  <c r="R112" i="6"/>
  <c r="N109" i="6"/>
  <c r="J103" i="6"/>
  <c r="J96" i="6"/>
  <c r="R89" i="6"/>
  <c r="N81" i="6"/>
  <c r="N74" i="6"/>
  <c r="J69" i="6"/>
  <c r="R63" i="6"/>
  <c r="N60" i="6"/>
  <c r="J57" i="6"/>
  <c r="R52" i="6"/>
  <c r="N46" i="6"/>
  <c r="J41" i="6"/>
  <c r="J35" i="6"/>
  <c r="R28" i="6"/>
  <c r="N24" i="6"/>
  <c r="N19" i="6"/>
  <c r="N14" i="6"/>
  <c r="J14" i="6"/>
  <c r="N163" i="6"/>
  <c r="N152" i="6"/>
  <c r="N137" i="6"/>
  <c r="J124" i="6"/>
  <c r="N115" i="6"/>
  <c r="R103" i="6"/>
  <c r="N92" i="6"/>
  <c r="N77" i="6"/>
  <c r="N66" i="6"/>
  <c r="R57" i="6"/>
  <c r="J52" i="6"/>
  <c r="J37" i="6"/>
  <c r="J28" i="6"/>
  <c r="G16" i="6"/>
  <c r="J163" i="6"/>
  <c r="J152" i="6"/>
  <c r="J137" i="6"/>
  <c r="R121" i="6"/>
  <c r="J115" i="6"/>
  <c r="N103" i="6"/>
  <c r="J92" i="6"/>
  <c r="J77" i="6"/>
  <c r="N69" i="6"/>
  <c r="R60" i="6"/>
  <c r="J54" i="6"/>
  <c r="N41" i="6"/>
  <c r="J31" i="6"/>
  <c r="N175" i="6"/>
  <c r="J167" i="6"/>
  <c r="J159" i="6"/>
  <c r="R152" i="6"/>
  <c r="N149" i="6"/>
  <c r="J141" i="6"/>
  <c r="J134" i="6"/>
  <c r="N124" i="6"/>
  <c r="J121" i="6"/>
  <c r="R115" i="6"/>
  <c r="N112" i="6"/>
  <c r="J109" i="6"/>
  <c r="N99" i="6"/>
  <c r="R92" i="6"/>
  <c r="N89" i="6"/>
  <c r="J81" i="6"/>
  <c r="J74" i="6"/>
  <c r="R66" i="6"/>
  <c r="N63" i="6"/>
  <c r="J60" i="6"/>
  <c r="R54" i="6"/>
  <c r="N52" i="6"/>
  <c r="J46" i="6"/>
  <c r="N37" i="6"/>
  <c r="R31" i="6"/>
  <c r="N28" i="6"/>
  <c r="J24" i="6"/>
  <c r="J19" i="6"/>
  <c r="J175" i="6"/>
  <c r="R155" i="6"/>
  <c r="J149" i="6"/>
  <c r="J128" i="6"/>
  <c r="C129" i="6" s="1"/>
  <c r="R118" i="6"/>
  <c r="J112" i="6"/>
  <c r="J99" i="6"/>
  <c r="J89" i="6"/>
  <c r="R69" i="6"/>
  <c r="J63" i="6"/>
  <c r="N54" i="6"/>
  <c r="R41" i="6"/>
  <c r="N31" i="6"/>
  <c r="N21" i="6"/>
  <c r="R167" i="6"/>
  <c r="N155" i="6"/>
  <c r="R141" i="6"/>
  <c r="N127" i="6"/>
  <c r="N118" i="6"/>
  <c r="R109" i="6"/>
  <c r="N96" i="6"/>
  <c r="R81" i="6"/>
  <c r="J66" i="6"/>
  <c r="N57" i="6"/>
  <c r="R46" i="6"/>
  <c r="N35" i="6"/>
  <c r="R24" i="6"/>
  <c r="J21" i="6"/>
  <c r="R14" i="6"/>
  <c r="F1" i="31"/>
  <c r="E51" i="31" l="1"/>
  <c r="S10" i="31" s="1"/>
  <c r="D51" i="31"/>
  <c r="O10" i="31" s="1"/>
  <c r="C51" i="31"/>
  <c r="K10" i="31" s="1"/>
  <c r="W14" i="31"/>
  <c r="K40" i="31"/>
  <c r="S34" i="31"/>
  <c r="S32" i="31"/>
  <c r="W27" i="31"/>
  <c r="G27" i="31"/>
  <c r="K22" i="31"/>
  <c r="O19" i="31"/>
  <c r="S14" i="31"/>
  <c r="S40" i="31"/>
  <c r="K34" i="31"/>
  <c r="O27" i="31"/>
  <c r="W19" i="31"/>
  <c r="K14" i="31"/>
  <c r="K36" i="31"/>
  <c r="G32" i="31"/>
  <c r="S19" i="31"/>
  <c r="G14" i="31"/>
  <c r="W40" i="31"/>
  <c r="S36" i="31"/>
  <c r="O34" i="31"/>
  <c r="O32" i="31"/>
  <c r="S27" i="31"/>
  <c r="W22" i="31"/>
  <c r="G22" i="31"/>
  <c r="K19" i="31"/>
  <c r="O14" i="31"/>
  <c r="O36" i="31"/>
  <c r="K32" i="31"/>
  <c r="S22" i="31"/>
  <c r="G19" i="31"/>
  <c r="O40" i="31"/>
  <c r="W32" i="31"/>
  <c r="K27" i="31"/>
  <c r="O22" i="31"/>
  <c r="J53" i="6"/>
  <c r="J55" i="6" s="1"/>
  <c r="F1" i="23"/>
  <c r="K61" i="23" l="1"/>
  <c r="H50" i="23"/>
  <c r="H38" i="23"/>
  <c r="H29" i="23"/>
  <c r="H20" i="23"/>
  <c r="K11" i="23"/>
  <c r="H44" i="23"/>
  <c r="K24" i="23"/>
  <c r="H41" i="23"/>
  <c r="H31" i="23"/>
  <c r="H14" i="23"/>
  <c r="K56" i="23"/>
  <c r="H47" i="23"/>
  <c r="H36" i="23"/>
  <c r="H27" i="23"/>
  <c r="H18" i="23"/>
  <c r="K54" i="23"/>
  <c r="K33" i="23"/>
  <c r="H16" i="23"/>
  <c r="H52" i="23"/>
  <c r="H22" i="23"/>
  <c r="G334" i="34" l="1"/>
</calcChain>
</file>

<file path=xl/sharedStrings.xml><?xml version="1.0" encoding="utf-8"?>
<sst xmlns="http://schemas.openxmlformats.org/spreadsheetml/2006/main" count="7542" uniqueCount="1011">
  <si>
    <t>E5010</t>
  </si>
  <si>
    <t>Colchester</t>
  </si>
  <si>
    <t>E1536</t>
  </si>
  <si>
    <t>Copeland</t>
  </si>
  <si>
    <t>E0934</t>
  </si>
  <si>
    <t>Corby</t>
  </si>
  <si>
    <t>E2831</t>
  </si>
  <si>
    <t>Cornwall UA</t>
  </si>
  <si>
    <t>E0801</t>
  </si>
  <si>
    <t>Cotswold</t>
  </si>
  <si>
    <t>E1632</t>
  </si>
  <si>
    <t>Coventry</t>
  </si>
  <si>
    <t>E4602</t>
  </si>
  <si>
    <t>Craven</t>
  </si>
  <si>
    <t>E2731</t>
  </si>
  <si>
    <t>Crawley</t>
  </si>
  <si>
    <t>E3834</t>
  </si>
  <si>
    <t>Croydon</t>
  </si>
  <si>
    <t>E5035</t>
  </si>
  <si>
    <t>Dacorum</t>
  </si>
  <si>
    <t>1. Opening Balance (From Collection Fund Statement)</t>
  </si>
  <si>
    <t>E1932</t>
  </si>
  <si>
    <t>E1301</t>
  </si>
  <si>
    <t>Dartford</t>
  </si>
  <si>
    <t>E2233</t>
  </si>
  <si>
    <t>Daventry</t>
  </si>
  <si>
    <t>E2832</t>
  </si>
  <si>
    <t>E1001</t>
  </si>
  <si>
    <t>Derbyshire Dales</t>
  </si>
  <si>
    <t>E1035</t>
  </si>
  <si>
    <t>Doncaster</t>
  </si>
  <si>
    <t>E4402</t>
  </si>
  <si>
    <t>TOTAL
(All BA Area)</t>
  </si>
  <si>
    <t xml:space="preserve">PART 1A: NON-DOMESTIC RATING INCOME </t>
  </si>
  <si>
    <t>Central
Government</t>
  </si>
  <si>
    <t>Estimated Surplus/Deficit on Collection Fund</t>
  </si>
  <si>
    <t xml:space="preserve">of which: </t>
  </si>
  <si>
    <t>Retained NNDR shares</t>
  </si>
  <si>
    <t>Dover</t>
  </si>
  <si>
    <t>E2234</t>
  </si>
  <si>
    <t>Dudley</t>
  </si>
  <si>
    <t>E4603</t>
  </si>
  <si>
    <t>Durham UA</t>
  </si>
  <si>
    <t>E1302</t>
  </si>
  <si>
    <t>Ealing</t>
  </si>
  <si>
    <t>E5036</t>
  </si>
  <si>
    <t>East Cambridgeshire</t>
  </si>
  <si>
    <t>E0532</t>
  </si>
  <si>
    <t>East Devon</t>
  </si>
  <si>
    <t>E1131</t>
  </si>
  <si>
    <t>East Dorset</t>
  </si>
  <si>
    <t>E1233</t>
  </si>
  <si>
    <t>East Hampshire</t>
  </si>
  <si>
    <t>E1732</t>
  </si>
  <si>
    <t>East Hertfordshire</t>
  </si>
  <si>
    <t>E1933</t>
  </si>
  <si>
    <t>East Lindsey</t>
  </si>
  <si>
    <t>E2532</t>
  </si>
  <si>
    <t>East Northamptonshire</t>
  </si>
  <si>
    <t>E2833</t>
  </si>
  <si>
    <t>E2001</t>
  </si>
  <si>
    <t>East Staffordshire</t>
  </si>
  <si>
    <t>E3432</t>
  </si>
  <si>
    <t>Eastbourne</t>
  </si>
  <si>
    <t>E1432</t>
  </si>
  <si>
    <t>Eastleigh</t>
  </si>
  <si>
    <t>E1733</t>
  </si>
  <si>
    <t>Eden</t>
  </si>
  <si>
    <t>E0935</t>
  </si>
  <si>
    <t>Elmbridge</t>
  </si>
  <si>
    <t>E3631</t>
  </si>
  <si>
    <t>Enfield</t>
  </si>
  <si>
    <t>E5037</t>
  </si>
  <si>
    <t>Epping Forest</t>
  </si>
  <si>
    <t>E1537</t>
  </si>
  <si>
    <t>E3632</t>
  </si>
  <si>
    <t>Erewash</t>
  </si>
  <si>
    <t>E1036</t>
  </si>
  <si>
    <t>Exeter</t>
  </si>
  <si>
    <t>E1132</t>
  </si>
  <si>
    <t>Fareham</t>
  </si>
  <si>
    <t>E1734</t>
  </si>
  <si>
    <t>Fenland</t>
  </si>
  <si>
    <t>E0533</t>
  </si>
  <si>
    <t>Forest Heath</t>
  </si>
  <si>
    <t>E3532</t>
  </si>
  <si>
    <t>Forest of Dean</t>
  </si>
  <si>
    <t>E1633</t>
  </si>
  <si>
    <t>Fylde</t>
  </si>
  <si>
    <t>E2335</t>
  </si>
  <si>
    <t>Gateshead</t>
  </si>
  <si>
    <t>E4501</t>
  </si>
  <si>
    <t>Gedling</t>
  </si>
  <si>
    <t>E3034</t>
  </si>
  <si>
    <t>Gloucester</t>
  </si>
  <si>
    <t>E1634</t>
  </si>
  <si>
    <t>Gosport</t>
  </si>
  <si>
    <t>E1735</t>
  </si>
  <si>
    <t>Gravesham</t>
  </si>
  <si>
    <t>E2236</t>
  </si>
  <si>
    <t>Great Yarmouth</t>
  </si>
  <si>
    <t>E2633</t>
  </si>
  <si>
    <t>Greenwich</t>
  </si>
  <si>
    <t>E5012</t>
  </si>
  <si>
    <t>Guildford</t>
  </si>
  <si>
    <t>E3633</t>
  </si>
  <si>
    <t>Hackney</t>
  </si>
  <si>
    <t>E5013</t>
  </si>
  <si>
    <t>E0601</t>
  </si>
  <si>
    <t>Hambleton</t>
  </si>
  <si>
    <t>E2732</t>
  </si>
  <si>
    <t>E5014</t>
  </si>
  <si>
    <t>Harborough</t>
  </si>
  <si>
    <t>E2433</t>
  </si>
  <si>
    <t>Haringey</t>
  </si>
  <si>
    <t>E5038</t>
  </si>
  <si>
    <t>Harlow</t>
  </si>
  <si>
    <t>E1538</t>
  </si>
  <si>
    <t>Harrogate</t>
  </si>
  <si>
    <t>E2753</t>
  </si>
  <si>
    <t>Harrow</t>
  </si>
  <si>
    <t>E5039</t>
  </si>
  <si>
    <t>Hart</t>
  </si>
  <si>
    <t>E1736</t>
  </si>
  <si>
    <t>E0701</t>
  </si>
  <si>
    <t>Hastings</t>
  </si>
  <si>
    <t>E1433</t>
  </si>
  <si>
    <t>Havant</t>
  </si>
  <si>
    <t>E1737</t>
  </si>
  <si>
    <t>Havering</t>
  </si>
  <si>
    <t>E5040</t>
  </si>
  <si>
    <t>E1801</t>
  </si>
  <si>
    <t>Hertsmere</t>
  </si>
  <si>
    <t>E1934</t>
  </si>
  <si>
    <t>High Peak</t>
  </si>
  <si>
    <t>E1037</t>
  </si>
  <si>
    <t>Hillingdon</t>
  </si>
  <si>
    <t>E5041</t>
  </si>
  <si>
    <t>E2434</t>
  </si>
  <si>
    <t>Horsham</t>
  </si>
  <si>
    <t>E3835</t>
  </si>
  <si>
    <t>Hounslow</t>
  </si>
  <si>
    <t>E5042</t>
  </si>
  <si>
    <t>E0551</t>
  </si>
  <si>
    <t>Hyndburn</t>
  </si>
  <si>
    <t>E2336</t>
  </si>
  <si>
    <t>Ipswich</t>
  </si>
  <si>
    <t>E3533</t>
  </si>
  <si>
    <t>E2101</t>
  </si>
  <si>
    <t>Isles of Scilly</t>
  </si>
  <si>
    <t>E4001</t>
  </si>
  <si>
    <t>Islington</t>
  </si>
  <si>
    <t>E5015</t>
  </si>
  <si>
    <t>E5016</t>
  </si>
  <si>
    <t>Kettering</t>
  </si>
  <si>
    <t>E2834</t>
  </si>
  <si>
    <t>E2634</t>
  </si>
  <si>
    <t>E2002</t>
  </si>
  <si>
    <t>Kingston upon Thames</t>
  </si>
  <si>
    <t>E5043</t>
  </si>
  <si>
    <t>Kirklees</t>
  </si>
  <si>
    <t>E4703</t>
  </si>
  <si>
    <t>Knowsley</t>
  </si>
  <si>
    <t>E4301</t>
  </si>
  <si>
    <t>Lambeth</t>
  </si>
  <si>
    <t>E5017</t>
  </si>
  <si>
    <t>Lancaster</t>
  </si>
  <si>
    <t>E2337</t>
  </si>
  <si>
    <t>Leeds</t>
  </si>
  <si>
    <t>E4704</t>
  </si>
  <si>
    <t>E2401</t>
  </si>
  <si>
    <t>Lewes</t>
  </si>
  <si>
    <t>E1435</t>
  </si>
  <si>
    <t>Lewisham</t>
  </si>
  <si>
    <t>E5018</t>
  </si>
  <si>
    <t>Lichfield</t>
  </si>
  <si>
    <t>E3433</t>
  </si>
  <si>
    <t>Lincoln</t>
  </si>
  <si>
    <t>E2533</t>
  </si>
  <si>
    <t>Liverpool</t>
  </si>
  <si>
    <t>E4302</t>
  </si>
  <si>
    <t>E0201</t>
  </si>
  <si>
    <t>Maidstone</t>
  </si>
  <si>
    <t>E2237</t>
  </si>
  <si>
    <t>Maldon</t>
  </si>
  <si>
    <t>E1539</t>
  </si>
  <si>
    <t>E1851</t>
  </si>
  <si>
    <t>Manchester</t>
  </si>
  <si>
    <t>E4203</t>
  </si>
  <si>
    <t>Mansfield</t>
  </si>
  <si>
    <t>E3035</t>
  </si>
  <si>
    <t>E2201</t>
  </si>
  <si>
    <t>Melton</t>
  </si>
  <si>
    <t>E2436</t>
  </si>
  <si>
    <t>Mendip</t>
  </si>
  <si>
    <t>E3331</t>
  </si>
  <si>
    <t>Merton</t>
  </si>
  <si>
    <t>E5044</t>
  </si>
  <si>
    <t>Mid Devon</t>
  </si>
  <si>
    <t>E1133</t>
  </si>
  <si>
    <t>Mid Suffolk</t>
  </si>
  <si>
    <t>E3534</t>
  </si>
  <si>
    <t>Mid Sussex</t>
  </si>
  <si>
    <t>E3836</t>
  </si>
  <si>
    <t>E0702</t>
  </si>
  <si>
    <t>E0401</t>
  </si>
  <si>
    <t>Mole Valley</t>
  </si>
  <si>
    <t>E3634</t>
  </si>
  <si>
    <t>New Forest</t>
  </si>
  <si>
    <t>E1738</t>
  </si>
  <si>
    <t>E3036</t>
  </si>
  <si>
    <t>E4502</t>
  </si>
  <si>
    <t>Newcastle-under-Lyme</t>
  </si>
  <si>
    <t>E3434</t>
  </si>
  <si>
    <t>Newham</t>
  </si>
  <si>
    <t>E5045</t>
  </si>
  <si>
    <t>North Devon</t>
  </si>
  <si>
    <t>E1134</t>
  </si>
  <si>
    <t>North Dorset</t>
  </si>
  <si>
    <t>E1234</t>
  </si>
  <si>
    <t>North East Derbyshire</t>
  </si>
  <si>
    <t>E1038</t>
  </si>
  <si>
    <t>E2003</t>
  </si>
  <si>
    <t>North Hertfordshire</t>
  </si>
  <si>
    <t>E1935</t>
  </si>
  <si>
    <t>North Kesteven</t>
  </si>
  <si>
    <t>E2534</t>
  </si>
  <si>
    <t>E2004</t>
  </si>
  <si>
    <t>North Norfolk</t>
  </si>
  <si>
    <t>E2635</t>
  </si>
  <si>
    <t>E0104</t>
  </si>
  <si>
    <t>North Tyneside</t>
  </si>
  <si>
    <t>E4503</t>
  </si>
  <si>
    <t>North Warwickshire</t>
  </si>
  <si>
    <t>E3731</t>
  </si>
  <si>
    <t>5.  Renewable Energy</t>
  </si>
  <si>
    <t xml:space="preserve">6.  Transitional Protection Payment </t>
  </si>
  <si>
    <t xml:space="preserve">7.  Baseline </t>
  </si>
  <si>
    <t xml:space="preserve">OPENING BALANCE </t>
  </si>
  <si>
    <t>PART 1B: PAYMENTS</t>
  </si>
  <si>
    <t>15. (less) qualifying relief in Enterprise Zones</t>
  </si>
  <si>
    <t>PART 2: NET RATES PAYABLE</t>
  </si>
  <si>
    <t>DISRERGARDED AMOUNTS</t>
  </si>
  <si>
    <t>8. Total Disregarded Amounts</t>
  </si>
  <si>
    <t>North West Leicestershire</t>
  </si>
  <si>
    <t>E2437</t>
  </si>
  <si>
    <t>Northampton</t>
  </si>
  <si>
    <t>E2835</t>
  </si>
  <si>
    <t>Northumberland UA</t>
  </si>
  <si>
    <t>E2901</t>
  </si>
  <si>
    <t>Norwich</t>
  </si>
  <si>
    <t>E2636</t>
  </si>
  <si>
    <t>E3001</t>
  </si>
  <si>
    <t>E3732</t>
  </si>
  <si>
    <t>E2438</t>
  </si>
  <si>
    <t>Oldham</t>
  </si>
  <si>
    <t>E4204</t>
  </si>
  <si>
    <t>Oxford</t>
  </si>
  <si>
    <t>E3132</t>
  </si>
  <si>
    <t>Pendle</t>
  </si>
  <si>
    <t>E2338</t>
  </si>
  <si>
    <t>E0501</t>
  </si>
  <si>
    <t>E1101</t>
  </si>
  <si>
    <t>E1201</t>
  </si>
  <si>
    <t>E1701</t>
  </si>
  <si>
    <t>Preston</t>
  </si>
  <si>
    <t>E2339</t>
  </si>
  <si>
    <t>Purbeck</t>
  </si>
  <si>
    <t>E1236</t>
  </si>
  <si>
    <t>E0303</t>
  </si>
  <si>
    <t>Redbridge</t>
  </si>
  <si>
    <t>E5046</t>
  </si>
  <si>
    <t>E0703</t>
  </si>
  <si>
    <t>Redditch</t>
  </si>
  <si>
    <t>E1835</t>
  </si>
  <si>
    <t>E3635</t>
  </si>
  <si>
    <t>Ribble Valley</t>
  </si>
  <si>
    <t>E2340</t>
  </si>
  <si>
    <t>Richmond upon Thames</t>
  </si>
  <si>
    <t>E5047</t>
  </si>
  <si>
    <t>Richmondshire</t>
  </si>
  <si>
    <t>E2734</t>
  </si>
  <si>
    <t>Rochdale</t>
  </si>
  <si>
    <t>E4205</t>
  </si>
  <si>
    <t>Rochford</t>
  </si>
  <si>
    <t>E1540</t>
  </si>
  <si>
    <t>Rossendale</t>
  </si>
  <si>
    <t>E2341</t>
  </si>
  <si>
    <t>Rother</t>
  </si>
  <si>
    <t>E1436</t>
  </si>
  <si>
    <t>Rotherham</t>
  </si>
  <si>
    <t>E4403</t>
  </si>
  <si>
    <t>Rugby</t>
  </si>
  <si>
    <t>E3733</t>
  </si>
  <si>
    <t>Runnymede</t>
  </si>
  <si>
    <t>E3636</t>
  </si>
  <si>
    <t>Rushcliffe</t>
  </si>
  <si>
    <t>E3038</t>
  </si>
  <si>
    <t>Rushmoor</t>
  </si>
  <si>
    <t>E1740</t>
  </si>
  <si>
    <t>E2402</t>
  </si>
  <si>
    <t>Ryedale</t>
  </si>
  <si>
    <t>E2755</t>
  </si>
  <si>
    <t>Salford</t>
  </si>
  <si>
    <t>E4206</t>
  </si>
  <si>
    <t>Sandwell</t>
  </si>
  <si>
    <t>E4604</t>
  </si>
  <si>
    <t>Scarborough</t>
  </si>
  <si>
    <t>E2736</t>
  </si>
  <si>
    <t>Sedgemoor</t>
  </si>
  <si>
    <t>E3332</t>
  </si>
  <si>
    <t>Sefton</t>
  </si>
  <si>
    <t>E4304</t>
  </si>
  <si>
    <t>Selby</t>
  </si>
  <si>
    <t>E2757</t>
  </si>
  <si>
    <t>Sevenoaks</t>
  </si>
  <si>
    <t>E2239</t>
  </si>
  <si>
    <t>Sheffield</t>
  </si>
  <si>
    <t>E4404</t>
  </si>
  <si>
    <t>Shepway</t>
  </si>
  <si>
    <t>E2240</t>
  </si>
  <si>
    <t>Shropshire UA</t>
  </si>
  <si>
    <t>E3202</t>
  </si>
  <si>
    <t>E0304</t>
  </si>
  <si>
    <t>Solihull</t>
  </si>
  <si>
    <t>E4605</t>
  </si>
  <si>
    <t>South Bucks</t>
  </si>
  <si>
    <t>E0434</t>
  </si>
  <si>
    <t>South Cambridgeshire</t>
  </si>
  <si>
    <t>E0536</t>
  </si>
  <si>
    <t>South Derbyshire</t>
  </si>
  <si>
    <t>E1039</t>
  </si>
  <si>
    <t>E0103</t>
  </si>
  <si>
    <t>South Hams</t>
  </si>
  <si>
    <t>E1136</t>
  </si>
  <si>
    <t>South Holland</t>
  </si>
  <si>
    <t>E2535</t>
  </si>
  <si>
    <t>South Kesteven</t>
  </si>
  <si>
    <t>E2536</t>
  </si>
  <si>
    <t>South Lakeland</t>
  </si>
  <si>
    <t>E0936</t>
  </si>
  <si>
    <t>South Norfolk</t>
  </si>
  <si>
    <t>E2637</t>
  </si>
  <si>
    <t>South Northamptonshire</t>
  </si>
  <si>
    <t>E2836</t>
  </si>
  <si>
    <t>South Oxfordshire</t>
  </si>
  <si>
    <t>E3133</t>
  </si>
  <si>
    <t>South Ribble</t>
  </si>
  <si>
    <t>E2342</t>
  </si>
  <si>
    <t>South Somerset</t>
  </si>
  <si>
    <t>E3334</t>
  </si>
  <si>
    <t>South Staffordshire</t>
  </si>
  <si>
    <t>E3435</t>
  </si>
  <si>
    <t>South Tyneside</t>
  </si>
  <si>
    <t>E4504</t>
  </si>
  <si>
    <t>E1702</t>
  </si>
  <si>
    <t>E1501</t>
  </si>
  <si>
    <t>Southwark</t>
  </si>
  <si>
    <t>E5019</t>
  </si>
  <si>
    <t>Spelthorne</t>
  </si>
  <si>
    <t>E3637</t>
  </si>
  <si>
    <t>St Albans</t>
  </si>
  <si>
    <t>E1936</t>
  </si>
  <si>
    <t>St Edmundsbury</t>
  </si>
  <si>
    <t>E3535</t>
  </si>
  <si>
    <t>St Helens</t>
  </si>
  <si>
    <t>E4303</t>
  </si>
  <si>
    <t>Stafford</t>
  </si>
  <si>
    <t>E3436</t>
  </si>
  <si>
    <t>Staffordshire Moorlands</t>
  </si>
  <si>
    <t>E3437</t>
  </si>
  <si>
    <t>Stevenage</t>
  </si>
  <si>
    <t>E1937</t>
  </si>
  <si>
    <t>Stockport</t>
  </si>
  <si>
    <t>E4207</t>
  </si>
  <si>
    <t>E0704</t>
  </si>
  <si>
    <t>E3401</t>
  </si>
  <si>
    <t>Stratford-on-Avon</t>
  </si>
  <si>
    <t>E3734</t>
  </si>
  <si>
    <t>Stroud</t>
  </si>
  <si>
    <t>E1635</t>
  </si>
  <si>
    <t>Suffolk Coastal</t>
  </si>
  <si>
    <t>E3536</t>
  </si>
  <si>
    <t>Sunderland</t>
  </si>
  <si>
    <t>E4505</t>
  </si>
  <si>
    <t>Surrey Heath</t>
  </si>
  <si>
    <t>E3638</t>
  </si>
  <si>
    <t>Sutton</t>
  </si>
  <si>
    <t>E5048</t>
  </si>
  <si>
    <t>Swale</t>
  </si>
  <si>
    <t>E2241</t>
  </si>
  <si>
    <t>E3901</t>
  </si>
  <si>
    <t>Tameside</t>
  </si>
  <si>
    <t>E4208</t>
  </si>
  <si>
    <t>Tamworth</t>
  </si>
  <si>
    <t>E3439</t>
  </si>
  <si>
    <t>Tandridge</t>
  </si>
  <si>
    <t>E3639</t>
  </si>
  <si>
    <t>Taunton Deane</t>
  </si>
  <si>
    <t>E3333</t>
  </si>
  <si>
    <t>Teignbridge</t>
  </si>
  <si>
    <t>E1137</t>
  </si>
  <si>
    <t>E3201</t>
  </si>
  <si>
    <t>Tendring</t>
  </si>
  <si>
    <t>E1542</t>
  </si>
  <si>
    <t>Test Valley</t>
  </si>
  <si>
    <t>E1742</t>
  </si>
  <si>
    <t>Tewkesbury</t>
  </si>
  <si>
    <t>E1636</t>
  </si>
  <si>
    <t>Thanet</t>
  </si>
  <si>
    <t>E2242</t>
  </si>
  <si>
    <t>Three Rivers</t>
  </si>
  <si>
    <t>E1938</t>
  </si>
  <si>
    <t>E1502</t>
  </si>
  <si>
    <t>E2243</t>
  </si>
  <si>
    <t>E1102</t>
  </si>
  <si>
    <t>Torridge</t>
  </si>
  <si>
    <t>E1139</t>
  </si>
  <si>
    <t>Tower Hamlets</t>
  </si>
  <si>
    <t>E5020</t>
  </si>
  <si>
    <t>Trafford</t>
  </si>
  <si>
    <t>E4209</t>
  </si>
  <si>
    <t>Tunbridge Wells</t>
  </si>
  <si>
    <t>E2244</t>
  </si>
  <si>
    <t>Uttlesford</t>
  </si>
  <si>
    <t>E1544</t>
  </si>
  <si>
    <t>Vale of White Horse</t>
  </si>
  <si>
    <t>E3134</t>
  </si>
  <si>
    <t>Wakefield</t>
  </si>
  <si>
    <t>E4705</t>
  </si>
  <si>
    <t>Walsall</t>
  </si>
  <si>
    <t>E4606</t>
  </si>
  <si>
    <t>Waltham Forest</t>
  </si>
  <si>
    <t>E5049</t>
  </si>
  <si>
    <t>Wandsworth</t>
  </si>
  <si>
    <t>E5021</t>
  </si>
  <si>
    <t>E0602</t>
  </si>
  <si>
    <t>Warwick</t>
  </si>
  <si>
    <t>E3735</t>
  </si>
  <si>
    <t>Watford</t>
  </si>
  <si>
    <t>E1939</t>
  </si>
  <si>
    <t>Waveney</t>
  </si>
  <si>
    <t>E3537</t>
  </si>
  <si>
    <t>Waverley</t>
  </si>
  <si>
    <t>E3640</t>
  </si>
  <si>
    <t>Wealden</t>
  </si>
  <si>
    <t>E1437</t>
  </si>
  <si>
    <t>Wellingborough</t>
  </si>
  <si>
    <t>E2837</t>
  </si>
  <si>
    <t>Welwyn Hatfield</t>
  </si>
  <si>
    <t>E1940</t>
  </si>
  <si>
    <t>E0302</t>
  </si>
  <si>
    <t>West Devon</t>
  </si>
  <si>
    <t>E1140</t>
  </si>
  <si>
    <t>West Dorset</t>
  </si>
  <si>
    <t>E1237</t>
  </si>
  <si>
    <t>West Lancashire</t>
  </si>
  <si>
    <t>E2343</t>
  </si>
  <si>
    <t>West Lindsey</t>
  </si>
  <si>
    <t>E2537</t>
  </si>
  <si>
    <t>West Oxfordshire</t>
  </si>
  <si>
    <t>E3135</t>
  </si>
  <si>
    <t>West Somerset</t>
  </si>
  <si>
    <t>E3335</t>
  </si>
  <si>
    <t>Westminster</t>
  </si>
  <si>
    <t>E5022</t>
  </si>
  <si>
    <t>E1238</t>
  </si>
  <si>
    <t>Wigan</t>
  </si>
  <si>
    <t>E4210</t>
  </si>
  <si>
    <t>Wiltshire UA</t>
  </si>
  <si>
    <t>E3902</t>
  </si>
  <si>
    <t>Winchester</t>
  </si>
  <si>
    <t>E1743</t>
  </si>
  <si>
    <t>E0305</t>
  </si>
  <si>
    <t>Wirral</t>
  </si>
  <si>
    <t>E4305</t>
  </si>
  <si>
    <t>Woking</t>
  </si>
  <si>
    <t>E3641</t>
  </si>
  <si>
    <t>E0306</t>
  </si>
  <si>
    <t>Wolverhampton</t>
  </si>
  <si>
    <t>E4607</t>
  </si>
  <si>
    <t>Worcester</t>
  </si>
  <si>
    <t>E1837</t>
  </si>
  <si>
    <t>Worthing</t>
  </si>
  <si>
    <t>E3837</t>
  </si>
  <si>
    <t>Wychavon</t>
  </si>
  <si>
    <t>E1838</t>
  </si>
  <si>
    <t>Wycombe</t>
  </si>
  <si>
    <t>E0435</t>
  </si>
  <si>
    <t>Wyre</t>
  </si>
  <si>
    <t>E2344</t>
  </si>
  <si>
    <t>Wyre Forest</t>
  </si>
  <si>
    <t>E1839</t>
  </si>
  <si>
    <t>E2701</t>
  </si>
  <si>
    <t xml:space="preserve">Select your local authority's name from this list: </t>
  </si>
  <si>
    <t>Partially occupied hereditaments</t>
  </si>
  <si>
    <t>Empty premises</t>
  </si>
  <si>
    <t>"New Empty" properties</t>
  </si>
  <si>
    <t>"Long term empty" properties</t>
  </si>
  <si>
    <t>"New Empty" Property Relief</t>
  </si>
  <si>
    <t>"Long Term Empty" Property Relief</t>
  </si>
  <si>
    <t>UA</t>
  </si>
  <si>
    <t>South Gloucestershire UA</t>
  </si>
  <si>
    <t>North Somerset UA</t>
  </si>
  <si>
    <t>Luton UA</t>
  </si>
  <si>
    <t>Bracknell Forest UA</t>
  </si>
  <si>
    <t>West Berkshire UA</t>
  </si>
  <si>
    <t>Reading UA</t>
  </si>
  <si>
    <t>Slough UA</t>
  </si>
  <si>
    <t>Windsor &amp; Maidenhead UA</t>
  </si>
  <si>
    <t>Wokingham UA</t>
  </si>
  <si>
    <t>Milton Keynes UA</t>
  </si>
  <si>
    <t>Peterborough UA</t>
  </si>
  <si>
    <t>Halton UA</t>
  </si>
  <si>
    <t>Warrington UA</t>
  </si>
  <si>
    <t>Cheshire West and Chester UA</t>
  </si>
  <si>
    <t>Hartlepool UA</t>
  </si>
  <si>
    <t>Middlesbrough UA</t>
  </si>
  <si>
    <t>Redcar &amp; Cleveland UA</t>
  </si>
  <si>
    <t>Stockton-on-Tees UA</t>
  </si>
  <si>
    <t>Derby UA</t>
  </si>
  <si>
    <t xml:space="preserve">COLLECTABLE RATES </t>
  </si>
  <si>
    <t>Plymouth UA</t>
  </si>
  <si>
    <t>Torbay UA</t>
  </si>
  <si>
    <t>Poole UA</t>
  </si>
  <si>
    <t>Bournemouth UA</t>
  </si>
  <si>
    <t>Weymouth &amp; Portland</t>
  </si>
  <si>
    <t>Darlington UA</t>
  </si>
  <si>
    <t>Southend-on-Sea UA</t>
  </si>
  <si>
    <t>Thurrock UA</t>
  </si>
  <si>
    <t>Portsmouth UA</t>
  </si>
  <si>
    <t>Southampton UA</t>
  </si>
  <si>
    <t>Herefordshire UA</t>
  </si>
  <si>
    <t>East Riding of Yorkshire UA</t>
  </si>
  <si>
    <t>North East Lincolnshire UA</t>
  </si>
  <si>
    <t>North Lincolnshire UA</t>
  </si>
  <si>
    <t>Medway UA</t>
  </si>
  <si>
    <t>Tonbridge &amp; Malling</t>
  </si>
  <si>
    <t>Blackburn with Darwen UA</t>
  </si>
  <si>
    <t>Blackpool UA</t>
  </si>
  <si>
    <t>Leicester UA</t>
  </si>
  <si>
    <t>Rutland UA</t>
  </si>
  <si>
    <t>Hinckley &amp; Bosworth</t>
  </si>
  <si>
    <t>Oadby &amp; Wigston</t>
  </si>
  <si>
    <t>York UA</t>
  </si>
  <si>
    <t>Nottingham UA</t>
  </si>
  <si>
    <t>Newark &amp; Sherwood</t>
  </si>
  <si>
    <t>Telford &amp; Wrekin UA</t>
  </si>
  <si>
    <t>Stoke-on-Trent UA</t>
  </si>
  <si>
    <t>Reigate &amp; Banstead</t>
  </si>
  <si>
    <t>Nuneaton &amp; Bedworth</t>
  </si>
  <si>
    <t>Swindon UA</t>
  </si>
  <si>
    <t>Hammersmith &amp; Fulham</t>
  </si>
  <si>
    <t>Kensington &amp; Chelsea</t>
  </si>
  <si>
    <t>Barking &amp; Dagenham</t>
  </si>
  <si>
    <t>£</t>
  </si>
  <si>
    <t>2.  Sums due to the authority</t>
  </si>
  <si>
    <t xml:space="preserve">3.  Sums due from the authority </t>
  </si>
  <si>
    <t>Column 1</t>
  </si>
  <si>
    <t>Column 2</t>
  </si>
  <si>
    <t>Column 3</t>
  </si>
  <si>
    <t>Column 4</t>
  </si>
  <si>
    <t>Small Business Rate Relief</t>
  </si>
  <si>
    <t>Community Amateur Sports Clubs (CASCs)</t>
  </si>
  <si>
    <t>Non-profit making bodies</t>
  </si>
  <si>
    <t>Small rural businesses</t>
  </si>
  <si>
    <t>i)   the Secretary of State in accordance with Regulation 4 of the Non-Domestic Rating (Rates Retention) Regulations 2013;</t>
  </si>
  <si>
    <t>ii)  major precepting authorities in accordance with Regulations 5, 6 and 7; and to be</t>
  </si>
  <si>
    <t xml:space="preserve">iii) transferred by the billing authority from its Collection Fund to its General Fund, </t>
  </si>
  <si>
    <t>are set out below</t>
  </si>
  <si>
    <t>Total</t>
  </si>
  <si>
    <t>TOTAL FOR THE YEAR</t>
  </si>
  <si>
    <t xml:space="preserve">NET RATES PAYABLE </t>
  </si>
  <si>
    <t>5.  Legal costs</t>
  </si>
  <si>
    <t>6.  Allowance for cost of collection</t>
  </si>
  <si>
    <t>4. Cost of collection formula</t>
  </si>
  <si>
    <t>SPECIAL AUTHORITY DEDUCTIONS</t>
  </si>
  <si>
    <t>Column 5</t>
  </si>
  <si>
    <t>4.  Estimated growth/decline in gross rates</t>
  </si>
  <si>
    <t>Charitable occupation</t>
  </si>
  <si>
    <t>Rural shops etc</t>
  </si>
  <si>
    <t>Rural rate relief</t>
  </si>
  <si>
    <t>Other ratepayers</t>
  </si>
  <si>
    <t>NATIONAL NON-DOMESTIC RATES RETURN - NNDR1</t>
  </si>
  <si>
    <t>of which:</t>
  </si>
  <si>
    <t>13. of which: relief on existing properties where a 2nd property is occupied</t>
  </si>
  <si>
    <t>1. Rateable Value at</t>
  </si>
  <si>
    <t>(LESS) LOSSES</t>
  </si>
  <si>
    <t xml:space="preserve">PART 4: ESTIMATED COLLECTION FUND BALANCE </t>
  </si>
  <si>
    <t xml:space="preserve">COLLECTIBLE RATES </t>
  </si>
  <si>
    <t xml:space="preserve">TRANSITIONAL PROTECTION PAYMENTS </t>
  </si>
  <si>
    <t xml:space="preserve">NON-DOMESTIC RATING INCOME </t>
  </si>
  <si>
    <t xml:space="preserve">DISREGARDED AMOUNTS </t>
  </si>
  <si>
    <t>4.  Net Rates payable less losses</t>
  </si>
  <si>
    <t>8.  Net cost of transitional arrangements</t>
  </si>
  <si>
    <t>10. Forecast net cost of transitional arrangements</t>
  </si>
  <si>
    <t>11. Sum due to/(from) authority</t>
  </si>
  <si>
    <t xml:space="preserve">1.  Net amount receivable from rate payers after taking account of transitional adjustments, empty property rate, mandatory and discretionary reliefs and accounting adjustments </t>
  </si>
  <si>
    <t xml:space="preserve">14. Non-domestic rating income from rates retention scheme </t>
  </si>
  <si>
    <t xml:space="preserve">TOTAL:  </t>
  </si>
  <si>
    <t>1.  Sum payable by rate payers after taking account of transitional adjustments, empty property rate, mandatory and discretionary reliefs</t>
  </si>
  <si>
    <t>Local Authority</t>
  </si>
  <si>
    <t>Ecodes</t>
  </si>
  <si>
    <t>Adur</t>
  </si>
  <si>
    <t>E3831</t>
  </si>
  <si>
    <t>Allerdale</t>
  </si>
  <si>
    <t>E0931</t>
  </si>
  <si>
    <t>Amber Valley</t>
  </si>
  <si>
    <t>E1031</t>
  </si>
  <si>
    <t>Arun</t>
  </si>
  <si>
    <t>E3832</t>
  </si>
  <si>
    <t>Ashfield</t>
  </si>
  <si>
    <t>E3031</t>
  </si>
  <si>
    <t>Ashford</t>
  </si>
  <si>
    <t>E2231</t>
  </si>
  <si>
    <t>Aylesbury Vale</t>
  </si>
  <si>
    <t>E0431</t>
  </si>
  <si>
    <t>Babergh</t>
  </si>
  <si>
    <t>E3531</t>
  </si>
  <si>
    <t>E5030</t>
  </si>
  <si>
    <t>Barnet</t>
  </si>
  <si>
    <t>E5031</t>
  </si>
  <si>
    <t>Barnsley</t>
  </si>
  <si>
    <t>E4401</t>
  </si>
  <si>
    <t>Barrow-in-Furness</t>
  </si>
  <si>
    <t>E0932</t>
  </si>
  <si>
    <t>Basildon</t>
  </si>
  <si>
    <t>E1531</t>
  </si>
  <si>
    <t>Basingstoke &amp; Deane</t>
  </si>
  <si>
    <t>E1731</t>
  </si>
  <si>
    <t>Bassetlaw</t>
  </si>
  <si>
    <t>E3032</t>
  </si>
  <si>
    <t>Bath &amp; North East Somerset</t>
  </si>
  <si>
    <t>E0101</t>
  </si>
  <si>
    <t>Bedford UA</t>
  </si>
  <si>
    <t>E0202</t>
  </si>
  <si>
    <t>Bexley</t>
  </si>
  <si>
    <t>E5032</t>
  </si>
  <si>
    <t>Birmingham</t>
  </si>
  <si>
    <t>E4601</t>
  </si>
  <si>
    <t>Blaby</t>
  </si>
  <si>
    <t>E2431</t>
  </si>
  <si>
    <t>E2301</t>
  </si>
  <si>
    <t>E2302</t>
  </si>
  <si>
    <t>Bolsover</t>
  </si>
  <si>
    <t>E1032</t>
  </si>
  <si>
    <t>Bolton</t>
  </si>
  <si>
    <t>E4201</t>
  </si>
  <si>
    <t>Boston</t>
  </si>
  <si>
    <t>E2531</t>
  </si>
  <si>
    <t>E1202</t>
  </si>
  <si>
    <t>E0301</t>
  </si>
  <si>
    <t>Bradford</t>
  </si>
  <si>
    <t>E4701</t>
  </si>
  <si>
    <t>Braintree</t>
  </si>
  <si>
    <t>E1532</t>
  </si>
  <si>
    <t>Breckland</t>
  </si>
  <si>
    <t>E2631</t>
  </si>
  <si>
    <t>Brent</t>
  </si>
  <si>
    <t>E5033</t>
  </si>
  <si>
    <t>Brentwood</t>
  </si>
  <si>
    <t>E1533</t>
  </si>
  <si>
    <t>E1401</t>
  </si>
  <si>
    <t>Bristol</t>
  </si>
  <si>
    <t>E0102</t>
  </si>
  <si>
    <t>Broadland</t>
  </si>
  <si>
    <t>E2632</t>
  </si>
  <si>
    <t>Bromley</t>
  </si>
  <si>
    <t>E5034</t>
  </si>
  <si>
    <t>Bromsgrove</t>
  </si>
  <si>
    <t>E1831</t>
  </si>
  <si>
    <t>Broxbourne</t>
  </si>
  <si>
    <t>E1931</t>
  </si>
  <si>
    <t>Broxtowe</t>
  </si>
  <si>
    <t>E3033</t>
  </si>
  <si>
    <t>Burnley</t>
  </si>
  <si>
    <t>E2333</t>
  </si>
  <si>
    <t>Bury</t>
  </si>
  <si>
    <t>E4202</t>
  </si>
  <si>
    <t>Calderdale</t>
  </si>
  <si>
    <t>E4702</t>
  </si>
  <si>
    <t>Cambridge</t>
  </si>
  <si>
    <t>E0531</t>
  </si>
  <si>
    <t>Camden</t>
  </si>
  <si>
    <t>E5011</t>
  </si>
  <si>
    <t>Cannock Chase</t>
  </si>
  <si>
    <t>E3431</t>
  </si>
  <si>
    <t>Canterbury</t>
  </si>
  <si>
    <t>E2232</t>
  </si>
  <si>
    <t>Carlisle</t>
  </si>
  <si>
    <t>E0933</t>
  </si>
  <si>
    <t>Castle Point</t>
  </si>
  <si>
    <t>E1534</t>
  </si>
  <si>
    <t>Central Bedfordshire UA</t>
  </si>
  <si>
    <t>E0203</t>
  </si>
  <si>
    <t>Charnwood</t>
  </si>
  <si>
    <t>E2432</t>
  </si>
  <si>
    <t>Chelmsford</t>
  </si>
  <si>
    <t>E1535</t>
  </si>
  <si>
    <t>Cheltenham</t>
  </si>
  <si>
    <t>E1631</t>
  </si>
  <si>
    <t>Cherwell</t>
  </si>
  <si>
    <t>E3131</t>
  </si>
  <si>
    <t>Cheshire East UA</t>
  </si>
  <si>
    <t>E0603</t>
  </si>
  <si>
    <t>E0604</t>
  </si>
  <si>
    <t>Chesterfield</t>
  </si>
  <si>
    <t>E1033</t>
  </si>
  <si>
    <t>Chichester</t>
  </si>
  <si>
    <t>E3833</t>
  </si>
  <si>
    <t>Chiltern</t>
  </si>
  <si>
    <t>E0432</t>
  </si>
  <si>
    <t>Chorley</t>
  </si>
  <si>
    <t>E2334</t>
  </si>
  <si>
    <t>Christchurch</t>
  </si>
  <si>
    <t>E1232</t>
  </si>
  <si>
    <t>City of London</t>
  </si>
  <si>
    <t>2015-16 Multiplier Cap</t>
  </si>
  <si>
    <t>BA Area (exc. Designated areas)</t>
  </si>
  <si>
    <t>Designated
areas</t>
  </si>
  <si>
    <t>10. sums retained by billing authority</t>
  </si>
  <si>
    <t>11. sums retained by major precepting authority</t>
  </si>
  <si>
    <t>12.  Line 1 plus line 2, minus lines 3 and 6 - 9</t>
  </si>
  <si>
    <t>13. % of non-domestic rating income to be allocated to each authority</t>
  </si>
  <si>
    <t xml:space="preserve">     (+ = increase, - = decrease)</t>
  </si>
  <si>
    <t>25.  Changes as a result of estimated growth/decline in unoccupied property 'relief'
(+ = decline, - = increase)</t>
  </si>
  <si>
    <t>14. Additional yield from the small business supplement (Show as +ve)</t>
  </si>
  <si>
    <t>33. Relief given to Case A hereditaments</t>
  </si>
  <si>
    <t>34. Relief given to Case B hereditaments</t>
  </si>
  <si>
    <t>36.  Changes as a result of estimated growth/decline in discretionary relief
(+ = decline, - = increase)</t>
  </si>
  <si>
    <t>20. Changes as a result of estimated growth/decline in mandatory relief
(+ = decline, - = increase)</t>
  </si>
  <si>
    <t>PART 3: COLLECTABLE RATES AND DISREGARDED AMOUNTS</t>
  </si>
  <si>
    <t>Total
Designated Areas</t>
  </si>
  <si>
    <r>
      <t>9</t>
    </r>
    <r>
      <rPr>
        <sz val="12"/>
        <color indexed="10"/>
        <rFont val="Arial"/>
        <family val="2"/>
      </rPr>
      <t xml:space="preserve">. </t>
    </r>
    <r>
      <rPr>
        <sz val="12"/>
        <rFont val="Arial"/>
        <family val="2"/>
      </rPr>
      <t>Changes as a result of estimated growth / decline in cost of transitional arrangements 
(+ = decline, - = increase)</t>
    </r>
  </si>
  <si>
    <t>DISCRETIONARY RELIEFS (See Note J) (All data should be entered as -ve unless specified otherwise)</t>
  </si>
  <si>
    <t>42.  Changes as a result of estimated growth/decline in Section 31 discretionary relief
(+ = decline, - = increase)</t>
  </si>
  <si>
    <t>44.  Forecast of net rates payable by rate payers after taking account of transitional adjustments, unoccupied property relief, mandatory and discretionary reliefs</t>
  </si>
  <si>
    <t>Designated areas</t>
  </si>
  <si>
    <t>England</t>
  </si>
  <si>
    <t xml:space="preserve">   </t>
  </si>
  <si>
    <t>Class</t>
  </si>
  <si>
    <t>Region</t>
  </si>
  <si>
    <t>SD</t>
  </si>
  <si>
    <t>SE</t>
  </si>
  <si>
    <t>NW</t>
  </si>
  <si>
    <t>EM</t>
  </si>
  <si>
    <t>E</t>
  </si>
  <si>
    <t>OLB</t>
  </si>
  <si>
    <t>L</t>
  </si>
  <si>
    <t>Met</t>
  </si>
  <si>
    <t>YH</t>
  </si>
  <si>
    <t>SW</t>
  </si>
  <si>
    <t>WM</t>
  </si>
  <si>
    <t>Brighton and Hove</t>
  </si>
  <si>
    <t>ILB</t>
  </si>
  <si>
    <t>NE</t>
  </si>
  <si>
    <t>Epsom and Ewell</t>
  </si>
  <si>
    <t>Isle of Wight UA</t>
  </si>
  <si>
    <t>Kings Lynn &amp; West Norfolk</t>
  </si>
  <si>
    <t>Kingston upon Hull UA</t>
  </si>
  <si>
    <t>Newcastle upon Tyne</t>
  </si>
  <si>
    <t>Data from Page 1</t>
  </si>
  <si>
    <t>Worcestershire</t>
  </si>
  <si>
    <t>Hereford and Worcester Fire Authority</t>
  </si>
  <si>
    <t>North Yorkshire Fire Authority</t>
  </si>
  <si>
    <t>Huntingdonshire</t>
  </si>
  <si>
    <t>Malvern Hills</t>
  </si>
  <si>
    <t>Fire Authority (if applicable)</t>
  </si>
  <si>
    <t>Yes</t>
  </si>
  <si>
    <t>Sheffield City region</t>
  </si>
  <si>
    <t>Enterprise Area</t>
  </si>
  <si>
    <t>Birmingham City Centre</t>
  </si>
  <si>
    <t>West of England</t>
  </si>
  <si>
    <t>Notts Broxtowe</t>
  </si>
  <si>
    <t>Sheffield City Region</t>
  </si>
  <si>
    <t>NewQuay Aerohub</t>
  </si>
  <si>
    <t>Infinity Park</t>
  </si>
  <si>
    <t>Humber Port Corridor</t>
  </si>
  <si>
    <t>Humber Super Energy Cluster</t>
  </si>
  <si>
    <t>Solent</t>
  </si>
  <si>
    <t>Lancs Advanced Eng. &amp; Manufacturing</t>
  </si>
  <si>
    <t>Development Area</t>
  </si>
  <si>
    <t>New Anglia</t>
  </si>
  <si>
    <t>Sci-Tech Daresbury</t>
  </si>
  <si>
    <t>Tees Valley</t>
  </si>
  <si>
    <t>Hereford</t>
  </si>
  <si>
    <t>MIRA Technology Park</t>
  </si>
  <si>
    <t>Alconbury Enterprise Campus</t>
  </si>
  <si>
    <t>Aire Valley</t>
  </si>
  <si>
    <t>Mersey Waters</t>
  </si>
  <si>
    <t>Liverpool City</t>
  </si>
  <si>
    <t>Manchester Airport City</t>
  </si>
  <si>
    <t>NE Newcastle</t>
  </si>
  <si>
    <t>Royal Docks</t>
  </si>
  <si>
    <t>North East</t>
  </si>
  <si>
    <t>Waterside</t>
  </si>
  <si>
    <t xml:space="preserve">North East </t>
  </si>
  <si>
    <t>Nottingham City</t>
  </si>
  <si>
    <t>Development  Area</t>
  </si>
  <si>
    <t>Black Country</t>
  </si>
  <si>
    <t>Manchester City Airport</t>
  </si>
  <si>
    <t>Science Vale UK</t>
  </si>
  <si>
    <t>Designated Areas</t>
  </si>
  <si>
    <t>Area 1</t>
  </si>
  <si>
    <t>Area 2</t>
  </si>
  <si>
    <t>Fire Authority</t>
  </si>
  <si>
    <t>Data from Page 3</t>
  </si>
  <si>
    <t>Data from Page 2</t>
  </si>
  <si>
    <t>-</t>
  </si>
  <si>
    <r>
      <t>Lincoln</t>
    </r>
    <r>
      <rPr>
        <b/>
        <sz val="14"/>
        <rFont val="Arial"/>
        <family val="2"/>
      </rPr>
      <t>*</t>
    </r>
  </si>
  <si>
    <r>
      <t xml:space="preserve">Note : * </t>
    </r>
    <r>
      <rPr>
        <sz val="10"/>
        <rFont val="Arial"/>
        <family val="2"/>
      </rPr>
      <t xml:space="preserve">data for Lincoln revised 27/2/15 : authority discovered an error in line 1 of part 4 and line line 17.  </t>
    </r>
  </si>
  <si>
    <t>COST OF COLLECTION (See Note A)</t>
  </si>
  <si>
    <t>9.  Amounts retained in respect of Renewable Energy Schemes
(See Note B)</t>
  </si>
  <si>
    <r>
      <t xml:space="preserve">The payments to be made, during the course of </t>
    </r>
    <r>
      <rPr>
        <b/>
        <sz val="12"/>
        <rFont val="Arial"/>
        <family val="2"/>
      </rPr>
      <t>2016-17</t>
    </r>
    <r>
      <rPr>
        <sz val="12"/>
        <rFont val="Arial"/>
        <family val="2"/>
      </rPr>
      <t xml:space="preserve"> to: </t>
    </r>
  </si>
  <si>
    <t>Non-Domestic Rating Income for 2016-17</t>
  </si>
  <si>
    <t>16. Not used this year</t>
  </si>
  <si>
    <t>Other Income for 2016-17</t>
  </si>
  <si>
    <t>18. add: cost of collection allowance</t>
  </si>
  <si>
    <t>19. add: amounts retained in respect of Designated Areas</t>
  </si>
  <si>
    <t xml:space="preserve">20. add: amounts retained in respect of renewable energy schemes </t>
  </si>
  <si>
    <t>21. add: qualifying relief in Enterprise Zones</t>
  </si>
  <si>
    <t>22. add: City of London Offset</t>
  </si>
  <si>
    <t>23. Not used this year</t>
  </si>
  <si>
    <t>24.  Estimated Surplus/Deficit at end of 2015-16</t>
  </si>
  <si>
    <t>25.  Total amount due to authorities</t>
  </si>
  <si>
    <t>PART 1C: SECTION 31 GRANT (See Note C)</t>
  </si>
  <si>
    <t>Estimated sums due from Government via Section 31 grant, to compensate authorities for the cost of changes to the business rates system announced 
in the 2013, 2014 &amp; 2015 Autumn Statements</t>
  </si>
  <si>
    <t>26. Cost of 2% cap on 2015-16 small business rates multiplier</t>
  </si>
  <si>
    <t>27. Cost of temporary doubling SBRR for 2016-17</t>
  </si>
  <si>
    <t>28. Cost to authorities of maintaining relief on "first" property</t>
  </si>
  <si>
    <t>29. Cost to authorities of giving relief to newly-built empty property</t>
  </si>
  <si>
    <t>30. Relief on occupation of "long-term empty" property</t>
  </si>
  <si>
    <t>In lieu of Transitional Relief</t>
  </si>
  <si>
    <t>31. Payments in lieu of Transitional Relief</t>
  </si>
  <si>
    <t>32.  Amount of Section 31 grant due to authorities to compensate for reliefs</t>
  </si>
  <si>
    <t xml:space="preserve"> 2016-17</t>
  </si>
  <si>
    <t>GROSS RATES PAYABLE
(All data should be entered as +ve unless specified otherwise)</t>
  </si>
  <si>
    <t>2. Small business rating multiplier for 2016-17 (pence)</t>
  </si>
  <si>
    <t>3.  Gross rates 2016-17 (RV x multiplier)</t>
  </si>
  <si>
    <t xml:space="preserve">5. Forecast gross rates payable in 2016-17 </t>
  </si>
  <si>
    <t>TRANSITIONAL ARRANGEMENTS (See Note E) - Not applicable in 2016-17</t>
  </si>
  <si>
    <t>6.  Revenue foregone because increases in rates have been deferred (Show as -ve)</t>
  </si>
  <si>
    <t>7.  Additional income received because reductions in rates have been deferred
(Show as +ve)</t>
  </si>
  <si>
    <t>TRANSITIONAL PROTECTION PAYMENTS (See Note F) - Not applicable in 2016-17</t>
  </si>
  <si>
    <t>MANDATORY RELIEFS (See Note G) (All data should be entered as -ve unless specified otherwise)</t>
  </si>
  <si>
    <t>12. Forecast of relief to be provided in 2016-17</t>
  </si>
  <si>
    <t>15. Net cost of small business rate relief (line 12 + line 14)</t>
  </si>
  <si>
    <t>16. Forecast of relief to be provided in 2016-17</t>
  </si>
  <si>
    <t>17. Forecast of relief to be provided in 2016-17</t>
  </si>
  <si>
    <t>18. Forecast of relief to be provided in 2016-17</t>
  </si>
  <si>
    <t>19.  Forecast of mandatory reliefs to be provided in 2016-17 (Sum of lines 15 to 18)</t>
  </si>
  <si>
    <t>21. Total forecast mandatory reliefs to be provided in 2016-17</t>
  </si>
  <si>
    <t>UNOCCUPIED PROPERTY (See Note H) (All data should be entered as -ve unless specified otherwise)</t>
  </si>
  <si>
    <t>22. Forecast of 'relief' to be provided in 2016-17</t>
  </si>
  <si>
    <t>23. Forecast of 'relief' to be provided in 2016-17</t>
  </si>
  <si>
    <t>24.  Forecast of unoccupied property 'relief' to be provided in 2016-17 (Line 22 + line 23)</t>
  </si>
  <si>
    <t>26. Total forecast unoccupied property 'relief' to be provided in 2016-17</t>
  </si>
  <si>
    <t>27. Forecast of relief to be provided in 2016-17</t>
  </si>
  <si>
    <t>28. Forecast of relief to be provided in 2016-17</t>
  </si>
  <si>
    <t>29. Forecast of relief to be provided in 2016-17</t>
  </si>
  <si>
    <t>30. Forecast of relief to be provided in 2016-17</t>
  </si>
  <si>
    <t>31. Forecast of relief to be provided in 2016-17</t>
  </si>
  <si>
    <t>32. Forecast of relief to be provided in 2016-17</t>
  </si>
  <si>
    <t>35.  Forecast of discretionary relief to be provided in 2016-17 (Sum of lines 27 to 32)</t>
  </si>
  <si>
    <t>37. Total forecast discretionary relief to be provided in 2016-17</t>
  </si>
  <si>
    <t>38. Forecast of relief to be provided in 2016-17</t>
  </si>
  <si>
    <t>39. Forecast of relief to be provided in 2016-17</t>
  </si>
  <si>
    <t>40. Payments to ratepayers in lieu of Transitional Relief in 2016-17</t>
  </si>
  <si>
    <t>41.  Forecast of discretionary reliefs funded through S31 grant to be provided in 2016-17
(Sum of lines 38 to 39)</t>
  </si>
  <si>
    <t>43.  Total forecast of discretionary reliefs funded through S31 grant to be provided in 2016-17</t>
  </si>
  <si>
    <t>2. Estimated bad debts in respect of 2016-17 rates payable</t>
  </si>
  <si>
    <t xml:space="preserve">3. Estimated repayments in respect of 2016-17 rates payable </t>
  </si>
  <si>
    <t>BUSINESS RATES CREDITS AND CHARGES</t>
  </si>
  <si>
    <t>2. Business rates credited and charged to the Collection Fund in 2015-16</t>
  </si>
  <si>
    <t>3. Sums written off in excess of the allowance for non-collection</t>
  </si>
  <si>
    <t>4. Changes to the allowance for non-collection</t>
  </si>
  <si>
    <t xml:space="preserve">5. Amounts charged against the provision for appeals following RV list changes </t>
  </si>
  <si>
    <t>6. Changes to the provision for appeals</t>
  </si>
  <si>
    <t>7. Total business rates credits and charges (Total lines 2 to 6)</t>
  </si>
  <si>
    <t xml:space="preserve">OTHER RATES RETENTION SCHEME CREDITS </t>
  </si>
  <si>
    <t xml:space="preserve">8.  Transitional protection payments received, or to be received in 2015-16 </t>
  </si>
  <si>
    <t xml:space="preserve">9.  Transfers/payments to the Collection Fund for end-year reconciliations </t>
  </si>
  <si>
    <t>10. Transfers/payments into the Collection Fund in 2015-16 in respect of a previous year's deficit</t>
  </si>
  <si>
    <r>
      <t xml:space="preserve">11.  Total Other Credits </t>
    </r>
    <r>
      <rPr>
        <sz val="12"/>
        <rFont val="Arial"/>
        <family val="2"/>
      </rPr>
      <t>(Total lines 8 to 10)</t>
    </r>
  </si>
  <si>
    <t xml:space="preserve">OTHER RATES RETENTION SCHEME CHARGES </t>
  </si>
  <si>
    <t xml:space="preserve">12.  Transitional protection payments made, or to be made, in 2015-16 </t>
  </si>
  <si>
    <t xml:space="preserve">13. Payments made, or to be made, to the Secretary of State in respect of the central share
in 2015-16 </t>
  </si>
  <si>
    <t xml:space="preserve">14  Payments made, or to be made to, major precepting authorities in respect of business </t>
  </si>
  <si>
    <t xml:space="preserve"> rates income in 2015-16</t>
  </si>
  <si>
    <t xml:space="preserve">15. Transfers made, or to be made, to the billing authority's General Fund in respect of business rates income in 2015-16 </t>
  </si>
  <si>
    <t xml:space="preserve">16.  Transfers made, or to be made, to the billing authority's General Fund; and payments made, </t>
  </si>
  <si>
    <t xml:space="preserve">or to be made, to a precepting authority in respect of disregarded amounts in 2015-16 </t>
  </si>
  <si>
    <t>17. Transfers/payments from the Collection Fund for end-year reconciliations</t>
  </si>
  <si>
    <t>18. Transfers/payments made from the Collection Fund in 2015-16 in respect of a previous year's surplus</t>
  </si>
  <si>
    <r>
      <t xml:space="preserve">19.  Total Other Charges </t>
    </r>
    <r>
      <rPr>
        <sz val="12"/>
        <rFont val="Arial"/>
        <family val="2"/>
      </rPr>
      <t>(Total lines 12 to 18)</t>
    </r>
  </si>
  <si>
    <t>20. Adjustment for 5-Year Spread</t>
  </si>
  <si>
    <t>ESTIMATED SURPLUS/(DEFICIT) ON COLLECTION FUND IN RESPECT OF FINANCIAL YEAR 2015-16</t>
  </si>
  <si>
    <t>21.  Opening balance plus total credits, less total charges, plus adjustment for 5-year spread (Total lines 1, 7, 11, 19 &amp; 20)</t>
  </si>
  <si>
    <t xml:space="preserve">1.  Net amount receivable from rate payers </t>
  </si>
  <si>
    <t xml:space="preserve">4. Cost of collection </t>
  </si>
  <si>
    <t xml:space="preserve">7. City of London Offset </t>
  </si>
  <si>
    <t>8.  Amounts retained in respect of Designated Areas</t>
  </si>
  <si>
    <t xml:space="preserve">9.  Amounts retained in respect of Renewable Energy </t>
  </si>
  <si>
    <t>13. % of non-domestic rating income</t>
  </si>
  <si>
    <r>
      <t xml:space="preserve">17. </t>
    </r>
    <r>
      <rPr>
        <b/>
        <sz val="10"/>
        <rFont val="Arial"/>
        <family val="2"/>
      </rPr>
      <t>TOTAL</t>
    </r>
  </si>
  <si>
    <t xml:space="preserve">32.  Amount of Section 31 grant </t>
  </si>
  <si>
    <t xml:space="preserve">1.  Sum payable by rate payers </t>
  </si>
  <si>
    <t xml:space="preserve">2. Estimated bad debts in respect of 2016-17 </t>
  </si>
  <si>
    <t xml:space="preserve">1. Opening Balance </t>
  </si>
  <si>
    <r>
      <t xml:space="preserve">11.  Total Other Credits </t>
    </r>
    <r>
      <rPr>
        <sz val="10"/>
        <rFont val="Arial"/>
        <family val="2"/>
      </rPr>
      <t>(Total lines 8 to 10)</t>
    </r>
  </si>
  <si>
    <t xml:space="preserve">19.  Total Other Charges </t>
  </si>
  <si>
    <t>21.  Opening balance plus total credits, less total charges, plus adjustment for 5-year spread</t>
  </si>
  <si>
    <t>42.  Changes as a result of estimated growth/decline in Section 31 discretionary relief</t>
  </si>
  <si>
    <t>36.  Changes as a result of estimated growth/decline in discretionary relief</t>
  </si>
  <si>
    <t>35.  Forecast of discretionary relief to be provided in 2016-17</t>
  </si>
  <si>
    <t xml:space="preserve">25.  Changes as a result of estimated growth/decline in unoccupied property 'relief'
</t>
  </si>
  <si>
    <t xml:space="preserve">24.  Forecast of unoccupied property 'relief' to be provided in 2016-17 </t>
  </si>
  <si>
    <t xml:space="preserve">20. Changes as a result of estimated growth/decline in mandatory relief
</t>
  </si>
  <si>
    <t xml:space="preserve">19.  Forecast of mandatory reliefs to be provided in 2016-17 </t>
  </si>
  <si>
    <t xml:space="preserve">15. Net cost of small business rate relief </t>
  </si>
  <si>
    <r>
      <t>9</t>
    </r>
    <r>
      <rPr>
        <sz val="10"/>
        <color indexed="10"/>
        <rFont val="Arial"/>
        <family val="2"/>
      </rPr>
      <t xml:space="preserve">. </t>
    </r>
    <r>
      <rPr>
        <sz val="10"/>
        <rFont val="Arial"/>
        <family val="2"/>
      </rPr>
      <t xml:space="preserve">Changes as a result of estimated growth / decline in cost of transitional arrangements 
</t>
    </r>
  </si>
  <si>
    <t xml:space="preserve">3.  Gross rates 2016-17 </t>
  </si>
  <si>
    <t>Date</t>
  </si>
  <si>
    <t>4. Net Rates payable less losses</t>
  </si>
  <si>
    <t>5. Renewable Energy</t>
  </si>
  <si>
    <t xml:space="preserve">6. Transitional Protection Payment </t>
  </si>
  <si>
    <t xml:space="preserve">7. Baseline </t>
  </si>
  <si>
    <t>West Sussex</t>
  </si>
  <si>
    <t>County</t>
  </si>
  <si>
    <t>Cumbria</t>
  </si>
  <si>
    <t>Derbyshire</t>
  </si>
  <si>
    <t>Derbyshire Fire Authority</t>
  </si>
  <si>
    <t>Nottinghamshire</t>
  </si>
  <si>
    <t>Nottinghamshire Fire Authority</t>
  </si>
  <si>
    <t>Kent</t>
  </si>
  <si>
    <t>Kent Fire Authority</t>
  </si>
  <si>
    <t>Buckinghamshire</t>
  </si>
  <si>
    <t>Buckinghamshire Fire Authority</t>
  </si>
  <si>
    <t>Suffolk</t>
  </si>
  <si>
    <t>Greater London Authority</t>
  </si>
  <si>
    <t>NA</t>
  </si>
  <si>
    <t>MD</t>
  </si>
  <si>
    <t>South Yorkshire Fire</t>
  </si>
  <si>
    <t>Essex</t>
  </si>
  <si>
    <t>Essex Fire Authority</t>
  </si>
  <si>
    <t>Hampshire</t>
  </si>
  <si>
    <t>Hampshire Fire Authority</t>
  </si>
  <si>
    <t>Avon Fire Authority</t>
  </si>
  <si>
    <t>Bedfordshire Fire Authority</t>
  </si>
  <si>
    <t>West Midlands Fire</t>
  </si>
  <si>
    <t>Leicestershire</t>
  </si>
  <si>
    <t>Leicestershire Fire Authority</t>
  </si>
  <si>
    <t>Lancashire Fire Authority</t>
  </si>
  <si>
    <t>Greater Manchester Fire</t>
  </si>
  <si>
    <t>Lincolnshire</t>
  </si>
  <si>
    <t>Dorset Fire Authority</t>
  </si>
  <si>
    <t>Berkshire Fire Authority</t>
  </si>
  <si>
    <t>West Yorkshire Fire</t>
  </si>
  <si>
    <t>Norfolk</t>
  </si>
  <si>
    <t>East Sussex Fire Authority</t>
  </si>
  <si>
    <t>Hertfordshire</t>
  </si>
  <si>
    <t>Lancashire</t>
  </si>
  <si>
    <t>Cambridgeshire</t>
  </si>
  <si>
    <t>Cambridgeshire Fire Authority</t>
  </si>
  <si>
    <t>Staffordshire</t>
  </si>
  <si>
    <t>Staffordshire Fire Authority</t>
  </si>
  <si>
    <t>Gloucestershire</t>
  </si>
  <si>
    <t>Oxfordshire</t>
  </si>
  <si>
    <t>Cheshire Fire Authority</t>
  </si>
  <si>
    <t>Dorset</t>
  </si>
  <si>
    <t>GLA - functions exc police</t>
  </si>
  <si>
    <t>Northamptonshire</t>
  </si>
  <si>
    <t>North Yorkshire</t>
  </si>
  <si>
    <t>Durham Fire Authority</t>
  </si>
  <si>
    <t>Devon</t>
  </si>
  <si>
    <t>Devon and Somerset Fire Authority</t>
  </si>
  <si>
    <t>Humberside Fire Authority</t>
  </si>
  <si>
    <t>East Sussex</t>
  </si>
  <si>
    <t>Surrey</t>
  </si>
  <si>
    <t>Tyne and Wear Fire</t>
  </si>
  <si>
    <t>Cleveland Fire Authority</t>
  </si>
  <si>
    <t>Merseyside Fire</t>
  </si>
  <si>
    <t>Somerset</t>
  </si>
  <si>
    <t>Warwickshire</t>
  </si>
  <si>
    <t>Shropshire Fire Authority</t>
  </si>
  <si>
    <t>Wiltshire Fire Authority</t>
  </si>
  <si>
    <t xml:space="preserve">DISCRETIONARY RELIEFS FUNDED THROUGH SECTION 31 GRANT
</t>
  </si>
  <si>
    <t>Birmingham EZ Extension</t>
  </si>
  <si>
    <t>Carlisle Kingsmoor Park EZ</t>
  </si>
  <si>
    <t xml:space="preserve">Cheshire Science Corridor EZ </t>
  </si>
  <si>
    <t>Aerohub+</t>
  </si>
  <si>
    <t>Tees Valley EZ Growth Extension</t>
  </si>
  <si>
    <t>Infinity Park Extension</t>
  </si>
  <si>
    <t>Cambridge Compass</t>
  </si>
  <si>
    <t xml:space="preserve">Humber EZ application </t>
  </si>
  <si>
    <t>MIRA extension</t>
  </si>
  <si>
    <t>New Anglia Enterprise Zone</t>
  </si>
  <si>
    <t>Humber EZ Application</t>
  </si>
  <si>
    <t>Nine Elms</t>
  </si>
  <si>
    <t>Luton Airport Enterprise Zone</t>
  </si>
  <si>
    <t>Greater Manchester Life Science</t>
  </si>
  <si>
    <t>Ceramics Valley</t>
  </si>
  <si>
    <t>Didcot Growth Accelerator</t>
  </si>
  <si>
    <t>Didcot Growth Accelerator Enterprise Zone</t>
  </si>
  <si>
    <t>Nine Elms and Battersea Power station</t>
  </si>
  <si>
    <t>Hillhouse Chemicals and Energy Enterprise Zone</t>
  </si>
  <si>
    <t>Designated Area 1</t>
  </si>
  <si>
    <t>Designated Area 2</t>
  </si>
  <si>
    <t>Designated Area 3</t>
  </si>
  <si>
    <t>Area 3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</si>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</sst>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.000000000000"/>
    <numFmt numFmtId="165" formatCode="#,##0.000000000000000"/>
    <numFmt numFmtId="166" formatCode="dd/mm/yy;@"/>
    <numFmt numFmtId="167" formatCode="0.0"/>
    <numFmt numFmtId="168" formatCode="0_)"/>
    <numFmt numFmtId="169" formatCode="#,##0.0"/>
    <numFmt numFmtId="170" formatCode="_-* #,##0.0_-;\-* #,##0.0_-;_-* &quot;-&quot;??_-;_-@_-"/>
  </numFmts>
  <fonts count="70" x14ac:knownFonts="1">
    <font>
      <sz val="10"/>
      <name val="Arial"/>
    </font>
    <font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2"/>
      <color indexed="17"/>
      <name val="Arial"/>
      <family val="2"/>
    </font>
    <font>
      <b/>
      <sz val="12"/>
      <color indexed="17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sz val="11"/>
      <color indexed="10"/>
      <name val="Arial"/>
      <family val="2"/>
    </font>
    <font>
      <sz val="12"/>
      <color indexed="44"/>
      <name val="Arial"/>
      <family val="2"/>
    </font>
    <font>
      <b/>
      <sz val="12"/>
      <color indexed="10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2"/>
      <color rgb="FFFF0000"/>
      <name val="Arial"/>
      <family val="2"/>
    </font>
    <font>
      <sz val="10"/>
      <color theme="0"/>
      <name val="Arial"/>
      <family val="2"/>
    </font>
    <font>
      <b/>
      <sz val="11"/>
      <color rgb="FFFF0000"/>
      <name val="Arial"/>
      <family val="2"/>
    </font>
    <font>
      <sz val="14"/>
      <color rgb="FFFF0000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2"/>
      <color rgb="FFFFFF00"/>
      <name val="Arial"/>
      <family val="2"/>
    </font>
    <font>
      <sz val="12"/>
      <color rgb="FF99CCFF"/>
      <name val="Arial"/>
      <family val="2"/>
    </font>
    <font>
      <sz val="11"/>
      <color theme="1"/>
      <name val="Calibri"/>
      <family val="2"/>
    </font>
    <font>
      <b/>
      <sz val="12"/>
      <color indexed="19"/>
      <name val="Calibri"/>
      <family val="2"/>
    </font>
    <font>
      <b/>
      <sz val="11"/>
      <color theme="1"/>
      <name val="Calibri"/>
      <family val="2"/>
    </font>
    <font>
      <b/>
      <sz val="12"/>
      <name val="Calibri"/>
      <family val="2"/>
    </font>
    <font>
      <b/>
      <sz val="11"/>
      <color indexed="17"/>
      <name val="Calibri"/>
      <family val="2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1"/>
      <color rgb="FF008000"/>
      <name val="Calibri"/>
      <family val="2"/>
    </font>
    <font>
      <i/>
      <sz val="11"/>
      <color rgb="FFFF0000"/>
      <name val="Calibri"/>
      <family val="2"/>
    </font>
    <font>
      <sz val="12"/>
      <color theme="0" tint="-0.34998626667073579"/>
      <name val="Arial"/>
      <family val="2"/>
    </font>
    <font>
      <sz val="8"/>
      <color rgb="FFFFFFCC"/>
      <name val="Arial"/>
      <family val="2"/>
    </font>
    <font>
      <i/>
      <sz val="10"/>
      <color rgb="FFFF0000"/>
      <name val="Arial"/>
      <family val="2"/>
    </font>
    <font>
      <sz val="12"/>
      <color theme="0"/>
      <name val="Arial"/>
      <family val="2"/>
    </font>
    <font>
      <strike/>
      <sz val="10"/>
      <color rgb="FFFF0000"/>
      <name val="Arial"/>
      <family val="2"/>
    </font>
    <font>
      <b/>
      <sz val="12"/>
      <color rgb="FFFFFFCC"/>
      <name val="Arial"/>
      <family val="2"/>
    </font>
    <font>
      <b/>
      <sz val="12"/>
      <color theme="0" tint="-0.249977111117893"/>
      <name val="Arial"/>
      <family val="2"/>
    </font>
    <font>
      <sz val="12"/>
      <color rgb="FF006100"/>
      <name val="Arial"/>
      <family val="2"/>
    </font>
    <font>
      <sz val="10"/>
      <color indexed="10"/>
      <name val="Arial"/>
      <family val="2"/>
    </font>
    <font>
      <b/>
      <sz val="12"/>
      <color theme="0"/>
      <name val="Arial"/>
      <family val="2"/>
    </font>
    <font>
      <sz val="10"/>
      <color theme="0" tint="-0.34998626667073579"/>
      <name val="Arial"/>
      <family val="2"/>
    </font>
    <font>
      <sz val="8"/>
      <color theme="0"/>
      <name val="Arial"/>
      <family val="2"/>
    </font>
    <font>
      <sz val="11"/>
      <color rgb="FF008000"/>
      <name val="Calibri"/>
      <family val="2"/>
    </font>
    <font>
      <sz val="11"/>
      <color theme="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2" tint="-0.24994659260841701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57"/>
      </left>
      <right/>
      <top style="medium">
        <color indexed="57"/>
      </top>
      <bottom/>
      <diagonal/>
    </border>
    <border>
      <left style="medium">
        <color indexed="57"/>
      </left>
      <right/>
      <top/>
      <bottom/>
      <diagonal/>
    </border>
    <border>
      <left style="medium">
        <color indexed="57"/>
      </left>
      <right/>
      <top/>
      <bottom style="medium">
        <color indexed="57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53"/>
      </left>
      <right/>
      <top style="medium">
        <color indexed="53"/>
      </top>
      <bottom/>
      <diagonal/>
    </border>
    <border>
      <left/>
      <right/>
      <top style="medium">
        <color indexed="53"/>
      </top>
      <bottom/>
      <diagonal/>
    </border>
    <border>
      <left style="medium">
        <color indexed="53"/>
      </left>
      <right/>
      <top/>
      <bottom/>
      <diagonal/>
    </border>
    <border>
      <left style="medium">
        <color indexed="53"/>
      </left>
      <right/>
      <top/>
      <bottom style="medium">
        <color indexed="53"/>
      </bottom>
      <diagonal/>
    </border>
    <border>
      <left/>
      <right/>
      <top/>
      <bottom style="medium">
        <color indexed="53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57"/>
      </top>
      <bottom/>
      <diagonal/>
    </border>
    <border>
      <left/>
      <right/>
      <top/>
      <bottom style="medium">
        <color indexed="57"/>
      </bottom>
      <diagonal/>
    </border>
    <border>
      <left/>
      <right style="medium">
        <color indexed="3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/>
      <right style="medium">
        <color indexed="44"/>
      </right>
      <top/>
      <bottom/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53"/>
      </right>
      <top style="medium">
        <color indexed="53"/>
      </top>
      <bottom/>
      <diagonal/>
    </border>
    <border>
      <left/>
      <right style="medium">
        <color indexed="53"/>
      </right>
      <top/>
      <bottom/>
      <diagonal/>
    </border>
    <border>
      <left/>
      <right style="medium">
        <color indexed="53"/>
      </right>
      <top/>
      <bottom style="medium">
        <color indexed="53"/>
      </bottom>
      <diagonal/>
    </border>
    <border>
      <left/>
      <right style="medium">
        <color indexed="57"/>
      </right>
      <top style="medium">
        <color indexed="57"/>
      </top>
      <bottom/>
      <diagonal/>
    </border>
    <border>
      <left/>
      <right style="medium">
        <color indexed="57"/>
      </right>
      <top/>
      <bottom/>
      <diagonal/>
    </border>
    <border>
      <left/>
      <right style="medium">
        <color indexed="57"/>
      </right>
      <top/>
      <bottom style="medium">
        <color indexed="57"/>
      </bottom>
      <diagonal/>
    </border>
    <border>
      <left/>
      <right/>
      <top/>
      <bottom style="medium">
        <color indexed="17"/>
      </bottom>
      <diagonal/>
    </border>
    <border>
      <left/>
      <right/>
      <top/>
      <bottom style="medium">
        <color indexed="30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indexed="31"/>
      </right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indexed="31"/>
      </right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indexed="31"/>
      </right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indexed="31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rgb="FFFF6600"/>
      </right>
      <top/>
      <bottom/>
      <diagonal/>
    </border>
    <border>
      <left style="medium">
        <color rgb="FFFF6600"/>
      </left>
      <right/>
      <top/>
      <bottom/>
      <diagonal/>
    </border>
    <border>
      <left/>
      <right style="medium">
        <color rgb="FFFF6600"/>
      </right>
      <top style="medium">
        <color indexed="53"/>
      </top>
      <bottom/>
      <diagonal/>
    </border>
    <border>
      <left style="medium">
        <color rgb="FFFF6600"/>
      </left>
      <right/>
      <top style="medium">
        <color indexed="53"/>
      </top>
      <bottom/>
      <diagonal/>
    </border>
    <border>
      <left/>
      <right style="medium">
        <color rgb="FFFF6600"/>
      </right>
      <top/>
      <bottom style="medium">
        <color indexed="53"/>
      </bottom>
      <diagonal/>
    </border>
    <border>
      <left style="medium">
        <color rgb="FFFF6600"/>
      </left>
      <right/>
      <top/>
      <bottom style="medium">
        <color indexed="53"/>
      </bottom>
      <diagonal/>
    </border>
    <border>
      <left/>
      <right style="medium">
        <color rgb="FFFF6600"/>
      </right>
      <top/>
      <bottom style="medium">
        <color rgb="FFFF6600"/>
      </bottom>
      <diagonal/>
    </border>
    <border>
      <left style="medium">
        <color rgb="FFFF6600"/>
      </left>
      <right/>
      <top/>
      <bottom style="medium">
        <color rgb="FFFF6600"/>
      </bottom>
      <diagonal/>
    </border>
    <border>
      <left/>
      <right style="medium">
        <color rgb="FFFF6600"/>
      </right>
      <top style="medium">
        <color rgb="FFFF6600"/>
      </top>
      <bottom/>
      <diagonal/>
    </border>
    <border>
      <left style="medium">
        <color rgb="FFFF6600"/>
      </left>
      <right/>
      <top style="medium">
        <color rgb="FFFF66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9" tint="-0.24994659260841701"/>
      </left>
      <right/>
      <top/>
      <bottom/>
      <diagonal/>
    </border>
    <border>
      <left/>
      <right style="medium">
        <color theme="9" tint="-0.2499465926084170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44"/>
      </top>
      <bottom/>
      <diagonal/>
    </border>
    <border>
      <left style="medium">
        <color indexed="64"/>
      </left>
      <right/>
      <top/>
      <bottom style="medium">
        <color indexed="44"/>
      </bottom>
      <diagonal/>
    </border>
  </borders>
  <cellStyleXfs count="54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3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16" borderId="1" applyNumberFormat="0" applyAlignment="0" applyProtection="0"/>
    <xf numFmtId="3" fontId="4" fillId="17" borderId="2">
      <alignment horizontal="right"/>
    </xf>
    <xf numFmtId="3" fontId="2" fillId="17" borderId="2">
      <alignment horizontal="right"/>
    </xf>
    <xf numFmtId="3" fontId="3" fillId="17" borderId="3">
      <alignment horizontal="right"/>
    </xf>
    <xf numFmtId="3" fontId="4" fillId="17" borderId="3">
      <alignment horizontal="right"/>
    </xf>
    <xf numFmtId="3" fontId="2" fillId="17" borderId="3">
      <alignment horizontal="right"/>
    </xf>
    <xf numFmtId="0" fontId="16" fillId="18" borderId="4" applyNumberFormat="0" applyAlignment="0" applyProtection="0"/>
    <xf numFmtId="43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6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1" applyNumberFormat="0" applyAlignment="0" applyProtection="0"/>
    <xf numFmtId="0" fontId="23" fillId="0" borderId="8" applyNumberFormat="0" applyFill="0" applyAlignment="0" applyProtection="0"/>
    <xf numFmtId="0" fontId="24" fillId="7" borderId="0" applyNumberFormat="0" applyBorder="0" applyAlignment="0" applyProtection="0"/>
    <xf numFmtId="0" fontId="2" fillId="0" borderId="0"/>
    <xf numFmtId="0" fontId="2" fillId="4" borderId="9" applyNumberFormat="0" applyFont="0" applyAlignment="0" applyProtection="0"/>
    <xf numFmtId="0" fontId="25" fillId="16" borderId="10" applyNumberForma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3" fillId="0" borderId="0" applyNumberFormat="0" applyFill="0" applyBorder="0" applyAlignment="0" applyProtection="0"/>
    <xf numFmtId="168" fontId="42" fillId="0" borderId="0"/>
    <xf numFmtId="0" fontId="2" fillId="0" borderId="0"/>
    <xf numFmtId="0" fontId="1" fillId="0" borderId="0"/>
    <xf numFmtId="0" fontId="1" fillId="25" borderId="95" applyNumberFormat="0" applyFont="0" applyAlignment="0" applyProtection="0"/>
    <xf numFmtId="0" fontId="63" fillId="26" borderId="0" applyNumberFormat="0" applyBorder="0" applyAlignment="0" applyProtection="0"/>
  </cellStyleXfs>
  <cellXfs count="750">
    <xf numFmtId="0" fontId="0" fillId="0" borderId="0" xfId="0"/>
    <xf numFmtId="0" fontId="0" fillId="19" borderId="0" xfId="0" applyFill="1" applyBorder="1" applyAlignment="1">
      <alignment horizontal="center"/>
    </xf>
    <xf numFmtId="0" fontId="0" fillId="19" borderId="0" xfId="0" applyFill="1" applyBorder="1"/>
    <xf numFmtId="0" fontId="0" fillId="19" borderId="12" xfId="0" applyFill="1" applyBorder="1"/>
    <xf numFmtId="0" fontId="0" fillId="19" borderId="13" xfId="0" applyFill="1" applyBorder="1"/>
    <xf numFmtId="0" fontId="3" fillId="19" borderId="0" xfId="0" applyFont="1" applyFill="1" applyBorder="1"/>
    <xf numFmtId="0" fontId="0" fillId="19" borderId="14" xfId="0" applyFill="1" applyBorder="1"/>
    <xf numFmtId="0" fontId="6" fillId="17" borderId="0" xfId="0" applyFont="1" applyFill="1" applyBorder="1"/>
    <xf numFmtId="0" fontId="6" fillId="0" borderId="0" xfId="0" applyFont="1"/>
    <xf numFmtId="0" fontId="6" fillId="19" borderId="0" xfId="0" applyFont="1" applyFill="1" applyBorder="1"/>
    <xf numFmtId="0" fontId="8" fillId="19" borderId="0" xfId="0" applyFont="1" applyFill="1" applyBorder="1"/>
    <xf numFmtId="0" fontId="6" fillId="19" borderId="0" xfId="0" applyFont="1" applyFill="1" applyBorder="1" applyAlignment="1">
      <alignment horizontal="left"/>
    </xf>
    <xf numFmtId="0" fontId="8" fillId="19" borderId="0" xfId="0" applyFont="1" applyFill="1" applyBorder="1" applyAlignment="1"/>
    <xf numFmtId="0" fontId="6" fillId="20" borderId="16" xfId="0" applyFont="1" applyFill="1" applyBorder="1"/>
    <xf numFmtId="0" fontId="6" fillId="17" borderId="18" xfId="0" applyFont="1" applyFill="1" applyBorder="1"/>
    <xf numFmtId="0" fontId="6" fillId="17" borderId="19" xfId="0" applyFont="1" applyFill="1" applyBorder="1"/>
    <xf numFmtId="0" fontId="6" fillId="17" borderId="20" xfId="0" applyFont="1" applyFill="1" applyBorder="1"/>
    <xf numFmtId="0" fontId="8" fillId="17" borderId="0" xfId="0" applyFont="1" applyFill="1" applyBorder="1"/>
    <xf numFmtId="0" fontId="6" fillId="17" borderId="21" xfId="0" applyFont="1" applyFill="1" applyBorder="1"/>
    <xf numFmtId="0" fontId="6" fillId="17" borderId="22" xfId="0" applyFont="1" applyFill="1" applyBorder="1"/>
    <xf numFmtId="0" fontId="0" fillId="19" borderId="23" xfId="0" applyFill="1" applyBorder="1"/>
    <xf numFmtId="0" fontId="0" fillId="19" borderId="24" xfId="0" applyFill="1" applyBorder="1"/>
    <xf numFmtId="0" fontId="0" fillId="19" borderId="25" xfId="0" applyFill="1" applyBorder="1"/>
    <xf numFmtId="0" fontId="11" fillId="0" borderId="0" xfId="0" applyFont="1"/>
    <xf numFmtId="0" fontId="2" fillId="20" borderId="16" xfId="0" applyFont="1" applyFill="1" applyBorder="1"/>
    <xf numFmtId="0" fontId="2" fillId="20" borderId="0" xfId="0" applyFont="1" applyFill="1" applyBorder="1" applyAlignment="1"/>
    <xf numFmtId="1" fontId="2" fillId="20" borderId="0" xfId="0" applyNumberFormat="1" applyFont="1" applyFill="1" applyBorder="1" applyAlignment="1">
      <alignment horizontal="center"/>
    </xf>
    <xf numFmtId="0" fontId="2" fillId="20" borderId="0" xfId="0" applyFont="1" applyFill="1" applyBorder="1"/>
    <xf numFmtId="0" fontId="0" fillId="20" borderId="0" xfId="0" applyNumberFormat="1" applyFill="1" applyBorder="1" applyAlignment="1" applyProtection="1">
      <alignment horizontal="center"/>
      <protection locked="0"/>
    </xf>
    <xf numFmtId="0" fontId="0" fillId="20" borderId="0" xfId="0" applyFill="1" applyBorder="1" applyAlignment="1" applyProtection="1">
      <alignment horizontal="center"/>
      <protection locked="0"/>
    </xf>
    <xf numFmtId="0" fontId="0" fillId="20" borderId="0" xfId="0" applyFill="1" applyBorder="1" applyProtection="1">
      <protection locked="0"/>
    </xf>
    <xf numFmtId="0" fontId="0" fillId="20" borderId="0" xfId="0" applyNumberFormat="1" applyFill="1" applyBorder="1" applyProtection="1">
      <protection locked="0"/>
    </xf>
    <xf numFmtId="0" fontId="6" fillId="20" borderId="0" xfId="0" applyFont="1" applyFill="1" applyBorder="1"/>
    <xf numFmtId="0" fontId="6" fillId="20" borderId="25" xfId="0" applyFont="1" applyFill="1" applyBorder="1"/>
    <xf numFmtId="0" fontId="0" fillId="0" borderId="0" xfId="0" applyAlignment="1"/>
    <xf numFmtId="0" fontId="0" fillId="0" borderId="0" xfId="0" applyBorder="1" applyAlignment="1"/>
    <xf numFmtId="0" fontId="0" fillId="0" borderId="0" xfId="0" applyBorder="1"/>
    <xf numFmtId="0" fontId="0" fillId="19" borderId="16" xfId="0" applyFill="1" applyBorder="1"/>
    <xf numFmtId="0" fontId="0" fillId="19" borderId="17" xfId="0" applyFill="1" applyBorder="1"/>
    <xf numFmtId="0" fontId="0" fillId="19" borderId="15" xfId="0" applyFill="1" applyBorder="1"/>
    <xf numFmtId="0" fontId="0" fillId="19" borderId="27" xfId="0" applyFill="1" applyBorder="1"/>
    <xf numFmtId="0" fontId="6" fillId="20" borderId="26" xfId="0" applyFont="1" applyFill="1" applyBorder="1" applyAlignment="1"/>
    <xf numFmtId="0" fontId="6" fillId="20" borderId="16" xfId="0" applyFont="1" applyFill="1" applyBorder="1" applyAlignment="1"/>
    <xf numFmtId="0" fontId="6" fillId="20" borderId="17" xfId="0" applyFont="1" applyFill="1" applyBorder="1" applyAlignment="1"/>
    <xf numFmtId="0" fontId="6" fillId="20" borderId="24" xfId="0" applyFont="1" applyFill="1" applyBorder="1" applyAlignment="1"/>
    <xf numFmtId="0" fontId="6" fillId="20" borderId="25" xfId="0" applyFont="1" applyFill="1" applyBorder="1" applyAlignment="1"/>
    <xf numFmtId="0" fontId="6" fillId="20" borderId="27" xfId="0" applyFont="1" applyFill="1" applyBorder="1" applyAlignment="1"/>
    <xf numFmtId="0" fontId="28" fillId="19" borderId="0" xfId="0" applyFont="1" applyFill="1" applyBorder="1" applyAlignment="1">
      <alignment horizontal="left"/>
    </xf>
    <xf numFmtId="3" fontId="6" fillId="19" borderId="0" xfId="0" applyNumberFormat="1" applyFont="1" applyFill="1" applyBorder="1" applyAlignment="1">
      <alignment horizontal="right" vertical="center" indent="1"/>
    </xf>
    <xf numFmtId="3" fontId="9" fillId="19" borderId="0" xfId="0" applyNumberFormat="1" applyFont="1" applyFill="1" applyBorder="1" applyAlignment="1">
      <alignment horizontal="right" vertical="center" indent="1"/>
    </xf>
    <xf numFmtId="3" fontId="10" fillId="19" borderId="0" xfId="0" applyNumberFormat="1" applyFont="1" applyFill="1" applyBorder="1" applyAlignment="1">
      <alignment horizontal="right" vertical="center" indent="1"/>
    </xf>
    <xf numFmtId="3" fontId="9" fillId="19" borderId="0" xfId="0" applyNumberFormat="1" applyFont="1" applyFill="1" applyBorder="1" applyAlignment="1">
      <alignment horizontal="left" vertical="center" indent="1"/>
    </xf>
    <xf numFmtId="3" fontId="6" fillId="19" borderId="0" xfId="0" applyNumberFormat="1" applyFont="1" applyFill="1" applyBorder="1" applyAlignment="1">
      <alignment horizontal="left" vertical="center" indent="1"/>
    </xf>
    <xf numFmtId="0" fontId="3" fillId="20" borderId="25" xfId="0" applyFont="1" applyFill="1" applyBorder="1"/>
    <xf numFmtId="0" fontId="6" fillId="0" borderId="0" xfId="0" applyFont="1" applyBorder="1"/>
    <xf numFmtId="0" fontId="6" fillId="0" borderId="25" xfId="0" applyFont="1" applyBorder="1"/>
    <xf numFmtId="0" fontId="6" fillId="0" borderId="16" xfId="0" applyFont="1" applyBorder="1"/>
    <xf numFmtId="0" fontId="33" fillId="20" borderId="16" xfId="0" applyFont="1" applyFill="1" applyBorder="1"/>
    <xf numFmtId="0" fontId="6" fillId="19" borderId="0" xfId="0" applyFont="1" applyFill="1" applyBorder="1" applyAlignment="1">
      <alignment vertical="top"/>
    </xf>
    <xf numFmtId="3" fontId="8" fillId="19" borderId="0" xfId="0" applyNumberFormat="1" applyFont="1" applyFill="1" applyBorder="1" applyAlignment="1">
      <alignment horizontal="right" vertical="center" indent="1"/>
    </xf>
    <xf numFmtId="0" fontId="2" fillId="0" borderId="0" xfId="0" applyFont="1"/>
    <xf numFmtId="0" fontId="2" fillId="20" borderId="17" xfId="0" applyFont="1" applyFill="1" applyBorder="1" applyAlignment="1">
      <alignment horizontal="center"/>
    </xf>
    <xf numFmtId="0" fontId="2" fillId="20" borderId="15" xfId="0" applyFont="1" applyFill="1" applyBorder="1" applyAlignment="1">
      <alignment horizontal="center"/>
    </xf>
    <xf numFmtId="3" fontId="0" fillId="0" borderId="0" xfId="0" applyNumberFormat="1"/>
    <xf numFmtId="0" fontId="2" fillId="20" borderId="25" xfId="0" applyFont="1" applyFill="1" applyBorder="1" applyAlignment="1">
      <alignment horizontal="right"/>
    </xf>
    <xf numFmtId="0" fontId="36" fillId="19" borderId="0" xfId="0" applyFont="1" applyFill="1" applyBorder="1"/>
    <xf numFmtId="0" fontId="11" fillId="0" borderId="0" xfId="0" applyFont="1" applyBorder="1"/>
    <xf numFmtId="3" fontId="36" fillId="19" borderId="0" xfId="0" applyNumberFormat="1" applyFont="1" applyFill="1" applyBorder="1" applyAlignment="1">
      <alignment horizontal="left" vertical="center" indent="1"/>
    </xf>
    <xf numFmtId="0" fontId="37" fillId="0" borderId="0" xfId="0" applyFont="1"/>
    <xf numFmtId="0" fontId="38" fillId="0" borderId="0" xfId="0" applyFont="1"/>
    <xf numFmtId="3" fontId="31" fillId="19" borderId="0" xfId="0" applyNumberFormat="1" applyFont="1" applyFill="1" applyBorder="1" applyAlignment="1">
      <alignment horizontal="right" vertical="center" indent="1"/>
    </xf>
    <xf numFmtId="0" fontId="31" fillId="19" borderId="0" xfId="0" applyFont="1" applyFill="1" applyBorder="1"/>
    <xf numFmtId="0" fontId="2" fillId="19" borderId="0" xfId="0" applyFont="1" applyFill="1" applyBorder="1"/>
    <xf numFmtId="0" fontId="36" fillId="19" borderId="0" xfId="0" applyFont="1" applyFill="1" applyBorder="1" applyAlignment="1"/>
    <xf numFmtId="0" fontId="0" fillId="19" borderId="41" xfId="0" applyFill="1" applyBorder="1"/>
    <xf numFmtId="0" fontId="40" fillId="19" borderId="44" xfId="0" applyFont="1" applyFill="1" applyBorder="1" applyAlignment="1">
      <alignment horizontal="center" vertical="center" wrapText="1"/>
    </xf>
    <xf numFmtId="0" fontId="36" fillId="19" borderId="20" xfId="0" applyFont="1" applyFill="1" applyBorder="1" applyAlignment="1"/>
    <xf numFmtId="0" fontId="8" fillId="19" borderId="16" xfId="0" applyFont="1" applyFill="1" applyBorder="1" applyAlignment="1">
      <alignment wrapText="1"/>
    </xf>
    <xf numFmtId="0" fontId="37" fillId="0" borderId="0" xfId="0" applyFont="1" applyBorder="1"/>
    <xf numFmtId="166" fontId="6" fillId="0" borderId="0" xfId="0" applyNumberFormat="1" applyFont="1"/>
    <xf numFmtId="166" fontId="2" fillId="0" borderId="0" xfId="0" applyNumberFormat="1" applyFont="1"/>
    <xf numFmtId="3" fontId="3" fillId="21" borderId="31" xfId="0" applyNumberFormat="1" applyFont="1" applyFill="1" applyBorder="1" applyAlignment="1">
      <alignment horizontal="center"/>
    </xf>
    <xf numFmtId="0" fontId="3" fillId="21" borderId="31" xfId="0" applyFont="1" applyFill="1" applyBorder="1"/>
    <xf numFmtId="3" fontId="0" fillId="21" borderId="34" xfId="0" applyNumberFormat="1" applyFill="1" applyBorder="1"/>
    <xf numFmtId="3" fontId="0" fillId="21" borderId="27" xfId="0" applyNumberFormat="1" applyFill="1" applyBorder="1"/>
    <xf numFmtId="0" fontId="2" fillId="21" borderId="34" xfId="0" applyFont="1" applyFill="1" applyBorder="1" applyAlignment="1">
      <alignment horizontal="right"/>
    </xf>
    <xf numFmtId="166" fontId="2" fillId="21" borderId="34" xfId="0" applyNumberFormat="1" applyFont="1" applyFill="1" applyBorder="1" applyAlignment="1"/>
    <xf numFmtId="0" fontId="2" fillId="21" borderId="42" xfId="0" applyFont="1" applyFill="1" applyBorder="1" applyAlignment="1">
      <alignment horizontal="center"/>
    </xf>
    <xf numFmtId="0" fontId="2" fillId="21" borderId="41" xfId="0" applyFont="1" applyFill="1" applyBorder="1"/>
    <xf numFmtId="1" fontId="2" fillId="21" borderId="40" xfId="0" applyNumberFormat="1" applyFont="1" applyFill="1" applyBorder="1"/>
    <xf numFmtId="0" fontId="0" fillId="0" borderId="0" xfId="0" applyAlignment="1">
      <alignment horizontal="center"/>
    </xf>
    <xf numFmtId="0" fontId="0" fillId="20" borderId="33" xfId="0" applyFill="1" applyBorder="1" applyAlignment="1">
      <alignment vertical="top" wrapText="1"/>
    </xf>
    <xf numFmtId="0" fontId="2" fillId="20" borderId="25" xfId="0" applyFont="1" applyFill="1" applyBorder="1" applyAlignment="1">
      <alignment horizontal="center"/>
    </xf>
    <xf numFmtId="0" fontId="0" fillId="20" borderId="33" xfId="0" applyFill="1" applyBorder="1"/>
    <xf numFmtId="0" fontId="2" fillId="20" borderId="0" xfId="0" applyFont="1" applyFill="1" applyBorder="1" applyAlignment="1">
      <alignment horizontal="center"/>
    </xf>
    <xf numFmtId="1" fontId="2" fillId="20" borderId="0" xfId="0" applyNumberFormat="1" applyFont="1" applyFill="1" applyBorder="1" applyAlignment="1"/>
    <xf numFmtId="3" fontId="7" fillId="0" borderId="16" xfId="0" applyNumberFormat="1" applyFont="1" applyFill="1" applyBorder="1" applyAlignment="1" applyProtection="1">
      <alignment vertical="top"/>
    </xf>
    <xf numFmtId="3" fontId="3" fillId="21" borderId="31" xfId="0" applyNumberFormat="1" applyFont="1" applyFill="1" applyBorder="1" applyAlignment="1">
      <alignment horizontal="right"/>
    </xf>
    <xf numFmtId="0" fontId="3" fillId="0" borderId="82" xfId="0" applyFont="1" applyBorder="1"/>
    <xf numFmtId="0" fontId="3" fillId="0" borderId="83" xfId="0" applyFont="1" applyBorder="1"/>
    <xf numFmtId="0" fontId="2" fillId="0" borderId="0" xfId="43"/>
    <xf numFmtId="3" fontId="3" fillId="21" borderId="31" xfId="43" applyNumberFormat="1" applyFont="1" applyFill="1" applyBorder="1" applyAlignment="1">
      <alignment horizontal="center"/>
    </xf>
    <xf numFmtId="0" fontId="2" fillId="21" borderId="34" xfId="43" applyFill="1" applyBorder="1"/>
    <xf numFmtId="3" fontId="2" fillId="21" borderId="34" xfId="43" applyNumberFormat="1" applyFill="1" applyBorder="1"/>
    <xf numFmtId="3" fontId="2" fillId="21" borderId="27" xfId="43" applyNumberFormat="1" applyFill="1" applyBorder="1"/>
    <xf numFmtId="0" fontId="2" fillId="21" borderId="34" xfId="43" applyFont="1" applyFill="1" applyBorder="1" applyAlignment="1">
      <alignment horizontal="right"/>
    </xf>
    <xf numFmtId="166" fontId="2" fillId="21" borderId="34" xfId="43" applyNumberFormat="1" applyFont="1" applyFill="1" applyBorder="1" applyAlignment="1"/>
    <xf numFmtId="0" fontId="2" fillId="0" borderId="0" xfId="43" applyAlignment="1">
      <alignment horizontal="center"/>
    </xf>
    <xf numFmtId="0" fontId="3" fillId="0" borderId="82" xfId="43" applyFont="1" applyBorder="1"/>
    <xf numFmtId="0" fontId="3" fillId="0" borderId="85" xfId="43" applyFont="1" applyBorder="1"/>
    <xf numFmtId="0" fontId="2" fillId="20" borderId="33" xfId="43" applyFill="1" applyBorder="1" applyAlignment="1">
      <alignment vertical="top" wrapText="1"/>
    </xf>
    <xf numFmtId="0" fontId="2" fillId="0" borderId="0" xfId="43" applyAlignment="1">
      <alignment wrapText="1"/>
    </xf>
    <xf numFmtId="3" fontId="7" fillId="0" borderId="16" xfId="43" applyNumberFormat="1" applyFont="1" applyFill="1" applyBorder="1" applyAlignment="1" applyProtection="1">
      <alignment vertical="top"/>
    </xf>
    <xf numFmtId="0" fontId="2" fillId="0" borderId="0" xfId="43" applyFont="1"/>
    <xf numFmtId="166" fontId="2" fillId="0" borderId="0" xfId="43" applyNumberFormat="1" applyFont="1"/>
    <xf numFmtId="0" fontId="3" fillId="0" borderId="81" xfId="43" applyFont="1" applyBorder="1" applyAlignment="1">
      <alignment horizontal="center"/>
    </xf>
    <xf numFmtId="0" fontId="3" fillId="0" borderId="82" xfId="43" applyFont="1" applyBorder="1" applyAlignment="1">
      <alignment horizontal="center"/>
    </xf>
    <xf numFmtId="0" fontId="3" fillId="0" borderId="83" xfId="43" applyFont="1" applyBorder="1" applyAlignment="1">
      <alignment horizontal="center"/>
    </xf>
    <xf numFmtId="0" fontId="3" fillId="0" borderId="84" xfId="43" applyFont="1" applyBorder="1" applyAlignment="1">
      <alignment horizontal="center"/>
    </xf>
    <xf numFmtId="0" fontId="3" fillId="0" borderId="85" xfId="43" applyFont="1" applyBorder="1" applyAlignment="1">
      <alignment horizontal="center"/>
    </xf>
    <xf numFmtId="0" fontId="3" fillId="0" borderId="86" xfId="43" applyFont="1" applyBorder="1" applyAlignment="1">
      <alignment horizontal="center"/>
    </xf>
    <xf numFmtId="0" fontId="33" fillId="20" borderId="0" xfId="0" applyFont="1" applyFill="1" applyBorder="1"/>
    <xf numFmtId="1" fontId="2" fillId="20" borderId="16" xfId="0" applyNumberFormat="1" applyFont="1" applyFill="1" applyBorder="1"/>
    <xf numFmtId="1" fontId="2" fillId="20" borderId="15" xfId="0" applyNumberFormat="1" applyFont="1" applyFill="1" applyBorder="1"/>
    <xf numFmtId="1" fontId="2" fillId="20" borderId="0" xfId="0" applyNumberFormat="1" applyFont="1" applyFill="1" applyBorder="1"/>
    <xf numFmtId="169" fontId="2" fillId="17" borderId="27" xfId="49" applyNumberFormat="1" applyFont="1" applyFill="1" applyBorder="1" applyAlignment="1">
      <alignment horizontal="left"/>
    </xf>
    <xf numFmtId="1" fontId="2" fillId="20" borderId="25" xfId="0" applyNumberFormat="1" applyFont="1" applyFill="1" applyBorder="1" applyAlignment="1">
      <alignment horizontal="center"/>
    </xf>
    <xf numFmtId="0" fontId="2" fillId="20" borderId="27" xfId="0" applyFont="1" applyFill="1" applyBorder="1" applyAlignment="1">
      <alignment horizontal="center"/>
    </xf>
    <xf numFmtId="0" fontId="2" fillId="21" borderId="27" xfId="0" applyFont="1" applyFill="1" applyBorder="1" applyAlignment="1">
      <alignment horizontal="center"/>
    </xf>
    <xf numFmtId="169" fontId="2" fillId="17" borderId="0" xfId="49" applyNumberFormat="1" applyFont="1" applyFill="1" applyBorder="1"/>
    <xf numFmtId="169" fontId="2" fillId="17" borderId="0" xfId="50" applyNumberFormat="1" applyFont="1" applyFill="1" applyBorder="1"/>
    <xf numFmtId="169" fontId="43" fillId="17" borderId="0" xfId="49" applyNumberFormat="1" applyFont="1" applyFill="1" applyBorder="1" applyAlignment="1">
      <alignment horizontal="left"/>
    </xf>
    <xf numFmtId="169" fontId="2" fillId="0" borderId="0" xfId="49" applyNumberFormat="1" applyFont="1" applyAlignment="1" applyProtection="1">
      <alignment horizontal="left"/>
    </xf>
    <xf numFmtId="169" fontId="2" fillId="0" borderId="0" xfId="49" applyNumberFormat="1" applyFont="1" applyFill="1" applyBorder="1"/>
    <xf numFmtId="169" fontId="2" fillId="0" borderId="0" xfId="50" applyNumberFormat="1" applyFont="1" applyFill="1" applyBorder="1"/>
    <xf numFmtId="169" fontId="43" fillId="0" borderId="0" xfId="49" applyNumberFormat="1" applyFont="1" applyFill="1" applyBorder="1" applyAlignment="1">
      <alignment horizontal="left"/>
    </xf>
    <xf numFmtId="169" fontId="2" fillId="0" borderId="0" xfId="49" applyNumberFormat="1" applyFont="1" applyFill="1" applyAlignment="1" applyProtection="1">
      <alignment horizontal="left"/>
    </xf>
    <xf numFmtId="169" fontId="42" fillId="0" borderId="0" xfId="49" applyNumberFormat="1" applyBorder="1"/>
    <xf numFmtId="169" fontId="3" fillId="0" borderId="0" xfId="33" applyNumberFormat="1" applyFont="1" applyBorder="1" applyAlignment="1" applyProtection="1">
      <alignment horizontal="left"/>
    </xf>
    <xf numFmtId="0" fontId="2" fillId="0" borderId="0" xfId="43" applyBorder="1"/>
    <xf numFmtId="3" fontId="3" fillId="17" borderId="0" xfId="49" applyNumberFormat="1" applyFont="1" applyFill="1" applyBorder="1" applyAlignment="1">
      <alignment horizontal="left"/>
    </xf>
    <xf numFmtId="168" fontId="2" fillId="0" borderId="0" xfId="49" applyFont="1" applyAlignment="1" applyProtection="1">
      <alignment horizontal="left"/>
    </xf>
    <xf numFmtId="1" fontId="2" fillId="20" borderId="32" xfId="0" applyNumberFormat="1" applyFont="1" applyFill="1" applyBorder="1" applyAlignment="1">
      <alignment horizontal="center"/>
    </xf>
    <xf numFmtId="166" fontId="3" fillId="20" borderId="34" xfId="0" applyNumberFormat="1" applyFont="1" applyFill="1" applyBorder="1" applyAlignment="1" applyProtection="1">
      <alignment horizontal="center"/>
    </xf>
    <xf numFmtId="0" fontId="3" fillId="20" borderId="34" xfId="0" applyFont="1" applyFill="1" applyBorder="1" applyAlignment="1" applyProtection="1">
      <alignment horizontal="center"/>
    </xf>
    <xf numFmtId="0" fontId="0" fillId="20" borderId="34" xfId="0" applyFill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1" fontId="2" fillId="20" borderId="33" xfId="0" applyNumberFormat="1" applyFont="1" applyFill="1" applyBorder="1" applyAlignment="1">
      <alignment horizontal="center"/>
    </xf>
    <xf numFmtId="1" fontId="2" fillId="20" borderId="1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4" fillId="20" borderId="26" xfId="0" applyFont="1" applyFill="1" applyBorder="1"/>
    <xf numFmtId="0" fontId="44" fillId="20" borderId="23" xfId="0" applyFont="1" applyFill="1" applyBorder="1"/>
    <xf numFmtId="0" fontId="44" fillId="20" borderId="24" xfId="0" applyFont="1" applyFill="1" applyBorder="1"/>
    <xf numFmtId="0" fontId="44" fillId="19" borderId="23" xfId="0" applyFont="1" applyFill="1" applyBorder="1"/>
    <xf numFmtId="0" fontId="44" fillId="0" borderId="0" xfId="0" applyFont="1"/>
    <xf numFmtId="0" fontId="2" fillId="17" borderId="0" xfId="0" applyFont="1" applyFill="1" applyBorder="1" applyAlignment="1">
      <alignment horizontal="left"/>
    </xf>
    <xf numFmtId="0" fontId="2" fillId="17" borderId="0" xfId="0" applyFont="1" applyFill="1" applyBorder="1"/>
    <xf numFmtId="3" fontId="0" fillId="0" borderId="0" xfId="0" applyNumberFormat="1" applyFont="1" applyFill="1" applyBorder="1" applyAlignment="1">
      <alignment vertical="top" wrapText="1"/>
    </xf>
    <xf numFmtId="1" fontId="2" fillId="20" borderId="34" xfId="43" applyNumberFormat="1" applyFont="1" applyFill="1" applyBorder="1" applyAlignment="1">
      <alignment horizontal="center"/>
    </xf>
    <xf numFmtId="0" fontId="45" fillId="20" borderId="16" xfId="0" applyFont="1" applyFill="1" applyBorder="1" applyAlignment="1"/>
    <xf numFmtId="0" fontId="2" fillId="0" borderId="0" xfId="43" applyAlignment="1"/>
    <xf numFmtId="0" fontId="2" fillId="0" borderId="87" xfId="43" applyBorder="1" applyAlignment="1">
      <alignment horizontal="center" wrapText="1"/>
    </xf>
    <xf numFmtId="0" fontId="56" fillId="0" borderId="0" xfId="0" applyFont="1"/>
    <xf numFmtId="0" fontId="57" fillId="20" borderId="26" xfId="0" applyFont="1" applyFill="1" applyBorder="1" applyAlignment="1">
      <alignment horizontal="center"/>
    </xf>
    <xf numFmtId="0" fontId="57" fillId="20" borderId="24" xfId="0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6" fillId="20" borderId="17" xfId="0" applyFont="1" applyFill="1" applyBorder="1"/>
    <xf numFmtId="0" fontId="6" fillId="20" borderId="15" xfId="0" applyFont="1" applyFill="1" applyBorder="1"/>
    <xf numFmtId="0" fontId="6" fillId="20" borderId="27" xfId="0" applyFont="1" applyFill="1" applyBorder="1"/>
    <xf numFmtId="0" fontId="6" fillId="19" borderId="15" xfId="0" applyFont="1" applyFill="1" applyBorder="1"/>
    <xf numFmtId="0" fontId="6" fillId="19" borderId="25" xfId="0" applyFont="1" applyFill="1" applyBorder="1"/>
    <xf numFmtId="0" fontId="6" fillId="19" borderId="27" xfId="0" applyFont="1" applyFill="1" applyBorder="1"/>
    <xf numFmtId="1" fontId="2" fillId="20" borderId="31" xfId="0" applyNumberFormat="1" applyFont="1" applyFill="1" applyBorder="1" applyAlignment="1">
      <alignment horizontal="center"/>
    </xf>
    <xf numFmtId="170" fontId="3" fillId="0" borderId="0" xfId="33" applyNumberFormat="1" applyFont="1" applyBorder="1" applyAlignment="1" applyProtection="1">
      <alignment horizontal="left"/>
    </xf>
    <xf numFmtId="1" fontId="2" fillId="20" borderId="34" xfId="0" applyNumberFormat="1" applyFont="1" applyFill="1" applyBorder="1" applyAlignment="1">
      <alignment horizontal="center"/>
    </xf>
    <xf numFmtId="1" fontId="2" fillId="21" borderId="40" xfId="0" applyNumberFormat="1" applyFont="1" applyFill="1" applyBorder="1" applyAlignment="1">
      <alignment horizontal="center"/>
    </xf>
    <xf numFmtId="0" fontId="3" fillId="20" borderId="0" xfId="0" applyFont="1" applyFill="1" applyBorder="1" applyAlignment="1">
      <alignment horizontal="center" vertical="top"/>
    </xf>
    <xf numFmtId="0" fontId="3" fillId="20" borderId="0" xfId="0" applyFont="1" applyFill="1" applyBorder="1" applyAlignment="1">
      <alignment horizontal="left" vertical="top"/>
    </xf>
    <xf numFmtId="1" fontId="3" fillId="21" borderId="0" xfId="0" applyNumberFormat="1" applyFont="1" applyFill="1" applyBorder="1" applyAlignment="1">
      <alignment horizontal="center"/>
    </xf>
    <xf numFmtId="3" fontId="3" fillId="21" borderId="31" xfId="0" applyNumberFormat="1" applyFont="1" applyFill="1" applyBorder="1" applyAlignment="1"/>
    <xf numFmtId="0" fontId="3" fillId="21" borderId="42" xfId="0" applyFont="1" applyFill="1" applyBorder="1"/>
    <xf numFmtId="0" fontId="2" fillId="0" borderId="31" xfId="0" applyFont="1" applyBorder="1" applyAlignment="1">
      <alignment horizontal="center" wrapText="1"/>
    </xf>
    <xf numFmtId="0" fontId="2" fillId="0" borderId="31" xfId="0" quotePrefix="1" applyFont="1" applyBorder="1" applyAlignment="1">
      <alignment horizontal="center"/>
    </xf>
    <xf numFmtId="0" fontId="52" fillId="0" borderId="0" xfId="42" applyFont="1" applyFill="1" applyBorder="1" applyAlignment="1">
      <alignment horizontal="center"/>
    </xf>
    <xf numFmtId="0" fontId="58" fillId="0" borderId="0" xfId="42" applyFont="1" applyFill="1" applyAlignment="1">
      <alignment horizontal="center"/>
    </xf>
    <xf numFmtId="0" fontId="3" fillId="0" borderId="85" xfId="43" quotePrefix="1" applyFont="1" applyBorder="1" applyAlignment="1">
      <alignment horizontal="center" vertical="center"/>
    </xf>
    <xf numFmtId="0" fontId="2" fillId="20" borderId="33" xfId="43" quotePrefix="1" applyFill="1" applyBorder="1" applyAlignment="1">
      <alignment horizontal="center" vertical="top" wrapText="1"/>
    </xf>
    <xf numFmtId="0" fontId="2" fillId="21" borderId="34" xfId="43" applyFill="1" applyBorder="1" applyAlignment="1">
      <alignment horizontal="center"/>
    </xf>
    <xf numFmtId="0" fontId="2" fillId="22" borderId="0" xfId="42" applyFont="1" applyFill="1" applyAlignment="1">
      <alignment horizontal="center"/>
    </xf>
    <xf numFmtId="3" fontId="3" fillId="21" borderId="31" xfId="43" applyNumberFormat="1" applyFont="1" applyFill="1" applyBorder="1" applyAlignment="1">
      <alignment horizontal="center" vertical="center"/>
    </xf>
    <xf numFmtId="0" fontId="3" fillId="21" borderId="31" xfId="0" applyFont="1" applyFill="1" applyBorder="1" applyAlignment="1">
      <alignment vertical="center"/>
    </xf>
    <xf numFmtId="3" fontId="3" fillId="21" borderId="31" xfId="43" applyNumberFormat="1" applyFont="1" applyFill="1" applyBorder="1" applyAlignment="1">
      <alignment horizontal="right" vertical="center"/>
    </xf>
    <xf numFmtId="0" fontId="2" fillId="0" borderId="0" xfId="43" applyAlignment="1">
      <alignment vertical="center"/>
    </xf>
    <xf numFmtId="1" fontId="3" fillId="21" borderId="0" xfId="0" applyNumberFormat="1" applyFont="1" applyFill="1" applyBorder="1" applyAlignment="1">
      <alignment horizontal="center" vertical="center"/>
    </xf>
    <xf numFmtId="0" fontId="3" fillId="21" borderId="0" xfId="0" applyFont="1" applyFill="1" applyBorder="1" applyAlignment="1">
      <alignment vertical="center"/>
    </xf>
    <xf numFmtId="0" fontId="2" fillId="20" borderId="16" xfId="0" applyFont="1" applyFill="1" applyBorder="1" applyAlignment="1">
      <alignment horizontal="center"/>
    </xf>
    <xf numFmtId="0" fontId="2" fillId="21" borderId="41" xfId="0" applyFont="1" applyFill="1" applyBorder="1" applyAlignment="1">
      <alignment horizontal="center"/>
    </xf>
    <xf numFmtId="169" fontId="2" fillId="17" borderId="0" xfId="50" applyNumberFormat="1" applyFont="1" applyFill="1" applyBorder="1" applyAlignment="1">
      <alignment horizontal="center"/>
    </xf>
    <xf numFmtId="169" fontId="2" fillId="0" borderId="0" xfId="5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" fontId="2" fillId="20" borderId="32" xfId="0" applyNumberFormat="1" applyFont="1" applyFill="1" applyBorder="1" applyAlignment="1">
      <alignment horizontal="center" vertical="center"/>
    </xf>
    <xf numFmtId="1" fontId="2" fillId="20" borderId="33" xfId="0" applyNumberFormat="1" applyFont="1" applyFill="1" applyBorder="1" applyAlignment="1">
      <alignment horizontal="center" vertical="center"/>
    </xf>
    <xf numFmtId="1" fontId="2" fillId="20" borderId="34" xfId="0" applyNumberFormat="1" applyFont="1" applyFill="1" applyBorder="1" applyAlignment="1">
      <alignment horizontal="center" vertical="center"/>
    </xf>
    <xf numFmtId="1" fontId="2" fillId="21" borderId="40" xfId="0" applyNumberFormat="1" applyFont="1" applyFill="1" applyBorder="1" applyAlignment="1">
      <alignment horizontal="center" vertical="center"/>
    </xf>
    <xf numFmtId="0" fontId="2" fillId="22" borderId="0" xfId="0" applyFont="1" applyFill="1" applyBorder="1"/>
    <xf numFmtId="0" fontId="2" fillId="22" borderId="0" xfId="0" applyFont="1" applyFill="1" applyBorder="1" applyAlignment="1">
      <alignment horizontal="center"/>
    </xf>
    <xf numFmtId="0" fontId="2" fillId="22" borderId="0" xfId="0" applyFont="1" applyFill="1" applyBorder="1" applyAlignment="1">
      <alignment horizontal="left"/>
    </xf>
    <xf numFmtId="0" fontId="51" fillId="22" borderId="0" xfId="35" applyFont="1" applyFill="1" applyBorder="1" applyAlignment="1">
      <alignment horizontal="center" wrapText="1"/>
    </xf>
    <xf numFmtId="3" fontId="54" fillId="22" borderId="0" xfId="35" applyNumberFormat="1" applyFont="1" applyFill="1" applyBorder="1" applyAlignment="1">
      <alignment horizontal="right" wrapText="1" indent="1"/>
    </xf>
    <xf numFmtId="0" fontId="18" fillId="22" borderId="0" xfId="35" applyFill="1" applyBorder="1" applyAlignment="1">
      <alignment horizontal="center" wrapText="1"/>
    </xf>
    <xf numFmtId="0" fontId="46" fillId="22" borderId="0" xfId="42" applyFont="1" applyFill="1" applyBorder="1" applyAlignment="1">
      <alignment horizontal="center"/>
    </xf>
    <xf numFmtId="0" fontId="2" fillId="22" borderId="0" xfId="0" quotePrefix="1" applyFont="1" applyFill="1" applyBorder="1" applyAlignment="1">
      <alignment horizontal="left"/>
    </xf>
    <xf numFmtId="3" fontId="51" fillId="22" borderId="0" xfId="35" applyNumberFormat="1" applyFont="1" applyFill="1" applyBorder="1" applyAlignment="1">
      <alignment horizontal="right" wrapText="1" indent="1"/>
    </xf>
    <xf numFmtId="0" fontId="54" fillId="22" borderId="0" xfId="35" applyFont="1" applyFill="1" applyBorder="1" applyAlignment="1">
      <alignment horizontal="center" wrapText="1"/>
    </xf>
    <xf numFmtId="0" fontId="2" fillId="22" borderId="0" xfId="43" applyFill="1" applyBorder="1"/>
    <xf numFmtId="0" fontId="48" fillId="22" borderId="0" xfId="42" applyFont="1" applyFill="1" applyBorder="1" applyAlignment="1">
      <alignment horizontal="center" wrapText="1"/>
    </xf>
    <xf numFmtId="0" fontId="49" fillId="22" borderId="0" xfId="42" applyFont="1" applyFill="1" applyBorder="1" applyAlignment="1">
      <alignment horizontal="center" wrapText="1"/>
    </xf>
    <xf numFmtId="3" fontId="49" fillId="22" borderId="0" xfId="42" applyNumberFormat="1" applyFont="1" applyFill="1" applyBorder="1" applyAlignment="1">
      <alignment horizontal="center" wrapText="1"/>
    </xf>
    <xf numFmtId="0" fontId="3" fillId="22" borderId="0" xfId="0" applyFont="1" applyFill="1" applyBorder="1" applyAlignment="1">
      <alignment horizontal="center" wrapText="1"/>
    </xf>
    <xf numFmtId="0" fontId="2" fillId="22" borderId="0" xfId="0" applyFont="1" applyFill="1" applyBorder="1" applyAlignment="1">
      <alignment horizontal="center" vertical="top" wrapText="1"/>
    </xf>
    <xf numFmtId="0" fontId="46" fillId="22" borderId="0" xfId="42" applyFont="1" applyFill="1" applyBorder="1" applyAlignment="1">
      <alignment horizontal="center" vertical="center"/>
    </xf>
    <xf numFmtId="0" fontId="47" fillId="22" borderId="0" xfId="42" applyFont="1" applyFill="1" applyBorder="1" applyAlignment="1">
      <alignment horizontal="center"/>
    </xf>
    <xf numFmtId="3" fontId="47" fillId="22" borderId="0" xfId="42" applyNumberFormat="1" applyFont="1" applyFill="1" applyBorder="1" applyAlignment="1">
      <alignment horizontal="right"/>
    </xf>
    <xf numFmtId="3" fontId="0" fillId="22" borderId="0" xfId="0" applyNumberFormat="1" applyFill="1" applyBorder="1"/>
    <xf numFmtId="0" fontId="55" fillId="22" borderId="0" xfId="42" applyFont="1" applyFill="1" applyBorder="1" applyAlignment="1">
      <alignment horizontal="center"/>
    </xf>
    <xf numFmtId="0" fontId="55" fillId="22" borderId="0" xfId="42" applyFont="1" applyFill="1" applyBorder="1" applyAlignment="1">
      <alignment horizontal="center" vertical="center"/>
    </xf>
    <xf numFmtId="0" fontId="53" fillId="22" borderId="0" xfId="0" applyFont="1" applyFill="1" applyBorder="1" applyAlignment="1">
      <alignment horizontal="center" vertical="center"/>
    </xf>
    <xf numFmtId="3" fontId="2" fillId="22" borderId="0" xfId="0" applyNumberFormat="1" applyFont="1" applyFill="1" applyBorder="1" applyAlignment="1">
      <alignment horizontal="center"/>
    </xf>
    <xf numFmtId="168" fontId="2" fillId="0" borderId="0" xfId="49" applyFont="1" applyBorder="1" applyAlignment="1" applyProtection="1">
      <alignment horizontal="left"/>
    </xf>
    <xf numFmtId="0" fontId="52" fillId="22" borderId="0" xfId="0" applyFont="1" applyFill="1" applyBorder="1" applyAlignment="1">
      <alignment horizontal="center"/>
    </xf>
    <xf numFmtId="0" fontId="52" fillId="22" borderId="0" xfId="0" applyFont="1" applyFill="1" applyBorder="1" applyAlignment="1">
      <alignment horizontal="center" vertical="center"/>
    </xf>
    <xf numFmtId="0" fontId="46" fillId="22" borderId="0" xfId="42" applyFont="1" applyFill="1" applyBorder="1" applyAlignment="1">
      <alignment horizontal="left" vertical="center"/>
    </xf>
    <xf numFmtId="0" fontId="51" fillId="22" borderId="0" xfId="42" applyFont="1" applyFill="1" applyBorder="1" applyAlignment="1">
      <alignment horizontal="center"/>
    </xf>
    <xf numFmtId="0" fontId="6" fillId="22" borderId="0" xfId="0" applyFont="1" applyFill="1" applyBorder="1"/>
    <xf numFmtId="0" fontId="6" fillId="22" borderId="0" xfId="0" applyFont="1" applyFill="1"/>
    <xf numFmtId="0" fontId="38" fillId="22" borderId="0" xfId="0" applyFont="1" applyFill="1" applyBorder="1"/>
    <xf numFmtId="3" fontId="35" fillId="22" borderId="0" xfId="0" applyNumberFormat="1" applyFont="1" applyFill="1" applyBorder="1"/>
    <xf numFmtId="0" fontId="59" fillId="0" borderId="0" xfId="0" applyFont="1"/>
    <xf numFmtId="0" fontId="59" fillId="22" borderId="0" xfId="0" applyFont="1" applyFill="1" applyBorder="1"/>
    <xf numFmtId="0" fontId="59" fillId="22" borderId="0" xfId="0" applyFont="1" applyFill="1"/>
    <xf numFmtId="0" fontId="8" fillId="19" borderId="0" xfId="0" applyFont="1" applyFill="1" applyBorder="1" applyAlignment="1">
      <alignment horizontal="center" vertical="center"/>
    </xf>
    <xf numFmtId="169" fontId="2" fillId="17" borderId="0" xfId="49" applyNumberFormat="1" applyFont="1" applyFill="1" applyBorder="1" applyAlignment="1"/>
    <xf numFmtId="0" fontId="2" fillId="0" borderId="0" xfId="0" applyFont="1" applyAlignment="1">
      <alignment horizontal="center"/>
    </xf>
    <xf numFmtId="169" fontId="2" fillId="17" borderId="0" xfId="49" applyNumberFormat="1" applyFont="1" applyFill="1" applyBorder="1" applyAlignment="1">
      <alignment horizontal="left"/>
    </xf>
    <xf numFmtId="0" fontId="2" fillId="0" borderId="0" xfId="43" applyFont="1" applyAlignment="1"/>
    <xf numFmtId="0" fontId="0" fillId="0" borderId="0" xfId="0" applyBorder="1" applyAlignment="1">
      <alignment horizontal="center"/>
    </xf>
    <xf numFmtId="3" fontId="30" fillId="19" borderId="0" xfId="0" applyNumberFormat="1" applyFont="1" applyFill="1" applyBorder="1" applyAlignment="1">
      <alignment horizontal="left" vertical="center" indent="1"/>
    </xf>
    <xf numFmtId="0" fontId="59" fillId="19" borderId="23" xfId="0" applyFont="1" applyFill="1" applyBorder="1"/>
    <xf numFmtId="3" fontId="6" fillId="19" borderId="0" xfId="0" applyNumberFormat="1" applyFont="1" applyFill="1" applyBorder="1" applyAlignment="1">
      <alignment horizontal="right" vertical="center"/>
    </xf>
    <xf numFmtId="3" fontId="6" fillId="19" borderId="0" xfId="0" applyNumberFormat="1" applyFont="1" applyFill="1" applyBorder="1" applyAlignment="1">
      <alignment horizontal="right" vertical="top"/>
    </xf>
    <xf numFmtId="3" fontId="6" fillId="23" borderId="0" xfId="0" applyNumberFormat="1" applyFont="1" applyFill="1" applyBorder="1" applyAlignment="1">
      <alignment vertical="center"/>
    </xf>
    <xf numFmtId="0" fontId="8" fillId="19" borderId="0" xfId="0" applyFont="1" applyFill="1" applyBorder="1" applyAlignment="1">
      <alignment horizontal="right"/>
    </xf>
    <xf numFmtId="0" fontId="39" fillId="19" borderId="23" xfId="0" applyFont="1" applyFill="1" applyBorder="1"/>
    <xf numFmtId="0" fontId="0" fillId="19" borderId="26" xfId="0" applyFill="1" applyBorder="1"/>
    <xf numFmtId="0" fontId="6" fillId="19" borderId="23" xfId="0" applyFont="1" applyFill="1" applyBorder="1"/>
    <xf numFmtId="0" fontId="3" fillId="19" borderId="0" xfId="0" applyFont="1" applyFill="1" applyBorder="1" applyAlignment="1">
      <alignment horizontal="center"/>
    </xf>
    <xf numFmtId="0" fontId="6" fillId="19" borderId="51" xfId="0" applyFont="1" applyFill="1" applyBorder="1"/>
    <xf numFmtId="3" fontId="6" fillId="19" borderId="52" xfId="0" applyNumberFormat="1" applyFont="1" applyFill="1" applyBorder="1" applyAlignment="1">
      <alignment horizontal="right" vertical="center" indent="1"/>
    </xf>
    <xf numFmtId="3" fontId="6" fillId="19" borderId="53" xfId="0" applyNumberFormat="1" applyFont="1" applyFill="1" applyBorder="1" applyAlignment="1">
      <alignment horizontal="right" vertical="center" indent="1"/>
    </xf>
    <xf numFmtId="0" fontId="6" fillId="19" borderId="55" xfId="0" applyFont="1" applyFill="1" applyBorder="1"/>
    <xf numFmtId="3" fontId="6" fillId="19" borderId="30" xfId="0" applyNumberFormat="1" applyFont="1" applyFill="1" applyBorder="1" applyAlignment="1">
      <alignment horizontal="right" vertical="center" indent="1"/>
    </xf>
    <xf numFmtId="0" fontId="6" fillId="19" borderId="57" xfId="0" applyFont="1" applyFill="1" applyBorder="1"/>
    <xf numFmtId="3" fontId="8" fillId="19" borderId="58" xfId="0" applyNumberFormat="1" applyFont="1" applyFill="1" applyBorder="1" applyAlignment="1">
      <alignment horizontal="right" vertical="center" indent="1"/>
    </xf>
    <xf numFmtId="3" fontId="6" fillId="19" borderId="58" xfId="0" applyNumberFormat="1" applyFont="1" applyFill="1" applyBorder="1" applyAlignment="1">
      <alignment horizontal="right" vertical="center" indent="1"/>
    </xf>
    <xf numFmtId="3" fontId="6" fillId="19" borderId="59" xfId="0" applyNumberFormat="1" applyFont="1" applyFill="1" applyBorder="1" applyAlignment="1">
      <alignment horizontal="right" vertical="center" indent="1"/>
    </xf>
    <xf numFmtId="3" fontId="6" fillId="19" borderId="23" xfId="0" applyNumberFormat="1" applyFont="1" applyFill="1" applyBorder="1" applyAlignment="1">
      <alignment horizontal="right" vertical="center" indent="1"/>
    </xf>
    <xf numFmtId="3" fontId="61" fillId="19" borderId="0" xfId="0" applyNumberFormat="1" applyFont="1" applyFill="1" applyBorder="1" applyAlignment="1">
      <alignment horizontal="right" vertical="center" indent="1"/>
    </xf>
    <xf numFmtId="3" fontId="36" fillId="19" borderId="0" xfId="0" applyNumberFormat="1" applyFont="1" applyFill="1" applyBorder="1" applyAlignment="1">
      <alignment horizontal="right" vertical="center" indent="1"/>
    </xf>
    <xf numFmtId="3" fontId="62" fillId="19" borderId="0" xfId="0" applyNumberFormat="1" applyFont="1" applyFill="1" applyBorder="1" applyAlignment="1">
      <alignment horizontal="right" vertical="center" indent="1"/>
    </xf>
    <xf numFmtId="3" fontId="36" fillId="19" borderId="0" xfId="0" applyNumberFormat="1" applyFont="1" applyFill="1" applyBorder="1" applyAlignment="1">
      <alignment vertical="center"/>
    </xf>
    <xf numFmtId="3" fontId="8" fillId="19" borderId="0" xfId="0" applyNumberFormat="1" applyFont="1" applyFill="1" applyBorder="1" applyAlignment="1">
      <alignment vertical="center"/>
    </xf>
    <xf numFmtId="3" fontId="8" fillId="19" borderId="25" xfId="0" applyNumberFormat="1" applyFont="1" applyFill="1" applyBorder="1" applyAlignment="1">
      <alignment horizontal="right" vertical="center" indent="1"/>
    </xf>
    <xf numFmtId="3" fontId="6" fillId="19" borderId="25" xfId="0" applyNumberFormat="1" applyFont="1" applyFill="1" applyBorder="1" applyAlignment="1">
      <alignment horizontal="right" vertical="center" indent="1"/>
    </xf>
    <xf numFmtId="0" fontId="6" fillId="19" borderId="28" xfId="0" applyFont="1" applyFill="1" applyBorder="1"/>
    <xf numFmtId="3" fontId="8" fillId="19" borderId="28" xfId="0" applyNumberFormat="1" applyFont="1" applyFill="1" applyBorder="1" applyAlignment="1">
      <alignment horizontal="right" vertical="center" indent="1"/>
    </xf>
    <xf numFmtId="3" fontId="6" fillId="19" borderId="28" xfId="0" applyNumberFormat="1" applyFont="1" applyFill="1" applyBorder="1" applyAlignment="1">
      <alignment horizontal="right" vertical="center" indent="1"/>
    </xf>
    <xf numFmtId="0" fontId="6" fillId="19" borderId="61" xfId="0" applyFont="1" applyFill="1" applyBorder="1"/>
    <xf numFmtId="3" fontId="8" fillId="19" borderId="62" xfId="0" applyNumberFormat="1" applyFont="1" applyFill="1" applyBorder="1" applyAlignment="1">
      <alignment horizontal="right" vertical="center" indent="1"/>
    </xf>
    <xf numFmtId="3" fontId="6" fillId="19" borderId="62" xfId="0" applyNumberFormat="1" applyFont="1" applyFill="1" applyBorder="1" applyAlignment="1">
      <alignment horizontal="right" vertical="center" indent="1"/>
    </xf>
    <xf numFmtId="3" fontId="6" fillId="19" borderId="63" xfId="0" applyNumberFormat="1" applyFont="1" applyFill="1" applyBorder="1" applyAlignment="1">
      <alignment horizontal="right" vertical="center" indent="1"/>
    </xf>
    <xf numFmtId="0" fontId="6" fillId="19" borderId="65" xfId="0" applyFont="1" applyFill="1" applyBorder="1"/>
    <xf numFmtId="0" fontId="6" fillId="19" borderId="67" xfId="0" applyFont="1" applyFill="1" applyBorder="1"/>
    <xf numFmtId="3" fontId="8" fillId="19" borderId="68" xfId="0" applyNumberFormat="1" applyFont="1" applyFill="1" applyBorder="1" applyAlignment="1">
      <alignment horizontal="right" vertical="center" indent="1"/>
    </xf>
    <xf numFmtId="3" fontId="6" fillId="19" borderId="68" xfId="0" applyNumberFormat="1" applyFont="1" applyFill="1" applyBorder="1" applyAlignment="1">
      <alignment horizontal="right" vertical="center" indent="1"/>
    </xf>
    <xf numFmtId="3" fontId="6" fillId="19" borderId="69" xfId="0" applyNumberFormat="1" applyFont="1" applyFill="1" applyBorder="1" applyAlignment="1">
      <alignment horizontal="right" vertical="center" indent="1"/>
    </xf>
    <xf numFmtId="0" fontId="6" fillId="19" borderId="29" xfId="0" applyFont="1" applyFill="1" applyBorder="1"/>
    <xf numFmtId="3" fontId="8" fillId="19" borderId="29" xfId="0" applyNumberFormat="1" applyFont="1" applyFill="1" applyBorder="1" applyAlignment="1">
      <alignment horizontal="right" vertical="center" indent="1"/>
    </xf>
    <xf numFmtId="3" fontId="6" fillId="19" borderId="29" xfId="0" applyNumberFormat="1" applyFont="1" applyFill="1" applyBorder="1" applyAlignment="1">
      <alignment horizontal="right" vertical="center" indent="1"/>
    </xf>
    <xf numFmtId="3" fontId="6" fillId="19" borderId="0" xfId="0" applyNumberFormat="1" applyFont="1" applyFill="1" applyBorder="1" applyAlignment="1" applyProtection="1">
      <alignment horizontal="right" vertical="center" indent="1"/>
      <protection locked="0"/>
    </xf>
    <xf numFmtId="0" fontId="0" fillId="19" borderId="40" xfId="0" applyFill="1" applyBorder="1"/>
    <xf numFmtId="0" fontId="6" fillId="19" borderId="41" xfId="0" applyFont="1" applyFill="1" applyBorder="1"/>
    <xf numFmtId="3" fontId="6" fillId="19" borderId="41" xfId="0" applyNumberFormat="1" applyFont="1" applyFill="1" applyBorder="1" applyAlignment="1">
      <alignment horizontal="right" vertical="center" indent="1"/>
    </xf>
    <xf numFmtId="3" fontId="6" fillId="19" borderId="30" xfId="0" applyNumberFormat="1" applyFont="1" applyFill="1" applyBorder="1" applyAlignment="1" applyProtection="1">
      <alignment horizontal="right" vertical="center" indent="1"/>
      <protection locked="0"/>
    </xf>
    <xf numFmtId="0" fontId="8" fillId="19" borderId="23" xfId="0" applyFont="1" applyFill="1" applyBorder="1" applyAlignment="1">
      <alignment horizontal="left"/>
    </xf>
    <xf numFmtId="0" fontId="6" fillId="19" borderId="0" xfId="0" applyFont="1" applyFill="1" applyBorder="1" applyAlignment="1"/>
    <xf numFmtId="0" fontId="6" fillId="19" borderId="18" xfId="0" applyFont="1" applyFill="1" applyBorder="1"/>
    <xf numFmtId="0" fontId="6" fillId="19" borderId="19" xfId="0" applyFont="1" applyFill="1" applyBorder="1"/>
    <xf numFmtId="0" fontId="6" fillId="19" borderId="43" xfId="0" applyFont="1" applyFill="1" applyBorder="1"/>
    <xf numFmtId="0" fontId="6" fillId="19" borderId="20" xfId="0" applyFont="1" applyFill="1" applyBorder="1"/>
    <xf numFmtId="0" fontId="6" fillId="19" borderId="44" xfId="0" applyFont="1" applyFill="1" applyBorder="1"/>
    <xf numFmtId="0" fontId="6" fillId="19" borderId="23" xfId="0" applyFont="1" applyFill="1" applyBorder="1" applyAlignment="1"/>
    <xf numFmtId="0" fontId="6" fillId="19" borderId="20" xfId="0" applyFont="1" applyFill="1" applyBorder="1" applyAlignment="1">
      <alignment horizontal="center"/>
    </xf>
    <xf numFmtId="0" fontId="6" fillId="19" borderId="44" xfId="0" applyFont="1" applyFill="1" applyBorder="1" applyAlignment="1">
      <alignment horizontal="center"/>
    </xf>
    <xf numFmtId="0" fontId="8" fillId="19" borderId="20" xfId="0" applyFont="1" applyFill="1" applyBorder="1" applyAlignment="1">
      <alignment horizontal="center"/>
    </xf>
    <xf numFmtId="3" fontId="8" fillId="19" borderId="44" xfId="0" applyNumberFormat="1" applyFont="1" applyFill="1" applyBorder="1" applyAlignment="1">
      <alignment horizontal="center" wrapText="1"/>
    </xf>
    <xf numFmtId="0" fontId="8" fillId="19" borderId="20" xfId="0" applyFont="1" applyFill="1" applyBorder="1" applyAlignment="1">
      <alignment horizontal="center" vertical="center"/>
    </xf>
    <xf numFmtId="3" fontId="6" fillId="19" borderId="20" xfId="0" applyNumberFormat="1" applyFont="1" applyFill="1" applyBorder="1" applyAlignment="1">
      <alignment horizontal="right" vertical="center" indent="1"/>
    </xf>
    <xf numFmtId="3" fontId="8" fillId="19" borderId="0" xfId="0" applyNumberFormat="1" applyFont="1" applyFill="1" applyBorder="1" applyAlignment="1" applyProtection="1">
      <alignment horizontal="center" wrapText="1"/>
      <protection locked="0"/>
    </xf>
    <xf numFmtId="0" fontId="6" fillId="19" borderId="0" xfId="0" applyFont="1" applyFill="1" applyBorder="1" applyProtection="1">
      <protection locked="0"/>
    </xf>
    <xf numFmtId="0" fontId="8" fillId="19" borderId="0" xfId="0" applyFont="1" applyFill="1" applyBorder="1" applyAlignment="1" applyProtection="1">
      <alignment horizontal="center"/>
      <protection locked="0"/>
    </xf>
    <xf numFmtId="0" fontId="8" fillId="19" borderId="94" xfId="0" applyFont="1" applyFill="1" applyBorder="1" applyAlignment="1"/>
    <xf numFmtId="3" fontId="36" fillId="19" borderId="93" xfId="0" applyNumberFormat="1" applyFont="1" applyFill="1" applyBorder="1" applyAlignment="1">
      <alignment vertical="center" wrapText="1"/>
    </xf>
    <xf numFmtId="3" fontId="36" fillId="19" borderId="0" xfId="0" applyNumberFormat="1" applyFont="1" applyFill="1" applyBorder="1" applyAlignment="1">
      <alignment vertical="center" wrapText="1"/>
    </xf>
    <xf numFmtId="3" fontId="36" fillId="19" borderId="0" xfId="0" applyNumberFormat="1" applyFont="1" applyFill="1" applyBorder="1" applyAlignment="1">
      <alignment wrapText="1"/>
    </xf>
    <xf numFmtId="3" fontId="36" fillId="19" borderId="94" xfId="0" applyNumberFormat="1" applyFont="1" applyFill="1" applyBorder="1" applyAlignment="1">
      <alignment wrapText="1"/>
    </xf>
    <xf numFmtId="3" fontId="8" fillId="19" borderId="0" xfId="0" applyNumberFormat="1" applyFont="1" applyFill="1" applyBorder="1" applyAlignment="1">
      <alignment wrapText="1"/>
    </xf>
    <xf numFmtId="3" fontId="8" fillId="19" borderId="77" xfId="0" applyNumberFormat="1" applyFont="1" applyFill="1" applyBorder="1" applyAlignment="1">
      <alignment horizontal="right" vertical="center" indent="1"/>
    </xf>
    <xf numFmtId="3" fontId="8" fillId="19" borderId="78" xfId="0" applyNumberFormat="1" applyFont="1" applyFill="1" applyBorder="1" applyAlignment="1">
      <alignment horizontal="right" vertical="center" indent="1"/>
    </xf>
    <xf numFmtId="0" fontId="6" fillId="19" borderId="18" xfId="0" applyFont="1" applyFill="1" applyBorder="1" applyAlignment="1"/>
    <xf numFmtId="0" fontId="6" fillId="19" borderId="19" xfId="0" applyFont="1" applyFill="1" applyBorder="1" applyAlignment="1">
      <alignment wrapText="1"/>
    </xf>
    <xf numFmtId="0" fontId="6" fillId="19" borderId="19" xfId="0" applyFont="1" applyFill="1" applyBorder="1" applyAlignment="1"/>
    <xf numFmtId="3" fontId="8" fillId="19" borderId="19" xfId="0" applyNumberFormat="1" applyFont="1" applyFill="1" applyBorder="1" applyAlignment="1">
      <alignment horizontal="right" vertical="center" indent="1"/>
    </xf>
    <xf numFmtId="3" fontId="8" fillId="19" borderId="79" xfId="0" applyNumberFormat="1" applyFont="1" applyFill="1" applyBorder="1" applyAlignment="1">
      <alignment horizontal="right" vertical="center" indent="1"/>
    </xf>
    <xf numFmtId="3" fontId="8" fillId="19" borderId="80" xfId="0" applyNumberFormat="1" applyFont="1" applyFill="1" applyBorder="1" applyAlignment="1">
      <alignment horizontal="right" vertical="center" indent="1"/>
    </xf>
    <xf numFmtId="0" fontId="6" fillId="19" borderId="20" xfId="0" applyFont="1" applyFill="1" applyBorder="1" applyAlignment="1"/>
    <xf numFmtId="0" fontId="8" fillId="19" borderId="20" xfId="0" applyFont="1" applyFill="1" applyBorder="1" applyAlignment="1"/>
    <xf numFmtId="0" fontId="6" fillId="19" borderId="21" xfId="0" applyFont="1" applyFill="1" applyBorder="1" applyAlignment="1"/>
    <xf numFmtId="0" fontId="6" fillId="19" borderId="22" xfId="0" applyFont="1" applyFill="1" applyBorder="1" applyAlignment="1"/>
    <xf numFmtId="3" fontId="6" fillId="19" borderId="22" xfId="0" applyNumberFormat="1" applyFont="1" applyFill="1" applyBorder="1" applyAlignment="1">
      <alignment horizontal="right" vertical="center" indent="1"/>
    </xf>
    <xf numFmtId="0" fontId="6" fillId="19" borderId="24" xfId="0" applyFont="1" applyFill="1" applyBorder="1"/>
    <xf numFmtId="0" fontId="0" fillId="24" borderId="0" xfId="0" applyFill="1" applyBorder="1"/>
    <xf numFmtId="0" fontId="6" fillId="24" borderId="0" xfId="0" applyFont="1" applyFill="1" applyBorder="1"/>
    <xf numFmtId="0" fontId="6" fillId="19" borderId="15" xfId="0" applyFont="1" applyFill="1" applyBorder="1" applyAlignment="1"/>
    <xf numFmtId="0" fontId="6" fillId="22" borderId="0" xfId="0" applyFont="1" applyFill="1" applyBorder="1" applyAlignment="1"/>
    <xf numFmtId="0" fontId="6" fillId="0" borderId="0" xfId="0" applyFont="1" applyAlignment="1"/>
    <xf numFmtId="3" fontId="9" fillId="19" borderId="0" xfId="0" applyNumberFormat="1" applyFont="1" applyFill="1" applyBorder="1" applyAlignment="1">
      <alignment horizontal="left" vertical="center"/>
    </xf>
    <xf numFmtId="3" fontId="9" fillId="24" borderId="0" xfId="0" applyNumberFormat="1" applyFont="1" applyFill="1" applyBorder="1" applyAlignment="1">
      <alignment horizontal="left" vertical="center" indent="1"/>
    </xf>
    <xf numFmtId="0" fontId="34" fillId="24" borderId="0" xfId="0" applyFont="1" applyFill="1" applyBorder="1" applyAlignment="1">
      <alignment horizontal="left" vertical="center"/>
    </xf>
    <xf numFmtId="3" fontId="6" fillId="24" borderId="0" xfId="0" applyNumberFormat="1" applyFont="1" applyFill="1" applyBorder="1" applyAlignment="1">
      <alignment horizontal="right" vertical="center"/>
    </xf>
    <xf numFmtId="0" fontId="6" fillId="24" borderId="0" xfId="0" applyFont="1" applyFill="1" applyBorder="1" applyAlignment="1"/>
    <xf numFmtId="3" fontId="6" fillId="24" borderId="0" xfId="0" applyNumberFormat="1" applyFont="1" applyFill="1" applyBorder="1" applyAlignment="1">
      <alignment horizontal="right" vertical="center" indent="1"/>
    </xf>
    <xf numFmtId="3" fontId="9" fillId="24" borderId="0" xfId="0" applyNumberFormat="1" applyFont="1" applyFill="1" applyBorder="1" applyAlignment="1">
      <alignment horizontal="right" vertical="center" indent="1"/>
    </xf>
    <xf numFmtId="0" fontId="0" fillId="20" borderId="34" xfId="0" applyFill="1" applyBorder="1" applyAlignment="1">
      <alignment vertical="top" wrapText="1"/>
    </xf>
    <xf numFmtId="0" fontId="0" fillId="0" borderId="0" xfId="0" applyNumberFormat="1"/>
    <xf numFmtId="0" fontId="2" fillId="0" borderId="0" xfId="0" applyFont="1" applyFill="1" applyBorder="1" applyAlignment="1">
      <alignment horizontal="center"/>
    </xf>
    <xf numFmtId="1" fontId="2" fillId="20" borderId="33" xfId="0" applyNumberFormat="1" applyFont="1" applyFill="1" applyBorder="1" applyAlignment="1"/>
    <xf numFmtId="0" fontId="2" fillId="20" borderId="15" xfId="0" applyFont="1" applyFill="1" applyBorder="1" applyAlignment="1"/>
    <xf numFmtId="0" fontId="0" fillId="0" borderId="0" xfId="0" applyAlignment="1">
      <alignment horizontal="center" vertical="top" wrapText="1"/>
    </xf>
    <xf numFmtId="0" fontId="2" fillId="0" borderId="41" xfId="0" applyFont="1" applyFill="1" applyBorder="1" applyAlignment="1">
      <alignment horizontal="center" vertical="top" wrapText="1"/>
    </xf>
    <xf numFmtId="0" fontId="2" fillId="0" borderId="40" xfId="0" applyFont="1" applyFill="1" applyBorder="1" applyAlignment="1">
      <alignment horizontal="center" vertical="top" wrapText="1"/>
    </xf>
    <xf numFmtId="0" fontId="2" fillId="17" borderId="41" xfId="0" applyFont="1" applyFill="1" applyBorder="1" applyAlignment="1">
      <alignment horizontal="center" vertical="top" wrapText="1"/>
    </xf>
    <xf numFmtId="3" fontId="9" fillId="19" borderId="0" xfId="0" applyNumberFormat="1" applyFont="1" applyFill="1" applyBorder="1" applyAlignment="1">
      <alignment horizontal="right" vertical="center"/>
    </xf>
    <xf numFmtId="3" fontId="8" fillId="19" borderId="0" xfId="0" applyNumberFormat="1" applyFont="1" applyFill="1" applyBorder="1" applyAlignment="1">
      <alignment horizontal="center" vertical="top" wrapText="1"/>
    </xf>
    <xf numFmtId="3" fontId="6" fillId="19" borderId="0" xfId="0" applyNumberFormat="1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wrapText="1"/>
    </xf>
    <xf numFmtId="0" fontId="6" fillId="20" borderId="0" xfId="0" applyFont="1" applyFill="1" applyBorder="1" applyAlignment="1">
      <alignment horizontal="center"/>
    </xf>
    <xf numFmtId="0" fontId="8" fillId="19" borderId="0" xfId="0" applyFont="1" applyFill="1" applyBorder="1" applyAlignment="1">
      <alignment horizontal="center"/>
    </xf>
    <xf numFmtId="0" fontId="6" fillId="19" borderId="0" xfId="0" applyFont="1" applyFill="1" applyBorder="1" applyAlignment="1">
      <alignment vertical="top" wrapText="1"/>
    </xf>
    <xf numFmtId="0" fontId="8" fillId="19" borderId="0" xfId="0" applyFont="1" applyFill="1" applyBorder="1" applyAlignment="1">
      <alignment vertical="top"/>
    </xf>
    <xf numFmtId="0" fontId="8" fillId="19" borderId="0" xfId="0" applyFont="1" applyFill="1" applyBorder="1" applyAlignment="1">
      <alignment wrapText="1"/>
    </xf>
    <xf numFmtId="0" fontId="8" fillId="19" borderId="0" xfId="0" applyFont="1" applyFill="1" applyBorder="1" applyAlignment="1">
      <alignment horizontal="left"/>
    </xf>
    <xf numFmtId="0" fontId="6" fillId="19" borderId="0" xfId="0" applyFont="1" applyFill="1" applyBorder="1" applyAlignment="1">
      <alignment horizontal="center"/>
    </xf>
    <xf numFmtId="0" fontId="36" fillId="19" borderId="0" xfId="0" applyFont="1" applyFill="1" applyBorder="1" applyAlignment="1">
      <alignment horizontal="left" vertical="center" wrapText="1"/>
    </xf>
    <xf numFmtId="0" fontId="8" fillId="19" borderId="0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3" fontId="8" fillId="19" borderId="0" xfId="0" applyNumberFormat="1" applyFont="1" applyFill="1" applyBorder="1" applyAlignment="1">
      <alignment horizontal="center" wrapText="1"/>
    </xf>
    <xf numFmtId="0" fontId="3" fillId="19" borderId="0" xfId="0" applyFont="1" applyFill="1" applyBorder="1" applyAlignment="1">
      <alignment horizontal="left"/>
    </xf>
    <xf numFmtId="0" fontId="2" fillId="0" borderId="41" xfId="0" applyFont="1" applyFill="1" applyBorder="1" applyAlignment="1">
      <alignment horizontal="center" vertical="top" wrapText="1"/>
    </xf>
    <xf numFmtId="0" fontId="59" fillId="0" borderId="0" xfId="0" applyFont="1" applyBorder="1"/>
    <xf numFmtId="0" fontId="2" fillId="17" borderId="0" xfId="0" quotePrefix="1" applyFont="1" applyFill="1" applyBorder="1" applyAlignment="1">
      <alignment horizontal="left"/>
    </xf>
    <xf numFmtId="0" fontId="59" fillId="19" borderId="24" xfId="0" applyFont="1" applyFill="1" applyBorder="1"/>
    <xf numFmtId="3" fontId="30" fillId="19" borderId="25" xfId="0" applyNumberFormat="1" applyFont="1" applyFill="1" applyBorder="1" applyAlignment="1">
      <alignment horizontal="right" vertical="center"/>
    </xf>
    <xf numFmtId="3" fontId="9" fillId="19" borderId="25" xfId="0" applyNumberFormat="1" applyFont="1" applyFill="1" applyBorder="1" applyAlignment="1">
      <alignment horizontal="right" vertical="center"/>
    </xf>
    <xf numFmtId="3" fontId="32" fillId="19" borderId="25" xfId="0" applyNumberFormat="1" applyFont="1" applyFill="1" applyBorder="1" applyAlignment="1">
      <alignment horizontal="left" vertical="center" indent="1"/>
    </xf>
    <xf numFmtId="3" fontId="6" fillId="19" borderId="25" xfId="0" applyNumberFormat="1" applyFont="1" applyFill="1" applyBorder="1" applyAlignment="1">
      <alignment horizontal="left" vertical="center" indent="1"/>
    </xf>
    <xf numFmtId="0" fontId="6" fillId="24" borderId="27" xfId="0" applyFont="1" applyFill="1" applyBorder="1"/>
    <xf numFmtId="166" fontId="3" fillId="20" borderId="34" xfId="43" applyNumberFormat="1" applyFont="1" applyFill="1" applyBorder="1" applyAlignment="1" applyProtection="1"/>
    <xf numFmtId="0" fontId="3" fillId="20" borderId="34" xfId="43" applyFont="1" applyFill="1" applyBorder="1" applyAlignment="1" applyProtection="1"/>
    <xf numFmtId="0" fontId="2" fillId="20" borderId="34" xfId="43" applyFill="1" applyBorder="1"/>
    <xf numFmtId="0" fontId="2" fillId="20" borderId="34" xfId="43" applyFill="1" applyBorder="1" applyAlignment="1">
      <alignment vertical="top" wrapText="1"/>
    </xf>
    <xf numFmtId="0" fontId="3" fillId="0" borderId="41" xfId="0" applyFont="1" applyFill="1" applyBorder="1" applyAlignment="1">
      <alignment horizontal="center" vertical="top" wrapText="1"/>
    </xf>
    <xf numFmtId="0" fontId="2" fillId="0" borderId="42" xfId="0" applyFont="1" applyFill="1" applyBorder="1" applyAlignment="1">
      <alignment horizontal="center" vertical="top" wrapText="1"/>
    </xf>
    <xf numFmtId="0" fontId="2" fillId="20" borderId="33" xfId="0" applyNumberFormat="1" applyFont="1" applyFill="1" applyBorder="1" applyAlignment="1">
      <alignment horizontal="center"/>
    </xf>
    <xf numFmtId="0" fontId="2" fillId="20" borderId="0" xfId="0" applyNumberFormat="1" applyFont="1" applyFill="1" applyBorder="1" applyAlignment="1">
      <alignment horizontal="center"/>
    </xf>
    <xf numFmtId="0" fontId="2" fillId="20" borderId="15" xfId="0" applyNumberFormat="1" applyFont="1" applyFill="1" applyBorder="1" applyAlignment="1">
      <alignment horizontal="center"/>
    </xf>
    <xf numFmtId="0" fontId="2" fillId="0" borderId="26" xfId="0" applyFont="1" applyFill="1" applyBorder="1" applyAlignment="1">
      <alignment horizontal="center" vertical="top"/>
    </xf>
    <xf numFmtId="0" fontId="2" fillId="0" borderId="32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3" fillId="0" borderId="100" xfId="0" applyFont="1" applyBorder="1"/>
    <xf numFmtId="0" fontId="3" fillId="0" borderId="101" xfId="0" applyFont="1" applyBorder="1"/>
    <xf numFmtId="0" fontId="2" fillId="20" borderId="32" xfId="0" applyNumberFormat="1" applyFont="1" applyFill="1" applyBorder="1" applyAlignment="1">
      <alignment horizontal="center"/>
    </xf>
    <xf numFmtId="0" fontId="2" fillId="20" borderId="16" xfId="0" applyNumberFormat="1" applyFont="1" applyFill="1" applyBorder="1" applyAlignment="1">
      <alignment horizontal="center"/>
    </xf>
    <xf numFmtId="0" fontId="0" fillId="0" borderId="17" xfId="0" applyNumberFormat="1" applyBorder="1"/>
    <xf numFmtId="166" fontId="3" fillId="20" borderId="34" xfId="0" applyNumberFormat="1" applyFont="1" applyFill="1" applyBorder="1" applyAlignment="1" applyProtection="1"/>
    <xf numFmtId="0" fontId="3" fillId="20" borderId="34" xfId="0" applyFont="1" applyFill="1" applyBorder="1" applyAlignment="1" applyProtection="1"/>
    <xf numFmtId="0" fontId="0" fillId="20" borderId="34" xfId="0" applyFill="1" applyBorder="1"/>
    <xf numFmtId="0" fontId="0" fillId="20" borderId="27" xfId="0" applyFill="1" applyBorder="1"/>
    <xf numFmtId="0" fontId="0" fillId="0" borderId="27" xfId="0" applyBorder="1"/>
    <xf numFmtId="0" fontId="0" fillId="28" borderId="34" xfId="0" applyFill="1" applyBorder="1" applyAlignment="1">
      <alignment vertical="top" wrapText="1"/>
    </xf>
    <xf numFmtId="0" fontId="2" fillId="28" borderId="32" xfId="0" applyNumberFormat="1" applyFont="1" applyFill="1" applyBorder="1" applyAlignment="1">
      <alignment horizontal="center"/>
    </xf>
    <xf numFmtId="0" fontId="0" fillId="28" borderId="34" xfId="0" applyFill="1" applyBorder="1"/>
    <xf numFmtId="0" fontId="2" fillId="20" borderId="15" xfId="0" applyNumberFormat="1" applyFont="1" applyFill="1" applyBorder="1"/>
    <xf numFmtId="0" fontId="2" fillId="20" borderId="34" xfId="43" applyNumberFormat="1" applyFont="1" applyFill="1" applyBorder="1" applyAlignment="1">
      <alignment horizontal="center"/>
    </xf>
    <xf numFmtId="0" fontId="2" fillId="0" borderId="0" xfId="43" applyNumberFormat="1"/>
    <xf numFmtId="0" fontId="2" fillId="20" borderId="32" xfId="43" applyNumberFormat="1" applyFont="1" applyFill="1" applyBorder="1" applyAlignment="1">
      <alignment horizontal="center"/>
    </xf>
    <xf numFmtId="3" fontId="0" fillId="27" borderId="34" xfId="0" applyNumberFormat="1" applyFill="1" applyBorder="1"/>
    <xf numFmtId="3" fontId="0" fillId="21" borderId="24" xfId="0" applyNumberFormat="1" applyFill="1" applyBorder="1"/>
    <xf numFmtId="0" fontId="3" fillId="0" borderId="102" xfId="0" applyFont="1" applyBorder="1" applyAlignment="1">
      <alignment horizontal="center"/>
    </xf>
    <xf numFmtId="0" fontId="0" fillId="27" borderId="3" xfId="0" applyFill="1" applyBorder="1"/>
    <xf numFmtId="0" fontId="59" fillId="19" borderId="26" xfId="0" applyFont="1" applyFill="1" applyBorder="1"/>
    <xf numFmtId="0" fontId="6" fillId="19" borderId="16" xfId="0" applyFont="1" applyFill="1" applyBorder="1"/>
    <xf numFmtId="0" fontId="6" fillId="19" borderId="17" xfId="0" applyFont="1" applyFill="1" applyBorder="1"/>
    <xf numFmtId="0" fontId="59" fillId="24" borderId="24" xfId="0" applyFont="1" applyFill="1" applyBorder="1"/>
    <xf numFmtId="0" fontId="6" fillId="24" borderId="25" xfId="0" applyFont="1" applyFill="1" applyBorder="1"/>
    <xf numFmtId="0" fontId="0" fillId="24" borderId="15" xfId="0" applyFill="1" applyBorder="1"/>
    <xf numFmtId="3" fontId="6" fillId="24" borderId="52" xfId="0" applyNumberFormat="1" applyFont="1" applyFill="1" applyBorder="1" applyAlignment="1">
      <alignment horizontal="right" vertical="center" indent="1"/>
    </xf>
    <xf numFmtId="0" fontId="0" fillId="24" borderId="54" xfId="0" applyFill="1" applyBorder="1"/>
    <xf numFmtId="0" fontId="0" fillId="24" borderId="56" xfId="0" applyFill="1" applyBorder="1"/>
    <xf numFmtId="3" fontId="8" fillId="24" borderId="0" xfId="0" applyNumberFormat="1" applyFont="1" applyFill="1" applyBorder="1" applyAlignment="1">
      <alignment horizontal="right" vertical="center" indent="1"/>
    </xf>
    <xf numFmtId="3" fontId="6" fillId="24" borderId="58" xfId="0" applyNumberFormat="1" applyFont="1" applyFill="1" applyBorder="1" applyAlignment="1">
      <alignment horizontal="right" vertical="center" indent="1"/>
    </xf>
    <xf numFmtId="3" fontId="8" fillId="24" borderId="58" xfId="0" applyNumberFormat="1" applyFont="1" applyFill="1" applyBorder="1" applyAlignment="1">
      <alignment horizontal="right" vertical="center" indent="1"/>
    </xf>
    <xf numFmtId="0" fontId="0" fillId="24" borderId="60" xfId="0" applyFill="1" applyBorder="1"/>
    <xf numFmtId="3" fontId="6" fillId="24" borderId="0" xfId="0" applyNumberFormat="1" applyFont="1" applyFill="1" applyBorder="1" applyAlignment="1" applyProtection="1">
      <alignment horizontal="right" vertical="center" indent="1"/>
    </xf>
    <xf numFmtId="3" fontId="8" fillId="24" borderId="0" xfId="0" applyNumberFormat="1" applyFont="1" applyFill="1" applyBorder="1" applyAlignment="1" applyProtection="1">
      <alignment horizontal="right" vertical="center" indent="1"/>
    </xf>
    <xf numFmtId="3" fontId="6" fillId="24" borderId="68" xfId="0" applyNumberFormat="1" applyFont="1" applyFill="1" applyBorder="1" applyAlignment="1" applyProtection="1">
      <alignment horizontal="right" vertical="center" indent="1"/>
    </xf>
    <xf numFmtId="0" fontId="0" fillId="24" borderId="68" xfId="0" applyFill="1" applyBorder="1"/>
    <xf numFmtId="0" fontId="0" fillId="24" borderId="66" xfId="0" applyFill="1" applyBorder="1"/>
    <xf numFmtId="3" fontId="8" fillId="24" borderId="68" xfId="0" applyNumberFormat="1" applyFont="1" applyFill="1" applyBorder="1" applyAlignment="1" applyProtection="1">
      <alignment horizontal="right" vertical="center" indent="1"/>
    </xf>
    <xf numFmtId="0" fontId="0" fillId="24" borderId="70" xfId="0" applyFill="1" applyBorder="1"/>
    <xf numFmtId="3" fontId="6" fillId="24" borderId="19" xfId="0" applyNumberFormat="1" applyFont="1" applyFill="1" applyBorder="1" applyAlignment="1" applyProtection="1">
      <alignment horizontal="right" vertical="center" indent="1"/>
    </xf>
    <xf numFmtId="3" fontId="8" fillId="24" borderId="19" xfId="0" applyNumberFormat="1" applyFont="1" applyFill="1" applyBorder="1" applyAlignment="1" applyProtection="1">
      <alignment horizontal="right" vertical="center" indent="1"/>
    </xf>
    <xf numFmtId="0" fontId="0" fillId="24" borderId="43" xfId="0" applyFill="1" applyBorder="1"/>
    <xf numFmtId="0" fontId="0" fillId="24" borderId="44" xfId="0" applyFill="1" applyBorder="1"/>
    <xf numFmtId="3" fontId="6" fillId="24" borderId="22" xfId="0" applyNumberFormat="1" applyFont="1" applyFill="1" applyBorder="1" applyAlignment="1" applyProtection="1">
      <alignment horizontal="right" vertical="center" indent="1"/>
    </xf>
    <xf numFmtId="3" fontId="8" fillId="24" borderId="22" xfId="0" applyNumberFormat="1" applyFont="1" applyFill="1" applyBorder="1" applyAlignment="1" applyProtection="1">
      <alignment horizontal="right" vertical="center" indent="1"/>
    </xf>
    <xf numFmtId="0" fontId="0" fillId="24" borderId="45" xfId="0" applyFill="1" applyBorder="1"/>
    <xf numFmtId="3" fontId="36" fillId="24" borderId="0" xfId="0" applyNumberFormat="1" applyFont="1" applyFill="1" applyBorder="1" applyAlignment="1">
      <alignment horizontal="right" vertical="center" indent="1"/>
    </xf>
    <xf numFmtId="3" fontId="6" fillId="24" borderId="25" xfId="0" applyNumberFormat="1" applyFont="1" applyFill="1" applyBorder="1" applyAlignment="1">
      <alignment horizontal="right" vertical="center" indent="1"/>
    </xf>
    <xf numFmtId="3" fontId="8" fillId="24" borderId="25" xfId="0" applyNumberFormat="1" applyFont="1" applyFill="1" applyBorder="1" applyAlignment="1">
      <alignment horizontal="right" vertical="center" indent="1"/>
    </xf>
    <xf numFmtId="0" fontId="0" fillId="24" borderId="25" xfId="0" applyFill="1" applyBorder="1"/>
    <xf numFmtId="0" fontId="0" fillId="24" borderId="27" xfId="0" applyFill="1" applyBorder="1"/>
    <xf numFmtId="3" fontId="6" fillId="24" borderId="28" xfId="0" applyNumberFormat="1" applyFont="1" applyFill="1" applyBorder="1" applyAlignment="1">
      <alignment horizontal="right" vertical="center" indent="1"/>
    </xf>
    <xf numFmtId="3" fontId="8" fillId="24" borderId="28" xfId="0" applyNumberFormat="1" applyFont="1" applyFill="1" applyBorder="1" applyAlignment="1">
      <alignment horizontal="right" vertical="center" indent="1"/>
    </xf>
    <xf numFmtId="0" fontId="0" fillId="24" borderId="46" xfId="0" applyFill="1" applyBorder="1"/>
    <xf numFmtId="3" fontId="6" fillId="24" borderId="62" xfId="0" applyNumberFormat="1" applyFont="1" applyFill="1" applyBorder="1" applyAlignment="1">
      <alignment horizontal="right" vertical="center" indent="1"/>
    </xf>
    <xf numFmtId="3" fontId="8" fillId="24" borderId="62" xfId="0" applyNumberFormat="1" applyFont="1" applyFill="1" applyBorder="1" applyAlignment="1">
      <alignment horizontal="right" vertical="center" indent="1"/>
    </xf>
    <xf numFmtId="0" fontId="0" fillId="24" borderId="64" xfId="0" applyFill="1" applyBorder="1"/>
    <xf numFmtId="3" fontId="6" fillId="24" borderId="68" xfId="0" applyNumberFormat="1" applyFont="1" applyFill="1" applyBorder="1" applyAlignment="1">
      <alignment horizontal="right" vertical="center" indent="1"/>
    </xf>
    <xf numFmtId="3" fontId="8" fillId="24" borderId="68" xfId="0" applyNumberFormat="1" applyFont="1" applyFill="1" applyBorder="1" applyAlignment="1">
      <alignment horizontal="right" vertical="center" indent="1"/>
    </xf>
    <xf numFmtId="3" fontId="6" fillId="24" borderId="29" xfId="0" applyNumberFormat="1" applyFont="1" applyFill="1" applyBorder="1" applyAlignment="1">
      <alignment horizontal="right" vertical="center" indent="1"/>
    </xf>
    <xf numFmtId="3" fontId="8" fillId="24" borderId="29" xfId="0" applyNumberFormat="1" applyFont="1" applyFill="1" applyBorder="1" applyAlignment="1">
      <alignment horizontal="right" vertical="center" indent="1"/>
    </xf>
    <xf numFmtId="0" fontId="0" fillId="24" borderId="48" xfId="0" applyFill="1" applyBorder="1"/>
    <xf numFmtId="0" fontId="0" fillId="24" borderId="47" xfId="0" applyFill="1" applyBorder="1"/>
    <xf numFmtId="3" fontId="6" fillId="24" borderId="41" xfId="0" applyNumberFormat="1" applyFont="1" applyFill="1" applyBorder="1" applyAlignment="1">
      <alignment horizontal="right" vertical="center" indent="1"/>
    </xf>
    <xf numFmtId="0" fontId="0" fillId="24" borderId="41" xfId="0" applyFill="1" applyBorder="1"/>
    <xf numFmtId="0" fontId="0" fillId="24" borderId="42" xfId="0" applyFill="1" applyBorder="1"/>
    <xf numFmtId="0" fontId="8" fillId="24" borderId="16" xfId="0" applyFont="1" applyFill="1" applyBorder="1" applyAlignment="1">
      <alignment wrapText="1"/>
    </xf>
    <xf numFmtId="0" fontId="0" fillId="24" borderId="16" xfId="0" applyFill="1" applyBorder="1"/>
    <xf numFmtId="0" fontId="0" fillId="24" borderId="17" xfId="0" applyFill="1" applyBorder="1"/>
    <xf numFmtId="0" fontId="8" fillId="24" borderId="0" xfId="0" applyFont="1" applyFill="1" applyBorder="1" applyAlignment="1">
      <alignment wrapText="1"/>
    </xf>
    <xf numFmtId="3" fontId="6" fillId="24" borderId="19" xfId="0" applyNumberFormat="1" applyFont="1" applyFill="1" applyBorder="1" applyAlignment="1">
      <alignment horizontal="right" vertical="center" indent="1"/>
    </xf>
    <xf numFmtId="0" fontId="8" fillId="24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horizontal="center"/>
    </xf>
    <xf numFmtId="0" fontId="6" fillId="24" borderId="22" xfId="0" applyFont="1" applyFill="1" applyBorder="1"/>
    <xf numFmtId="0" fontId="0" fillId="24" borderId="18" xfId="0" applyFill="1" applyBorder="1"/>
    <xf numFmtId="0" fontId="6" fillId="24" borderId="19" xfId="0" applyFont="1" applyFill="1" applyBorder="1"/>
    <xf numFmtId="0" fontId="0" fillId="24" borderId="20" xfId="0" applyFill="1" applyBorder="1"/>
    <xf numFmtId="0" fontId="8" fillId="24" borderId="0" xfId="0" applyFont="1" applyFill="1" applyBorder="1"/>
    <xf numFmtId="0" fontId="0" fillId="24" borderId="21" xfId="0" applyFill="1" applyBorder="1"/>
    <xf numFmtId="0" fontId="0" fillId="24" borderId="22" xfId="0" applyFill="1" applyBorder="1"/>
    <xf numFmtId="0" fontId="66" fillId="0" borderId="0" xfId="0" applyFont="1"/>
    <xf numFmtId="0" fontId="5" fillId="0" borderId="0" xfId="0" applyFont="1" applyAlignment="1">
      <alignment horizontal="center"/>
    </xf>
    <xf numFmtId="9" fontId="0" fillId="0" borderId="0" xfId="0" applyNumberFormat="1"/>
    <xf numFmtId="169" fontId="2" fillId="0" borderId="0" xfId="49" applyNumberFormat="1" applyFont="1" applyAlignment="1" applyProtection="1">
      <alignment horizontal="center"/>
    </xf>
    <xf numFmtId="169" fontId="2" fillId="27" borderId="31" xfId="49" applyNumberFormat="1" applyFont="1" applyFill="1" applyBorder="1" applyAlignment="1" applyProtection="1">
      <alignment horizontal="center"/>
    </xf>
    <xf numFmtId="0" fontId="2" fillId="20" borderId="103" xfId="0" applyNumberFormat="1" applyFont="1" applyFill="1" applyBorder="1" applyAlignment="1">
      <alignment horizontal="center"/>
    </xf>
    <xf numFmtId="0" fontId="0" fillId="28" borderId="34" xfId="0" applyFill="1" applyBorder="1" applyAlignment="1">
      <alignment horizontal="center"/>
    </xf>
    <xf numFmtId="0" fontId="67" fillId="0" borderId="0" xfId="0" applyFont="1" applyFill="1" applyAlignment="1">
      <alignment horizontal="center"/>
    </xf>
    <xf numFmtId="0" fontId="39" fillId="0" borderId="0" xfId="0" applyFont="1" applyFill="1"/>
    <xf numFmtId="3" fontId="39" fillId="0" borderId="0" xfId="0" applyNumberFormat="1" applyFont="1" applyFill="1"/>
    <xf numFmtId="0" fontId="6" fillId="28" borderId="16" xfId="0" applyFont="1" applyFill="1" applyBorder="1" applyAlignment="1"/>
    <xf numFmtId="0" fontId="6" fillId="28" borderId="26" xfId="0" applyFont="1" applyFill="1" applyBorder="1" applyAlignment="1"/>
    <xf numFmtId="0" fontId="45" fillId="28" borderId="16" xfId="0" applyFont="1" applyFill="1" applyBorder="1" applyAlignment="1"/>
    <xf numFmtId="0" fontId="6" fillId="28" borderId="16" xfId="0" applyFont="1" applyFill="1" applyBorder="1" applyAlignment="1">
      <alignment horizontal="center"/>
    </xf>
    <xf numFmtId="0" fontId="6" fillId="28" borderId="24" xfId="0" applyFont="1" applyFill="1" applyBorder="1" applyAlignment="1"/>
    <xf numFmtId="0" fontId="6" fillId="28" borderId="25" xfId="0" applyFont="1" applyFill="1" applyBorder="1" applyAlignment="1"/>
    <xf numFmtId="0" fontId="2" fillId="28" borderId="25" xfId="0" applyFont="1" applyFill="1" applyBorder="1" applyAlignment="1">
      <alignment horizontal="right"/>
    </xf>
    <xf numFmtId="0" fontId="6" fillId="28" borderId="25" xfId="0" applyFont="1" applyFill="1" applyBorder="1" applyAlignment="1">
      <alignment horizontal="center"/>
    </xf>
    <xf numFmtId="0" fontId="11" fillId="28" borderId="16" xfId="0" applyFont="1" applyFill="1" applyBorder="1"/>
    <xf numFmtId="0" fontId="11" fillId="28" borderId="17" xfId="0" applyFont="1" applyFill="1" applyBorder="1"/>
    <xf numFmtId="0" fontId="11" fillId="28" borderId="25" xfId="0" applyFont="1" applyFill="1" applyBorder="1"/>
    <xf numFmtId="0" fontId="11" fillId="28" borderId="27" xfId="0" applyFont="1" applyFill="1" applyBorder="1"/>
    <xf numFmtId="0" fontId="40" fillId="24" borderId="44" xfId="0" applyFont="1" applyFill="1" applyBorder="1" applyAlignment="1">
      <alignment horizontal="center" vertical="center" wrapText="1"/>
    </xf>
    <xf numFmtId="0" fontId="6" fillId="24" borderId="15" xfId="0" applyFont="1" applyFill="1" applyBorder="1"/>
    <xf numFmtId="0" fontId="40" fillId="24" borderId="0" xfId="0" applyFont="1" applyFill="1" applyBorder="1" applyAlignment="1">
      <alignment horizontal="center" vertical="center" wrapText="1"/>
    </xf>
    <xf numFmtId="3" fontId="6" fillId="24" borderId="93" xfId="0" applyNumberFormat="1" applyFont="1" applyFill="1" applyBorder="1" applyAlignment="1">
      <alignment horizontal="right" vertical="center" indent="1"/>
    </xf>
    <xf numFmtId="3" fontId="36" fillId="24" borderId="94" xfId="0" applyNumberFormat="1" applyFont="1" applyFill="1" applyBorder="1" applyAlignment="1">
      <alignment vertical="center" wrapText="1"/>
    </xf>
    <xf numFmtId="0" fontId="40" fillId="24" borderId="71" xfId="0" applyFont="1" applyFill="1" applyBorder="1" applyAlignment="1">
      <alignment horizontal="center" vertical="center" wrapText="1"/>
    </xf>
    <xf numFmtId="3" fontId="6" fillId="24" borderId="72" xfId="0" applyNumberFormat="1" applyFont="1" applyFill="1" applyBorder="1" applyAlignment="1">
      <alignment horizontal="right" vertical="center" indent="1"/>
    </xf>
    <xf numFmtId="3" fontId="8" fillId="24" borderId="73" xfId="0" applyNumberFormat="1" applyFont="1" applyFill="1" applyBorder="1" applyAlignment="1">
      <alignment horizontal="right" vertical="center" indent="1"/>
    </xf>
    <xf numFmtId="3" fontId="6" fillId="24" borderId="74" xfId="0" applyNumberFormat="1" applyFont="1" applyFill="1" applyBorder="1" applyAlignment="1">
      <alignment horizontal="right" vertical="center" indent="1"/>
    </xf>
    <xf numFmtId="3" fontId="8" fillId="24" borderId="19" xfId="0" applyNumberFormat="1" applyFont="1" applyFill="1" applyBorder="1" applyAlignment="1">
      <alignment horizontal="right" vertical="center" indent="1"/>
    </xf>
    <xf numFmtId="0" fontId="6" fillId="24" borderId="43" xfId="0" applyFont="1" applyFill="1" applyBorder="1" applyAlignment="1">
      <alignment horizontal="center"/>
    </xf>
    <xf numFmtId="3" fontId="6" fillId="24" borderId="72" xfId="0" applyNumberFormat="1" applyFont="1" applyFill="1" applyBorder="1" applyAlignment="1">
      <alignment horizontal="center" vertical="top"/>
    </xf>
    <xf numFmtId="0" fontId="6" fillId="24" borderId="44" xfId="0" applyFont="1" applyFill="1" applyBorder="1"/>
    <xf numFmtId="3" fontId="6" fillId="24" borderId="75" xfId="0" applyNumberFormat="1" applyFont="1" applyFill="1" applyBorder="1" applyAlignment="1">
      <alignment horizontal="right" vertical="center" indent="1"/>
    </xf>
    <xf numFmtId="3" fontId="6" fillId="24" borderId="76" xfId="0" applyNumberFormat="1" applyFont="1" applyFill="1" applyBorder="1" applyAlignment="1">
      <alignment horizontal="right" vertical="center" indent="1"/>
    </xf>
    <xf numFmtId="3" fontId="6" fillId="24" borderId="22" xfId="0" applyNumberFormat="1" applyFont="1" applyFill="1" applyBorder="1" applyAlignment="1">
      <alignment horizontal="right" vertical="center" indent="1"/>
    </xf>
    <xf numFmtId="0" fontId="6" fillId="24" borderId="45" xfId="0" applyFont="1" applyFill="1" applyBorder="1"/>
    <xf numFmtId="3" fontId="6" fillId="24" borderId="71" xfId="0" applyNumberFormat="1" applyFont="1" applyFill="1" applyBorder="1" applyAlignment="1">
      <alignment horizontal="right" vertical="center" indent="1"/>
    </xf>
    <xf numFmtId="0" fontId="0" fillId="24" borderId="0" xfId="0" applyFill="1" applyBorder="1" applyAlignment="1">
      <alignment horizontal="right" vertical="center" indent="1"/>
    </xf>
    <xf numFmtId="3" fontId="6" fillId="24" borderId="43" xfId="0" applyNumberFormat="1" applyFont="1" applyFill="1" applyBorder="1" applyAlignment="1">
      <alignment horizontal="right" vertical="center" indent="1"/>
    </xf>
    <xf numFmtId="0" fontId="6" fillId="24" borderId="43" xfId="0" applyFont="1" applyFill="1" applyBorder="1"/>
    <xf numFmtId="3" fontId="8" fillId="24" borderId="44" xfId="0" applyNumberFormat="1" applyFont="1" applyFill="1" applyBorder="1" applyAlignment="1">
      <alignment horizontal="center" vertical="center"/>
    </xf>
    <xf numFmtId="3" fontId="6" fillId="24" borderId="0" xfId="0" applyNumberFormat="1" applyFont="1" applyFill="1" applyBorder="1" applyAlignment="1">
      <alignment horizontal="center" vertical="center"/>
    </xf>
    <xf numFmtId="3" fontId="6" fillId="24" borderId="44" xfId="0" applyNumberFormat="1" applyFont="1" applyFill="1" applyBorder="1" applyAlignment="1">
      <alignment horizontal="right" vertical="center" indent="1"/>
    </xf>
    <xf numFmtId="0" fontId="6" fillId="0" borderId="0" xfId="0" applyFont="1" applyFill="1" applyBorder="1"/>
    <xf numFmtId="3" fontId="8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right" vertical="center" indent="1"/>
    </xf>
    <xf numFmtId="3" fontId="6" fillId="0" borderId="0" xfId="0" applyNumberFormat="1" applyFont="1" applyFill="1" applyBorder="1" applyAlignment="1">
      <alignment vertical="center"/>
    </xf>
    <xf numFmtId="0" fontId="6" fillId="0" borderId="19" xfId="0" applyFont="1" applyFill="1" applyBorder="1"/>
    <xf numFmtId="3" fontId="6" fillId="0" borderId="19" xfId="0" applyNumberFormat="1" applyFont="1" applyFill="1" applyBorder="1" applyAlignment="1">
      <alignment vertical="center"/>
    </xf>
    <xf numFmtId="0" fontId="6" fillId="0" borderId="43" xfId="0" applyFont="1" applyFill="1" applyBorder="1"/>
    <xf numFmtId="0" fontId="6" fillId="0" borderId="44" xfId="0" applyFont="1" applyFill="1" applyBorder="1"/>
    <xf numFmtId="0" fontId="6" fillId="0" borderId="22" xfId="0" applyFont="1" applyFill="1" applyBorder="1"/>
    <xf numFmtId="0" fontId="6" fillId="0" borderId="45" xfId="0" applyFont="1" applyFill="1" applyBorder="1"/>
    <xf numFmtId="3" fontId="8" fillId="24" borderId="0" xfId="0" applyNumberFormat="1" applyFont="1" applyFill="1" applyBorder="1" applyAlignment="1">
      <alignment horizontal="center" vertical="center" wrapText="1"/>
    </xf>
    <xf numFmtId="3" fontId="8" fillId="24" borderId="0" xfId="0" applyNumberFormat="1" applyFont="1" applyFill="1" applyBorder="1" applyAlignment="1">
      <alignment horizontal="center" vertical="center"/>
    </xf>
    <xf numFmtId="3" fontId="6" fillId="24" borderId="0" xfId="0" applyNumberFormat="1" applyFont="1" applyFill="1" applyBorder="1" applyAlignment="1">
      <alignment vertical="center"/>
    </xf>
    <xf numFmtId="3" fontId="8" fillId="24" borderId="0" xfId="0" applyNumberFormat="1" applyFont="1" applyFill="1" applyBorder="1" applyAlignment="1">
      <alignment vertical="center"/>
    </xf>
    <xf numFmtId="0" fontId="8" fillId="24" borderId="0" xfId="0" applyFont="1" applyFill="1" applyBorder="1" applyAlignment="1">
      <alignment horizontal="right"/>
    </xf>
    <xf numFmtId="0" fontId="46" fillId="0" borderId="0" xfId="42" applyFont="1" applyFill="1" applyBorder="1" applyAlignment="1">
      <alignment horizontal="center" vertical="top"/>
    </xf>
    <xf numFmtId="0" fontId="2" fillId="0" borderId="0" xfId="43" applyFill="1"/>
    <xf numFmtId="0" fontId="55" fillId="0" borderId="25" xfId="42" applyFont="1" applyFill="1" applyBorder="1" applyAlignment="1">
      <alignment vertical="top"/>
    </xf>
    <xf numFmtId="0" fontId="0" fillId="24" borderId="0" xfId="0" applyFill="1" applyBorder="1" applyProtection="1"/>
    <xf numFmtId="0" fontId="8" fillId="24" borderId="0" xfId="0" applyFont="1" applyFill="1" applyBorder="1" applyProtection="1"/>
    <xf numFmtId="0" fontId="6" fillId="24" borderId="0" xfId="0" applyFont="1" applyFill="1" applyBorder="1" applyProtection="1"/>
    <xf numFmtId="0" fontId="6" fillId="24" borderId="68" xfId="0" applyFont="1" applyFill="1" applyBorder="1" applyProtection="1"/>
    <xf numFmtId="0" fontId="6" fillId="24" borderId="0" xfId="0" applyFont="1" applyFill="1" applyBorder="1" applyAlignment="1" applyProtection="1">
      <alignment vertical="top"/>
    </xf>
    <xf numFmtId="0" fontId="6" fillId="24" borderId="65" xfId="0" applyFont="1" applyFill="1" applyBorder="1" applyProtection="1"/>
    <xf numFmtId="3" fontId="6" fillId="24" borderId="30" xfId="0" applyNumberFormat="1" applyFont="1" applyFill="1" applyBorder="1" applyAlignment="1" applyProtection="1">
      <alignment horizontal="right" vertical="center" indent="1"/>
    </xf>
    <xf numFmtId="0" fontId="60" fillId="24" borderId="0" xfId="0" applyFont="1" applyFill="1" applyBorder="1"/>
    <xf numFmtId="3" fontId="0" fillId="24" borderId="0" xfId="0" applyNumberFormat="1" applyFill="1" applyBorder="1"/>
    <xf numFmtId="0" fontId="6" fillId="24" borderId="18" xfId="0" applyFont="1" applyFill="1" applyBorder="1"/>
    <xf numFmtId="0" fontId="6" fillId="24" borderId="20" xfId="0" applyFont="1" applyFill="1" applyBorder="1"/>
    <xf numFmtId="0" fontId="6" fillId="24" borderId="21" xfId="0" applyFont="1" applyFill="1" applyBorder="1"/>
    <xf numFmtId="3" fontId="6" fillId="24" borderId="18" xfId="0" applyNumberFormat="1" applyFont="1" applyFill="1" applyBorder="1" applyAlignment="1">
      <alignment horizontal="right" vertical="center" indent="1"/>
    </xf>
    <xf numFmtId="3" fontId="6" fillId="24" borderId="20" xfId="0" applyNumberFormat="1" applyFont="1" applyFill="1" applyBorder="1" applyAlignment="1">
      <alignment horizontal="right" vertical="center" indent="1"/>
    </xf>
    <xf numFmtId="0" fontId="6" fillId="24" borderId="0" xfId="0" applyFont="1" applyFill="1" applyBorder="1" applyAlignment="1" applyProtection="1">
      <alignment vertical="top" wrapText="1"/>
    </xf>
    <xf numFmtId="0" fontId="6" fillId="24" borderId="67" xfId="0" applyFont="1" applyFill="1" applyBorder="1" applyProtection="1"/>
    <xf numFmtId="0" fontId="0" fillId="24" borderId="18" xfId="0" applyFill="1" applyBorder="1" applyProtection="1"/>
    <xf numFmtId="0" fontId="6" fillId="24" borderId="19" xfId="0" applyFont="1" applyFill="1" applyBorder="1" applyProtection="1"/>
    <xf numFmtId="0" fontId="0" fillId="24" borderId="20" xfId="0" applyFill="1" applyBorder="1" applyProtection="1"/>
    <xf numFmtId="0" fontId="30" fillId="24" borderId="0" xfId="0" applyFont="1" applyFill="1" applyBorder="1" applyProtection="1"/>
    <xf numFmtId="0" fontId="0" fillId="24" borderId="21" xfId="0" applyFill="1" applyBorder="1" applyProtection="1"/>
    <xf numFmtId="0" fontId="8" fillId="24" borderId="22" xfId="0" applyFont="1" applyFill="1" applyBorder="1" applyProtection="1"/>
    <xf numFmtId="0" fontId="6" fillId="24" borderId="22" xfId="0" applyFont="1" applyFill="1" applyBorder="1" applyProtection="1"/>
    <xf numFmtId="3" fontId="6" fillId="24" borderId="59" xfId="0" applyNumberFormat="1" applyFont="1" applyFill="1" applyBorder="1" applyAlignment="1" applyProtection="1">
      <alignment horizontal="right" vertical="center" indent="1"/>
    </xf>
    <xf numFmtId="3" fontId="6" fillId="24" borderId="69" xfId="0" applyNumberFormat="1" applyFont="1" applyFill="1" applyBorder="1" applyAlignment="1" applyProtection="1">
      <alignment horizontal="right" vertical="center" indent="1"/>
    </xf>
    <xf numFmtId="0" fontId="0" fillId="24" borderId="23" xfId="0" applyFill="1" applyBorder="1"/>
    <xf numFmtId="0" fontId="8" fillId="24" borderId="35" xfId="0" applyFont="1" applyFill="1" applyBorder="1"/>
    <xf numFmtId="0" fontId="6" fillId="24" borderId="35" xfId="0" applyFont="1" applyFill="1" applyBorder="1"/>
    <xf numFmtId="3" fontId="6" fillId="24" borderId="35" xfId="0" applyNumberFormat="1" applyFont="1" applyFill="1" applyBorder="1" applyAlignment="1">
      <alignment horizontal="right" vertical="center" indent="1"/>
    </xf>
    <xf numFmtId="0" fontId="6" fillId="24" borderId="36" xfId="0" applyFont="1" applyFill="1" applyBorder="1"/>
    <xf numFmtId="0" fontId="6" fillId="24" borderId="37" xfId="0" applyFont="1" applyFill="1" applyBorder="1"/>
    <xf numFmtId="0" fontId="0" fillId="24" borderId="104" xfId="0" applyFill="1" applyBorder="1"/>
    <xf numFmtId="0" fontId="0" fillId="24" borderId="105" xfId="0" applyFill="1" applyBorder="1"/>
    <xf numFmtId="0" fontId="8" fillId="24" borderId="38" xfId="0" applyFont="1" applyFill="1" applyBorder="1"/>
    <xf numFmtId="0" fontId="6" fillId="24" borderId="38" xfId="0" applyFont="1" applyFill="1" applyBorder="1"/>
    <xf numFmtId="0" fontId="6" fillId="24" borderId="39" xfId="0" applyFont="1" applyFill="1" applyBorder="1"/>
    <xf numFmtId="0" fontId="6" fillId="24" borderId="37" xfId="0" applyFont="1" applyFill="1" applyBorder="1" applyAlignment="1">
      <alignment horizontal="center"/>
    </xf>
    <xf numFmtId="0" fontId="0" fillId="24" borderId="24" xfId="0" applyFill="1" applyBorder="1"/>
    <xf numFmtId="0" fontId="40" fillId="19" borderId="0" xfId="0" applyFont="1" applyFill="1" applyBorder="1" applyAlignment="1">
      <alignment horizontal="center" vertical="center" wrapText="1"/>
    </xf>
    <xf numFmtId="0" fontId="40" fillId="19" borderId="0" xfId="0" applyFont="1" applyFill="1" applyBorder="1" applyAlignment="1">
      <alignment vertical="center" wrapText="1"/>
    </xf>
    <xf numFmtId="3" fontId="3" fillId="21" borderId="31" xfId="0" quotePrefix="1" applyNumberFormat="1" applyFont="1" applyFill="1" applyBorder="1" applyAlignment="1">
      <alignment horizontal="center"/>
    </xf>
    <xf numFmtId="9" fontId="8" fillId="24" borderId="0" xfId="0" applyNumberFormat="1" applyFont="1" applyFill="1" applyBorder="1" applyAlignment="1">
      <alignment horizontal="center" vertical="center" wrapText="1"/>
    </xf>
    <xf numFmtId="9" fontId="6" fillId="24" borderId="0" xfId="0" applyNumberFormat="1" applyFont="1" applyFill="1" applyBorder="1" applyAlignment="1">
      <alignment horizontal="center" vertical="center"/>
    </xf>
    <xf numFmtId="0" fontId="2" fillId="0" borderId="88" xfId="43" applyBorder="1" applyAlignment="1">
      <alignment horizontal="center"/>
    </xf>
    <xf numFmtId="0" fontId="2" fillId="0" borderId="89" xfId="43" applyBorder="1" applyAlignment="1">
      <alignment horizontal="center"/>
    </xf>
    <xf numFmtId="0" fontId="2" fillId="20" borderId="33" xfId="43" applyFill="1" applyBorder="1" applyAlignment="1">
      <alignment vertical="top"/>
    </xf>
    <xf numFmtId="0" fontId="2" fillId="21" borderId="34" xfId="43" applyFill="1" applyBorder="1" applyAlignment="1"/>
    <xf numFmtId="3" fontId="8" fillId="19" borderId="0" xfId="0" applyNumberFormat="1" applyFont="1" applyFill="1" applyBorder="1" applyAlignment="1">
      <alignment horizontal="center" vertical="center" wrapText="1"/>
    </xf>
    <xf numFmtId="0" fontId="6" fillId="19" borderId="0" xfId="0" applyFont="1" applyFill="1" applyBorder="1" applyAlignment="1">
      <alignment vertical="center"/>
    </xf>
    <xf numFmtId="0" fontId="46" fillId="27" borderId="0" xfId="42" applyFont="1" applyFill="1" applyBorder="1" applyAlignment="1">
      <alignment horizontal="center" vertical="top"/>
    </xf>
    <xf numFmtId="0" fontId="52" fillId="27" borderId="0" xfId="0" applyFont="1" applyFill="1" applyBorder="1" applyAlignment="1">
      <alignment horizontal="center" vertical="top"/>
    </xf>
    <xf numFmtId="0" fontId="0" fillId="27" borderId="0" xfId="0" applyFill="1" applyAlignment="1">
      <alignment horizontal="center" vertical="top"/>
    </xf>
    <xf numFmtId="0" fontId="69" fillId="22" borderId="0" xfId="25" applyFont="1" applyFill="1"/>
    <xf numFmtId="0" fontId="69" fillId="22" borderId="0" xfId="25" applyFont="1" applyFill="1" applyBorder="1"/>
    <xf numFmtId="0" fontId="2" fillId="22" borderId="0" xfId="43" applyFill="1"/>
    <xf numFmtId="0" fontId="2" fillId="22" borderId="0" xfId="43" applyFill="1" applyAlignment="1"/>
    <xf numFmtId="0" fontId="2" fillId="22" borderId="0" xfId="43" applyFill="1" applyAlignment="1">
      <alignment wrapText="1"/>
    </xf>
    <xf numFmtId="0" fontId="2" fillId="22" borderId="0" xfId="43" applyFill="1" applyAlignment="1">
      <alignment horizontal="center"/>
    </xf>
    <xf numFmtId="0" fontId="46" fillId="22" borderId="0" xfId="42" applyFont="1" applyFill="1" applyBorder="1" applyAlignment="1">
      <alignment horizontal="center" vertical="top"/>
    </xf>
    <xf numFmtId="0" fontId="46" fillId="22" borderId="0" xfId="42" applyFont="1" applyFill="1" applyBorder="1" applyAlignment="1">
      <alignment vertical="top"/>
    </xf>
    <xf numFmtId="0" fontId="68" fillId="22" borderId="0" xfId="42" applyFont="1" applyFill="1" applyBorder="1" applyAlignment="1">
      <alignment vertical="top"/>
    </xf>
    <xf numFmtId="0" fontId="52" fillId="22" borderId="0" xfId="0" applyFont="1" applyFill="1" applyBorder="1" applyAlignment="1">
      <alignment horizontal="center" vertical="top"/>
    </xf>
    <xf numFmtId="0" fontId="52" fillId="22" borderId="0" xfId="0" applyFont="1" applyFill="1" applyBorder="1" applyAlignment="1">
      <alignment vertical="top"/>
    </xf>
    <xf numFmtId="0" fontId="0" fillId="22" borderId="0" xfId="0" applyFont="1" applyFill="1" applyBorder="1" applyAlignment="1">
      <alignment vertical="top"/>
    </xf>
    <xf numFmtId="0" fontId="0" fillId="22" borderId="0" xfId="42" applyFont="1" applyFill="1" applyBorder="1" applyAlignment="1">
      <alignment vertical="top"/>
    </xf>
    <xf numFmtId="0" fontId="0" fillId="29" borderId="0" xfId="0" applyFont="1" applyFill="1" applyBorder="1" applyAlignment="1">
      <alignment vertical="top"/>
    </xf>
    <xf numFmtId="0" fontId="2" fillId="22" borderId="0" xfId="0" applyFont="1" applyFill="1" applyBorder="1" applyAlignment="1">
      <alignment vertical="top"/>
    </xf>
    <xf numFmtId="0" fontId="0" fillId="22" borderId="0" xfId="0" applyFill="1" applyAlignment="1">
      <alignment horizontal="center" vertical="top"/>
    </xf>
    <xf numFmtId="0" fontId="0" fillId="22" borderId="0" xfId="0" applyFill="1" applyAlignment="1">
      <alignment vertical="top"/>
    </xf>
    <xf numFmtId="0" fontId="52" fillId="22" borderId="0" xfId="0" applyFont="1" applyFill="1" applyAlignment="1">
      <alignment vertical="top"/>
    </xf>
    <xf numFmtId="0" fontId="39" fillId="22" borderId="0" xfId="0" applyFont="1" applyFill="1"/>
    <xf numFmtId="167" fontId="8" fillId="17" borderId="31" xfId="0" applyNumberFormat="1" applyFont="1" applyFill="1" applyBorder="1" applyAlignment="1">
      <alignment horizontal="center" vertical="center"/>
    </xf>
    <xf numFmtId="169" fontId="0" fillId="0" borderId="0" xfId="0" applyNumberFormat="1" applyAlignment="1">
      <alignment vertical="top" wrapText="1"/>
    </xf>
    <xf numFmtId="169" fontId="3" fillId="21" borderId="31" xfId="0" applyNumberFormat="1" applyFont="1" applyFill="1" applyBorder="1" applyAlignment="1">
      <alignment horizontal="right"/>
    </xf>
    <xf numFmtId="3" fontId="8" fillId="17" borderId="0" xfId="0" applyNumberFormat="1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vertical="center"/>
    </xf>
    <xf numFmtId="0" fontId="8" fillId="19" borderId="0" xfId="0" applyFont="1" applyFill="1" applyBorder="1" applyAlignment="1">
      <alignment horizontal="left" vertical="center" wrapText="1"/>
    </xf>
    <xf numFmtId="165" fontId="9" fillId="19" borderId="0" xfId="0" applyNumberFormat="1" applyFont="1" applyFill="1" applyBorder="1" applyAlignment="1">
      <alignment horizontal="center" vertical="center"/>
    </xf>
    <xf numFmtId="164" fontId="30" fillId="19" borderId="0" xfId="0" applyNumberFormat="1" applyFont="1" applyFill="1" applyBorder="1" applyAlignment="1">
      <alignment horizontal="right" vertical="center"/>
    </xf>
    <xf numFmtId="3" fontId="9" fillId="19" borderId="0" xfId="0" applyNumberFormat="1" applyFont="1" applyFill="1" applyBorder="1" applyAlignment="1">
      <alignment horizontal="right" vertical="center"/>
    </xf>
    <xf numFmtId="3" fontId="8" fillId="17" borderId="40" xfId="0" applyNumberFormat="1" applyFont="1" applyFill="1" applyBorder="1" applyAlignment="1">
      <alignment vertical="center"/>
    </xf>
    <xf numFmtId="3" fontId="6" fillId="17" borderId="41" xfId="0" applyNumberFormat="1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3" fontId="8" fillId="17" borderId="41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3" fontId="8" fillId="17" borderId="40" xfId="0" applyNumberFormat="1" applyFont="1" applyFill="1" applyBorder="1" applyAlignment="1">
      <alignment horizontal="right" vertical="center"/>
    </xf>
    <xf numFmtId="3" fontId="6" fillId="17" borderId="42" xfId="0" applyNumberFormat="1" applyFont="1" applyFill="1" applyBorder="1" applyAlignment="1">
      <alignment horizontal="right" vertical="center"/>
    </xf>
    <xf numFmtId="3" fontId="8" fillId="24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horizontal="right" vertical="center"/>
    </xf>
    <xf numFmtId="3" fontId="6" fillId="0" borderId="42" xfId="0" applyNumberFormat="1" applyFont="1" applyFill="1" applyBorder="1" applyAlignment="1">
      <alignment horizontal="right" vertical="center"/>
    </xf>
    <xf numFmtId="0" fontId="31" fillId="19" borderId="0" xfId="0" applyFont="1" applyFill="1" applyBorder="1" applyAlignment="1">
      <alignment horizontal="left" wrapText="1"/>
    </xf>
    <xf numFmtId="3" fontId="8" fillId="19" borderId="0" xfId="0" applyNumberFormat="1" applyFont="1" applyFill="1" applyBorder="1" applyAlignment="1">
      <alignment horizontal="center" vertical="top" wrapText="1"/>
    </xf>
    <xf numFmtId="3" fontId="6" fillId="19" borderId="0" xfId="0" applyNumberFormat="1" applyFont="1" applyFill="1" applyBorder="1" applyAlignment="1">
      <alignment horizontal="center" vertical="center"/>
    </xf>
    <xf numFmtId="3" fontId="8" fillId="23" borderId="0" xfId="0" applyNumberFormat="1" applyFont="1" applyFill="1" applyBorder="1" applyAlignment="1">
      <alignment vertical="center"/>
    </xf>
    <xf numFmtId="3" fontId="8" fillId="23" borderId="40" xfId="0" applyNumberFormat="1" applyFont="1" applyFill="1" applyBorder="1" applyAlignment="1">
      <alignment horizontal="right" vertical="center"/>
    </xf>
    <xf numFmtId="3" fontId="6" fillId="23" borderId="42" xfId="0" applyNumberFormat="1" applyFont="1" applyFill="1" applyBorder="1" applyAlignment="1">
      <alignment horizontal="right" vertical="center"/>
    </xf>
    <xf numFmtId="9" fontId="8" fillId="0" borderId="40" xfId="0" applyNumberFormat="1" applyFont="1" applyFill="1" applyBorder="1" applyAlignment="1">
      <alignment horizontal="center" vertical="center"/>
    </xf>
    <xf numFmtId="9" fontId="6" fillId="0" borderId="42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horizontal="center" vertical="top" wrapText="1"/>
    </xf>
    <xf numFmtId="3" fontId="65" fillId="17" borderId="0" xfId="0" applyNumberFormat="1" applyFont="1" applyFill="1" applyBorder="1" applyAlignment="1">
      <alignment vertical="center"/>
    </xf>
    <xf numFmtId="3" fontId="59" fillId="17" borderId="0" xfId="0" applyNumberFormat="1" applyFont="1" applyFill="1" applyBorder="1" applyAlignment="1">
      <alignment vertical="center"/>
    </xf>
    <xf numFmtId="0" fontId="6" fillId="20" borderId="16" xfId="0" applyFont="1" applyFill="1" applyBorder="1" applyAlignment="1">
      <alignment horizontal="center"/>
    </xf>
    <xf numFmtId="0" fontId="29" fillId="20" borderId="23" xfId="0" applyFont="1" applyFill="1" applyBorder="1" applyAlignment="1">
      <alignment horizontal="center"/>
    </xf>
    <xf numFmtId="0" fontId="29" fillId="20" borderId="0" xfId="0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0" fontId="6" fillId="20" borderId="23" xfId="0" applyFont="1" applyFill="1" applyBorder="1" applyAlignment="1">
      <alignment horizontal="center"/>
    </xf>
    <xf numFmtId="0" fontId="6" fillId="20" borderId="0" xfId="0" applyFont="1" applyFill="1" applyBorder="1" applyAlignment="1">
      <alignment horizontal="center"/>
    </xf>
    <xf numFmtId="0" fontId="6" fillId="20" borderId="15" xfId="0" applyFont="1" applyFill="1" applyBorder="1" applyAlignment="1">
      <alignment horizontal="center"/>
    </xf>
    <xf numFmtId="0" fontId="8" fillId="19" borderId="0" xfId="0" applyFont="1" applyFill="1" applyBorder="1" applyAlignment="1">
      <alignment horizontal="center"/>
    </xf>
    <xf numFmtId="0" fontId="6" fillId="19" borderId="0" xfId="0" applyFont="1" applyFill="1" applyBorder="1" applyAlignment="1">
      <alignment vertical="top" wrapText="1"/>
    </xf>
    <xf numFmtId="0" fontId="8" fillId="19" borderId="0" xfId="0" applyFont="1" applyFill="1" applyBorder="1" applyAlignment="1">
      <alignment vertical="top"/>
    </xf>
    <xf numFmtId="0" fontId="6" fillId="20" borderId="0" xfId="0" applyFont="1" applyFill="1" applyBorder="1" applyAlignment="1" applyProtection="1">
      <alignment horizontal="center" vertical="top"/>
      <protection locked="0"/>
    </xf>
    <xf numFmtId="0" fontId="6" fillId="20" borderId="24" xfId="0" applyFont="1" applyFill="1" applyBorder="1" applyAlignment="1">
      <alignment horizontal="center"/>
    </xf>
    <xf numFmtId="0" fontId="6" fillId="20" borderId="25" xfId="0" applyFont="1" applyFill="1" applyBorder="1" applyAlignment="1">
      <alignment horizontal="center"/>
    </xf>
    <xf numFmtId="0" fontId="6" fillId="20" borderId="27" xfId="0" applyFont="1" applyFill="1" applyBorder="1" applyAlignment="1">
      <alignment horizontal="center"/>
    </xf>
    <xf numFmtId="0" fontId="0" fillId="0" borderId="0" xfId="0" applyBorder="1" applyAlignment="1">
      <alignment vertical="top"/>
    </xf>
    <xf numFmtId="3" fontId="8" fillId="17" borderId="40" xfId="0" applyNumberFormat="1" applyFont="1" applyFill="1" applyBorder="1" applyAlignment="1" applyProtection="1">
      <alignment vertical="center"/>
      <protection locked="0"/>
    </xf>
    <xf numFmtId="3" fontId="6" fillId="17" borderId="41" xfId="0" applyNumberFormat="1" applyFont="1" applyFill="1" applyBorder="1" applyAlignment="1" applyProtection="1">
      <alignment vertical="center"/>
      <protection locked="0"/>
    </xf>
    <xf numFmtId="0" fontId="6" fillId="19" borderId="0" xfId="0" applyFont="1" applyFill="1" applyBorder="1" applyAlignment="1">
      <alignment wrapText="1"/>
    </xf>
    <xf numFmtId="0" fontId="6" fillId="19" borderId="0" xfId="0" applyFont="1" applyFill="1" applyBorder="1" applyAlignment="1">
      <alignment horizontal="left" vertical="top" wrapText="1"/>
    </xf>
    <xf numFmtId="0" fontId="0" fillId="0" borderId="0" xfId="0" applyBorder="1" applyAlignment="1">
      <alignment wrapText="1"/>
    </xf>
    <xf numFmtId="3" fontId="8" fillId="24" borderId="0" xfId="0" applyNumberFormat="1" applyFont="1" applyFill="1" applyBorder="1" applyAlignment="1">
      <alignment horizontal="right" vertical="center" indent="1"/>
    </xf>
    <xf numFmtId="0" fontId="6" fillId="24" borderId="0" xfId="0" applyFont="1" applyFill="1" applyBorder="1" applyAlignment="1">
      <alignment vertical="top" wrapText="1"/>
    </xf>
    <xf numFmtId="0" fontId="2" fillId="24" borderId="0" xfId="0" applyFont="1" applyFill="1" applyBorder="1" applyAlignment="1">
      <alignment vertical="top" wrapText="1"/>
    </xf>
    <xf numFmtId="3" fontId="8" fillId="24" borderId="0" xfId="0" applyNumberFormat="1" applyFont="1" applyFill="1" applyBorder="1" applyAlignment="1">
      <alignment horizontal="center"/>
    </xf>
    <xf numFmtId="0" fontId="8" fillId="24" borderId="0" xfId="0" applyFont="1" applyFill="1" applyBorder="1" applyAlignment="1">
      <alignment horizontal="center"/>
    </xf>
    <xf numFmtId="0" fontId="6" fillId="19" borderId="0" xfId="0" applyFont="1" applyFill="1" applyBorder="1" applyAlignment="1">
      <alignment horizontal="left" wrapText="1"/>
    </xf>
    <xf numFmtId="0" fontId="8" fillId="19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8" fillId="19" borderId="0" xfId="0" applyFont="1" applyFill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8" fillId="19" borderId="0" xfId="0" applyFont="1" applyFill="1" applyBorder="1" applyAlignment="1">
      <alignment horizontal="left" wrapText="1"/>
    </xf>
    <xf numFmtId="0" fontId="8" fillId="17" borderId="40" xfId="0" applyNumberFormat="1" applyFont="1" applyFill="1" applyBorder="1" applyAlignment="1">
      <alignment horizontal="right" vertical="center" indent="2"/>
    </xf>
    <xf numFmtId="0" fontId="6" fillId="17" borderId="42" xfId="0" applyNumberFormat="1" applyFont="1" applyFill="1" applyBorder="1" applyAlignment="1">
      <alignment horizontal="right" vertical="center" indent="2"/>
    </xf>
    <xf numFmtId="0" fontId="6" fillId="24" borderId="0" xfId="0" applyFont="1" applyFill="1" applyBorder="1" applyAlignment="1" applyProtection="1">
      <alignment vertical="top" wrapText="1"/>
    </xf>
    <xf numFmtId="0" fontId="0" fillId="24" borderId="0" xfId="0" applyFill="1" applyBorder="1" applyAlignment="1" applyProtection="1">
      <alignment vertical="top" wrapText="1"/>
    </xf>
    <xf numFmtId="0" fontId="6" fillId="24" borderId="0" xfId="0" applyFont="1" applyFill="1" applyBorder="1" applyAlignment="1" applyProtection="1">
      <alignment horizontal="left" vertical="top" wrapText="1"/>
    </xf>
    <xf numFmtId="0" fontId="8" fillId="19" borderId="0" xfId="0" applyFont="1" applyFill="1" applyBorder="1" applyAlignment="1">
      <alignment horizontal="left"/>
    </xf>
    <xf numFmtId="0" fontId="6" fillId="19" borderId="0" xfId="0" applyFont="1" applyFill="1" applyBorder="1" applyAlignment="1">
      <alignment horizontal="center"/>
    </xf>
    <xf numFmtId="0" fontId="40" fillId="19" borderId="0" xfId="0" applyFont="1" applyFill="1" applyBorder="1" applyAlignment="1">
      <alignment horizontal="center" vertical="center" wrapText="1"/>
    </xf>
    <xf numFmtId="0" fontId="40" fillId="19" borderId="0" xfId="0" applyFont="1" applyFill="1" applyBorder="1" applyAlignment="1">
      <alignment horizontal="center" vertical="center"/>
    </xf>
    <xf numFmtId="0" fontId="36" fillId="19" borderId="0" xfId="0" applyFont="1" applyFill="1" applyBorder="1" applyAlignment="1">
      <alignment horizontal="left" vertical="center" wrapText="1"/>
    </xf>
    <xf numFmtId="0" fontId="8" fillId="19" borderId="0" xfId="0" applyFont="1" applyFill="1" applyBorder="1" applyAlignment="1">
      <alignment horizontal="center" wrapText="1"/>
    </xf>
    <xf numFmtId="0" fontId="8" fillId="19" borderId="16" xfId="0" applyFont="1" applyFill="1" applyBorder="1" applyAlignment="1">
      <alignment horizontal="left" wrapText="1"/>
    </xf>
    <xf numFmtId="0" fontId="7" fillId="20" borderId="2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36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1" fillId="0" borderId="0" xfId="0" applyFont="1" applyBorder="1" applyAlignment="1">
      <alignment horizontal="left" vertical="center"/>
    </xf>
    <xf numFmtId="0" fontId="8" fillId="24" borderId="49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3" fillId="19" borderId="16" xfId="0" applyFont="1" applyFill="1" applyBorder="1" applyAlignment="1">
      <alignment horizontal="left"/>
    </xf>
    <xf numFmtId="0" fontId="8" fillId="24" borderId="19" xfId="0" applyFont="1" applyFill="1" applyBorder="1" applyAlignment="1">
      <alignment horizontal="center" vertical="center" wrapText="1"/>
    </xf>
    <xf numFmtId="0" fontId="8" fillId="24" borderId="19" xfId="0" applyFont="1" applyFill="1" applyBorder="1" applyAlignment="1">
      <alignment horizontal="center" vertical="center"/>
    </xf>
    <xf numFmtId="0" fontId="8" fillId="24" borderId="49" xfId="0" applyFont="1" applyFill="1" applyBorder="1" applyAlignment="1">
      <alignment horizontal="center" vertical="center"/>
    </xf>
    <xf numFmtId="0" fontId="8" fillId="24" borderId="0" xfId="0" applyFont="1" applyFill="1" applyBorder="1" applyAlignment="1">
      <alignment horizontal="center" vertical="center"/>
    </xf>
    <xf numFmtId="0" fontId="8" fillId="24" borderId="50" xfId="0" applyFont="1" applyFill="1" applyBorder="1" applyAlignment="1">
      <alignment horizontal="center" vertical="center"/>
    </xf>
    <xf numFmtId="0" fontId="0" fillId="0" borderId="0" xfId="0" applyBorder="1" applyAlignment="1">
      <alignment vertical="top" wrapText="1"/>
    </xf>
    <xf numFmtId="3" fontId="8" fillId="19" borderId="0" xfId="0" applyNumberFormat="1" applyFont="1" applyFill="1" applyBorder="1" applyAlignment="1">
      <alignment horizontal="center" vertical="center" wrapText="1"/>
    </xf>
    <xf numFmtId="0" fontId="3" fillId="19" borderId="0" xfId="0" applyFont="1" applyFill="1" applyBorder="1" applyAlignment="1">
      <alignment horizontal="left"/>
    </xf>
    <xf numFmtId="0" fontId="8" fillId="19" borderId="92" xfId="0" applyFont="1" applyFill="1" applyBorder="1" applyAlignment="1">
      <alignment horizontal="center" vertical="center"/>
    </xf>
    <xf numFmtId="0" fontId="7" fillId="28" borderId="23" xfId="0" applyFont="1" applyFill="1" applyBorder="1" applyAlignment="1">
      <alignment horizontal="center"/>
    </xf>
    <xf numFmtId="0" fontId="7" fillId="28" borderId="0" xfId="0" applyFont="1" applyFill="1" applyBorder="1" applyAlignment="1">
      <alignment horizontal="center"/>
    </xf>
    <xf numFmtId="0" fontId="7" fillId="28" borderId="15" xfId="0" applyFont="1" applyFill="1" applyBorder="1" applyAlignment="1">
      <alignment horizontal="center"/>
    </xf>
    <xf numFmtId="3" fontId="69" fillId="22" borderId="0" xfId="25" applyNumberFormat="1" applyFont="1" applyFill="1" applyBorder="1" applyAlignment="1" applyProtection="1">
      <alignment vertical="center"/>
      <protection locked="0"/>
    </xf>
    <xf numFmtId="0" fontId="8" fillId="19" borderId="0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top" wrapText="1"/>
    </xf>
    <xf numFmtId="0" fontId="0" fillId="0" borderId="41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166" fontId="2" fillId="0" borderId="40" xfId="0" applyNumberFormat="1" applyFont="1" applyBorder="1" applyAlignment="1">
      <alignment horizontal="center"/>
    </xf>
    <xf numFmtId="166" fontId="2" fillId="0" borderId="41" xfId="0" applyNumberFormat="1" applyFont="1" applyBorder="1" applyAlignment="1">
      <alignment horizontal="center"/>
    </xf>
    <xf numFmtId="166" fontId="2" fillId="0" borderId="42" xfId="0" applyNumberFormat="1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41" xfId="0" applyFont="1" applyFill="1" applyBorder="1" applyAlignment="1">
      <alignment horizontal="center" vertical="top" wrapText="1"/>
    </xf>
    <xf numFmtId="0" fontId="2" fillId="0" borderId="16" xfId="0" applyFont="1" applyFill="1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2" fillId="0" borderId="26" xfId="0" applyFont="1" applyFill="1" applyBorder="1" applyAlignment="1">
      <alignment horizontal="center" vertical="top" wrapText="1"/>
    </xf>
    <xf numFmtId="0" fontId="2" fillId="0" borderId="26" xfId="0" applyFont="1" applyFill="1" applyBorder="1" applyAlignment="1" applyProtection="1">
      <alignment horizontal="center" vertical="top" wrapText="1"/>
    </xf>
    <xf numFmtId="0" fontId="0" fillId="0" borderId="16" xfId="0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0" fontId="2" fillId="0" borderId="16" xfId="0" applyFont="1" applyFill="1" applyBorder="1" applyAlignment="1" applyProtection="1">
      <alignment horizontal="center" vertical="top" wrapText="1"/>
    </xf>
    <xf numFmtId="0" fontId="0" fillId="0" borderId="98" xfId="0" applyBorder="1" applyAlignment="1">
      <alignment horizontal="center" vertical="top"/>
    </xf>
    <xf numFmtId="0" fontId="0" fillId="0" borderId="98" xfId="0" applyBorder="1" applyAlignment="1">
      <alignment horizontal="center" vertical="top" wrapText="1"/>
    </xf>
    <xf numFmtId="0" fontId="3" fillId="0" borderId="26" xfId="0" applyFont="1" applyFill="1" applyBorder="1" applyAlignment="1">
      <alignment horizontal="center" vertical="top" wrapText="1"/>
    </xf>
    <xf numFmtId="3" fontId="0" fillId="0" borderId="26" xfId="0" applyNumberFormat="1" applyBorder="1" applyAlignment="1">
      <alignment horizontal="center" vertical="top" wrapText="1"/>
    </xf>
    <xf numFmtId="3" fontId="0" fillId="0" borderId="16" xfId="0" applyNumberFormat="1" applyBorder="1" applyAlignment="1">
      <alignment horizontal="center" vertical="top" wrapText="1"/>
    </xf>
    <xf numFmtId="3" fontId="0" fillId="0" borderId="17" xfId="0" applyNumberFormat="1" applyBorder="1" applyAlignment="1">
      <alignment horizontal="center" vertical="top" wrapText="1"/>
    </xf>
    <xf numFmtId="3" fontId="0" fillId="0" borderId="99" xfId="0" applyNumberFormat="1" applyBorder="1" applyAlignment="1">
      <alignment horizontal="center" vertical="top" wrapText="1"/>
    </xf>
    <xf numFmtId="3" fontId="0" fillId="0" borderId="98" xfId="0" applyNumberFormat="1" applyBorder="1" applyAlignment="1">
      <alignment horizontal="center" vertical="top" wrapText="1"/>
    </xf>
    <xf numFmtId="3" fontId="2" fillId="0" borderId="16" xfId="0" applyNumberFormat="1" applyFont="1" applyBorder="1" applyAlignment="1">
      <alignment horizontal="center" vertical="top" wrapText="1"/>
    </xf>
    <xf numFmtId="0" fontId="3" fillId="0" borderId="99" xfId="0" applyFont="1" applyFill="1" applyBorder="1" applyAlignment="1">
      <alignment horizontal="center" vertical="top" wrapText="1"/>
    </xf>
    <xf numFmtId="0" fontId="2" fillId="0" borderId="99" xfId="0" applyFont="1" applyFill="1" applyBorder="1" applyAlignment="1">
      <alignment horizontal="center" vertical="top"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3" fontId="2" fillId="0" borderId="97" xfId="0" applyNumberFormat="1" applyFont="1" applyBorder="1" applyAlignment="1">
      <alignment horizontal="center" vertical="top" wrapText="1"/>
    </xf>
    <xf numFmtId="0" fontId="0" fillId="0" borderId="96" xfId="0" applyBorder="1" applyAlignment="1">
      <alignment wrapText="1"/>
    </xf>
    <xf numFmtId="3" fontId="2" fillId="0" borderId="88" xfId="0" applyNumberFormat="1" applyFont="1" applyBorder="1" applyAlignment="1">
      <alignment horizontal="center" vertical="top" wrapText="1"/>
    </xf>
    <xf numFmtId="3" fontId="0" fillId="0" borderId="88" xfId="0" applyNumberFormat="1" applyBorder="1" applyAlignment="1">
      <alignment horizontal="center" vertical="top" wrapText="1"/>
    </xf>
    <xf numFmtId="3" fontId="0" fillId="0" borderId="97" xfId="0" applyNumberFormat="1" applyBorder="1" applyAlignment="1">
      <alignment horizontal="center" vertical="top" wrapText="1"/>
    </xf>
    <xf numFmtId="3" fontId="0" fillId="0" borderId="89" xfId="0" applyNumberFormat="1" applyBorder="1" applyAlignment="1">
      <alignment horizontal="center" vertical="top" wrapText="1"/>
    </xf>
    <xf numFmtId="3" fontId="0" fillId="0" borderId="41" xfId="0" applyNumberFormat="1" applyBorder="1" applyAlignment="1">
      <alignment horizontal="center" vertical="top" wrapText="1"/>
    </xf>
    <xf numFmtId="0" fontId="0" fillId="0" borderId="96" xfId="0" applyBorder="1" applyAlignment="1">
      <alignment horizontal="center" vertical="top" wrapText="1"/>
    </xf>
    <xf numFmtId="0" fontId="0" fillId="0" borderId="41" xfId="0" applyFill="1" applyBorder="1" applyAlignment="1">
      <alignment horizontal="center" vertical="top" wrapText="1"/>
    </xf>
    <xf numFmtId="0" fontId="48" fillId="22" borderId="0" xfId="42" applyFont="1" applyFill="1" applyBorder="1" applyAlignment="1">
      <alignment horizontal="center" wrapText="1"/>
    </xf>
    <xf numFmtId="3" fontId="50" fillId="22" borderId="0" xfId="35" applyNumberFormat="1" applyFont="1" applyFill="1" applyBorder="1" applyAlignment="1">
      <alignment horizontal="center" vertical="center" wrapText="1"/>
    </xf>
  </cellXfs>
  <cellStyles count="5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ellBAValue" xfId="27"/>
    <cellStyle name="CellBAValue 2" xfId="28"/>
    <cellStyle name="CellNationValue" xfId="29"/>
    <cellStyle name="CellUAValue" xfId="30"/>
    <cellStyle name="CellUAValue 2" xfId="31"/>
    <cellStyle name="Check Cell" xfId="32" builtinId="23" customBuiltin="1"/>
    <cellStyle name="Comma" xfId="33" builtinId="3"/>
    <cellStyle name="Explanatory Text" xfId="34" builtinId="53" customBuiltin="1"/>
    <cellStyle name="Good" xfId="35" builtinId="26" customBuiltin="1"/>
    <cellStyle name="Good 2" xfId="53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Input" xfId="40" builtinId="20" customBuiltin="1"/>
    <cellStyle name="Linked Cell" xfId="41" builtinId="24" customBuiltin="1"/>
    <cellStyle name="Neutral" xfId="42" builtinId="28" customBuiltin="1"/>
    <cellStyle name="Normal" xfId="0" builtinId="0"/>
    <cellStyle name="Normal 2" xfId="43"/>
    <cellStyle name="Normal 3" xfId="51"/>
    <cellStyle name="Normal_10-11 Data (2009)" xfId="50"/>
    <cellStyle name="Normal_CTB Data down load" xfId="49"/>
    <cellStyle name="Note" xfId="44" builtinId="10" customBuiltin="1"/>
    <cellStyle name="Note 2" xfId="52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6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CC"/>
      <color rgb="FF99CCFF"/>
      <color rgb="FFFFFF99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List" dx="16" fmlaLink="F1" fmlaRange="Sheet1!$A$1:$A$327" noThreeD="1" sel="327" val="3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142875</xdr:rowOff>
    </xdr:from>
    <xdr:to>
      <xdr:col>4</xdr:col>
      <xdr:colOff>333375</xdr:colOff>
      <xdr:row>4</xdr:row>
      <xdr:rowOff>114300</xdr:rowOff>
    </xdr:to>
    <xdr:pic>
      <xdr:nvPicPr>
        <xdr:cNvPr id="5" name="Picture 1" descr="DCLG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18954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7</xdr:row>
          <xdr:rowOff>85725</xdr:rowOff>
        </xdr:from>
        <xdr:to>
          <xdr:col>13</xdr:col>
          <xdr:colOff>523875</xdr:colOff>
          <xdr:row>10</xdr:row>
          <xdr:rowOff>57150</xdr:rowOff>
        </xdr:to>
        <xdr:sp macro="" textlink="">
          <xdr:nvSpPr>
            <xdr:cNvPr id="2055" name="List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GF3Data\NNDR%201%20-%203\NNDR1\2013-14\Docs%20to%20LAS\NNDR1%20Form%202013-14%20V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CER%2013-14_Version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GF3Data/Non%20National%20Statistics%20Releases/NNDR%20drop%20down/Outturn/NNDR3%202013-14%20drop%20dow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ktop21.dclg.gov.uk\DCLGDFS\LGF3Data\NNDR%201%20-%203\NNDR1\2016-17\Docs%20to%20LAS\NNDR1%202016-17%20form%20v1.3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NDR1 Form"/>
      <sheetName val="Validation"/>
      <sheetName val="Supplementary Information"/>
      <sheetName val="Supplementary Validation"/>
      <sheetName val="Parameters"/>
      <sheetName val="DATA"/>
      <sheetName val="Tier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A"/>
      <sheetName val="Memorandum, Sects B &amp; C"/>
      <sheetName val="Section D"/>
      <sheetName val="Section E"/>
      <sheetName val="PWLB CR"/>
      <sheetName val="Validation"/>
      <sheetName val="Dat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1"/>
      <sheetName val="Part 2"/>
      <sheetName val="Part 3"/>
      <sheetName val="Part 4"/>
      <sheetName val="Part 5"/>
      <sheetName val="Data"/>
      <sheetName val="Datasheet1"/>
      <sheetName val="Datasheet2"/>
      <sheetName val="Datasheet3"/>
      <sheetName val="Datasheet4"/>
      <sheetName val="Data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15316575</v>
          </cell>
          <cell r="G8">
            <v>582195</v>
          </cell>
          <cell r="H8">
            <v>0</v>
          </cell>
          <cell r="I8">
            <v>84623</v>
          </cell>
          <cell r="J8">
            <v>0</v>
          </cell>
          <cell r="K8">
            <v>84623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15814147</v>
          </cell>
          <cell r="S8" t="str">
            <v>Adur</v>
          </cell>
          <cell r="T8" t="str">
            <v>West Sussex</v>
          </cell>
          <cell r="U8" t="str">
            <v>County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24470860</v>
          </cell>
          <cell r="G9">
            <v>0</v>
          </cell>
          <cell r="H9">
            <v>79288</v>
          </cell>
          <cell r="I9">
            <v>182676</v>
          </cell>
          <cell r="J9">
            <v>0</v>
          </cell>
          <cell r="K9">
            <v>182676</v>
          </cell>
          <cell r="L9">
            <v>0</v>
          </cell>
          <cell r="M9">
            <v>0</v>
          </cell>
          <cell r="N9">
            <v>0</v>
          </cell>
          <cell r="O9">
            <v>151152</v>
          </cell>
          <cell r="P9">
            <v>151152</v>
          </cell>
          <cell r="Q9">
            <v>0</v>
          </cell>
          <cell r="R9">
            <v>24057744</v>
          </cell>
          <cell r="S9" t="str">
            <v>Allerdale</v>
          </cell>
          <cell r="T9" t="str">
            <v>Cumbria</v>
          </cell>
          <cell r="U9" t="str">
            <v>County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29358623</v>
          </cell>
          <cell r="G10">
            <v>0</v>
          </cell>
          <cell r="H10">
            <v>40549</v>
          </cell>
          <cell r="I10">
            <v>154747</v>
          </cell>
          <cell r="J10">
            <v>0</v>
          </cell>
          <cell r="K10">
            <v>154747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29163327</v>
          </cell>
          <cell r="S10" t="str">
            <v>Amber Valley</v>
          </cell>
          <cell r="T10" t="str">
            <v>Derbyshire</v>
          </cell>
          <cell r="U10" t="str">
            <v>Derbyshire Fire Authority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30802771</v>
          </cell>
          <cell r="G11">
            <v>0</v>
          </cell>
          <cell r="H11">
            <v>193851</v>
          </cell>
          <cell r="I11">
            <v>173257</v>
          </cell>
          <cell r="J11">
            <v>0</v>
          </cell>
          <cell r="K11">
            <v>173257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30435663</v>
          </cell>
          <cell r="S11" t="str">
            <v>Arun</v>
          </cell>
          <cell r="T11" t="str">
            <v>West Sussex</v>
          </cell>
          <cell r="U11" t="str">
            <v>County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31222880</v>
          </cell>
          <cell r="G12">
            <v>0</v>
          </cell>
          <cell r="H12">
            <v>150387</v>
          </cell>
          <cell r="I12">
            <v>127890</v>
          </cell>
          <cell r="J12">
            <v>0</v>
          </cell>
          <cell r="K12">
            <v>127890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30944603</v>
          </cell>
          <cell r="S12" t="str">
            <v>Ashfield</v>
          </cell>
          <cell r="T12" t="str">
            <v>Nottinghamshire</v>
          </cell>
          <cell r="U12" t="str">
            <v>Nottinghamshire Fire Authority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41723504</v>
          </cell>
          <cell r="G13">
            <v>197559</v>
          </cell>
          <cell r="H13">
            <v>0</v>
          </cell>
          <cell r="I13">
            <v>179047</v>
          </cell>
          <cell r="J13">
            <v>0</v>
          </cell>
          <cell r="K13">
            <v>179047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41742016</v>
          </cell>
          <cell r="S13" t="str">
            <v>Ashford</v>
          </cell>
          <cell r="T13" t="str">
            <v>Kent</v>
          </cell>
          <cell r="U13" t="str">
            <v>Kent Fire Authority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43943522</v>
          </cell>
          <cell r="G14">
            <v>240854</v>
          </cell>
          <cell r="H14">
            <v>0</v>
          </cell>
          <cell r="I14">
            <v>223664</v>
          </cell>
          <cell r="J14">
            <v>0</v>
          </cell>
          <cell r="K14">
            <v>223664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43960712</v>
          </cell>
          <cell r="S14" t="str">
            <v>Aylesbury Vale</v>
          </cell>
          <cell r="T14" t="str">
            <v>Buckinghamshire</v>
          </cell>
          <cell r="U14" t="str">
            <v>Buckinghamshire Fire Authority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22206080</v>
          </cell>
          <cell r="G15">
            <v>0</v>
          </cell>
          <cell r="H15">
            <v>54783</v>
          </cell>
          <cell r="I15">
            <v>126602</v>
          </cell>
          <cell r="J15">
            <v>0</v>
          </cell>
          <cell r="K15">
            <v>126602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22024695</v>
          </cell>
          <cell r="S15" t="str">
            <v>Babergh</v>
          </cell>
          <cell r="T15" t="str">
            <v>Suffolk</v>
          </cell>
          <cell r="U15" t="str">
            <v>County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46983988</v>
          </cell>
          <cell r="G16">
            <v>852015</v>
          </cell>
          <cell r="H16">
            <v>0</v>
          </cell>
          <cell r="I16">
            <v>205809</v>
          </cell>
          <cell r="J16">
            <v>0</v>
          </cell>
          <cell r="K16">
            <v>205809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47630194</v>
          </cell>
          <cell r="S16" t="str">
            <v>Barking &amp; Dagenham</v>
          </cell>
          <cell r="T16" t="str">
            <v>Greater London Authority</v>
          </cell>
          <cell r="U16" t="str">
            <v>NA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105499228</v>
          </cell>
          <cell r="G17">
            <v>0</v>
          </cell>
          <cell r="H17">
            <v>1217017</v>
          </cell>
          <cell r="I17">
            <v>419218</v>
          </cell>
          <cell r="J17">
            <v>0</v>
          </cell>
          <cell r="K17">
            <v>419218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103862993</v>
          </cell>
          <cell r="S17" t="str">
            <v>Barnet</v>
          </cell>
          <cell r="T17" t="str">
            <v>Greater London Authority</v>
          </cell>
          <cell r="U17" t="str">
            <v>NA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49993307</v>
          </cell>
          <cell r="G18">
            <v>256410</v>
          </cell>
          <cell r="H18">
            <v>0</v>
          </cell>
          <cell r="I18">
            <v>271283</v>
          </cell>
          <cell r="J18">
            <v>0</v>
          </cell>
          <cell r="K18">
            <v>271283</v>
          </cell>
          <cell r="L18">
            <v>0</v>
          </cell>
          <cell r="M18">
            <v>222673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49755761</v>
          </cell>
          <cell r="S18" t="str">
            <v>Barnsley</v>
          </cell>
          <cell r="T18" t="str">
            <v>MD</v>
          </cell>
          <cell r="U18" t="str">
            <v>South Yorkshire Fire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22361233</v>
          </cell>
          <cell r="G19">
            <v>107526</v>
          </cell>
          <cell r="H19">
            <v>0</v>
          </cell>
          <cell r="I19">
            <v>99249</v>
          </cell>
          <cell r="J19">
            <v>0</v>
          </cell>
          <cell r="K19">
            <v>99249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22369510</v>
          </cell>
          <cell r="S19" t="str">
            <v>Barrow-in-Furness</v>
          </cell>
          <cell r="T19" t="str">
            <v>Cumbria</v>
          </cell>
          <cell r="U19" t="str">
            <v>County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70142606</v>
          </cell>
          <cell r="G20">
            <v>0</v>
          </cell>
          <cell r="H20">
            <v>484666</v>
          </cell>
          <cell r="I20">
            <v>236652</v>
          </cell>
          <cell r="J20">
            <v>0</v>
          </cell>
          <cell r="K20">
            <v>236652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69421288</v>
          </cell>
          <cell r="S20" t="str">
            <v>Basildon</v>
          </cell>
          <cell r="T20" t="str">
            <v>Essex</v>
          </cell>
          <cell r="U20" t="str">
            <v>Essex Fire Authority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67059845</v>
          </cell>
          <cell r="G21">
            <v>232326</v>
          </cell>
          <cell r="H21">
            <v>0</v>
          </cell>
          <cell r="I21">
            <v>206499</v>
          </cell>
          <cell r="J21">
            <v>0</v>
          </cell>
          <cell r="K21">
            <v>206499</v>
          </cell>
          <cell r="L21">
            <v>0</v>
          </cell>
          <cell r="M21">
            <v>0</v>
          </cell>
          <cell r="N21">
            <v>0</v>
          </cell>
          <cell r="O21">
            <v>46806</v>
          </cell>
          <cell r="P21">
            <v>46806</v>
          </cell>
          <cell r="Q21">
            <v>0</v>
          </cell>
          <cell r="R21">
            <v>67038866</v>
          </cell>
          <cell r="S21" t="str">
            <v>Basingstoke &amp; Deane</v>
          </cell>
          <cell r="T21" t="str">
            <v>Hampshire</v>
          </cell>
          <cell r="U21" t="str">
            <v>Hampshire Fire Authority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37914897</v>
          </cell>
          <cell r="G22">
            <v>1608236</v>
          </cell>
          <cell r="H22">
            <v>0</v>
          </cell>
          <cell r="I22">
            <v>167257</v>
          </cell>
          <cell r="J22">
            <v>0</v>
          </cell>
          <cell r="K22">
            <v>167257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39355876</v>
          </cell>
          <cell r="S22" t="str">
            <v>Bassetlaw</v>
          </cell>
          <cell r="T22" t="str">
            <v>Nottinghamshire</v>
          </cell>
          <cell r="U22" t="str">
            <v>Nottinghamshire Fire Authority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59763173</v>
          </cell>
          <cell r="G23">
            <v>57285</v>
          </cell>
          <cell r="H23">
            <v>0</v>
          </cell>
          <cell r="I23">
            <v>260612</v>
          </cell>
          <cell r="J23">
            <v>0</v>
          </cell>
          <cell r="K23">
            <v>260612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59559846</v>
          </cell>
          <cell r="S23" t="str">
            <v>Bath &amp; North East Somerset UA</v>
          </cell>
          <cell r="T23" t="str">
            <v>UA</v>
          </cell>
          <cell r="U23" t="str">
            <v>Avon Fire Authority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60879789</v>
          </cell>
          <cell r="G24">
            <v>501020</v>
          </cell>
          <cell r="H24">
            <v>0</v>
          </cell>
          <cell r="I24">
            <v>233924</v>
          </cell>
          <cell r="J24">
            <v>0</v>
          </cell>
          <cell r="K24">
            <v>233924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61146885</v>
          </cell>
          <cell r="S24" t="str">
            <v>Bedford UA</v>
          </cell>
          <cell r="T24" t="str">
            <v>UA</v>
          </cell>
          <cell r="U24" t="str">
            <v>Bedfordshire Fire Authority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62168680</v>
          </cell>
          <cell r="G25">
            <v>0</v>
          </cell>
          <cell r="H25">
            <v>391567</v>
          </cell>
          <cell r="I25">
            <v>263898</v>
          </cell>
          <cell r="J25">
            <v>0</v>
          </cell>
          <cell r="K25">
            <v>263898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61513215</v>
          </cell>
          <cell r="S25" t="str">
            <v>Bexley</v>
          </cell>
          <cell r="T25" t="str">
            <v>Greater London Authority</v>
          </cell>
          <cell r="U25" t="str">
            <v>NA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362105023</v>
          </cell>
          <cell r="G26">
            <v>0</v>
          </cell>
          <cell r="H26">
            <v>454744</v>
          </cell>
          <cell r="I26">
            <v>1925174</v>
          </cell>
          <cell r="J26">
            <v>0</v>
          </cell>
          <cell r="K26">
            <v>1925174</v>
          </cell>
          <cell r="L26">
            <v>0</v>
          </cell>
          <cell r="M26">
            <v>270833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359454272</v>
          </cell>
          <cell r="S26" t="str">
            <v>Birmingham</v>
          </cell>
          <cell r="T26" t="str">
            <v>MD</v>
          </cell>
          <cell r="U26" t="str">
            <v>West Midlands Fire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36902495</v>
          </cell>
          <cell r="G27">
            <v>127587</v>
          </cell>
          <cell r="H27">
            <v>0</v>
          </cell>
          <cell r="I27">
            <v>101281</v>
          </cell>
          <cell r="J27">
            <v>0</v>
          </cell>
          <cell r="K27">
            <v>101281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36928801</v>
          </cell>
          <cell r="S27" t="str">
            <v>Blaby</v>
          </cell>
          <cell r="T27" t="str">
            <v>Leicestershire</v>
          </cell>
          <cell r="U27" t="str">
            <v>Leicestershire Fire Authority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42385387</v>
          </cell>
          <cell r="G28">
            <v>0</v>
          </cell>
          <cell r="H28">
            <v>121638</v>
          </cell>
          <cell r="I28">
            <v>252639</v>
          </cell>
          <cell r="J28">
            <v>0</v>
          </cell>
          <cell r="K28">
            <v>252639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42011110</v>
          </cell>
          <cell r="S28" t="str">
            <v>Blackburn with Darwen UA</v>
          </cell>
          <cell r="T28" t="str">
            <v>UA</v>
          </cell>
          <cell r="U28" t="str">
            <v>Lancashire Fire Authority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43242389</v>
          </cell>
          <cell r="G29">
            <v>97075</v>
          </cell>
          <cell r="H29">
            <v>0</v>
          </cell>
          <cell r="I29">
            <v>279753</v>
          </cell>
          <cell r="J29">
            <v>0</v>
          </cell>
          <cell r="K29">
            <v>279753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43059711</v>
          </cell>
          <cell r="S29" t="str">
            <v>Blackpool UA</v>
          </cell>
          <cell r="T29" t="str">
            <v>UA</v>
          </cell>
          <cell r="U29" t="str">
            <v>Lancashire Fire Authority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20555015</v>
          </cell>
          <cell r="G30">
            <v>0</v>
          </cell>
          <cell r="H30">
            <v>85340</v>
          </cell>
          <cell r="I30">
            <v>93264</v>
          </cell>
          <cell r="J30">
            <v>0</v>
          </cell>
          <cell r="K30">
            <v>93264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20376411</v>
          </cell>
          <cell r="S30" t="str">
            <v>Bolsover</v>
          </cell>
          <cell r="T30" t="str">
            <v>Derbyshire</v>
          </cell>
          <cell r="U30" t="str">
            <v>Derbyshire Fire Authority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72354279</v>
          </cell>
          <cell r="G31">
            <v>0</v>
          </cell>
          <cell r="H31">
            <v>502008</v>
          </cell>
          <cell r="I31">
            <v>407353</v>
          </cell>
          <cell r="J31">
            <v>0</v>
          </cell>
          <cell r="K31">
            <v>407353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71444918</v>
          </cell>
          <cell r="S31" t="str">
            <v>Bolton</v>
          </cell>
          <cell r="T31" t="str">
            <v>MD</v>
          </cell>
          <cell r="U31" t="str">
            <v>Greater Manchester Fire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16770915</v>
          </cell>
          <cell r="G32">
            <v>0</v>
          </cell>
          <cell r="H32">
            <v>32033</v>
          </cell>
          <cell r="I32">
            <v>87470</v>
          </cell>
          <cell r="J32">
            <v>0</v>
          </cell>
          <cell r="K32">
            <v>87470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16651412</v>
          </cell>
          <cell r="S32" t="str">
            <v>Boston</v>
          </cell>
          <cell r="T32" t="str">
            <v>Lincolnshire</v>
          </cell>
          <cell r="U32" t="str">
            <v>County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60802533</v>
          </cell>
          <cell r="G33">
            <v>0</v>
          </cell>
          <cell r="H33">
            <v>1145320</v>
          </cell>
          <cell r="I33">
            <v>305765</v>
          </cell>
          <cell r="J33">
            <v>0</v>
          </cell>
          <cell r="K33">
            <v>305765</v>
          </cell>
          <cell r="L33">
            <v>0</v>
          </cell>
          <cell r="M33">
            <v>0</v>
          </cell>
          <cell r="N33">
            <v>0</v>
          </cell>
          <cell r="O33">
            <v>360</v>
          </cell>
          <cell r="P33">
            <v>360</v>
          </cell>
          <cell r="Q33">
            <v>0</v>
          </cell>
          <cell r="R33">
            <v>59351088</v>
          </cell>
          <cell r="S33" t="str">
            <v>Bournemouth UA</v>
          </cell>
          <cell r="T33" t="str">
            <v>UA</v>
          </cell>
          <cell r="U33" t="str">
            <v>Dorset Fire Authority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66398242</v>
          </cell>
          <cell r="G34">
            <v>0</v>
          </cell>
          <cell r="H34">
            <v>871766</v>
          </cell>
          <cell r="I34">
            <v>143520</v>
          </cell>
          <cell r="J34">
            <v>0</v>
          </cell>
          <cell r="K34">
            <v>143520</v>
          </cell>
          <cell r="L34">
            <v>0</v>
          </cell>
          <cell r="M34">
            <v>0</v>
          </cell>
          <cell r="N34">
            <v>0</v>
          </cell>
          <cell r="O34">
            <v>730</v>
          </cell>
          <cell r="P34">
            <v>730</v>
          </cell>
          <cell r="Q34">
            <v>0</v>
          </cell>
          <cell r="R34">
            <v>65382226</v>
          </cell>
          <cell r="S34" t="str">
            <v>Bracknell Forest UA</v>
          </cell>
          <cell r="T34" t="str">
            <v>UA</v>
          </cell>
          <cell r="U34" t="str">
            <v>Berkshire Fire Authority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124277601</v>
          </cell>
          <cell r="G35">
            <v>0</v>
          </cell>
          <cell r="H35">
            <v>1009179</v>
          </cell>
          <cell r="I35">
            <v>734055</v>
          </cell>
          <cell r="J35">
            <v>0</v>
          </cell>
          <cell r="K35">
            <v>734055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122534367</v>
          </cell>
          <cell r="S35" t="str">
            <v>Bradford</v>
          </cell>
          <cell r="T35" t="str">
            <v>MD</v>
          </cell>
          <cell r="U35" t="str">
            <v>West Yorkshire Fire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38649110</v>
          </cell>
          <cell r="G36">
            <v>2639</v>
          </cell>
          <cell r="H36">
            <v>0</v>
          </cell>
          <cell r="I36">
            <v>186394</v>
          </cell>
          <cell r="J36">
            <v>0</v>
          </cell>
          <cell r="K36">
            <v>186394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38465355</v>
          </cell>
          <cell r="S36" t="str">
            <v>Braintree</v>
          </cell>
          <cell r="T36" t="str">
            <v>Essex</v>
          </cell>
          <cell r="U36" t="str">
            <v>Essex Fire Authority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27305624</v>
          </cell>
          <cell r="G37">
            <v>322365</v>
          </cell>
          <cell r="H37">
            <v>0</v>
          </cell>
          <cell r="I37">
            <v>167038</v>
          </cell>
          <cell r="J37">
            <v>0</v>
          </cell>
          <cell r="K37">
            <v>167038</v>
          </cell>
          <cell r="L37">
            <v>0</v>
          </cell>
          <cell r="M37">
            <v>0</v>
          </cell>
          <cell r="N37">
            <v>0</v>
          </cell>
          <cell r="O37">
            <v>29673</v>
          </cell>
          <cell r="P37">
            <v>29673</v>
          </cell>
          <cell r="Q37">
            <v>0</v>
          </cell>
          <cell r="R37">
            <v>27431278</v>
          </cell>
          <cell r="S37" t="str">
            <v>Breckland</v>
          </cell>
          <cell r="T37" t="str">
            <v>Norfolk</v>
          </cell>
          <cell r="U37" t="str">
            <v>County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101517639</v>
          </cell>
          <cell r="G38">
            <v>72046</v>
          </cell>
          <cell r="H38">
            <v>0</v>
          </cell>
          <cell r="I38">
            <v>416951</v>
          </cell>
          <cell r="J38">
            <v>0</v>
          </cell>
          <cell r="K38">
            <v>416951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101172734</v>
          </cell>
          <cell r="S38" t="str">
            <v>Brent</v>
          </cell>
          <cell r="T38" t="str">
            <v>Greater London Authority</v>
          </cell>
          <cell r="U38" t="str">
            <v>NA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26918621</v>
          </cell>
          <cell r="G39">
            <v>0</v>
          </cell>
          <cell r="H39">
            <v>108564</v>
          </cell>
          <cell r="I39">
            <v>104553</v>
          </cell>
          <cell r="J39">
            <v>0</v>
          </cell>
          <cell r="K39">
            <v>104553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26705504</v>
          </cell>
          <cell r="S39" t="str">
            <v>Brentwood</v>
          </cell>
          <cell r="T39" t="str">
            <v>Essex</v>
          </cell>
          <cell r="U39" t="str">
            <v>Essex Fire Authority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98258731</v>
          </cell>
          <cell r="G40">
            <v>0</v>
          </cell>
          <cell r="H40">
            <v>301034</v>
          </cell>
          <cell r="I40">
            <v>417809</v>
          </cell>
          <cell r="J40">
            <v>0</v>
          </cell>
          <cell r="K40">
            <v>417809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97539888</v>
          </cell>
          <cell r="S40" t="str">
            <v>Brighton &amp; Hove UA</v>
          </cell>
          <cell r="T40" t="str">
            <v>UA</v>
          </cell>
          <cell r="U40" t="str">
            <v>East Sussex Fire Authority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190125436</v>
          </cell>
          <cell r="G41">
            <v>2172744</v>
          </cell>
          <cell r="H41">
            <v>0</v>
          </cell>
          <cell r="I41">
            <v>720617</v>
          </cell>
          <cell r="J41">
            <v>0</v>
          </cell>
          <cell r="K41">
            <v>720617</v>
          </cell>
          <cell r="L41">
            <v>0</v>
          </cell>
          <cell r="M41">
            <v>0</v>
          </cell>
          <cell r="N41">
            <v>0</v>
          </cell>
          <cell r="O41">
            <v>221</v>
          </cell>
          <cell r="P41">
            <v>221</v>
          </cell>
          <cell r="Q41">
            <v>0</v>
          </cell>
          <cell r="R41">
            <v>191577342</v>
          </cell>
          <cell r="S41" t="str">
            <v>Bristol UA</v>
          </cell>
          <cell r="T41" t="str">
            <v>UA</v>
          </cell>
          <cell r="U41" t="str">
            <v>Avon Fire Authority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28928828</v>
          </cell>
          <cell r="G42">
            <v>0</v>
          </cell>
          <cell r="H42">
            <v>277283</v>
          </cell>
          <cell r="I42">
            <v>136365</v>
          </cell>
          <cell r="J42">
            <v>0</v>
          </cell>
          <cell r="K42">
            <v>136365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28515180</v>
          </cell>
          <cell r="S42" t="str">
            <v>Broadland</v>
          </cell>
          <cell r="T42" t="str">
            <v>Norfolk</v>
          </cell>
          <cell r="U42" t="str">
            <v>County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82968502</v>
          </cell>
          <cell r="G43">
            <v>0</v>
          </cell>
          <cell r="H43">
            <v>376044</v>
          </cell>
          <cell r="I43">
            <v>347530</v>
          </cell>
          <cell r="J43">
            <v>0</v>
          </cell>
          <cell r="K43">
            <v>347530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82244928</v>
          </cell>
          <cell r="S43" t="str">
            <v>Bromley</v>
          </cell>
          <cell r="T43" t="str">
            <v>Greater London Authority</v>
          </cell>
          <cell r="U43" t="str">
            <v>NA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25301394</v>
          </cell>
          <cell r="G44">
            <v>0</v>
          </cell>
          <cell r="H44">
            <v>218888</v>
          </cell>
          <cell r="I44">
            <v>124548</v>
          </cell>
          <cell r="J44">
            <v>0</v>
          </cell>
          <cell r="K44">
            <v>124548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24957958</v>
          </cell>
          <cell r="S44" t="str">
            <v>Bromsgrove</v>
          </cell>
          <cell r="T44" t="str">
            <v>Worcestershire</v>
          </cell>
          <cell r="U44" t="str">
            <v>Hereford and Worcester Fire Authority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37746624</v>
          </cell>
          <cell r="G45">
            <v>955474</v>
          </cell>
          <cell r="H45">
            <v>0</v>
          </cell>
          <cell r="I45">
            <v>116696</v>
          </cell>
          <cell r="J45">
            <v>0</v>
          </cell>
          <cell r="K45">
            <v>116696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38585402</v>
          </cell>
          <cell r="S45" t="str">
            <v>Broxbourne</v>
          </cell>
          <cell r="T45" t="str">
            <v>Hertfordshire</v>
          </cell>
          <cell r="U45" t="str">
            <v>County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22756880</v>
          </cell>
          <cell r="G46">
            <v>0</v>
          </cell>
          <cell r="H46">
            <v>111699</v>
          </cell>
          <cell r="I46">
            <v>108209</v>
          </cell>
          <cell r="J46">
            <v>0</v>
          </cell>
          <cell r="K46">
            <v>108209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22536972</v>
          </cell>
          <cell r="S46" t="str">
            <v>Broxtowe</v>
          </cell>
          <cell r="T46" t="str">
            <v>Nottinghamshire</v>
          </cell>
          <cell r="U46" t="str">
            <v>Nottinghamshire Fire Authority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25693691</v>
          </cell>
          <cell r="G47">
            <v>40086</v>
          </cell>
          <cell r="H47">
            <v>0</v>
          </cell>
          <cell r="I47">
            <v>147506</v>
          </cell>
          <cell r="J47">
            <v>0</v>
          </cell>
          <cell r="K47">
            <v>147506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25586271</v>
          </cell>
          <cell r="S47" t="str">
            <v>Burnley</v>
          </cell>
          <cell r="T47" t="str">
            <v>Lancashire</v>
          </cell>
          <cell r="U47" t="str">
            <v>Lancashire Fire Authority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47252304</v>
          </cell>
          <cell r="G48">
            <v>6825</v>
          </cell>
          <cell r="H48">
            <v>0</v>
          </cell>
          <cell r="I48">
            <v>240185</v>
          </cell>
          <cell r="J48">
            <v>0</v>
          </cell>
          <cell r="K48">
            <v>240185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47018944</v>
          </cell>
          <cell r="S48" t="str">
            <v>Bury</v>
          </cell>
          <cell r="T48" t="str">
            <v>MD</v>
          </cell>
          <cell r="U48" t="str">
            <v>Greater Manchester Fire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56061719</v>
          </cell>
          <cell r="G49">
            <v>0</v>
          </cell>
          <cell r="H49">
            <v>176987</v>
          </cell>
          <cell r="I49">
            <v>350658</v>
          </cell>
          <cell r="J49">
            <v>0</v>
          </cell>
          <cell r="K49">
            <v>350658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55534074</v>
          </cell>
          <cell r="S49" t="str">
            <v>Calderdale</v>
          </cell>
          <cell r="T49" t="str">
            <v>MD</v>
          </cell>
          <cell r="U49" t="str">
            <v>West Yorkshire Fire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85441520</v>
          </cell>
          <cell r="G50">
            <v>0</v>
          </cell>
          <cell r="H50">
            <v>453739</v>
          </cell>
          <cell r="I50">
            <v>227587</v>
          </cell>
          <cell r="J50">
            <v>0</v>
          </cell>
          <cell r="K50">
            <v>227587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84760194</v>
          </cell>
          <cell r="S50" t="str">
            <v>Cambridge</v>
          </cell>
          <cell r="T50" t="str">
            <v>Cambridgeshire</v>
          </cell>
          <cell r="U50" t="str">
            <v>Cambridgeshire Fire Authority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459166477</v>
          </cell>
          <cell r="G51">
            <v>0</v>
          </cell>
          <cell r="H51">
            <v>4635783</v>
          </cell>
          <cell r="I51">
            <v>1202147</v>
          </cell>
          <cell r="J51">
            <v>0</v>
          </cell>
          <cell r="K51">
            <v>1202147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453328547</v>
          </cell>
          <cell r="S51" t="str">
            <v>Camden</v>
          </cell>
          <cell r="T51" t="str">
            <v>Greater London Authority</v>
          </cell>
          <cell r="U51" t="str">
            <v>NA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31602926</v>
          </cell>
          <cell r="G52">
            <v>908972</v>
          </cell>
          <cell r="H52">
            <v>0</v>
          </cell>
          <cell r="I52">
            <v>138250</v>
          </cell>
          <cell r="J52">
            <v>0</v>
          </cell>
          <cell r="K52">
            <v>138250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32373648</v>
          </cell>
          <cell r="S52" t="str">
            <v>Cannock Chase</v>
          </cell>
          <cell r="T52" t="str">
            <v>Staffordshire</v>
          </cell>
          <cell r="U52" t="str">
            <v>Staffordshire Fire Authority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49813433</v>
          </cell>
          <cell r="G53">
            <v>0</v>
          </cell>
          <cell r="H53">
            <v>104466</v>
          </cell>
          <cell r="I53">
            <v>229695</v>
          </cell>
          <cell r="J53">
            <v>0</v>
          </cell>
          <cell r="K53">
            <v>229695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49479272</v>
          </cell>
          <cell r="S53" t="str">
            <v>Canterbury</v>
          </cell>
          <cell r="T53" t="str">
            <v>Kent</v>
          </cell>
          <cell r="U53" t="str">
            <v>Kent Fire Authority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38823098</v>
          </cell>
          <cell r="G54">
            <v>0</v>
          </cell>
          <cell r="H54">
            <v>138140</v>
          </cell>
          <cell r="I54">
            <v>180543</v>
          </cell>
          <cell r="J54">
            <v>0</v>
          </cell>
          <cell r="K54">
            <v>180543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38504415</v>
          </cell>
          <cell r="S54" t="str">
            <v>Carlisle</v>
          </cell>
          <cell r="T54" t="str">
            <v>Cumbria</v>
          </cell>
          <cell r="U54" t="str">
            <v>County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14422756</v>
          </cell>
          <cell r="G55">
            <v>113858</v>
          </cell>
          <cell r="H55">
            <v>0</v>
          </cell>
          <cell r="I55">
            <v>81864</v>
          </cell>
          <cell r="J55">
            <v>0</v>
          </cell>
          <cell r="K55">
            <v>81864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14454750</v>
          </cell>
          <cell r="S55" t="str">
            <v>Castle Point</v>
          </cell>
          <cell r="T55" t="str">
            <v>Essex</v>
          </cell>
          <cell r="U55" t="str">
            <v>Essex Fire Authority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71556743</v>
          </cell>
          <cell r="G56">
            <v>194039</v>
          </cell>
          <cell r="H56">
            <v>0</v>
          </cell>
          <cell r="I56">
            <v>315029</v>
          </cell>
          <cell r="J56">
            <v>0</v>
          </cell>
          <cell r="K56">
            <v>315029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71435753</v>
          </cell>
          <cell r="S56" t="str">
            <v>Central Bedfordshire UA</v>
          </cell>
          <cell r="T56" t="str">
            <v>UA</v>
          </cell>
          <cell r="U56" t="str">
            <v>Bedfordshire Fire Authority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40456769</v>
          </cell>
          <cell r="G57">
            <v>8316</v>
          </cell>
          <cell r="H57">
            <v>0</v>
          </cell>
          <cell r="I57">
            <v>194292</v>
          </cell>
          <cell r="J57">
            <v>0</v>
          </cell>
          <cell r="K57">
            <v>194292</v>
          </cell>
          <cell r="L57">
            <v>0</v>
          </cell>
          <cell r="M57">
            <v>0</v>
          </cell>
          <cell r="N57">
            <v>0</v>
          </cell>
          <cell r="O57">
            <v>121606</v>
          </cell>
          <cell r="P57">
            <v>121606</v>
          </cell>
          <cell r="Q57">
            <v>0</v>
          </cell>
          <cell r="R57">
            <v>40149187</v>
          </cell>
          <cell r="S57" t="str">
            <v>Charnwood</v>
          </cell>
          <cell r="T57" t="str">
            <v>Leicestershire</v>
          </cell>
          <cell r="U57" t="str">
            <v>Leicestershire Fire Authority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72499066</v>
          </cell>
          <cell r="G58">
            <v>0</v>
          </cell>
          <cell r="H58">
            <v>233914</v>
          </cell>
          <cell r="I58">
            <v>224329</v>
          </cell>
          <cell r="J58">
            <v>0</v>
          </cell>
          <cell r="K58">
            <v>224329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72040823</v>
          </cell>
          <cell r="S58" t="str">
            <v>Chelmsford</v>
          </cell>
          <cell r="T58" t="str">
            <v>Essex</v>
          </cell>
          <cell r="U58" t="str">
            <v>Essex Fire Authority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52703047</v>
          </cell>
          <cell r="G59">
            <v>0</v>
          </cell>
          <cell r="H59">
            <v>143840</v>
          </cell>
          <cell r="I59">
            <v>183813</v>
          </cell>
          <cell r="J59">
            <v>0</v>
          </cell>
          <cell r="K59">
            <v>183813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52375394</v>
          </cell>
          <cell r="S59" t="str">
            <v>Cheltenham</v>
          </cell>
          <cell r="T59" t="str">
            <v>Gloucestershire</v>
          </cell>
          <cell r="U59" t="str">
            <v>County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66509820</v>
          </cell>
          <cell r="G60">
            <v>20033</v>
          </cell>
          <cell r="H60">
            <v>0</v>
          </cell>
          <cell r="I60">
            <v>218671</v>
          </cell>
          <cell r="J60">
            <v>0</v>
          </cell>
          <cell r="K60">
            <v>218671</v>
          </cell>
          <cell r="L60">
            <v>0</v>
          </cell>
          <cell r="M60">
            <v>0</v>
          </cell>
          <cell r="N60">
            <v>0</v>
          </cell>
          <cell r="O60">
            <v>19966</v>
          </cell>
          <cell r="P60">
            <v>19966</v>
          </cell>
          <cell r="Q60">
            <v>0</v>
          </cell>
          <cell r="R60">
            <v>66291216</v>
          </cell>
          <cell r="S60" t="str">
            <v>Cherwell</v>
          </cell>
          <cell r="T60" t="str">
            <v>Oxfordshire</v>
          </cell>
          <cell r="U60" t="str">
            <v>County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130595333</v>
          </cell>
          <cell r="G61">
            <v>0</v>
          </cell>
          <cell r="H61">
            <v>783696</v>
          </cell>
          <cell r="I61">
            <v>562256</v>
          </cell>
          <cell r="J61">
            <v>0</v>
          </cell>
          <cell r="K61">
            <v>562256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129249381</v>
          </cell>
          <cell r="S61" t="str">
            <v>Cheshire East UA</v>
          </cell>
          <cell r="T61" t="str">
            <v>UA</v>
          </cell>
          <cell r="U61" t="str">
            <v>Cheshire Fire Authority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142932386</v>
          </cell>
          <cell r="G62">
            <v>0</v>
          </cell>
          <cell r="H62">
            <v>2359917</v>
          </cell>
          <cell r="I62">
            <v>504181</v>
          </cell>
          <cell r="J62">
            <v>0</v>
          </cell>
          <cell r="K62">
            <v>504181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140068288</v>
          </cell>
          <cell r="S62" t="str">
            <v>Cheshire West and Chester UA</v>
          </cell>
          <cell r="T62" t="str">
            <v>UA</v>
          </cell>
          <cell r="U62" t="str">
            <v>Cheshire Fire Authority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33609228</v>
          </cell>
          <cell r="G63">
            <v>0</v>
          </cell>
          <cell r="H63">
            <v>206983</v>
          </cell>
          <cell r="I63">
            <v>165425</v>
          </cell>
          <cell r="J63">
            <v>0</v>
          </cell>
          <cell r="K63">
            <v>165425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33236820</v>
          </cell>
          <cell r="S63" t="str">
            <v>Chesterfield</v>
          </cell>
          <cell r="T63" t="str">
            <v>Derbyshire</v>
          </cell>
          <cell r="U63" t="str">
            <v>Derbyshire Fire Authority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41242429</v>
          </cell>
          <cell r="G64">
            <v>0</v>
          </cell>
          <cell r="H64">
            <v>98320</v>
          </cell>
          <cell r="I64">
            <v>191836</v>
          </cell>
          <cell r="J64">
            <v>0</v>
          </cell>
          <cell r="K64">
            <v>191836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40952273</v>
          </cell>
          <cell r="S64" t="str">
            <v>Chichester</v>
          </cell>
          <cell r="T64" t="str">
            <v>West Sussex</v>
          </cell>
          <cell r="U64" t="str">
            <v>County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18897059</v>
          </cell>
          <cell r="G65">
            <v>0</v>
          </cell>
          <cell r="H65">
            <v>38865</v>
          </cell>
          <cell r="I65">
            <v>117534</v>
          </cell>
          <cell r="J65">
            <v>0</v>
          </cell>
          <cell r="K65">
            <v>117534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18740660</v>
          </cell>
          <cell r="S65" t="str">
            <v>Chiltern</v>
          </cell>
          <cell r="T65" t="str">
            <v>Buckinghamshire</v>
          </cell>
          <cell r="U65" t="str">
            <v>Buckinghamshire Fire Authority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24851178</v>
          </cell>
          <cell r="G66">
            <v>39345</v>
          </cell>
          <cell r="H66">
            <v>0</v>
          </cell>
          <cell r="I66">
            <v>133847</v>
          </cell>
          <cell r="J66">
            <v>0</v>
          </cell>
          <cell r="K66">
            <v>133847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24756676</v>
          </cell>
          <cell r="S66" t="str">
            <v>Chorley</v>
          </cell>
          <cell r="T66" t="str">
            <v>Lancashire</v>
          </cell>
          <cell r="U66" t="str">
            <v>Lancashire Fire Authority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16086539</v>
          </cell>
          <cell r="G67">
            <v>0</v>
          </cell>
          <cell r="H67">
            <v>157310</v>
          </cell>
          <cell r="I67">
            <v>75078</v>
          </cell>
          <cell r="J67">
            <v>0</v>
          </cell>
          <cell r="K67">
            <v>75078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15854151</v>
          </cell>
          <cell r="S67" t="str">
            <v>Christchurch</v>
          </cell>
          <cell r="T67" t="str">
            <v>Dorset</v>
          </cell>
          <cell r="U67" t="str">
            <v>Dorset Fire Authority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675695128</v>
          </cell>
          <cell r="G68">
            <v>1512561</v>
          </cell>
          <cell r="H68">
            <v>0</v>
          </cell>
          <cell r="I68">
            <v>1663453</v>
          </cell>
          <cell r="J68">
            <v>0</v>
          </cell>
          <cell r="K68">
            <v>1663453</v>
          </cell>
          <cell r="L68">
            <v>10538000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665006236</v>
          </cell>
          <cell r="S68" t="str">
            <v>City of London</v>
          </cell>
          <cell r="T68" t="str">
            <v>GLA - functions exc police</v>
          </cell>
          <cell r="U68" t="str">
            <v>NA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58763292</v>
          </cell>
          <cell r="G69">
            <v>0</v>
          </cell>
          <cell r="H69">
            <v>314072</v>
          </cell>
          <cell r="I69">
            <v>240916</v>
          </cell>
          <cell r="J69">
            <v>0</v>
          </cell>
          <cell r="K69">
            <v>240916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58208304</v>
          </cell>
          <cell r="S69" t="str">
            <v>Colchester</v>
          </cell>
          <cell r="T69" t="str">
            <v>Essex</v>
          </cell>
          <cell r="U69" t="str">
            <v>Essex Fire Authority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20319975</v>
          </cell>
          <cell r="G70">
            <v>0</v>
          </cell>
          <cell r="H70">
            <v>32845</v>
          </cell>
          <cell r="I70">
            <v>113008</v>
          </cell>
          <cell r="J70">
            <v>0</v>
          </cell>
          <cell r="K70">
            <v>113008</v>
          </cell>
          <cell r="L70">
            <v>0</v>
          </cell>
          <cell r="M70">
            <v>0</v>
          </cell>
          <cell r="N70">
            <v>0</v>
          </cell>
          <cell r="O70">
            <v>358</v>
          </cell>
          <cell r="P70">
            <v>358</v>
          </cell>
          <cell r="Q70">
            <v>0</v>
          </cell>
          <cell r="R70">
            <v>20173764</v>
          </cell>
          <cell r="S70" t="str">
            <v>Copeland</v>
          </cell>
          <cell r="T70" t="str">
            <v>Cumbria</v>
          </cell>
          <cell r="U70" t="str">
            <v>County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30862594</v>
          </cell>
          <cell r="G71">
            <v>405213</v>
          </cell>
          <cell r="H71">
            <v>0</v>
          </cell>
          <cell r="I71">
            <v>86849</v>
          </cell>
          <cell r="J71">
            <v>0</v>
          </cell>
          <cell r="K71">
            <v>86849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31180958</v>
          </cell>
          <cell r="S71" t="str">
            <v>Corby</v>
          </cell>
          <cell r="T71" t="str">
            <v>Northamptonshire</v>
          </cell>
          <cell r="U71" t="str">
            <v>County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141473539</v>
          </cell>
          <cell r="G72">
            <v>1009524</v>
          </cell>
          <cell r="H72">
            <v>0</v>
          </cell>
          <cell r="I72">
            <v>1101516</v>
          </cell>
          <cell r="J72">
            <v>0</v>
          </cell>
          <cell r="K72">
            <v>1101516</v>
          </cell>
          <cell r="L72">
            <v>0</v>
          </cell>
          <cell r="M72">
            <v>0</v>
          </cell>
          <cell r="N72">
            <v>0</v>
          </cell>
          <cell r="O72">
            <v>136761</v>
          </cell>
          <cell r="P72">
            <v>136761</v>
          </cell>
          <cell r="Q72">
            <v>0</v>
          </cell>
          <cell r="R72">
            <v>141244786</v>
          </cell>
          <cell r="S72" t="str">
            <v>Cornwall UA</v>
          </cell>
          <cell r="T72" t="str">
            <v>UA</v>
          </cell>
          <cell r="U72" t="str">
            <v>County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27086234</v>
          </cell>
          <cell r="G73">
            <v>165585</v>
          </cell>
          <cell r="H73">
            <v>0</v>
          </cell>
          <cell r="I73">
            <v>179896</v>
          </cell>
          <cell r="J73">
            <v>0</v>
          </cell>
          <cell r="K73">
            <v>179896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27071923</v>
          </cell>
          <cell r="S73" t="str">
            <v>Cotswold</v>
          </cell>
          <cell r="T73" t="str">
            <v>Gloucestershire</v>
          </cell>
          <cell r="U73" t="str">
            <v>County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105264212</v>
          </cell>
          <cell r="G74">
            <v>0</v>
          </cell>
          <cell r="H74">
            <v>617768</v>
          </cell>
          <cell r="I74">
            <v>379768</v>
          </cell>
          <cell r="J74">
            <v>0</v>
          </cell>
          <cell r="K74">
            <v>379768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104266676</v>
          </cell>
          <cell r="S74" t="str">
            <v>Coventry</v>
          </cell>
          <cell r="T74" t="str">
            <v>MD</v>
          </cell>
          <cell r="U74" t="str">
            <v>West Midlands Fire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16459808</v>
          </cell>
          <cell r="G75">
            <v>0</v>
          </cell>
          <cell r="H75">
            <v>17930</v>
          </cell>
          <cell r="I75">
            <v>119382</v>
          </cell>
          <cell r="J75">
            <v>0</v>
          </cell>
          <cell r="K75">
            <v>119382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16322496</v>
          </cell>
          <cell r="S75" t="str">
            <v>Craven</v>
          </cell>
          <cell r="T75" t="str">
            <v>North Yorkshire</v>
          </cell>
          <cell r="U75" t="str">
            <v>North Yorkshire Fire Authority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106972109</v>
          </cell>
          <cell r="G76">
            <v>0</v>
          </cell>
          <cell r="H76">
            <v>603827</v>
          </cell>
          <cell r="I76">
            <v>215934</v>
          </cell>
          <cell r="J76">
            <v>0</v>
          </cell>
          <cell r="K76">
            <v>215934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106152348</v>
          </cell>
          <cell r="S76" t="str">
            <v>Crawley</v>
          </cell>
          <cell r="T76" t="str">
            <v>West Sussex</v>
          </cell>
          <cell r="U76" t="str">
            <v>County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103822323</v>
          </cell>
          <cell r="G77">
            <v>0</v>
          </cell>
          <cell r="H77">
            <v>443939</v>
          </cell>
          <cell r="I77">
            <v>435172</v>
          </cell>
          <cell r="J77">
            <v>0</v>
          </cell>
          <cell r="K77">
            <v>435172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102943212</v>
          </cell>
          <cell r="S77" t="str">
            <v>Croydon</v>
          </cell>
          <cell r="T77" t="str">
            <v>Greater London Authority</v>
          </cell>
          <cell r="U77" t="str">
            <v>NA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56871723</v>
          </cell>
          <cell r="G78">
            <v>0</v>
          </cell>
          <cell r="H78">
            <v>943995</v>
          </cell>
          <cell r="I78">
            <v>218506</v>
          </cell>
          <cell r="J78">
            <v>0</v>
          </cell>
          <cell r="K78">
            <v>218506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55709222</v>
          </cell>
          <cell r="S78" t="str">
            <v>Dacorum</v>
          </cell>
          <cell r="T78" t="str">
            <v>Hertfordshire</v>
          </cell>
          <cell r="U78" t="str">
            <v>County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31618517</v>
          </cell>
          <cell r="G79">
            <v>0</v>
          </cell>
          <cell r="H79">
            <v>1055079</v>
          </cell>
          <cell r="I79">
            <v>148432</v>
          </cell>
          <cell r="J79">
            <v>0</v>
          </cell>
          <cell r="K79">
            <v>148432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30415006</v>
          </cell>
          <cell r="S79" t="str">
            <v>Darlington UA</v>
          </cell>
          <cell r="T79" t="str">
            <v>UA</v>
          </cell>
          <cell r="U79" t="str">
            <v>Durham Fire Authority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73250787</v>
          </cell>
          <cell r="G80">
            <v>0</v>
          </cell>
          <cell r="H80">
            <v>375558</v>
          </cell>
          <cell r="I80">
            <v>175930</v>
          </cell>
          <cell r="J80">
            <v>0</v>
          </cell>
          <cell r="K80">
            <v>175930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72699299</v>
          </cell>
          <cell r="S80" t="str">
            <v>Dartford</v>
          </cell>
          <cell r="T80" t="str">
            <v>Kent</v>
          </cell>
          <cell r="U80" t="str">
            <v>Kent Fire Authority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37325101</v>
          </cell>
          <cell r="G81">
            <v>0</v>
          </cell>
          <cell r="H81">
            <v>467682</v>
          </cell>
          <cell r="I81">
            <v>116811</v>
          </cell>
          <cell r="J81">
            <v>0</v>
          </cell>
          <cell r="K81">
            <v>116811</v>
          </cell>
          <cell r="L81">
            <v>0</v>
          </cell>
          <cell r="M81">
            <v>0</v>
          </cell>
          <cell r="N81">
            <v>0</v>
          </cell>
          <cell r="O81">
            <v>155972</v>
          </cell>
          <cell r="P81">
            <v>155972</v>
          </cell>
          <cell r="Q81">
            <v>0</v>
          </cell>
          <cell r="R81">
            <v>36584636</v>
          </cell>
          <cell r="S81" t="str">
            <v>Daventry</v>
          </cell>
          <cell r="T81" t="str">
            <v>Northamptonshire</v>
          </cell>
          <cell r="U81" t="str">
            <v>County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74139665</v>
          </cell>
          <cell r="G82">
            <v>0</v>
          </cell>
          <cell r="H82">
            <v>478839</v>
          </cell>
          <cell r="I82">
            <v>314703</v>
          </cell>
          <cell r="J82">
            <v>0</v>
          </cell>
          <cell r="K82">
            <v>314703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73346123</v>
          </cell>
          <cell r="S82" t="str">
            <v>Derby UA</v>
          </cell>
          <cell r="T82" t="str">
            <v>UA</v>
          </cell>
          <cell r="U82" t="str">
            <v>Derbyshire Fire Authority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16451160</v>
          </cell>
          <cell r="G83">
            <v>24206</v>
          </cell>
          <cell r="H83">
            <v>0</v>
          </cell>
          <cell r="I83">
            <v>146324</v>
          </cell>
          <cell r="J83">
            <v>0</v>
          </cell>
          <cell r="K83">
            <v>146324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16329042</v>
          </cell>
          <cell r="S83" t="str">
            <v>Derbyshire Dales</v>
          </cell>
          <cell r="T83" t="str">
            <v>Derbyshire</v>
          </cell>
          <cell r="U83" t="str">
            <v>Derbyshire Fire Authority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83389402</v>
          </cell>
          <cell r="G84">
            <v>0</v>
          </cell>
          <cell r="H84">
            <v>358206</v>
          </cell>
          <cell r="I84">
            <v>367877</v>
          </cell>
          <cell r="J84">
            <v>0</v>
          </cell>
          <cell r="K84">
            <v>367877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82663319</v>
          </cell>
          <cell r="S84" t="str">
            <v>Doncaster</v>
          </cell>
          <cell r="T84" t="str">
            <v>MD</v>
          </cell>
          <cell r="U84" t="str">
            <v>South Yorkshire Fire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30413298</v>
          </cell>
          <cell r="G85">
            <v>0</v>
          </cell>
          <cell r="H85">
            <v>686384</v>
          </cell>
          <cell r="I85">
            <v>151686</v>
          </cell>
          <cell r="J85">
            <v>0</v>
          </cell>
          <cell r="K85">
            <v>151686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29575228</v>
          </cell>
          <cell r="S85" t="str">
            <v>Dover</v>
          </cell>
          <cell r="T85" t="str">
            <v>Kent</v>
          </cell>
          <cell r="U85" t="str">
            <v>Kent Fire Authority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84585377</v>
          </cell>
          <cell r="G86">
            <v>0</v>
          </cell>
          <cell r="H86">
            <v>497020</v>
          </cell>
          <cell r="I86">
            <v>439101</v>
          </cell>
          <cell r="J86">
            <v>0</v>
          </cell>
          <cell r="K86">
            <v>439101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83649256</v>
          </cell>
          <cell r="S86" t="str">
            <v>Dudley</v>
          </cell>
          <cell r="T86" t="str">
            <v>MD</v>
          </cell>
          <cell r="U86" t="str">
            <v>West Midlands Fire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106205410</v>
          </cell>
          <cell r="G87">
            <v>0</v>
          </cell>
          <cell r="H87">
            <v>801265</v>
          </cell>
          <cell r="I87">
            <v>603811</v>
          </cell>
          <cell r="J87">
            <v>0</v>
          </cell>
          <cell r="K87">
            <v>603811</v>
          </cell>
          <cell r="L87">
            <v>0</v>
          </cell>
          <cell r="M87">
            <v>0</v>
          </cell>
          <cell r="N87">
            <v>0</v>
          </cell>
          <cell r="O87">
            <v>7579</v>
          </cell>
          <cell r="P87">
            <v>7579</v>
          </cell>
          <cell r="Q87">
            <v>0</v>
          </cell>
          <cell r="R87">
            <v>104792755</v>
          </cell>
          <cell r="S87" t="str">
            <v>Durham UA</v>
          </cell>
          <cell r="T87" t="str">
            <v>UA</v>
          </cell>
          <cell r="U87" t="str">
            <v>Durham Fire Authority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120299335</v>
          </cell>
          <cell r="G88">
            <v>0</v>
          </cell>
          <cell r="H88">
            <v>448911</v>
          </cell>
          <cell r="I88">
            <v>493133</v>
          </cell>
          <cell r="J88">
            <v>63737</v>
          </cell>
          <cell r="K88">
            <v>556870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119293554</v>
          </cell>
          <cell r="S88" t="str">
            <v>Ealing</v>
          </cell>
          <cell r="T88" t="str">
            <v>Greater London Authority</v>
          </cell>
          <cell r="U88" t="str">
            <v>NA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16276166</v>
          </cell>
          <cell r="G89">
            <v>0</v>
          </cell>
          <cell r="H89">
            <v>202422</v>
          </cell>
          <cell r="I89">
            <v>92008</v>
          </cell>
          <cell r="J89">
            <v>0</v>
          </cell>
          <cell r="K89">
            <v>92008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15981736</v>
          </cell>
          <cell r="S89" t="str">
            <v>East Cambridgeshire</v>
          </cell>
          <cell r="T89" t="str">
            <v>Cambridgeshire</v>
          </cell>
          <cell r="U89" t="str">
            <v>Cambridgeshire Fire Authority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29846098</v>
          </cell>
          <cell r="G90">
            <v>171845</v>
          </cell>
          <cell r="H90">
            <v>0</v>
          </cell>
          <cell r="I90">
            <v>227639</v>
          </cell>
          <cell r="J90">
            <v>0</v>
          </cell>
          <cell r="K90">
            <v>227639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29790304</v>
          </cell>
          <cell r="S90" t="str">
            <v>East Devon</v>
          </cell>
          <cell r="T90" t="str">
            <v>Devon</v>
          </cell>
          <cell r="U90" t="str">
            <v>Devon and Somerset Fire Authority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19743089</v>
          </cell>
          <cell r="G91">
            <v>0</v>
          </cell>
          <cell r="H91">
            <v>47949</v>
          </cell>
          <cell r="I91">
            <v>108712</v>
          </cell>
          <cell r="J91">
            <v>0</v>
          </cell>
          <cell r="K91">
            <v>108712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19586428</v>
          </cell>
          <cell r="S91" t="str">
            <v>East Dorset</v>
          </cell>
          <cell r="T91" t="str">
            <v>Dorset</v>
          </cell>
          <cell r="U91" t="str">
            <v>Dorset Fire Authority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26989527</v>
          </cell>
          <cell r="G92">
            <v>0</v>
          </cell>
          <cell r="H92">
            <v>48593</v>
          </cell>
          <cell r="I92">
            <v>151002</v>
          </cell>
          <cell r="J92">
            <v>0</v>
          </cell>
          <cell r="K92">
            <v>151002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26789932</v>
          </cell>
          <cell r="S92" t="str">
            <v>East Hampshire</v>
          </cell>
          <cell r="T92" t="str">
            <v>Hampshire</v>
          </cell>
          <cell r="U92" t="str">
            <v>Hampshire Fire Authority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40257029</v>
          </cell>
          <cell r="G93">
            <v>0</v>
          </cell>
          <cell r="H93">
            <v>505635</v>
          </cell>
          <cell r="I93">
            <v>196026</v>
          </cell>
          <cell r="J93">
            <v>0</v>
          </cell>
          <cell r="K93">
            <v>196026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39555368</v>
          </cell>
          <cell r="S93" t="str">
            <v>East Hertfordshire</v>
          </cell>
          <cell r="T93" t="str">
            <v>Hertfordshire</v>
          </cell>
          <cell r="U93" t="str">
            <v>County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30927128</v>
          </cell>
          <cell r="G94">
            <v>63983</v>
          </cell>
          <cell r="H94">
            <v>0</v>
          </cell>
          <cell r="I94">
            <v>270768</v>
          </cell>
          <cell r="J94">
            <v>0</v>
          </cell>
          <cell r="K94">
            <v>270768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30720343</v>
          </cell>
          <cell r="S94" t="str">
            <v>East Lindsey</v>
          </cell>
          <cell r="T94" t="str">
            <v>Lincolnshire</v>
          </cell>
          <cell r="U94" t="str">
            <v>County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20557445</v>
          </cell>
          <cell r="G95">
            <v>0</v>
          </cell>
          <cell r="H95">
            <v>243670</v>
          </cell>
          <cell r="I95">
            <v>99141</v>
          </cell>
          <cell r="J95">
            <v>0</v>
          </cell>
          <cell r="K95">
            <v>99141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20214634</v>
          </cell>
          <cell r="S95" t="str">
            <v>East Northamptonshire</v>
          </cell>
          <cell r="T95" t="str">
            <v>Northamptonshire</v>
          </cell>
          <cell r="U95" t="str">
            <v>County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88357329</v>
          </cell>
          <cell r="G96">
            <v>1561999</v>
          </cell>
          <cell r="H96">
            <v>0</v>
          </cell>
          <cell r="I96">
            <v>434464</v>
          </cell>
          <cell r="J96">
            <v>0</v>
          </cell>
          <cell r="K96">
            <v>434464</v>
          </cell>
          <cell r="L96">
            <v>0</v>
          </cell>
          <cell r="M96">
            <v>0</v>
          </cell>
          <cell r="N96">
            <v>0</v>
          </cell>
          <cell r="O96">
            <v>879893</v>
          </cell>
          <cell r="P96">
            <v>879893</v>
          </cell>
          <cell r="Q96">
            <v>0</v>
          </cell>
          <cell r="R96">
            <v>88604971</v>
          </cell>
          <cell r="S96" t="str">
            <v>East Riding of Yorkshire UA</v>
          </cell>
          <cell r="T96" t="str">
            <v>UA</v>
          </cell>
          <cell r="U96" t="str">
            <v>Humberside Fire Authority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48946797</v>
          </cell>
          <cell r="G97">
            <v>0</v>
          </cell>
          <cell r="H97">
            <v>246419</v>
          </cell>
          <cell r="I97">
            <v>181017</v>
          </cell>
          <cell r="J97">
            <v>0</v>
          </cell>
          <cell r="K97">
            <v>181017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48519361</v>
          </cell>
          <cell r="S97" t="str">
            <v>East Staffordshire</v>
          </cell>
          <cell r="T97" t="str">
            <v>Staffordshire</v>
          </cell>
          <cell r="U97" t="str">
            <v>Staffordshire Fire Authority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30701251</v>
          </cell>
          <cell r="G98">
            <v>76640</v>
          </cell>
          <cell r="H98">
            <v>0</v>
          </cell>
          <cell r="I98">
            <v>127360</v>
          </cell>
          <cell r="J98">
            <v>0</v>
          </cell>
          <cell r="K98">
            <v>127360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30650531</v>
          </cell>
          <cell r="S98" t="str">
            <v>Eastbourne</v>
          </cell>
          <cell r="T98" t="str">
            <v>East Sussex</v>
          </cell>
          <cell r="U98" t="str">
            <v>East Sussex Fire Authority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51125876</v>
          </cell>
          <cell r="G99">
            <v>0</v>
          </cell>
          <cell r="H99">
            <v>300798</v>
          </cell>
          <cell r="I99">
            <v>151492</v>
          </cell>
          <cell r="J99">
            <v>0</v>
          </cell>
          <cell r="K99">
            <v>151492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50673586</v>
          </cell>
          <cell r="S99" t="str">
            <v>Eastleigh</v>
          </cell>
          <cell r="T99" t="str">
            <v>Hampshire</v>
          </cell>
          <cell r="U99" t="str">
            <v>Hampshire Fire Authority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20074292</v>
          </cell>
          <cell r="G100">
            <v>48881</v>
          </cell>
          <cell r="H100">
            <v>0</v>
          </cell>
          <cell r="I100">
            <v>127959</v>
          </cell>
          <cell r="J100">
            <v>0</v>
          </cell>
          <cell r="K100">
            <v>127959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19995214</v>
          </cell>
          <cell r="S100" t="str">
            <v>Eden</v>
          </cell>
          <cell r="T100" t="str">
            <v>Cumbria</v>
          </cell>
          <cell r="U100" t="str">
            <v>County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52191781</v>
          </cell>
          <cell r="G101">
            <v>0</v>
          </cell>
          <cell r="H101">
            <v>49671</v>
          </cell>
          <cell r="I101">
            <v>183258</v>
          </cell>
          <cell r="J101">
            <v>0</v>
          </cell>
          <cell r="K101">
            <v>183258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51958852</v>
          </cell>
          <cell r="S101" t="str">
            <v>Elmbridge</v>
          </cell>
          <cell r="T101" t="str">
            <v>Surrey</v>
          </cell>
          <cell r="U101" t="str">
            <v>County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102425806</v>
          </cell>
          <cell r="G102">
            <v>1013324</v>
          </cell>
          <cell r="H102">
            <v>0</v>
          </cell>
          <cell r="I102">
            <v>350511</v>
          </cell>
          <cell r="J102">
            <v>0</v>
          </cell>
          <cell r="K102">
            <v>350511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103088619</v>
          </cell>
          <cell r="S102" t="str">
            <v>Enfield</v>
          </cell>
          <cell r="T102" t="str">
            <v>Greater London Authority</v>
          </cell>
          <cell r="U102" t="str">
            <v>NA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31125419</v>
          </cell>
          <cell r="G103">
            <v>0</v>
          </cell>
          <cell r="H103">
            <v>41943</v>
          </cell>
          <cell r="I103">
            <v>171117</v>
          </cell>
          <cell r="J103">
            <v>0</v>
          </cell>
          <cell r="K103">
            <v>171117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30912359</v>
          </cell>
          <cell r="S103" t="str">
            <v>Epping Forest</v>
          </cell>
          <cell r="T103" t="str">
            <v>Essex</v>
          </cell>
          <cell r="U103" t="str">
            <v>Essex Fire Authority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21586509</v>
          </cell>
          <cell r="G104">
            <v>0</v>
          </cell>
          <cell r="H104">
            <v>176248</v>
          </cell>
          <cell r="I104">
            <v>87849</v>
          </cell>
          <cell r="J104">
            <v>0</v>
          </cell>
          <cell r="K104">
            <v>87849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21322412</v>
          </cell>
          <cell r="S104" t="str">
            <v>Epsom &amp; Ewell</v>
          </cell>
          <cell r="T104" t="str">
            <v>Surrey</v>
          </cell>
          <cell r="U104" t="str">
            <v>County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23565751</v>
          </cell>
          <cell r="G105">
            <v>46996</v>
          </cell>
          <cell r="H105">
            <v>0</v>
          </cell>
          <cell r="I105">
            <v>137569</v>
          </cell>
          <cell r="J105">
            <v>6000</v>
          </cell>
          <cell r="K105">
            <v>143569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23469178</v>
          </cell>
          <cell r="S105" t="str">
            <v>Erewash</v>
          </cell>
          <cell r="T105" t="str">
            <v>Derbyshire</v>
          </cell>
          <cell r="U105" t="str">
            <v>Derbyshire Fire Authority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71414545</v>
          </cell>
          <cell r="G106">
            <v>96545</v>
          </cell>
          <cell r="H106">
            <v>0</v>
          </cell>
          <cell r="I106">
            <v>224450</v>
          </cell>
          <cell r="J106">
            <v>0</v>
          </cell>
          <cell r="K106">
            <v>224450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71286640</v>
          </cell>
          <cell r="S106" t="str">
            <v>Exeter</v>
          </cell>
          <cell r="T106" t="str">
            <v>Devon</v>
          </cell>
          <cell r="U106" t="str">
            <v>Devon and Somerset Fire Authority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36855278</v>
          </cell>
          <cell r="G107">
            <v>0</v>
          </cell>
          <cell r="H107">
            <v>397379</v>
          </cell>
          <cell r="I107">
            <v>142973</v>
          </cell>
          <cell r="J107">
            <v>0</v>
          </cell>
          <cell r="K107">
            <v>142973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36314926</v>
          </cell>
          <cell r="S107" t="str">
            <v>Fareham</v>
          </cell>
          <cell r="T107" t="str">
            <v>Hampshire</v>
          </cell>
          <cell r="U107" t="str">
            <v>Hampshire Fire Authority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23138558</v>
          </cell>
          <cell r="G108">
            <v>311868</v>
          </cell>
          <cell r="H108">
            <v>0</v>
          </cell>
          <cell r="I108">
            <v>126613</v>
          </cell>
          <cell r="J108">
            <v>0</v>
          </cell>
          <cell r="K108">
            <v>126613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23323813</v>
          </cell>
          <cell r="S108" t="str">
            <v>Fenland</v>
          </cell>
          <cell r="T108" t="str">
            <v>Cambridgeshire</v>
          </cell>
          <cell r="U108" t="str">
            <v>Cambridgeshire Fire Authority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20936181</v>
          </cell>
          <cell r="G109">
            <v>0</v>
          </cell>
          <cell r="H109">
            <v>174949</v>
          </cell>
          <cell r="I109">
            <v>90531</v>
          </cell>
          <cell r="J109">
            <v>0</v>
          </cell>
          <cell r="K109">
            <v>90531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20670701</v>
          </cell>
          <cell r="S109" t="str">
            <v>Forest Heath</v>
          </cell>
          <cell r="T109" t="str">
            <v>Suffolk</v>
          </cell>
          <cell r="U109" t="str">
            <v>County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11380545</v>
          </cell>
          <cell r="G110">
            <v>92140</v>
          </cell>
          <cell r="H110">
            <v>0</v>
          </cell>
          <cell r="I110">
            <v>119683</v>
          </cell>
          <cell r="J110">
            <v>0</v>
          </cell>
          <cell r="K110">
            <v>119683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11353002</v>
          </cell>
          <cell r="S110" t="str">
            <v>Forest of Dean</v>
          </cell>
          <cell r="T110" t="str">
            <v>Gloucestershire</v>
          </cell>
          <cell r="U110" t="str">
            <v>County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23112101</v>
          </cell>
          <cell r="G111">
            <v>104108</v>
          </cell>
          <cell r="H111">
            <v>0</v>
          </cell>
          <cell r="I111">
            <v>110662</v>
          </cell>
          <cell r="J111">
            <v>0</v>
          </cell>
          <cell r="K111">
            <v>110662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23105547</v>
          </cell>
          <cell r="S111" t="str">
            <v>Fylde</v>
          </cell>
          <cell r="T111" t="str">
            <v>Lancashire</v>
          </cell>
          <cell r="U111" t="str">
            <v>Lancashire Fire Authority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83353387</v>
          </cell>
          <cell r="G112">
            <v>0</v>
          </cell>
          <cell r="H112">
            <v>663128</v>
          </cell>
          <cell r="I112">
            <v>294393</v>
          </cell>
          <cell r="J112">
            <v>0</v>
          </cell>
          <cell r="K112">
            <v>294393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82395866</v>
          </cell>
          <cell r="S112" t="str">
            <v>Gateshead</v>
          </cell>
          <cell r="T112" t="str">
            <v>MD</v>
          </cell>
          <cell r="U112" t="str">
            <v>Tyne and Wear Fire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20087508</v>
          </cell>
          <cell r="G113">
            <v>0</v>
          </cell>
          <cell r="H113">
            <v>183808</v>
          </cell>
          <cell r="I113">
            <v>102089</v>
          </cell>
          <cell r="J113">
            <v>0</v>
          </cell>
          <cell r="K113">
            <v>102089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19801611</v>
          </cell>
          <cell r="S113" t="str">
            <v>Gedling</v>
          </cell>
          <cell r="T113" t="str">
            <v>Nottinghamshire</v>
          </cell>
          <cell r="U113" t="str">
            <v>Nottinghamshire Fire Authority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49667485</v>
          </cell>
          <cell r="G114">
            <v>0</v>
          </cell>
          <cell r="H114">
            <v>263419</v>
          </cell>
          <cell r="I114">
            <v>179973</v>
          </cell>
          <cell r="J114">
            <v>0</v>
          </cell>
          <cell r="K114">
            <v>179973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49224093</v>
          </cell>
          <cell r="S114" t="str">
            <v>Gloucester</v>
          </cell>
          <cell r="T114" t="str">
            <v>Gloucestershire</v>
          </cell>
          <cell r="U114" t="str">
            <v>County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11440355</v>
          </cell>
          <cell r="G115">
            <v>0</v>
          </cell>
          <cell r="H115">
            <v>12226</v>
          </cell>
          <cell r="I115">
            <v>81989</v>
          </cell>
          <cell r="J115">
            <v>0</v>
          </cell>
          <cell r="K115">
            <v>81989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11346140</v>
          </cell>
          <cell r="S115" t="str">
            <v>Gosport</v>
          </cell>
          <cell r="T115" t="str">
            <v>Hampshire</v>
          </cell>
          <cell r="U115" t="str">
            <v>Hampshire Fire Authority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20901438</v>
          </cell>
          <cell r="G116">
            <v>0</v>
          </cell>
          <cell r="H116">
            <v>107829</v>
          </cell>
          <cell r="I116">
            <v>98428</v>
          </cell>
          <cell r="J116">
            <v>0</v>
          </cell>
          <cell r="K116">
            <v>98428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20695181</v>
          </cell>
          <cell r="S116" t="str">
            <v>Gravesham</v>
          </cell>
          <cell r="T116" t="str">
            <v>Kent</v>
          </cell>
          <cell r="U116" t="str">
            <v>Kent Fire Authority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18252059</v>
          </cell>
          <cell r="G117">
            <v>518818</v>
          </cell>
          <cell r="H117">
            <v>0</v>
          </cell>
          <cell r="I117">
            <v>185992</v>
          </cell>
          <cell r="J117">
            <v>0</v>
          </cell>
          <cell r="K117">
            <v>185992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18584885</v>
          </cell>
          <cell r="S117" t="str">
            <v>Great Yarmouth</v>
          </cell>
          <cell r="T117" t="str">
            <v>Norfolk</v>
          </cell>
          <cell r="U117" t="str">
            <v>County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63894692</v>
          </cell>
          <cell r="G118">
            <v>0</v>
          </cell>
          <cell r="H118">
            <v>162009</v>
          </cell>
          <cell r="I118">
            <v>275906</v>
          </cell>
          <cell r="J118">
            <v>0</v>
          </cell>
          <cell r="K118">
            <v>275906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63456777</v>
          </cell>
          <cell r="S118" t="str">
            <v>Greenwich</v>
          </cell>
          <cell r="T118" t="str">
            <v>Greater London Authority</v>
          </cell>
          <cell r="U118" t="str">
            <v>NA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74373583</v>
          </cell>
          <cell r="G119">
            <v>0</v>
          </cell>
          <cell r="H119">
            <v>611528</v>
          </cell>
          <cell r="I119">
            <v>237981</v>
          </cell>
          <cell r="J119">
            <v>0</v>
          </cell>
          <cell r="K119">
            <v>237981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73524074</v>
          </cell>
          <cell r="S119" t="str">
            <v>Guildford</v>
          </cell>
          <cell r="T119" t="str">
            <v>Surrey</v>
          </cell>
          <cell r="U119" t="str">
            <v>County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82512591</v>
          </cell>
          <cell r="G120">
            <v>664041</v>
          </cell>
          <cell r="H120">
            <v>0</v>
          </cell>
          <cell r="I120">
            <v>506812</v>
          </cell>
          <cell r="J120">
            <v>0</v>
          </cell>
          <cell r="K120">
            <v>506812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82669820</v>
          </cell>
          <cell r="S120" t="str">
            <v>Hackney</v>
          </cell>
          <cell r="T120" t="str">
            <v>Greater London Authority</v>
          </cell>
          <cell r="U120" t="str">
            <v>NA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49993636</v>
          </cell>
          <cell r="G121">
            <v>320333</v>
          </cell>
          <cell r="H121">
            <v>0</v>
          </cell>
          <cell r="I121">
            <v>166596</v>
          </cell>
          <cell r="J121">
            <v>0</v>
          </cell>
          <cell r="K121">
            <v>166596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50147373</v>
          </cell>
          <cell r="S121" t="str">
            <v>Halton UA</v>
          </cell>
          <cell r="T121" t="str">
            <v>UA</v>
          </cell>
          <cell r="U121" t="str">
            <v>Cheshire Fire Authority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25532963</v>
          </cell>
          <cell r="G122">
            <v>0</v>
          </cell>
          <cell r="H122">
            <v>76165</v>
          </cell>
          <cell r="I122">
            <v>154279</v>
          </cell>
          <cell r="J122">
            <v>0</v>
          </cell>
          <cell r="K122">
            <v>154279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25302519</v>
          </cell>
          <cell r="S122" t="str">
            <v>Hambleton</v>
          </cell>
          <cell r="T122" t="str">
            <v>North Yorkshire</v>
          </cell>
          <cell r="U122" t="str">
            <v>North Yorkshire Fire Authority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143199917</v>
          </cell>
          <cell r="G123">
            <v>1505687</v>
          </cell>
          <cell r="H123">
            <v>0</v>
          </cell>
          <cell r="I123">
            <v>574203</v>
          </cell>
          <cell r="J123">
            <v>0</v>
          </cell>
          <cell r="K123">
            <v>574203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144131401</v>
          </cell>
          <cell r="S123" t="str">
            <v>Hammersmith &amp; Fulham</v>
          </cell>
          <cell r="T123" t="str">
            <v>Greater London Authority</v>
          </cell>
          <cell r="U123" t="str">
            <v>NA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36431408</v>
          </cell>
          <cell r="G124">
            <v>0</v>
          </cell>
          <cell r="H124">
            <v>36857</v>
          </cell>
          <cell r="I124">
            <v>123350</v>
          </cell>
          <cell r="J124">
            <v>0</v>
          </cell>
          <cell r="K124">
            <v>123350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36271201</v>
          </cell>
          <cell r="S124" t="str">
            <v>Harborough</v>
          </cell>
          <cell r="T124" t="str">
            <v>Leicestershire</v>
          </cell>
          <cell r="U124" t="str">
            <v>Leicestershire Fire Authority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61973102</v>
          </cell>
          <cell r="G125">
            <v>0</v>
          </cell>
          <cell r="H125">
            <v>229312</v>
          </cell>
          <cell r="I125">
            <v>309107</v>
          </cell>
          <cell r="J125">
            <v>0</v>
          </cell>
          <cell r="K125">
            <v>309107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61434683</v>
          </cell>
          <cell r="S125" t="str">
            <v>Haringey</v>
          </cell>
          <cell r="T125" t="str">
            <v>Greater London Authority</v>
          </cell>
          <cell r="U125" t="str">
            <v>NA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38322293</v>
          </cell>
          <cell r="G126">
            <v>0</v>
          </cell>
          <cell r="H126">
            <v>276672</v>
          </cell>
          <cell r="I126">
            <v>124428</v>
          </cell>
          <cell r="J126">
            <v>0</v>
          </cell>
          <cell r="K126">
            <v>124428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37921193</v>
          </cell>
          <cell r="S126" t="str">
            <v>Harlow</v>
          </cell>
          <cell r="T126" t="str">
            <v>Essex</v>
          </cell>
          <cell r="U126" t="str">
            <v>Essex Fire Authority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58185035</v>
          </cell>
          <cell r="G127">
            <v>0</v>
          </cell>
          <cell r="H127">
            <v>194348</v>
          </cell>
          <cell r="I127">
            <v>284541</v>
          </cell>
          <cell r="J127">
            <v>0</v>
          </cell>
          <cell r="K127">
            <v>284541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57706146</v>
          </cell>
          <cell r="S127" t="str">
            <v>Harrogate</v>
          </cell>
          <cell r="T127" t="str">
            <v>North Yorkshire</v>
          </cell>
          <cell r="U127" t="str">
            <v>North Yorkshire Fire Authority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48525928</v>
          </cell>
          <cell r="G128">
            <v>0</v>
          </cell>
          <cell r="H128">
            <v>161078</v>
          </cell>
          <cell r="I128">
            <v>255455</v>
          </cell>
          <cell r="J128">
            <v>0</v>
          </cell>
          <cell r="K128">
            <v>255455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48109395</v>
          </cell>
          <cell r="S128" t="str">
            <v>Harrow</v>
          </cell>
          <cell r="T128" t="str">
            <v>Greater London Authority</v>
          </cell>
          <cell r="U128" t="str">
            <v>NA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26789687</v>
          </cell>
          <cell r="G129">
            <v>0</v>
          </cell>
          <cell r="H129">
            <v>340555</v>
          </cell>
          <cell r="I129">
            <v>100079</v>
          </cell>
          <cell r="J129">
            <v>0</v>
          </cell>
          <cell r="K129">
            <v>100079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26349053</v>
          </cell>
          <cell r="S129" t="str">
            <v>Hart</v>
          </cell>
          <cell r="T129" t="str">
            <v>Hampshire</v>
          </cell>
          <cell r="U129" t="str">
            <v>Hampshire Fire Authority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25704950</v>
          </cell>
          <cell r="G130">
            <v>9260324</v>
          </cell>
          <cell r="H130">
            <v>0</v>
          </cell>
          <cell r="I130">
            <v>124827</v>
          </cell>
          <cell r="J130">
            <v>0</v>
          </cell>
          <cell r="K130">
            <v>124827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34840447</v>
          </cell>
          <cell r="S130" t="str">
            <v>Hartlepool UA</v>
          </cell>
          <cell r="T130" t="str">
            <v>UA</v>
          </cell>
          <cell r="U130" t="str">
            <v>Cleveland Fire Authority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19916886</v>
          </cell>
          <cell r="G131">
            <v>0</v>
          </cell>
          <cell r="H131">
            <v>3983</v>
          </cell>
          <cell r="I131">
            <v>123130</v>
          </cell>
          <cell r="J131">
            <v>0</v>
          </cell>
          <cell r="K131">
            <v>123130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19789773</v>
          </cell>
          <cell r="S131" t="str">
            <v>Hastings</v>
          </cell>
          <cell r="T131" t="str">
            <v>East Sussex</v>
          </cell>
          <cell r="U131" t="str">
            <v>East Sussex Fire Authority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30805492</v>
          </cell>
          <cell r="G132">
            <v>0</v>
          </cell>
          <cell r="H132">
            <v>123837</v>
          </cell>
          <cell r="I132">
            <v>140839</v>
          </cell>
          <cell r="J132">
            <v>0</v>
          </cell>
          <cell r="K132">
            <v>140839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30540816</v>
          </cell>
          <cell r="S132" t="str">
            <v>Havant</v>
          </cell>
          <cell r="T132" t="str">
            <v>Hampshire</v>
          </cell>
          <cell r="U132" t="str">
            <v>Hampshire Fire Authority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65681166</v>
          </cell>
          <cell r="G133">
            <v>0</v>
          </cell>
          <cell r="H133">
            <v>441421</v>
          </cell>
          <cell r="I133">
            <v>274180</v>
          </cell>
          <cell r="J133">
            <v>0</v>
          </cell>
          <cell r="K133">
            <v>274180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64965565</v>
          </cell>
          <cell r="S133" t="str">
            <v>Havering</v>
          </cell>
          <cell r="T133" t="str">
            <v>Greater London Authority</v>
          </cell>
          <cell r="U133" t="str">
            <v>NA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42397374</v>
          </cell>
          <cell r="G134">
            <v>0</v>
          </cell>
          <cell r="H134">
            <v>180810</v>
          </cell>
          <cell r="I134">
            <v>298886</v>
          </cell>
          <cell r="J134">
            <v>0</v>
          </cell>
          <cell r="K134">
            <v>298886</v>
          </cell>
          <cell r="L134">
            <v>0</v>
          </cell>
          <cell r="M134">
            <v>0</v>
          </cell>
          <cell r="N134">
            <v>0</v>
          </cell>
          <cell r="O134">
            <v>42597</v>
          </cell>
          <cell r="P134">
            <v>42597</v>
          </cell>
          <cell r="Q134">
            <v>0</v>
          </cell>
          <cell r="R134">
            <v>41875081</v>
          </cell>
          <cell r="S134" t="str">
            <v>Herefordshire UA</v>
          </cell>
          <cell r="T134" t="str">
            <v>UA</v>
          </cell>
          <cell r="U134" t="str">
            <v>Hereford and Worcester Fire Authority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38341151</v>
          </cell>
          <cell r="G135">
            <v>0</v>
          </cell>
          <cell r="H135">
            <v>380683</v>
          </cell>
          <cell r="I135">
            <v>146387</v>
          </cell>
          <cell r="J135">
            <v>0</v>
          </cell>
          <cell r="K135">
            <v>146387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37814081</v>
          </cell>
          <cell r="S135" t="str">
            <v>Hertsmere</v>
          </cell>
          <cell r="T135" t="str">
            <v>Hertfordshire</v>
          </cell>
          <cell r="U135" t="str">
            <v>County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22793488</v>
          </cell>
          <cell r="G136">
            <v>19277</v>
          </cell>
          <cell r="H136">
            <v>0</v>
          </cell>
          <cell r="I136">
            <v>135442</v>
          </cell>
          <cell r="J136">
            <v>0</v>
          </cell>
          <cell r="K136">
            <v>135442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22677323</v>
          </cell>
          <cell r="S136" t="str">
            <v>High Peak</v>
          </cell>
          <cell r="T136" t="str">
            <v>Derbyshire</v>
          </cell>
          <cell r="U136" t="str">
            <v>Derbyshire Fire Authority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330256120</v>
          </cell>
          <cell r="G137">
            <v>348510</v>
          </cell>
          <cell r="H137">
            <v>0</v>
          </cell>
          <cell r="I137">
            <v>598040</v>
          </cell>
          <cell r="J137">
            <v>0</v>
          </cell>
          <cell r="K137">
            <v>598040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330006590</v>
          </cell>
          <cell r="S137" t="str">
            <v>Hillingdon</v>
          </cell>
          <cell r="T137" t="str">
            <v>Greater London Authority</v>
          </cell>
          <cell r="U137" t="str">
            <v>NA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27375030</v>
          </cell>
          <cell r="G138">
            <v>0</v>
          </cell>
          <cell r="H138">
            <v>47023</v>
          </cell>
          <cell r="I138">
            <v>123176</v>
          </cell>
          <cell r="J138">
            <v>0</v>
          </cell>
          <cell r="K138">
            <v>123176</v>
          </cell>
          <cell r="L138">
            <v>0</v>
          </cell>
          <cell r="M138">
            <v>76823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27128008</v>
          </cell>
          <cell r="S138" t="str">
            <v>Hinckley &amp; Bosworth</v>
          </cell>
          <cell r="T138" t="str">
            <v>Leicestershire</v>
          </cell>
          <cell r="U138" t="str">
            <v>Leicestershire Fire Authority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37343141</v>
          </cell>
          <cell r="G139">
            <v>46324</v>
          </cell>
          <cell r="H139">
            <v>0</v>
          </cell>
          <cell r="I139">
            <v>177362</v>
          </cell>
          <cell r="J139">
            <v>0</v>
          </cell>
          <cell r="K139">
            <v>177362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37212103</v>
          </cell>
          <cell r="S139" t="str">
            <v>Horsham</v>
          </cell>
          <cell r="T139" t="str">
            <v>West Sussex</v>
          </cell>
          <cell r="U139" t="str">
            <v>County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134720309</v>
          </cell>
          <cell r="G140">
            <v>0</v>
          </cell>
          <cell r="H140">
            <v>986005</v>
          </cell>
          <cell r="I140">
            <v>401106</v>
          </cell>
          <cell r="J140">
            <v>0</v>
          </cell>
          <cell r="K140">
            <v>401106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133333198</v>
          </cell>
          <cell r="S140" t="str">
            <v>Hounslow</v>
          </cell>
          <cell r="T140" t="str">
            <v>Greater London Authority</v>
          </cell>
          <cell r="U140" t="str">
            <v>NA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50445038</v>
          </cell>
          <cell r="G141">
            <v>71393</v>
          </cell>
          <cell r="H141">
            <v>0</v>
          </cell>
          <cell r="I141">
            <v>221475</v>
          </cell>
          <cell r="J141">
            <v>0</v>
          </cell>
          <cell r="K141">
            <v>221475</v>
          </cell>
          <cell r="L141">
            <v>0</v>
          </cell>
          <cell r="M141">
            <v>79342</v>
          </cell>
          <cell r="N141">
            <v>0</v>
          </cell>
          <cell r="O141">
            <v>190755</v>
          </cell>
          <cell r="P141">
            <v>190755</v>
          </cell>
          <cell r="Q141">
            <v>0</v>
          </cell>
          <cell r="R141">
            <v>50024859</v>
          </cell>
          <cell r="S141" t="str">
            <v>Huntingdonshire</v>
          </cell>
          <cell r="T141" t="str">
            <v>Cambridgeshire</v>
          </cell>
          <cell r="U141" t="str">
            <v>Cambridgeshire Fire Authority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19511319</v>
          </cell>
          <cell r="G142">
            <v>0</v>
          </cell>
          <cell r="H142">
            <v>95761</v>
          </cell>
          <cell r="I142">
            <v>133530</v>
          </cell>
          <cell r="J142">
            <v>0</v>
          </cell>
          <cell r="K142">
            <v>133530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19282028</v>
          </cell>
          <cell r="S142" t="str">
            <v>Hyndburn</v>
          </cell>
          <cell r="T142" t="str">
            <v>Lancashire</v>
          </cell>
          <cell r="U142" t="str">
            <v>Lancashire Fire Authority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52615803</v>
          </cell>
          <cell r="G143">
            <v>66981</v>
          </cell>
          <cell r="H143">
            <v>0</v>
          </cell>
          <cell r="I143">
            <v>192368</v>
          </cell>
          <cell r="J143">
            <v>0</v>
          </cell>
          <cell r="K143">
            <v>192368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52490416</v>
          </cell>
          <cell r="S143" t="str">
            <v>Ipswich</v>
          </cell>
          <cell r="T143" t="str">
            <v>Suffolk</v>
          </cell>
          <cell r="U143" t="str">
            <v>County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30886444</v>
          </cell>
          <cell r="G144">
            <v>0</v>
          </cell>
          <cell r="H144">
            <v>57197</v>
          </cell>
          <cell r="I144">
            <v>250493</v>
          </cell>
          <cell r="J144">
            <v>0</v>
          </cell>
          <cell r="K144">
            <v>250493</v>
          </cell>
          <cell r="L144">
            <v>0</v>
          </cell>
          <cell r="M144">
            <v>0</v>
          </cell>
          <cell r="N144">
            <v>0</v>
          </cell>
          <cell r="O144">
            <v>79257</v>
          </cell>
          <cell r="P144">
            <v>79257</v>
          </cell>
          <cell r="Q144">
            <v>0</v>
          </cell>
          <cell r="R144">
            <v>30499497</v>
          </cell>
          <cell r="S144" t="str">
            <v>Isle of Wight Council UA</v>
          </cell>
          <cell r="T144" t="str">
            <v>UA</v>
          </cell>
          <cell r="U144" t="str">
            <v>County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1403837</v>
          </cell>
          <cell r="G145">
            <v>41317</v>
          </cell>
          <cell r="H145">
            <v>0</v>
          </cell>
          <cell r="I145">
            <v>24797</v>
          </cell>
          <cell r="J145">
            <v>0</v>
          </cell>
          <cell r="K145">
            <v>24797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1420357</v>
          </cell>
          <cell r="S145" t="str">
            <v>Isles of Scilly</v>
          </cell>
          <cell r="T145" t="str">
            <v>UA</v>
          </cell>
          <cell r="U145" t="str">
            <v>County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179252611</v>
          </cell>
          <cell r="G146">
            <v>0</v>
          </cell>
          <cell r="H146">
            <v>863455</v>
          </cell>
          <cell r="I146">
            <v>656470</v>
          </cell>
          <cell r="J146">
            <v>0</v>
          </cell>
          <cell r="K146">
            <v>656470</v>
          </cell>
          <cell r="L146">
            <v>0</v>
          </cell>
          <cell r="M146">
            <v>0</v>
          </cell>
          <cell r="N146">
            <v>0</v>
          </cell>
          <cell r="O146">
            <v>60284</v>
          </cell>
          <cell r="P146">
            <v>60284</v>
          </cell>
          <cell r="Q146">
            <v>0</v>
          </cell>
          <cell r="R146">
            <v>177672402</v>
          </cell>
          <cell r="S146" t="str">
            <v>Islington</v>
          </cell>
          <cell r="T146" t="str">
            <v>Greater London Authority</v>
          </cell>
          <cell r="U146" t="str">
            <v>NA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263485819</v>
          </cell>
          <cell r="G147">
            <v>0</v>
          </cell>
          <cell r="H147">
            <v>1044024</v>
          </cell>
          <cell r="I147">
            <v>619513</v>
          </cell>
          <cell r="J147">
            <v>0</v>
          </cell>
          <cell r="K147">
            <v>619513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261822282</v>
          </cell>
          <cell r="S147" t="str">
            <v>Kensington &amp; Chelsea</v>
          </cell>
          <cell r="T147" t="str">
            <v>Greater London Authority</v>
          </cell>
          <cell r="U147" t="str">
            <v>NA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29804435</v>
          </cell>
          <cell r="G148">
            <v>0</v>
          </cell>
          <cell r="H148">
            <v>295654</v>
          </cell>
          <cell r="I148">
            <v>110894</v>
          </cell>
          <cell r="J148">
            <v>0</v>
          </cell>
          <cell r="K148">
            <v>110894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29397887</v>
          </cell>
          <cell r="S148" t="str">
            <v>Kettering</v>
          </cell>
          <cell r="T148" t="str">
            <v>Northamptonshire</v>
          </cell>
          <cell r="U148" t="str">
            <v>County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34625450</v>
          </cell>
          <cell r="G149">
            <v>401339</v>
          </cell>
          <cell r="H149">
            <v>0</v>
          </cell>
          <cell r="I149">
            <v>217154</v>
          </cell>
          <cell r="J149">
            <v>0</v>
          </cell>
          <cell r="K149">
            <v>217154</v>
          </cell>
          <cell r="L149">
            <v>0</v>
          </cell>
          <cell r="M149">
            <v>0</v>
          </cell>
          <cell r="N149">
            <v>0</v>
          </cell>
          <cell r="O149">
            <v>329248</v>
          </cell>
          <cell r="P149">
            <v>329248</v>
          </cell>
          <cell r="Q149">
            <v>0</v>
          </cell>
          <cell r="R149">
            <v>34480387</v>
          </cell>
          <cell r="S149" t="str">
            <v>King's Lynn &amp; West Norfolk</v>
          </cell>
          <cell r="T149" t="str">
            <v>Norfolk</v>
          </cell>
          <cell r="U149" t="str">
            <v>County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84949422</v>
          </cell>
          <cell r="G150">
            <v>0</v>
          </cell>
          <cell r="H150">
            <v>3059610</v>
          </cell>
          <cell r="I150">
            <v>377352</v>
          </cell>
          <cell r="J150">
            <v>14640</v>
          </cell>
          <cell r="K150">
            <v>391992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81497820</v>
          </cell>
          <cell r="S150" t="str">
            <v>Kingston-upon-Hull UA</v>
          </cell>
          <cell r="T150" t="str">
            <v>UA</v>
          </cell>
          <cell r="U150" t="str">
            <v>Humberside Fire Authority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76891232</v>
          </cell>
          <cell r="G151">
            <v>0</v>
          </cell>
          <cell r="H151">
            <v>535426</v>
          </cell>
          <cell r="I151">
            <v>257892</v>
          </cell>
          <cell r="J151">
            <v>0</v>
          </cell>
          <cell r="K151">
            <v>257892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76097914</v>
          </cell>
          <cell r="S151" t="str">
            <v>Kingston-upon-Thames</v>
          </cell>
          <cell r="T151" t="str">
            <v>Greater London Authority</v>
          </cell>
          <cell r="U151" t="str">
            <v>NA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95552525</v>
          </cell>
          <cell r="G152">
            <v>0</v>
          </cell>
          <cell r="H152">
            <v>577670</v>
          </cell>
          <cell r="I152">
            <v>614074</v>
          </cell>
          <cell r="J152">
            <v>0</v>
          </cell>
          <cell r="K152">
            <v>614074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94360781</v>
          </cell>
          <cell r="S152" t="str">
            <v>Kirklees</v>
          </cell>
          <cell r="T152" t="str">
            <v>MD</v>
          </cell>
          <cell r="U152" t="str">
            <v>West Yorkshire Fire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26367060</v>
          </cell>
          <cell r="G153">
            <v>0</v>
          </cell>
          <cell r="H153">
            <v>513881</v>
          </cell>
          <cell r="I153">
            <v>135691</v>
          </cell>
          <cell r="J153">
            <v>0</v>
          </cell>
          <cell r="K153">
            <v>135691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25717488</v>
          </cell>
          <cell r="S153" t="str">
            <v>Knowsley</v>
          </cell>
          <cell r="T153" t="str">
            <v>MD</v>
          </cell>
          <cell r="U153" t="str">
            <v>Merseyside Fire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109041650</v>
          </cell>
          <cell r="G154">
            <v>0</v>
          </cell>
          <cell r="H154">
            <v>43882</v>
          </cell>
          <cell r="I154">
            <v>480534</v>
          </cell>
          <cell r="J154">
            <v>0</v>
          </cell>
          <cell r="K154">
            <v>480534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108517234</v>
          </cell>
          <cell r="S154" t="str">
            <v>Lambeth</v>
          </cell>
          <cell r="T154" t="str">
            <v>Greater London Authority</v>
          </cell>
          <cell r="U154" t="str">
            <v>NA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39421055</v>
          </cell>
          <cell r="G155">
            <v>19379657</v>
          </cell>
          <cell r="H155">
            <v>0</v>
          </cell>
          <cell r="I155">
            <v>233004</v>
          </cell>
          <cell r="J155">
            <v>0</v>
          </cell>
          <cell r="K155">
            <v>233004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58567708</v>
          </cell>
          <cell r="S155" t="str">
            <v>Lancaster</v>
          </cell>
          <cell r="T155" t="str">
            <v>Lancashire</v>
          </cell>
          <cell r="U155" t="str">
            <v>Lancashire Fire Authority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342220444</v>
          </cell>
          <cell r="G156">
            <v>0</v>
          </cell>
          <cell r="H156">
            <v>1278539</v>
          </cell>
          <cell r="I156">
            <v>1234002</v>
          </cell>
          <cell r="J156">
            <v>0</v>
          </cell>
          <cell r="K156">
            <v>1234002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339707903</v>
          </cell>
          <cell r="S156" t="str">
            <v>Leeds</v>
          </cell>
          <cell r="T156" t="str">
            <v>MD</v>
          </cell>
          <cell r="U156" t="str">
            <v>West Yorkshire Fire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91543966</v>
          </cell>
          <cell r="G157">
            <v>0</v>
          </cell>
          <cell r="H157">
            <v>380187</v>
          </cell>
          <cell r="I157">
            <v>488470</v>
          </cell>
          <cell r="J157">
            <v>0</v>
          </cell>
          <cell r="K157">
            <v>488470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90675309</v>
          </cell>
          <cell r="S157" t="str">
            <v>Leicester UA</v>
          </cell>
          <cell r="T157" t="str">
            <v>UA</v>
          </cell>
          <cell r="U157" t="str">
            <v>Leicestershire Fire Authority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22641391</v>
          </cell>
          <cell r="G158">
            <v>21800</v>
          </cell>
          <cell r="H158">
            <v>0</v>
          </cell>
          <cell r="I158">
            <v>128276</v>
          </cell>
          <cell r="J158">
            <v>0</v>
          </cell>
          <cell r="K158">
            <v>128276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22534915</v>
          </cell>
          <cell r="S158" t="str">
            <v>Lewes</v>
          </cell>
          <cell r="T158" t="str">
            <v>East Sussex</v>
          </cell>
          <cell r="U158" t="str">
            <v>East Sussex Fire Authority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48055310</v>
          </cell>
          <cell r="G159">
            <v>31187</v>
          </cell>
          <cell r="H159">
            <v>0</v>
          </cell>
          <cell r="I159">
            <v>306296</v>
          </cell>
          <cell r="J159">
            <v>3624</v>
          </cell>
          <cell r="K159">
            <v>309920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47776577</v>
          </cell>
          <cell r="S159" t="str">
            <v>Lewisham</v>
          </cell>
          <cell r="T159" t="str">
            <v>Greater London Authority</v>
          </cell>
          <cell r="U159" t="str">
            <v>NA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30533400</v>
          </cell>
          <cell r="G160">
            <v>114282</v>
          </cell>
          <cell r="H160">
            <v>0</v>
          </cell>
          <cell r="I160">
            <v>125090</v>
          </cell>
          <cell r="J160">
            <v>0</v>
          </cell>
          <cell r="K160">
            <v>125090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30522592</v>
          </cell>
          <cell r="S160" t="str">
            <v>Lichfield</v>
          </cell>
          <cell r="T160" t="str">
            <v>Staffordshire</v>
          </cell>
          <cell r="U160" t="str">
            <v>Staffordshire Fire Authority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38357641</v>
          </cell>
          <cell r="G161">
            <v>0</v>
          </cell>
          <cell r="H161">
            <v>245654</v>
          </cell>
          <cell r="I161">
            <v>151340</v>
          </cell>
          <cell r="J161">
            <v>0</v>
          </cell>
          <cell r="K161">
            <v>151340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37960647</v>
          </cell>
          <cell r="S161" t="str">
            <v>Lincoln</v>
          </cell>
          <cell r="T161" t="str">
            <v>Lincolnshire</v>
          </cell>
          <cell r="U161" t="str">
            <v>County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172782443</v>
          </cell>
          <cell r="G162">
            <v>0</v>
          </cell>
          <cell r="H162">
            <v>2189303</v>
          </cell>
          <cell r="I162">
            <v>762931</v>
          </cell>
          <cell r="J162">
            <v>0</v>
          </cell>
          <cell r="K162">
            <v>762931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169830209</v>
          </cell>
          <cell r="S162" t="str">
            <v>Liverpool</v>
          </cell>
          <cell r="T162" t="str">
            <v>MD</v>
          </cell>
          <cell r="U162" t="str">
            <v>Merseyside Fire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61846806</v>
          </cell>
          <cell r="G163">
            <v>666807</v>
          </cell>
          <cell r="H163">
            <v>0</v>
          </cell>
          <cell r="I163">
            <v>259196</v>
          </cell>
          <cell r="J163">
            <v>0</v>
          </cell>
          <cell r="K163">
            <v>259196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62254417</v>
          </cell>
          <cell r="S163" t="str">
            <v>Luton UA</v>
          </cell>
          <cell r="T163" t="str">
            <v>UA</v>
          </cell>
          <cell r="U163" t="str">
            <v>Bedfordshire Fire Authority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53320629</v>
          </cell>
          <cell r="G164">
            <v>0</v>
          </cell>
          <cell r="H164">
            <v>22637</v>
          </cell>
          <cell r="I164">
            <v>206754</v>
          </cell>
          <cell r="J164">
            <v>0</v>
          </cell>
          <cell r="K164">
            <v>206754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53091238</v>
          </cell>
          <cell r="S164" t="str">
            <v>Maidstone</v>
          </cell>
          <cell r="T164" t="str">
            <v>Kent</v>
          </cell>
          <cell r="U164" t="str">
            <v>Kent Fire Authority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13139470</v>
          </cell>
          <cell r="G165">
            <v>57194</v>
          </cell>
          <cell r="H165">
            <v>0</v>
          </cell>
          <cell r="I165">
            <v>92237</v>
          </cell>
          <cell r="J165">
            <v>0</v>
          </cell>
          <cell r="K165">
            <v>92237</v>
          </cell>
          <cell r="L165">
            <v>0</v>
          </cell>
          <cell r="M165">
            <v>0</v>
          </cell>
          <cell r="N165">
            <v>0</v>
          </cell>
          <cell r="O165">
            <v>164760</v>
          </cell>
          <cell r="P165">
            <v>164760</v>
          </cell>
          <cell r="Q165">
            <v>0</v>
          </cell>
          <cell r="R165">
            <v>12939667</v>
          </cell>
          <cell r="S165" t="str">
            <v>Maldon</v>
          </cell>
          <cell r="T165" t="str">
            <v>Essex</v>
          </cell>
          <cell r="U165" t="str">
            <v>Essex Fire Authority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13927524</v>
          </cell>
          <cell r="G166">
            <v>0</v>
          </cell>
          <cell r="H166">
            <v>20153</v>
          </cell>
          <cell r="I166">
            <v>107953</v>
          </cell>
          <cell r="J166">
            <v>0</v>
          </cell>
          <cell r="K166">
            <v>107953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13799418</v>
          </cell>
          <cell r="S166" t="str">
            <v>Malvern Hills</v>
          </cell>
          <cell r="T166" t="str">
            <v>Worcestershire</v>
          </cell>
          <cell r="U166" t="str">
            <v>Hereford and Worcester Fire Authority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203522894</v>
          </cell>
          <cell r="G167">
            <v>0</v>
          </cell>
          <cell r="H167">
            <v>3714488</v>
          </cell>
          <cell r="I167">
            <v>1108164</v>
          </cell>
          <cell r="J167">
            <v>0</v>
          </cell>
          <cell r="K167">
            <v>1108164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198700242</v>
          </cell>
          <cell r="S167" t="str">
            <v>Manchester</v>
          </cell>
          <cell r="T167" t="str">
            <v>MD</v>
          </cell>
          <cell r="U167" t="str">
            <v>Greater Manchester Fire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26601916</v>
          </cell>
          <cell r="G168">
            <v>0</v>
          </cell>
          <cell r="H168">
            <v>108596</v>
          </cell>
          <cell r="I168">
            <v>129143</v>
          </cell>
          <cell r="J168">
            <v>0</v>
          </cell>
          <cell r="K168">
            <v>129143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26364177</v>
          </cell>
          <cell r="S168" t="str">
            <v>Mansfield</v>
          </cell>
          <cell r="T168" t="str">
            <v>Nottinghamshire</v>
          </cell>
          <cell r="U168" t="str">
            <v>Nottinghamshire Fire Authority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75937831</v>
          </cell>
          <cell r="G169">
            <v>1537609</v>
          </cell>
          <cell r="H169">
            <v>0</v>
          </cell>
          <cell r="I169">
            <v>292567</v>
          </cell>
          <cell r="J169">
            <v>0</v>
          </cell>
          <cell r="K169">
            <v>292567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77182873</v>
          </cell>
          <cell r="S169" t="str">
            <v>Medway UA</v>
          </cell>
          <cell r="T169" t="str">
            <v>UA</v>
          </cell>
          <cell r="U169" t="str">
            <v>Kent Fire Authority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12177033</v>
          </cell>
          <cell r="G170">
            <v>59486</v>
          </cell>
          <cell r="H170">
            <v>0</v>
          </cell>
          <cell r="I170">
            <v>61924</v>
          </cell>
          <cell r="J170">
            <v>0</v>
          </cell>
          <cell r="K170">
            <v>61924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12174595</v>
          </cell>
          <cell r="S170" t="str">
            <v>Melton</v>
          </cell>
          <cell r="T170" t="str">
            <v>Leicestershire</v>
          </cell>
          <cell r="U170" t="str">
            <v>Leicestershire Fire Authority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30928240</v>
          </cell>
          <cell r="G171">
            <v>0</v>
          </cell>
          <cell r="H171">
            <v>47178</v>
          </cell>
          <cell r="I171">
            <v>162142</v>
          </cell>
          <cell r="J171">
            <v>750</v>
          </cell>
          <cell r="K171">
            <v>162892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30718170</v>
          </cell>
          <cell r="S171" t="str">
            <v>Mendip</v>
          </cell>
          <cell r="T171" t="str">
            <v>Somerset</v>
          </cell>
          <cell r="U171" t="str">
            <v>Devon and Somerset Fire Authority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79583097</v>
          </cell>
          <cell r="G172">
            <v>0</v>
          </cell>
          <cell r="H172">
            <v>170662</v>
          </cell>
          <cell r="I172">
            <v>280580</v>
          </cell>
          <cell r="J172">
            <v>0</v>
          </cell>
          <cell r="K172">
            <v>280580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79131855</v>
          </cell>
          <cell r="S172" t="str">
            <v>Merton</v>
          </cell>
          <cell r="T172" t="str">
            <v>Greater London Authority</v>
          </cell>
          <cell r="U172" t="str">
            <v>NA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14399000</v>
          </cell>
          <cell r="G173">
            <v>77877</v>
          </cell>
          <cell r="H173">
            <v>0</v>
          </cell>
          <cell r="I173">
            <v>106404</v>
          </cell>
          <cell r="J173">
            <v>0</v>
          </cell>
          <cell r="K173">
            <v>106404</v>
          </cell>
          <cell r="L173">
            <v>0</v>
          </cell>
          <cell r="M173">
            <v>0</v>
          </cell>
          <cell r="N173">
            <v>0</v>
          </cell>
          <cell r="O173">
            <v>40779</v>
          </cell>
          <cell r="P173">
            <v>40779</v>
          </cell>
          <cell r="Q173">
            <v>0</v>
          </cell>
          <cell r="R173">
            <v>14329694</v>
          </cell>
          <cell r="S173" t="str">
            <v>Mid Devon</v>
          </cell>
          <cell r="T173" t="str">
            <v>Devon</v>
          </cell>
          <cell r="U173" t="str">
            <v>Devon and Somerset Fire Authority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19964247</v>
          </cell>
          <cell r="G174">
            <v>0</v>
          </cell>
          <cell r="H174">
            <v>60981</v>
          </cell>
          <cell r="I174">
            <v>128540</v>
          </cell>
          <cell r="J174">
            <v>0</v>
          </cell>
          <cell r="K174">
            <v>128540</v>
          </cell>
          <cell r="L174">
            <v>0</v>
          </cell>
          <cell r="M174">
            <v>0</v>
          </cell>
          <cell r="N174">
            <v>0</v>
          </cell>
          <cell r="O174">
            <v>40762</v>
          </cell>
          <cell r="P174">
            <v>40762</v>
          </cell>
          <cell r="Q174">
            <v>0</v>
          </cell>
          <cell r="R174">
            <v>19733964</v>
          </cell>
          <cell r="S174" t="str">
            <v>Mid Suffolk</v>
          </cell>
          <cell r="T174" t="str">
            <v>Suffolk</v>
          </cell>
          <cell r="U174" t="str">
            <v>County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40082390</v>
          </cell>
          <cell r="G175">
            <v>0</v>
          </cell>
          <cell r="H175">
            <v>88143</v>
          </cell>
          <cell r="I175">
            <v>172028</v>
          </cell>
          <cell r="J175">
            <v>0</v>
          </cell>
          <cell r="K175">
            <v>172028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39822219</v>
          </cell>
          <cell r="S175" t="str">
            <v>Mid Sussex</v>
          </cell>
          <cell r="T175" t="str">
            <v>West Sussex</v>
          </cell>
          <cell r="U175" t="str">
            <v>County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35811582</v>
          </cell>
          <cell r="G176">
            <v>0</v>
          </cell>
          <cell r="H176">
            <v>505567</v>
          </cell>
          <cell r="I176">
            <v>179446</v>
          </cell>
          <cell r="J176">
            <v>0</v>
          </cell>
          <cell r="K176">
            <v>179446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35126569</v>
          </cell>
          <cell r="S176" t="str">
            <v>Middlesbrough UA</v>
          </cell>
          <cell r="T176" t="str">
            <v>UA</v>
          </cell>
          <cell r="U176" t="str">
            <v>Cleveland Fire Authority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124174244</v>
          </cell>
          <cell r="G177">
            <v>0</v>
          </cell>
          <cell r="H177">
            <v>1945885</v>
          </cell>
          <cell r="I177">
            <v>373542</v>
          </cell>
          <cell r="J177">
            <v>0</v>
          </cell>
          <cell r="K177">
            <v>373542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121854817</v>
          </cell>
          <cell r="S177" t="str">
            <v>Milton Keynes UA</v>
          </cell>
          <cell r="T177" t="str">
            <v>UA</v>
          </cell>
          <cell r="U177" t="str">
            <v>Buckinghamshire Fire Authority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34837788</v>
          </cell>
          <cell r="G178">
            <v>0</v>
          </cell>
          <cell r="H178">
            <v>134779</v>
          </cell>
          <cell r="I178">
            <v>152970</v>
          </cell>
          <cell r="J178">
            <v>0</v>
          </cell>
          <cell r="K178">
            <v>152970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34550039</v>
          </cell>
          <cell r="S178" t="str">
            <v>Mole Valley</v>
          </cell>
          <cell r="T178" t="str">
            <v>Surrey</v>
          </cell>
          <cell r="U178" t="str">
            <v>County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54853878</v>
          </cell>
          <cell r="G179">
            <v>1158545</v>
          </cell>
          <cell r="H179">
            <v>0</v>
          </cell>
          <cell r="I179">
            <v>286160</v>
          </cell>
          <cell r="J179">
            <v>0</v>
          </cell>
          <cell r="K179">
            <v>286160</v>
          </cell>
          <cell r="L179">
            <v>0</v>
          </cell>
          <cell r="M179">
            <v>0</v>
          </cell>
          <cell r="N179">
            <v>0</v>
          </cell>
          <cell r="O179">
            <v>278</v>
          </cell>
          <cell r="P179">
            <v>278</v>
          </cell>
          <cell r="Q179">
            <v>0</v>
          </cell>
          <cell r="R179">
            <v>55725985</v>
          </cell>
          <cell r="S179" t="str">
            <v>New Forest</v>
          </cell>
          <cell r="T179" t="str">
            <v>Hampshire</v>
          </cell>
          <cell r="U179" t="str">
            <v>Hampshire Fire Authority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36683822</v>
          </cell>
          <cell r="G180">
            <v>0</v>
          </cell>
          <cell r="H180">
            <v>116574</v>
          </cell>
          <cell r="I180">
            <v>164324</v>
          </cell>
          <cell r="J180">
            <v>0</v>
          </cell>
          <cell r="K180">
            <v>164324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36402924</v>
          </cell>
          <cell r="S180" t="str">
            <v>Newark &amp; Sherwood</v>
          </cell>
          <cell r="T180" t="str">
            <v>Nottinghamshire</v>
          </cell>
          <cell r="U180" t="str">
            <v>Nottinghamshire Fire Authority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130456794</v>
          </cell>
          <cell r="G181">
            <v>0</v>
          </cell>
          <cell r="H181">
            <v>112713</v>
          </cell>
          <cell r="I181">
            <v>461240</v>
          </cell>
          <cell r="J181">
            <v>0</v>
          </cell>
          <cell r="K181">
            <v>461240</v>
          </cell>
          <cell r="L181">
            <v>0</v>
          </cell>
          <cell r="M181">
            <v>258625</v>
          </cell>
          <cell r="N181">
            <v>1132971</v>
          </cell>
          <cell r="O181">
            <v>0</v>
          </cell>
          <cell r="P181">
            <v>0</v>
          </cell>
          <cell r="Q181">
            <v>0</v>
          </cell>
          <cell r="R181">
            <v>128491245</v>
          </cell>
          <cell r="S181" t="str">
            <v>Newcastle-upon-Tyne</v>
          </cell>
          <cell r="T181" t="str">
            <v>MD</v>
          </cell>
          <cell r="U181" t="str">
            <v>Tyne and Wear Fire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32360120</v>
          </cell>
          <cell r="G182">
            <v>76316</v>
          </cell>
          <cell r="H182">
            <v>0</v>
          </cell>
          <cell r="I182">
            <v>141676</v>
          </cell>
          <cell r="J182">
            <v>0</v>
          </cell>
          <cell r="K182">
            <v>141676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32294760</v>
          </cell>
          <cell r="S182" t="str">
            <v>Newcastle-under-Lyme</v>
          </cell>
          <cell r="T182" t="str">
            <v>Staffordshire</v>
          </cell>
          <cell r="U182" t="str">
            <v>Staffordshire Fire Authority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119327241</v>
          </cell>
          <cell r="G183">
            <v>385628</v>
          </cell>
          <cell r="H183">
            <v>0</v>
          </cell>
          <cell r="I183">
            <v>387053</v>
          </cell>
          <cell r="J183">
            <v>0</v>
          </cell>
          <cell r="K183">
            <v>387053</v>
          </cell>
          <cell r="L183">
            <v>0</v>
          </cell>
          <cell r="M183">
            <v>173688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119152128</v>
          </cell>
          <cell r="S183" t="str">
            <v>Newham</v>
          </cell>
          <cell r="T183" t="str">
            <v>Greater London Authority</v>
          </cell>
          <cell r="U183" t="str">
            <v>NA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30170430</v>
          </cell>
          <cell r="G184">
            <v>156576</v>
          </cell>
          <cell r="H184">
            <v>0</v>
          </cell>
          <cell r="I184">
            <v>202305</v>
          </cell>
          <cell r="J184">
            <v>0</v>
          </cell>
          <cell r="K184">
            <v>202305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30124701</v>
          </cell>
          <cell r="S184" t="str">
            <v>North Devon</v>
          </cell>
          <cell r="T184" t="str">
            <v>Devon</v>
          </cell>
          <cell r="U184" t="str">
            <v>Devon and Somerset Fire Authority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12644109</v>
          </cell>
          <cell r="G185">
            <v>11382</v>
          </cell>
          <cell r="H185">
            <v>0</v>
          </cell>
          <cell r="I185">
            <v>91750</v>
          </cell>
          <cell r="J185">
            <v>0</v>
          </cell>
          <cell r="K185">
            <v>91750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12563741</v>
          </cell>
          <cell r="S185" t="str">
            <v>North Dorset</v>
          </cell>
          <cell r="T185" t="str">
            <v>Dorset</v>
          </cell>
          <cell r="U185" t="str">
            <v>Dorset Fire Authority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14532411</v>
          </cell>
          <cell r="G186">
            <v>39707</v>
          </cell>
          <cell r="H186">
            <v>0</v>
          </cell>
          <cell r="I186">
            <v>97498</v>
          </cell>
          <cell r="J186">
            <v>0</v>
          </cell>
          <cell r="K186">
            <v>97498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14474620</v>
          </cell>
          <cell r="S186" t="str">
            <v>North East Derbyshire</v>
          </cell>
          <cell r="T186" t="str">
            <v>Derbyshire</v>
          </cell>
          <cell r="U186" t="str">
            <v>Derbyshire Fire Authority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59923637</v>
          </cell>
          <cell r="G187">
            <v>215192</v>
          </cell>
          <cell r="H187">
            <v>0</v>
          </cell>
          <cell r="I187">
            <v>241084</v>
          </cell>
          <cell r="J187">
            <v>0</v>
          </cell>
          <cell r="K187">
            <v>241084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59897745</v>
          </cell>
          <cell r="S187" t="str">
            <v>North East Lincolnshire UA</v>
          </cell>
          <cell r="T187" t="str">
            <v>UA</v>
          </cell>
          <cell r="U187" t="str">
            <v>Humberside Fire Authority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35689821</v>
          </cell>
          <cell r="G188">
            <v>0</v>
          </cell>
          <cell r="H188">
            <v>353524</v>
          </cell>
          <cell r="I188">
            <v>182381</v>
          </cell>
          <cell r="J188">
            <v>0</v>
          </cell>
          <cell r="K188">
            <v>182381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35153916</v>
          </cell>
          <cell r="S188" t="str">
            <v>North Hertfordshire</v>
          </cell>
          <cell r="T188" t="str">
            <v>Hertfordshire</v>
          </cell>
          <cell r="U188" t="str">
            <v>County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21846815</v>
          </cell>
          <cell r="G189">
            <v>59353</v>
          </cell>
          <cell r="H189">
            <v>57605</v>
          </cell>
          <cell r="I189">
            <v>122912</v>
          </cell>
          <cell r="J189">
            <v>0</v>
          </cell>
          <cell r="K189">
            <v>122912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21725651</v>
          </cell>
          <cell r="S189" t="str">
            <v>North Kesteven</v>
          </cell>
          <cell r="T189" t="str">
            <v>Lincolnshire</v>
          </cell>
          <cell r="U189" t="str">
            <v>County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78626246</v>
          </cell>
          <cell r="G190">
            <v>2787908</v>
          </cell>
          <cell r="H190">
            <v>0</v>
          </cell>
          <cell r="I190">
            <v>255809</v>
          </cell>
          <cell r="J190">
            <v>0</v>
          </cell>
          <cell r="K190">
            <v>255809</v>
          </cell>
          <cell r="L190">
            <v>0</v>
          </cell>
          <cell r="M190">
            <v>0</v>
          </cell>
          <cell r="N190">
            <v>0</v>
          </cell>
          <cell r="O190">
            <v>22179</v>
          </cell>
          <cell r="P190">
            <v>22179</v>
          </cell>
          <cell r="Q190">
            <v>0</v>
          </cell>
          <cell r="R190">
            <v>81136166</v>
          </cell>
          <cell r="S190" t="str">
            <v>North Lincolnshire UA</v>
          </cell>
          <cell r="T190" t="str">
            <v>UA</v>
          </cell>
          <cell r="U190" t="str">
            <v>Humberside Fire Authority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23296452</v>
          </cell>
          <cell r="G191">
            <v>273975</v>
          </cell>
          <cell r="H191">
            <v>0</v>
          </cell>
          <cell r="I191">
            <v>230177</v>
          </cell>
          <cell r="J191">
            <v>0</v>
          </cell>
          <cell r="K191">
            <v>230177</v>
          </cell>
          <cell r="L191">
            <v>0</v>
          </cell>
          <cell r="M191">
            <v>0</v>
          </cell>
          <cell r="N191">
            <v>0</v>
          </cell>
          <cell r="O191">
            <v>18840</v>
          </cell>
          <cell r="P191">
            <v>18840</v>
          </cell>
          <cell r="Q191">
            <v>0</v>
          </cell>
          <cell r="R191">
            <v>23321410</v>
          </cell>
          <cell r="S191" t="str">
            <v>North Norfolk</v>
          </cell>
          <cell r="T191" t="str">
            <v>Norfolk</v>
          </cell>
          <cell r="U191" t="str">
            <v>County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54340219</v>
          </cell>
          <cell r="G192">
            <v>83764</v>
          </cell>
          <cell r="H192">
            <v>0</v>
          </cell>
          <cell r="I192">
            <v>259620</v>
          </cell>
          <cell r="J192">
            <v>0</v>
          </cell>
          <cell r="K192">
            <v>259620</v>
          </cell>
          <cell r="L192">
            <v>0</v>
          </cell>
          <cell r="M192">
            <v>0</v>
          </cell>
          <cell r="N192">
            <v>0</v>
          </cell>
          <cell r="O192">
            <v>4574</v>
          </cell>
          <cell r="P192">
            <v>4574</v>
          </cell>
          <cell r="Q192">
            <v>0</v>
          </cell>
          <cell r="R192">
            <v>54159789</v>
          </cell>
          <cell r="S192" t="str">
            <v>North Somerset UA</v>
          </cell>
          <cell r="T192" t="str">
            <v>UA</v>
          </cell>
          <cell r="U192" t="str">
            <v>Avon Fire Authority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53412046</v>
          </cell>
          <cell r="G193">
            <v>0</v>
          </cell>
          <cell r="H193">
            <v>176929</v>
          </cell>
          <cell r="I193">
            <v>228416</v>
          </cell>
          <cell r="J193">
            <v>0</v>
          </cell>
          <cell r="K193">
            <v>228416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53006701</v>
          </cell>
          <cell r="S193" t="str">
            <v>North Tyneside</v>
          </cell>
          <cell r="T193" t="str">
            <v>MD</v>
          </cell>
          <cell r="U193" t="str">
            <v>Tyne and Wear Fire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38486976</v>
          </cell>
          <cell r="G194">
            <v>0</v>
          </cell>
          <cell r="H194">
            <v>916150</v>
          </cell>
          <cell r="I194">
            <v>110454</v>
          </cell>
          <cell r="J194">
            <v>0</v>
          </cell>
          <cell r="K194">
            <v>110454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37460372</v>
          </cell>
          <cell r="S194" t="str">
            <v>North Warwickshire</v>
          </cell>
          <cell r="T194" t="str">
            <v>Warwickshire</v>
          </cell>
          <cell r="U194" t="str">
            <v>County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44683551</v>
          </cell>
          <cell r="G195">
            <v>138468</v>
          </cell>
          <cell r="H195">
            <v>0</v>
          </cell>
          <cell r="I195">
            <v>145672</v>
          </cell>
          <cell r="J195">
            <v>0</v>
          </cell>
          <cell r="K195">
            <v>145672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44676347</v>
          </cell>
          <cell r="S195" t="str">
            <v>North West Leicestershire</v>
          </cell>
          <cell r="T195" t="str">
            <v>Leicestershire</v>
          </cell>
          <cell r="U195" t="str">
            <v>Leicestershire Fire Authority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94435354</v>
          </cell>
          <cell r="G196">
            <v>0</v>
          </cell>
          <cell r="H196">
            <v>2871159</v>
          </cell>
          <cell r="I196">
            <v>301115</v>
          </cell>
          <cell r="J196">
            <v>0</v>
          </cell>
          <cell r="K196">
            <v>301115</v>
          </cell>
          <cell r="L196">
            <v>0</v>
          </cell>
          <cell r="M196">
            <v>535861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90727219</v>
          </cell>
          <cell r="S196" t="str">
            <v>Northampton</v>
          </cell>
          <cell r="T196" t="str">
            <v>Northamptonshire</v>
          </cell>
          <cell r="U196" t="str">
            <v>County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68897979</v>
          </cell>
          <cell r="G197">
            <v>441443</v>
          </cell>
          <cell r="H197">
            <v>0</v>
          </cell>
          <cell r="I197">
            <v>474143</v>
          </cell>
          <cell r="J197">
            <v>0</v>
          </cell>
          <cell r="K197">
            <v>474143</v>
          </cell>
          <cell r="L197">
            <v>0</v>
          </cell>
          <cell r="M197">
            <v>0</v>
          </cell>
          <cell r="N197">
            <v>0</v>
          </cell>
          <cell r="O197">
            <v>390530</v>
          </cell>
          <cell r="P197">
            <v>390530</v>
          </cell>
          <cell r="Q197">
            <v>0</v>
          </cell>
          <cell r="R197">
            <v>68474749</v>
          </cell>
          <cell r="S197" t="str">
            <v>Northumberland UA</v>
          </cell>
          <cell r="T197" t="str">
            <v>UA</v>
          </cell>
          <cell r="U197" t="str">
            <v>County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75221829</v>
          </cell>
          <cell r="G198">
            <v>0</v>
          </cell>
          <cell r="H198">
            <v>943899</v>
          </cell>
          <cell r="I198">
            <v>268738</v>
          </cell>
          <cell r="J198">
            <v>0</v>
          </cell>
          <cell r="K198">
            <v>268738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74009192</v>
          </cell>
          <cell r="S198" t="str">
            <v>Norwich</v>
          </cell>
          <cell r="T198" t="str">
            <v>Norfolk</v>
          </cell>
          <cell r="U198" t="str">
            <v>County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115531643</v>
          </cell>
          <cell r="G199">
            <v>0</v>
          </cell>
          <cell r="H199">
            <v>784104</v>
          </cell>
          <cell r="I199">
            <v>497329</v>
          </cell>
          <cell r="J199">
            <v>1000</v>
          </cell>
          <cell r="K199">
            <v>498329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114249210</v>
          </cell>
          <cell r="S199" t="str">
            <v>Nottingham UA</v>
          </cell>
          <cell r="T199" t="str">
            <v>UA</v>
          </cell>
          <cell r="U199" t="str">
            <v>Nottinghamshire Fire Authority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31843769</v>
          </cell>
          <cell r="G200">
            <v>0</v>
          </cell>
          <cell r="H200">
            <v>167046</v>
          </cell>
          <cell r="I200">
            <v>136145</v>
          </cell>
          <cell r="J200">
            <v>0</v>
          </cell>
          <cell r="K200">
            <v>136145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31540578</v>
          </cell>
          <cell r="S200" t="str">
            <v>Nuneaton &amp; Bedworth</v>
          </cell>
          <cell r="T200" t="str">
            <v>Warwickshire</v>
          </cell>
          <cell r="U200" t="str">
            <v>County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10970838</v>
          </cell>
          <cell r="G201">
            <v>3795</v>
          </cell>
          <cell r="H201">
            <v>0</v>
          </cell>
          <cell r="I201">
            <v>56189</v>
          </cell>
          <cell r="J201">
            <v>0</v>
          </cell>
          <cell r="K201">
            <v>56189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10918444</v>
          </cell>
          <cell r="S201" t="str">
            <v>Oadby &amp; Wigston</v>
          </cell>
          <cell r="T201" t="str">
            <v>Leicestershire</v>
          </cell>
          <cell r="U201" t="str">
            <v>Leicestershire Fire Authority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52568510</v>
          </cell>
          <cell r="G202">
            <v>0</v>
          </cell>
          <cell r="H202">
            <v>356936</v>
          </cell>
          <cell r="I202">
            <v>309623</v>
          </cell>
          <cell r="J202">
            <v>0</v>
          </cell>
          <cell r="K202">
            <v>309623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51901951</v>
          </cell>
          <cell r="S202" t="str">
            <v>Oldham</v>
          </cell>
          <cell r="T202" t="str">
            <v>MD</v>
          </cell>
          <cell r="U202" t="str">
            <v>Greater Manchester Fire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79792236</v>
          </cell>
          <cell r="G203">
            <v>0</v>
          </cell>
          <cell r="H203">
            <v>313709</v>
          </cell>
          <cell r="I203">
            <v>220001</v>
          </cell>
          <cell r="J203">
            <v>0</v>
          </cell>
          <cell r="K203">
            <v>220001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79258526</v>
          </cell>
          <cell r="S203" t="str">
            <v>Oxford</v>
          </cell>
          <cell r="T203" t="str">
            <v>Oxfordshire</v>
          </cell>
          <cell r="U203" t="str">
            <v>County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17083450</v>
          </cell>
          <cell r="G204">
            <v>65103</v>
          </cell>
          <cell r="H204">
            <v>0</v>
          </cell>
          <cell r="I204">
            <v>137523</v>
          </cell>
          <cell r="J204">
            <v>0</v>
          </cell>
          <cell r="K204">
            <v>137523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17011030</v>
          </cell>
          <cell r="S204" t="str">
            <v>Pendle</v>
          </cell>
          <cell r="T204" t="str">
            <v>Lancashire</v>
          </cell>
          <cell r="U204" t="str">
            <v>Lancashire Fire Authority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82612916</v>
          </cell>
          <cell r="G205">
            <v>1163119</v>
          </cell>
          <cell r="H205">
            <v>0</v>
          </cell>
          <cell r="I205">
            <v>275537</v>
          </cell>
          <cell r="J205">
            <v>0</v>
          </cell>
          <cell r="K205">
            <v>275537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83500498</v>
          </cell>
          <cell r="S205" t="str">
            <v>Peterborough UA</v>
          </cell>
          <cell r="T205" t="str">
            <v>UA</v>
          </cell>
          <cell r="U205" t="str">
            <v>Cambridgeshire Fire Authority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86343753</v>
          </cell>
          <cell r="G206">
            <v>0</v>
          </cell>
          <cell r="H206">
            <v>622892</v>
          </cell>
          <cell r="I206">
            <v>310279</v>
          </cell>
          <cell r="J206">
            <v>0</v>
          </cell>
          <cell r="K206">
            <v>310279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85410582</v>
          </cell>
          <cell r="S206" t="str">
            <v>Plymouth UA</v>
          </cell>
          <cell r="T206" t="str">
            <v>UA</v>
          </cell>
          <cell r="U206" t="str">
            <v>Devon and Somerset Fire Authority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57616436</v>
          </cell>
          <cell r="G207">
            <v>0</v>
          </cell>
          <cell r="H207">
            <v>612037</v>
          </cell>
          <cell r="I207">
            <v>239641</v>
          </cell>
          <cell r="J207">
            <v>0</v>
          </cell>
          <cell r="K207">
            <v>239641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56764758</v>
          </cell>
          <cell r="S207" t="str">
            <v>Poole UA</v>
          </cell>
          <cell r="T207" t="str">
            <v>UA</v>
          </cell>
          <cell r="U207" t="str">
            <v>Dorset Fire Authority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66304543</v>
          </cell>
          <cell r="G208">
            <v>0</v>
          </cell>
          <cell r="H208">
            <v>2514444</v>
          </cell>
          <cell r="I208">
            <v>280689</v>
          </cell>
          <cell r="J208">
            <v>0</v>
          </cell>
          <cell r="K208">
            <v>280689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63509410</v>
          </cell>
          <cell r="S208" t="str">
            <v>Portsmouth UA</v>
          </cell>
          <cell r="T208" t="str">
            <v>UA</v>
          </cell>
          <cell r="U208" t="str">
            <v>Hampshire Fire Authority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59986344</v>
          </cell>
          <cell r="G209">
            <v>0</v>
          </cell>
          <cell r="H209">
            <v>453135</v>
          </cell>
          <cell r="I209">
            <v>239401</v>
          </cell>
          <cell r="J209">
            <v>0</v>
          </cell>
          <cell r="K209">
            <v>239401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59293808</v>
          </cell>
          <cell r="S209" t="str">
            <v>Preston</v>
          </cell>
          <cell r="T209" t="str">
            <v>Lancashire</v>
          </cell>
          <cell r="U209" t="str">
            <v>Lancashire Fire Authority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17225721</v>
          </cell>
          <cell r="G210">
            <v>145531</v>
          </cell>
          <cell r="H210">
            <v>0</v>
          </cell>
          <cell r="I210">
            <v>93946</v>
          </cell>
          <cell r="J210">
            <v>0</v>
          </cell>
          <cell r="K210">
            <v>93946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17277306</v>
          </cell>
          <cell r="S210" t="str">
            <v>Purbeck</v>
          </cell>
          <cell r="T210" t="str">
            <v>Dorset</v>
          </cell>
          <cell r="U210" t="str">
            <v>Dorset Fire Authority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89196654</v>
          </cell>
          <cell r="G211">
            <v>346195</v>
          </cell>
          <cell r="H211">
            <v>0</v>
          </cell>
          <cell r="I211">
            <v>269167</v>
          </cell>
          <cell r="J211">
            <v>0</v>
          </cell>
          <cell r="K211">
            <v>269167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89273682</v>
          </cell>
          <cell r="S211" t="str">
            <v>Reading UA</v>
          </cell>
          <cell r="T211" t="str">
            <v>UA</v>
          </cell>
          <cell r="U211" t="str">
            <v>Berkshire Fire Authority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51013251</v>
          </cell>
          <cell r="G212">
            <v>161769</v>
          </cell>
          <cell r="H212">
            <v>0</v>
          </cell>
          <cell r="I212">
            <v>278679</v>
          </cell>
          <cell r="J212">
            <v>0</v>
          </cell>
          <cell r="K212">
            <v>278679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50896341</v>
          </cell>
          <cell r="S212" t="str">
            <v>Redbridge</v>
          </cell>
          <cell r="T212" t="str">
            <v>Greater London Authority</v>
          </cell>
          <cell r="U212" t="str">
            <v>NA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46508814</v>
          </cell>
          <cell r="G213">
            <v>528467</v>
          </cell>
          <cell r="H213">
            <v>0</v>
          </cell>
          <cell r="I213">
            <v>171732</v>
          </cell>
          <cell r="J213">
            <v>0</v>
          </cell>
          <cell r="K213">
            <v>171732</v>
          </cell>
          <cell r="L213">
            <v>0</v>
          </cell>
          <cell r="M213">
            <v>11720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46853829</v>
          </cell>
          <cell r="S213" t="str">
            <v>Redcar &amp; Cleveland UA</v>
          </cell>
          <cell r="T213" t="str">
            <v>UA</v>
          </cell>
          <cell r="U213" t="str">
            <v>Cleveland Fire Authority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32919135</v>
          </cell>
          <cell r="G214">
            <v>0</v>
          </cell>
          <cell r="H214">
            <v>318238</v>
          </cell>
          <cell r="I214">
            <v>111657</v>
          </cell>
          <cell r="J214">
            <v>0</v>
          </cell>
          <cell r="K214">
            <v>111657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32489240</v>
          </cell>
          <cell r="S214" t="str">
            <v>Redditch</v>
          </cell>
          <cell r="T214" t="str">
            <v>Worcestershire</v>
          </cell>
          <cell r="U214" t="str">
            <v>Hereford and Worcester Fire Authority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47631530</v>
          </cell>
          <cell r="G215">
            <v>0</v>
          </cell>
          <cell r="H215">
            <v>64141</v>
          </cell>
          <cell r="I215">
            <v>177701</v>
          </cell>
          <cell r="J215">
            <v>0</v>
          </cell>
          <cell r="K215">
            <v>177701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47389688</v>
          </cell>
          <cell r="S215" t="str">
            <v>Reigate &amp; Banstead</v>
          </cell>
          <cell r="T215" t="str">
            <v>Surrey</v>
          </cell>
          <cell r="U215" t="str">
            <v>County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13511023</v>
          </cell>
          <cell r="G216">
            <v>0</v>
          </cell>
          <cell r="H216">
            <v>12207</v>
          </cell>
          <cell r="I216">
            <v>85946</v>
          </cell>
          <cell r="J216">
            <v>0</v>
          </cell>
          <cell r="K216">
            <v>85946</v>
          </cell>
          <cell r="L216">
            <v>0</v>
          </cell>
          <cell r="M216">
            <v>2997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13409873</v>
          </cell>
          <cell r="S216" t="str">
            <v>Ribble Valley</v>
          </cell>
          <cell r="T216" t="str">
            <v>Lancashire</v>
          </cell>
          <cell r="U216" t="str">
            <v>Lancashire Fire Authority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76899714</v>
          </cell>
          <cell r="G217">
            <v>13655</v>
          </cell>
          <cell r="H217">
            <v>0</v>
          </cell>
          <cell r="I217">
            <v>304564</v>
          </cell>
          <cell r="J217">
            <v>0</v>
          </cell>
          <cell r="K217">
            <v>304564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76608805</v>
          </cell>
          <cell r="S217" t="str">
            <v>Richmond-upon-Thames</v>
          </cell>
          <cell r="T217" t="str">
            <v>Greater London Authority</v>
          </cell>
          <cell r="U217" t="str">
            <v>NA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11465922</v>
          </cell>
          <cell r="G218">
            <v>0</v>
          </cell>
          <cell r="H218">
            <v>62950</v>
          </cell>
          <cell r="I218">
            <v>96435</v>
          </cell>
          <cell r="J218">
            <v>0</v>
          </cell>
          <cell r="K218">
            <v>96435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11306537</v>
          </cell>
          <cell r="S218" t="str">
            <v>Richmondshire</v>
          </cell>
          <cell r="T218" t="str">
            <v>North Yorkshire</v>
          </cell>
          <cell r="U218" t="str">
            <v>North Yorkshire Fire Authority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58681429</v>
          </cell>
          <cell r="G219">
            <v>0</v>
          </cell>
          <cell r="H219">
            <v>897851</v>
          </cell>
          <cell r="I219">
            <v>285612</v>
          </cell>
          <cell r="J219">
            <v>0</v>
          </cell>
          <cell r="K219">
            <v>285612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57497966</v>
          </cell>
          <cell r="S219" t="str">
            <v>Rochdale</v>
          </cell>
          <cell r="T219" t="str">
            <v>MD</v>
          </cell>
          <cell r="U219" t="str">
            <v>Greater Manchester Fire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15354126</v>
          </cell>
          <cell r="G220">
            <v>0</v>
          </cell>
          <cell r="H220">
            <v>64513</v>
          </cell>
          <cell r="I220">
            <v>85320</v>
          </cell>
          <cell r="J220">
            <v>0</v>
          </cell>
          <cell r="K220">
            <v>85320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15204293</v>
          </cell>
          <cell r="S220" t="str">
            <v>Rochford</v>
          </cell>
          <cell r="T220" t="str">
            <v>Essex</v>
          </cell>
          <cell r="U220" t="str">
            <v>Essex Fire Authority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12224767</v>
          </cell>
          <cell r="G221">
            <v>665</v>
          </cell>
          <cell r="H221">
            <v>0</v>
          </cell>
          <cell r="I221">
            <v>101007</v>
          </cell>
          <cell r="J221">
            <v>0</v>
          </cell>
          <cell r="K221">
            <v>101007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12124425</v>
          </cell>
          <cell r="S221" t="str">
            <v>Rossendale</v>
          </cell>
          <cell r="T221" t="str">
            <v>Lancashire</v>
          </cell>
          <cell r="U221" t="str">
            <v>Lancashire Fire Authority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15325269</v>
          </cell>
          <cell r="G222">
            <v>17555</v>
          </cell>
          <cell r="H222">
            <v>0</v>
          </cell>
          <cell r="I222">
            <v>136326</v>
          </cell>
          <cell r="J222">
            <v>0</v>
          </cell>
          <cell r="K222">
            <v>136326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15206498</v>
          </cell>
          <cell r="S222" t="str">
            <v>Rother</v>
          </cell>
          <cell r="T222" t="str">
            <v>East Sussex</v>
          </cell>
          <cell r="U222" t="str">
            <v>East Sussex Fire Authority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65457055</v>
          </cell>
          <cell r="G223">
            <v>0</v>
          </cell>
          <cell r="H223">
            <v>671977</v>
          </cell>
          <cell r="I223">
            <v>310277</v>
          </cell>
          <cell r="J223">
            <v>0</v>
          </cell>
          <cell r="K223">
            <v>310277</v>
          </cell>
          <cell r="L223">
            <v>0</v>
          </cell>
          <cell r="M223">
            <v>0</v>
          </cell>
          <cell r="N223">
            <v>0</v>
          </cell>
          <cell r="O223">
            <v>115440</v>
          </cell>
          <cell r="P223">
            <v>115440</v>
          </cell>
          <cell r="Q223">
            <v>0</v>
          </cell>
          <cell r="R223">
            <v>64359361</v>
          </cell>
          <cell r="S223" t="str">
            <v>Rotherham</v>
          </cell>
          <cell r="T223" t="str">
            <v>MD</v>
          </cell>
          <cell r="U223" t="str">
            <v>South Yorkshire Fire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38028544</v>
          </cell>
          <cell r="G224">
            <v>0</v>
          </cell>
          <cell r="H224">
            <v>213094</v>
          </cell>
          <cell r="I224">
            <v>135187</v>
          </cell>
          <cell r="J224">
            <v>0</v>
          </cell>
          <cell r="K224">
            <v>135187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37680263</v>
          </cell>
          <cell r="S224" t="str">
            <v>Rugby</v>
          </cell>
          <cell r="T224" t="str">
            <v>Warwickshire</v>
          </cell>
          <cell r="U224" t="str">
            <v>County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40549594</v>
          </cell>
          <cell r="G225">
            <v>0</v>
          </cell>
          <cell r="H225">
            <v>63672</v>
          </cell>
          <cell r="I225">
            <v>128572</v>
          </cell>
          <cell r="J225">
            <v>0</v>
          </cell>
          <cell r="K225">
            <v>128572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40357350</v>
          </cell>
          <cell r="S225" t="str">
            <v>Runnymede</v>
          </cell>
          <cell r="T225" t="str">
            <v>Surrey</v>
          </cell>
          <cell r="U225" t="str">
            <v>County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23570667</v>
          </cell>
          <cell r="G226">
            <v>1360413</v>
          </cell>
          <cell r="H226">
            <v>0</v>
          </cell>
          <cell r="I226">
            <v>110790</v>
          </cell>
          <cell r="J226">
            <v>0</v>
          </cell>
          <cell r="K226">
            <v>110790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24820290</v>
          </cell>
          <cell r="S226" t="str">
            <v>Rushcliffe</v>
          </cell>
          <cell r="T226" t="str">
            <v>Nottinghamshire</v>
          </cell>
          <cell r="U226" t="str">
            <v>Nottinghamshire Fire Authority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33098462</v>
          </cell>
          <cell r="G227">
            <v>0</v>
          </cell>
          <cell r="H227">
            <v>656362</v>
          </cell>
          <cell r="I227">
            <v>124561</v>
          </cell>
          <cell r="J227">
            <v>0</v>
          </cell>
          <cell r="K227">
            <v>124561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32317539</v>
          </cell>
          <cell r="S227" t="str">
            <v>Rushmoor</v>
          </cell>
          <cell r="T227" t="str">
            <v>Hampshire</v>
          </cell>
          <cell r="U227" t="str">
            <v>Hampshire Fire Authority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9306104</v>
          </cell>
          <cell r="G228">
            <v>0</v>
          </cell>
          <cell r="H228">
            <v>48050</v>
          </cell>
          <cell r="I228">
            <v>53206</v>
          </cell>
          <cell r="J228">
            <v>0</v>
          </cell>
          <cell r="K228">
            <v>53206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9204848</v>
          </cell>
          <cell r="S228" t="str">
            <v>Rutland UA</v>
          </cell>
          <cell r="T228" t="str">
            <v>UA</v>
          </cell>
          <cell r="U228" t="str">
            <v>Leicestershire Fire Authority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13854144</v>
          </cell>
          <cell r="G229">
            <v>114565</v>
          </cell>
          <cell r="H229">
            <v>0</v>
          </cell>
          <cell r="I229">
            <v>111364</v>
          </cell>
          <cell r="J229">
            <v>0</v>
          </cell>
          <cell r="K229">
            <v>111364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13857345</v>
          </cell>
          <cell r="S229" t="str">
            <v>Ryedale</v>
          </cell>
          <cell r="T229" t="str">
            <v>North Yorkshire</v>
          </cell>
          <cell r="U229" t="str">
            <v>North Yorkshire Fire Authority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89609793</v>
          </cell>
          <cell r="G230">
            <v>0</v>
          </cell>
          <cell r="H230">
            <v>1026779</v>
          </cell>
          <cell r="I230">
            <v>439400</v>
          </cell>
          <cell r="J230">
            <v>0</v>
          </cell>
          <cell r="K230">
            <v>439400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88143614</v>
          </cell>
          <cell r="S230" t="str">
            <v>Salford</v>
          </cell>
          <cell r="T230" t="str">
            <v>MD</v>
          </cell>
          <cell r="U230" t="str">
            <v>Greater Manchester Fire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95815755</v>
          </cell>
          <cell r="G231">
            <v>0</v>
          </cell>
          <cell r="H231">
            <v>471369</v>
          </cell>
          <cell r="I231">
            <v>438871</v>
          </cell>
          <cell r="J231">
            <v>0</v>
          </cell>
          <cell r="K231">
            <v>438871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94905515</v>
          </cell>
          <cell r="S231" t="str">
            <v>Sandwell</v>
          </cell>
          <cell r="T231" t="str">
            <v>MD</v>
          </cell>
          <cell r="U231" t="str">
            <v>West Midlands Fire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29890866</v>
          </cell>
          <cell r="G232">
            <v>0</v>
          </cell>
          <cell r="H232">
            <v>594071</v>
          </cell>
          <cell r="I232">
            <v>247588</v>
          </cell>
          <cell r="J232">
            <v>0</v>
          </cell>
          <cell r="K232">
            <v>247588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29049207</v>
          </cell>
          <cell r="S232" t="str">
            <v>Scarborough</v>
          </cell>
          <cell r="T232" t="str">
            <v>North Yorkshire</v>
          </cell>
          <cell r="U232" t="str">
            <v>North Yorkshire Fire Authority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31842500</v>
          </cell>
          <cell r="G233">
            <v>0</v>
          </cell>
          <cell r="H233">
            <v>57356</v>
          </cell>
          <cell r="I233">
            <v>162353</v>
          </cell>
          <cell r="J233">
            <v>0</v>
          </cell>
          <cell r="K233">
            <v>162353</v>
          </cell>
          <cell r="L233">
            <v>0</v>
          </cell>
          <cell r="M233">
            <v>0</v>
          </cell>
          <cell r="N233">
            <v>0</v>
          </cell>
          <cell r="O233">
            <v>507</v>
          </cell>
          <cell r="P233">
            <v>507</v>
          </cell>
          <cell r="Q233">
            <v>0</v>
          </cell>
          <cell r="R233">
            <v>31622284</v>
          </cell>
          <cell r="S233" t="str">
            <v>Sedgemoor</v>
          </cell>
          <cell r="T233" t="str">
            <v>Somerset</v>
          </cell>
          <cell r="U233" t="str">
            <v>Devon and Somerset Fire Authority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60369734</v>
          </cell>
          <cell r="G234">
            <v>1956890</v>
          </cell>
          <cell r="H234">
            <v>0</v>
          </cell>
          <cell r="I234">
            <v>322252</v>
          </cell>
          <cell r="J234">
            <v>0</v>
          </cell>
          <cell r="K234">
            <v>322252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62004372</v>
          </cell>
          <cell r="S234" t="str">
            <v>Sefton</v>
          </cell>
          <cell r="T234" t="str">
            <v>MD</v>
          </cell>
          <cell r="U234" t="str">
            <v>Merseyside Fire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40415770</v>
          </cell>
          <cell r="G235">
            <v>0</v>
          </cell>
          <cell r="H235">
            <v>4196466</v>
          </cell>
          <cell r="I235">
            <v>120601</v>
          </cell>
          <cell r="J235">
            <v>0</v>
          </cell>
          <cell r="K235">
            <v>120601</v>
          </cell>
          <cell r="L235">
            <v>0</v>
          </cell>
          <cell r="M235">
            <v>0</v>
          </cell>
          <cell r="N235">
            <v>0</v>
          </cell>
          <cell r="O235">
            <v>9186</v>
          </cell>
          <cell r="P235">
            <v>9186</v>
          </cell>
          <cell r="Q235">
            <v>0</v>
          </cell>
          <cell r="R235">
            <v>36089517</v>
          </cell>
          <cell r="S235" t="str">
            <v>Selby</v>
          </cell>
          <cell r="T235" t="str">
            <v>North Yorkshire</v>
          </cell>
          <cell r="U235" t="str">
            <v>North Yorkshire Fire Authority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32413742</v>
          </cell>
          <cell r="G236">
            <v>0</v>
          </cell>
          <cell r="H236">
            <v>53164</v>
          </cell>
          <cell r="I236">
            <v>170087</v>
          </cell>
          <cell r="J236">
            <v>0</v>
          </cell>
          <cell r="K236">
            <v>170087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32190491</v>
          </cell>
          <cell r="S236" t="str">
            <v>Sevenoaks</v>
          </cell>
          <cell r="T236" t="str">
            <v>Kent</v>
          </cell>
          <cell r="U236" t="str">
            <v>Kent Fire Authority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199233129</v>
          </cell>
          <cell r="G237">
            <v>0</v>
          </cell>
          <cell r="H237">
            <v>1346063</v>
          </cell>
          <cell r="I237">
            <v>774873</v>
          </cell>
          <cell r="J237">
            <v>0</v>
          </cell>
          <cell r="K237">
            <v>774873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197112193</v>
          </cell>
          <cell r="S237" t="str">
            <v>Sheffield</v>
          </cell>
          <cell r="T237" t="str">
            <v>MD</v>
          </cell>
          <cell r="U237" t="str">
            <v>South Yorkshire Fire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25806321</v>
          </cell>
          <cell r="G238">
            <v>0</v>
          </cell>
          <cell r="H238">
            <v>218207</v>
          </cell>
          <cell r="I238">
            <v>152929</v>
          </cell>
          <cell r="J238">
            <v>0</v>
          </cell>
          <cell r="K238">
            <v>152929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25435185</v>
          </cell>
          <cell r="S238" t="str">
            <v>Shepway</v>
          </cell>
          <cell r="T238" t="str">
            <v>Kent</v>
          </cell>
          <cell r="U238" t="str">
            <v>Kent Fire Authority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73905648</v>
          </cell>
          <cell r="G239">
            <v>0</v>
          </cell>
          <cell r="H239">
            <v>48381</v>
          </cell>
          <cell r="I239">
            <v>463653</v>
          </cell>
          <cell r="J239">
            <v>0</v>
          </cell>
          <cell r="K239">
            <v>463653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73393614</v>
          </cell>
          <cell r="S239" t="str">
            <v>Shropshire UA</v>
          </cell>
          <cell r="T239" t="str">
            <v>UA</v>
          </cell>
          <cell r="U239" t="str">
            <v>Shropshire Fire Authority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90244355</v>
          </cell>
          <cell r="G240">
            <v>0</v>
          </cell>
          <cell r="H240">
            <v>976141</v>
          </cell>
          <cell r="I240">
            <v>210291</v>
          </cell>
          <cell r="J240">
            <v>0</v>
          </cell>
          <cell r="K240">
            <v>210291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89057923</v>
          </cell>
          <cell r="S240" t="str">
            <v>Slough UA</v>
          </cell>
          <cell r="T240" t="str">
            <v>UA</v>
          </cell>
          <cell r="U240" t="str">
            <v>Berkshire Fire Authority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101967449</v>
          </cell>
          <cell r="G241">
            <v>0</v>
          </cell>
          <cell r="H241">
            <v>869847</v>
          </cell>
          <cell r="I241">
            <v>242567</v>
          </cell>
          <cell r="J241">
            <v>0</v>
          </cell>
          <cell r="K241">
            <v>242567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100855035</v>
          </cell>
          <cell r="S241" t="str">
            <v>Solihull</v>
          </cell>
          <cell r="T241" t="str">
            <v>MD</v>
          </cell>
          <cell r="U241" t="str">
            <v>West Midlands Fire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27107287</v>
          </cell>
          <cell r="G242">
            <v>126551</v>
          </cell>
          <cell r="H242">
            <v>0</v>
          </cell>
          <cell r="I242">
            <v>99868</v>
          </cell>
          <cell r="J242">
            <v>0</v>
          </cell>
          <cell r="K242">
            <v>99868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27133970</v>
          </cell>
          <cell r="S242" t="str">
            <v>South Bucks</v>
          </cell>
          <cell r="T242" t="str">
            <v>Buckinghamshire</v>
          </cell>
          <cell r="U242" t="str">
            <v>Buckinghamshire Fire Authority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62992731</v>
          </cell>
          <cell r="G243">
            <v>0</v>
          </cell>
          <cell r="H243">
            <v>201379</v>
          </cell>
          <cell r="I243">
            <v>218656</v>
          </cell>
          <cell r="J243">
            <v>0</v>
          </cell>
          <cell r="K243">
            <v>218656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62572696</v>
          </cell>
          <cell r="S243" t="str">
            <v>South Cambridgeshire</v>
          </cell>
          <cell r="T243" t="str">
            <v>Cambridgeshire</v>
          </cell>
          <cell r="U243" t="str">
            <v>Cambridgeshire Fire Authority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19819302</v>
          </cell>
          <cell r="G244">
            <v>115268</v>
          </cell>
          <cell r="H244">
            <v>0</v>
          </cell>
          <cell r="I244">
            <v>90901</v>
          </cell>
          <cell r="J244">
            <v>0</v>
          </cell>
          <cell r="K244">
            <v>90901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19843669</v>
          </cell>
          <cell r="S244" t="str">
            <v>South Derbyshire</v>
          </cell>
          <cell r="T244" t="str">
            <v>Derbyshire</v>
          </cell>
          <cell r="U244" t="str">
            <v>Derbyshire Fire Authority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126254615</v>
          </cell>
          <cell r="G245">
            <v>83182</v>
          </cell>
          <cell r="H245">
            <v>0</v>
          </cell>
          <cell r="I245">
            <v>330468</v>
          </cell>
          <cell r="J245">
            <v>0</v>
          </cell>
          <cell r="K245">
            <v>330468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126007329</v>
          </cell>
          <cell r="S245" t="str">
            <v>South Gloucestershire UA</v>
          </cell>
          <cell r="T245" t="str">
            <v>UA</v>
          </cell>
          <cell r="U245" t="str">
            <v>Avon Fire Authority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26619575</v>
          </cell>
          <cell r="G246">
            <v>2432313</v>
          </cell>
          <cell r="H246">
            <v>0</v>
          </cell>
          <cell r="I246">
            <v>206226</v>
          </cell>
          <cell r="J246">
            <v>0</v>
          </cell>
          <cell r="K246">
            <v>206226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28845662</v>
          </cell>
          <cell r="S246" t="str">
            <v>South Hams</v>
          </cell>
          <cell r="T246" t="str">
            <v>Devon</v>
          </cell>
          <cell r="U246" t="str">
            <v>Devon and Somerset Fire Authority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21751664</v>
          </cell>
          <cell r="G247">
            <v>1466305</v>
          </cell>
          <cell r="H247">
            <v>0</v>
          </cell>
          <cell r="I247">
            <v>113511</v>
          </cell>
          <cell r="J247">
            <v>0</v>
          </cell>
          <cell r="K247">
            <v>113511</v>
          </cell>
          <cell r="L247">
            <v>0</v>
          </cell>
          <cell r="M247">
            <v>0</v>
          </cell>
          <cell r="N247">
            <v>0</v>
          </cell>
          <cell r="O247">
            <v>193097</v>
          </cell>
          <cell r="P247">
            <v>193097</v>
          </cell>
          <cell r="Q247">
            <v>0</v>
          </cell>
          <cell r="R247">
            <v>22911361</v>
          </cell>
          <cell r="S247" t="str">
            <v>South Holland</v>
          </cell>
          <cell r="T247" t="str">
            <v>Lincolnshire</v>
          </cell>
          <cell r="U247" t="str">
            <v>County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37658951</v>
          </cell>
          <cell r="G248">
            <v>0</v>
          </cell>
          <cell r="H248">
            <v>51936</v>
          </cell>
          <cell r="I248">
            <v>179287</v>
          </cell>
          <cell r="J248">
            <v>0</v>
          </cell>
          <cell r="K248">
            <v>179287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37427728</v>
          </cell>
          <cell r="S248" t="str">
            <v>South Kesteven</v>
          </cell>
          <cell r="T248" t="str">
            <v>Lincolnshire</v>
          </cell>
          <cell r="U248" t="str">
            <v>County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37725012</v>
          </cell>
          <cell r="G249">
            <v>0</v>
          </cell>
          <cell r="H249">
            <v>101258</v>
          </cell>
          <cell r="I249">
            <v>296593</v>
          </cell>
          <cell r="J249">
            <v>0</v>
          </cell>
          <cell r="K249">
            <v>296593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37327161</v>
          </cell>
          <cell r="S249" t="str">
            <v>South Lakeland</v>
          </cell>
          <cell r="T249" t="str">
            <v>Cumbria</v>
          </cell>
          <cell r="U249" t="str">
            <v>County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26983862</v>
          </cell>
          <cell r="G250">
            <v>80154</v>
          </cell>
          <cell r="H250">
            <v>0</v>
          </cell>
          <cell r="I250">
            <v>148821</v>
          </cell>
          <cell r="J250">
            <v>0</v>
          </cell>
          <cell r="K250">
            <v>148821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26915195</v>
          </cell>
          <cell r="S250" t="str">
            <v>South Norfolk</v>
          </cell>
          <cell r="T250" t="str">
            <v>Norfolk</v>
          </cell>
          <cell r="U250" t="str">
            <v>County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19331575</v>
          </cell>
          <cell r="G251">
            <v>0</v>
          </cell>
          <cell r="H251">
            <v>131973</v>
          </cell>
          <cell r="I251">
            <v>106988</v>
          </cell>
          <cell r="J251">
            <v>0</v>
          </cell>
          <cell r="K251">
            <v>106988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19092614</v>
          </cell>
          <cell r="S251" t="str">
            <v>South Northamptonshire</v>
          </cell>
          <cell r="T251" t="str">
            <v>Northamptonshire</v>
          </cell>
          <cell r="U251" t="str">
            <v>County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40159029</v>
          </cell>
          <cell r="G252">
            <v>0</v>
          </cell>
          <cell r="H252">
            <v>171783</v>
          </cell>
          <cell r="I252">
            <v>186629</v>
          </cell>
          <cell r="J252">
            <v>0</v>
          </cell>
          <cell r="K252">
            <v>186629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39800617</v>
          </cell>
          <cell r="S252" t="str">
            <v>South Oxfordshire</v>
          </cell>
          <cell r="T252" t="str">
            <v>Oxfordshire</v>
          </cell>
          <cell r="U252" t="str">
            <v>County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32609634</v>
          </cell>
          <cell r="G253">
            <v>0</v>
          </cell>
          <cell r="H253">
            <v>234202</v>
          </cell>
          <cell r="I253">
            <v>124367</v>
          </cell>
          <cell r="J253">
            <v>0</v>
          </cell>
          <cell r="K253">
            <v>124367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32251065</v>
          </cell>
          <cell r="S253" t="str">
            <v>South Ribble</v>
          </cell>
          <cell r="T253" t="str">
            <v>Lancashire</v>
          </cell>
          <cell r="U253" t="str">
            <v>Lancashire Fire Authority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39888323</v>
          </cell>
          <cell r="G254">
            <v>0</v>
          </cell>
          <cell r="H254">
            <v>18904</v>
          </cell>
          <cell r="I254">
            <v>223390</v>
          </cell>
          <cell r="J254">
            <v>0</v>
          </cell>
          <cell r="K254">
            <v>223390</v>
          </cell>
          <cell r="L254">
            <v>0</v>
          </cell>
          <cell r="M254">
            <v>0</v>
          </cell>
          <cell r="N254">
            <v>0</v>
          </cell>
          <cell r="O254">
            <v>8101</v>
          </cell>
          <cell r="P254">
            <v>8101</v>
          </cell>
          <cell r="Q254">
            <v>0</v>
          </cell>
          <cell r="R254">
            <v>39637928</v>
          </cell>
          <cell r="S254" t="str">
            <v>South Somerset</v>
          </cell>
          <cell r="T254" t="str">
            <v>Somerset</v>
          </cell>
          <cell r="U254" t="str">
            <v>Devon and Somerset Fire Authority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19713413</v>
          </cell>
          <cell r="G255">
            <v>33278</v>
          </cell>
          <cell r="H255">
            <v>0</v>
          </cell>
          <cell r="I255">
            <v>103528</v>
          </cell>
          <cell r="J255">
            <v>0</v>
          </cell>
          <cell r="K255">
            <v>103528</v>
          </cell>
          <cell r="L255">
            <v>0</v>
          </cell>
          <cell r="M255">
            <v>494143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19149020</v>
          </cell>
          <cell r="S255" t="str">
            <v>South Staffordshire</v>
          </cell>
          <cell r="T255" t="str">
            <v>Staffordshire</v>
          </cell>
          <cell r="U255" t="str">
            <v>Staffordshire Fire Authority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28584008</v>
          </cell>
          <cell r="G256">
            <v>0</v>
          </cell>
          <cell r="H256">
            <v>322318</v>
          </cell>
          <cell r="I256">
            <v>150312</v>
          </cell>
          <cell r="J256">
            <v>0</v>
          </cell>
          <cell r="K256">
            <v>150312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28111378</v>
          </cell>
          <cell r="S256" t="str">
            <v>South Tyneside</v>
          </cell>
          <cell r="T256" t="str">
            <v>MD</v>
          </cell>
          <cell r="U256" t="str">
            <v>Tyne and Wear Fire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84753531</v>
          </cell>
          <cell r="G257">
            <v>0</v>
          </cell>
          <cell r="H257">
            <v>1142902</v>
          </cell>
          <cell r="I257">
            <v>321850</v>
          </cell>
          <cell r="J257">
            <v>0</v>
          </cell>
          <cell r="K257">
            <v>321850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83288779</v>
          </cell>
          <cell r="S257" t="str">
            <v>Southampton UA</v>
          </cell>
          <cell r="T257" t="str">
            <v>UA</v>
          </cell>
          <cell r="U257" t="str">
            <v>Hampshire Fire Authority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43608315</v>
          </cell>
          <cell r="G258">
            <v>50182</v>
          </cell>
          <cell r="H258">
            <v>0</v>
          </cell>
          <cell r="I258">
            <v>238667</v>
          </cell>
          <cell r="J258">
            <v>0</v>
          </cell>
          <cell r="K258">
            <v>238667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43419830</v>
          </cell>
          <cell r="S258" t="str">
            <v>Southend-on-Sea UA</v>
          </cell>
          <cell r="T258" t="str">
            <v>UA</v>
          </cell>
          <cell r="U258" t="str">
            <v>Essex Fire Authority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156268057</v>
          </cell>
          <cell r="G259">
            <v>0</v>
          </cell>
          <cell r="H259">
            <v>1321488</v>
          </cell>
          <cell r="I259">
            <v>655771</v>
          </cell>
          <cell r="J259">
            <v>0</v>
          </cell>
          <cell r="K259">
            <v>655771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154290798</v>
          </cell>
          <cell r="S259" t="str">
            <v>Southwark</v>
          </cell>
          <cell r="T259" t="str">
            <v>Greater London Authority</v>
          </cell>
          <cell r="U259" t="str">
            <v>NA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37679584</v>
          </cell>
          <cell r="G260">
            <v>171644</v>
          </cell>
          <cell r="H260">
            <v>0</v>
          </cell>
          <cell r="I260">
            <v>132328</v>
          </cell>
          <cell r="J260">
            <v>0</v>
          </cell>
          <cell r="K260">
            <v>132328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37718900</v>
          </cell>
          <cell r="S260" t="str">
            <v>Spelthorne</v>
          </cell>
          <cell r="T260" t="str">
            <v>Surrey</v>
          </cell>
          <cell r="U260" t="str">
            <v>County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58500476</v>
          </cell>
          <cell r="G261">
            <v>0</v>
          </cell>
          <cell r="H261">
            <v>134339</v>
          </cell>
          <cell r="I261">
            <v>197970</v>
          </cell>
          <cell r="J261">
            <v>0</v>
          </cell>
          <cell r="K261">
            <v>197970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58168167</v>
          </cell>
          <cell r="S261" t="str">
            <v>St Albans</v>
          </cell>
          <cell r="T261" t="str">
            <v>Hertfordshire</v>
          </cell>
          <cell r="U261" t="str">
            <v>County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43779016</v>
          </cell>
          <cell r="G262">
            <v>0</v>
          </cell>
          <cell r="H262">
            <v>13178</v>
          </cell>
          <cell r="I262">
            <v>164145</v>
          </cell>
          <cell r="J262">
            <v>0</v>
          </cell>
          <cell r="K262">
            <v>164145</v>
          </cell>
          <cell r="L262">
            <v>0</v>
          </cell>
          <cell r="M262">
            <v>0</v>
          </cell>
          <cell r="N262">
            <v>0</v>
          </cell>
          <cell r="O262">
            <v>35841</v>
          </cell>
          <cell r="P262">
            <v>35841</v>
          </cell>
          <cell r="Q262">
            <v>0</v>
          </cell>
          <cell r="R262">
            <v>43565852</v>
          </cell>
          <cell r="S262" t="str">
            <v>St Edmundsbury</v>
          </cell>
          <cell r="T262" t="str">
            <v>Suffolk</v>
          </cell>
          <cell r="U262" t="str">
            <v>County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48452097</v>
          </cell>
          <cell r="G263">
            <v>0</v>
          </cell>
          <cell r="H263">
            <v>289676</v>
          </cell>
          <cell r="I263">
            <v>195142</v>
          </cell>
          <cell r="J263">
            <v>0</v>
          </cell>
          <cell r="K263">
            <v>195142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47967279</v>
          </cell>
          <cell r="S263" t="str">
            <v>St Helens</v>
          </cell>
          <cell r="T263" t="str">
            <v>MD</v>
          </cell>
          <cell r="U263" t="str">
            <v>Merseyside Fire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41994468</v>
          </cell>
          <cell r="G264">
            <v>0</v>
          </cell>
          <cell r="H264">
            <v>32202</v>
          </cell>
          <cell r="I264">
            <v>172645</v>
          </cell>
          <cell r="J264">
            <v>0</v>
          </cell>
          <cell r="K264">
            <v>172645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41789621</v>
          </cell>
          <cell r="S264" t="str">
            <v>Stafford</v>
          </cell>
          <cell r="T264" t="str">
            <v>Staffordshire</v>
          </cell>
          <cell r="U264" t="str">
            <v>Staffordshire Fire Authority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17284333</v>
          </cell>
          <cell r="G265">
            <v>29872</v>
          </cell>
          <cell r="H265">
            <v>0</v>
          </cell>
          <cell r="I265">
            <v>116953</v>
          </cell>
          <cell r="J265">
            <v>0</v>
          </cell>
          <cell r="K265">
            <v>116953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17197252</v>
          </cell>
          <cell r="S265" t="str">
            <v>Staffordshire Moorlands</v>
          </cell>
          <cell r="T265" t="str">
            <v>Staffordshire</v>
          </cell>
          <cell r="U265" t="str">
            <v>Staffordshire Fire Authority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44638657</v>
          </cell>
          <cell r="G266">
            <v>0</v>
          </cell>
          <cell r="H266">
            <v>432364</v>
          </cell>
          <cell r="I266">
            <v>113077</v>
          </cell>
          <cell r="J266">
            <v>0</v>
          </cell>
          <cell r="K266">
            <v>113077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44093216</v>
          </cell>
          <cell r="S266" t="str">
            <v>Stevenage</v>
          </cell>
          <cell r="T266" t="str">
            <v>Hertfordshire</v>
          </cell>
          <cell r="U266" t="str">
            <v>County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85207107</v>
          </cell>
          <cell r="G267">
            <v>0</v>
          </cell>
          <cell r="H267">
            <v>741246</v>
          </cell>
          <cell r="I267">
            <v>429417</v>
          </cell>
          <cell r="J267">
            <v>0</v>
          </cell>
          <cell r="K267">
            <v>429417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84036444</v>
          </cell>
          <cell r="S267" t="str">
            <v>Stockport</v>
          </cell>
          <cell r="T267" t="str">
            <v>MD</v>
          </cell>
          <cell r="U267" t="str">
            <v>Greater Manchester Fire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77472474</v>
          </cell>
          <cell r="G268">
            <v>0</v>
          </cell>
          <cell r="H268">
            <v>521430</v>
          </cell>
          <cell r="I268">
            <v>236341</v>
          </cell>
          <cell r="J268">
            <v>0</v>
          </cell>
          <cell r="K268">
            <v>236341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76714703</v>
          </cell>
          <cell r="S268" t="str">
            <v>Stockton-on-Tees UA</v>
          </cell>
          <cell r="T268" t="str">
            <v>UA</v>
          </cell>
          <cell r="U268" t="str">
            <v>Cleveland Fire Authority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75786834</v>
          </cell>
          <cell r="G269">
            <v>0</v>
          </cell>
          <cell r="H269">
            <v>545795</v>
          </cell>
          <cell r="I269">
            <v>366370</v>
          </cell>
          <cell r="J269">
            <v>0</v>
          </cell>
          <cell r="K269">
            <v>366370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74874669</v>
          </cell>
          <cell r="S269" t="str">
            <v>Stoke-on-Trent UA</v>
          </cell>
          <cell r="T269" t="str">
            <v>UA</v>
          </cell>
          <cell r="U269" t="str">
            <v>Staffordshire Fire Authority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48693149</v>
          </cell>
          <cell r="G270">
            <v>153640</v>
          </cell>
          <cell r="H270">
            <v>0</v>
          </cell>
          <cell r="I270">
            <v>217406</v>
          </cell>
          <cell r="J270">
            <v>0</v>
          </cell>
          <cell r="K270">
            <v>217406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48629383</v>
          </cell>
          <cell r="S270" t="str">
            <v>Stratford-on-Avon</v>
          </cell>
          <cell r="T270" t="str">
            <v>Warwickshire</v>
          </cell>
          <cell r="U270" t="str">
            <v>County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23464628</v>
          </cell>
          <cell r="G271">
            <v>0</v>
          </cell>
          <cell r="H271">
            <v>181189</v>
          </cell>
          <cell r="I271">
            <v>157553</v>
          </cell>
          <cell r="J271">
            <v>0</v>
          </cell>
          <cell r="K271">
            <v>157553</v>
          </cell>
          <cell r="L271">
            <v>0</v>
          </cell>
          <cell r="M271">
            <v>0</v>
          </cell>
          <cell r="N271">
            <v>0</v>
          </cell>
          <cell r="O271">
            <v>550</v>
          </cell>
          <cell r="P271">
            <v>550</v>
          </cell>
          <cell r="Q271">
            <v>0</v>
          </cell>
          <cell r="R271">
            <v>23125336</v>
          </cell>
          <cell r="S271" t="str">
            <v>Stroud</v>
          </cell>
          <cell r="T271" t="str">
            <v>Gloucestershire</v>
          </cell>
          <cell r="U271" t="str">
            <v>County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30396989</v>
          </cell>
          <cell r="G272">
            <v>18740552</v>
          </cell>
          <cell r="H272">
            <v>0</v>
          </cell>
          <cell r="I272">
            <v>277838</v>
          </cell>
          <cell r="J272">
            <v>0</v>
          </cell>
          <cell r="K272">
            <v>277838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48859703</v>
          </cell>
          <cell r="S272" t="str">
            <v>Suffolk Coastal</v>
          </cell>
          <cell r="T272" t="str">
            <v>Suffolk</v>
          </cell>
          <cell r="U272" t="str">
            <v>County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81137988</v>
          </cell>
          <cell r="G273">
            <v>0</v>
          </cell>
          <cell r="H273">
            <v>44993</v>
          </cell>
          <cell r="I273">
            <v>333443</v>
          </cell>
          <cell r="J273">
            <v>0</v>
          </cell>
          <cell r="K273">
            <v>333443</v>
          </cell>
          <cell r="L273">
            <v>0</v>
          </cell>
          <cell r="M273">
            <v>570350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80189202</v>
          </cell>
          <cell r="S273" t="str">
            <v>Sunderland</v>
          </cell>
          <cell r="T273" t="str">
            <v>MD</v>
          </cell>
          <cell r="U273" t="str">
            <v>Tyne and Wear Fire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33100484</v>
          </cell>
          <cell r="G274">
            <v>0</v>
          </cell>
          <cell r="H274">
            <v>1185063</v>
          </cell>
          <cell r="I274">
            <v>122476</v>
          </cell>
          <cell r="J274">
            <v>0</v>
          </cell>
          <cell r="K274">
            <v>122476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31792945</v>
          </cell>
          <cell r="S274" t="str">
            <v>Surrey Heath</v>
          </cell>
          <cell r="T274" t="str">
            <v>Surrey</v>
          </cell>
          <cell r="U274" t="str">
            <v>County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48020400</v>
          </cell>
          <cell r="G275">
            <v>0</v>
          </cell>
          <cell r="H275">
            <v>1117984</v>
          </cell>
          <cell r="I275">
            <v>209603</v>
          </cell>
          <cell r="J275">
            <v>0</v>
          </cell>
          <cell r="K275">
            <v>209603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46692813</v>
          </cell>
          <cell r="S275" t="str">
            <v>Sutton</v>
          </cell>
          <cell r="T275" t="str">
            <v>Greater London Authority</v>
          </cell>
          <cell r="U275" t="str">
            <v>NA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39058156</v>
          </cell>
          <cell r="G276">
            <v>0</v>
          </cell>
          <cell r="H276">
            <v>145434</v>
          </cell>
          <cell r="I276">
            <v>176909</v>
          </cell>
          <cell r="J276">
            <v>0</v>
          </cell>
          <cell r="K276">
            <v>176909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38735813</v>
          </cell>
          <cell r="S276" t="str">
            <v>Swale</v>
          </cell>
          <cell r="T276" t="str">
            <v>Kent</v>
          </cell>
          <cell r="U276" t="str">
            <v>Kent Fire Authority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100356885</v>
          </cell>
          <cell r="G277">
            <v>0</v>
          </cell>
          <cell r="H277">
            <v>3088743</v>
          </cell>
          <cell r="I277">
            <v>273630</v>
          </cell>
          <cell r="J277">
            <v>0</v>
          </cell>
          <cell r="K277">
            <v>273630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96994512</v>
          </cell>
          <cell r="S277" t="str">
            <v>Swindon UA</v>
          </cell>
          <cell r="T277" t="str">
            <v>UA</v>
          </cell>
          <cell r="U277" t="str">
            <v>Wiltshire Fire Authority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53481640</v>
          </cell>
          <cell r="G278">
            <v>0</v>
          </cell>
          <cell r="H278">
            <v>566369</v>
          </cell>
          <cell r="I278">
            <v>300092</v>
          </cell>
          <cell r="J278">
            <v>0</v>
          </cell>
          <cell r="K278">
            <v>300092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52615179</v>
          </cell>
          <cell r="S278" t="str">
            <v>Tameside</v>
          </cell>
          <cell r="T278" t="str">
            <v>MD</v>
          </cell>
          <cell r="U278" t="str">
            <v>Greater Manchester Fire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31923748</v>
          </cell>
          <cell r="G279">
            <v>0</v>
          </cell>
          <cell r="H279">
            <v>98245</v>
          </cell>
          <cell r="I279">
            <v>92458</v>
          </cell>
          <cell r="J279">
            <v>0</v>
          </cell>
          <cell r="K279">
            <v>92458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31733045</v>
          </cell>
          <cell r="S279" t="str">
            <v>Tamworth</v>
          </cell>
          <cell r="T279" t="str">
            <v>Staffordshire</v>
          </cell>
          <cell r="U279" t="str">
            <v>Staffordshire Fire Authority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19236779</v>
          </cell>
          <cell r="G280">
            <v>52310</v>
          </cell>
          <cell r="H280">
            <v>0</v>
          </cell>
          <cell r="I280">
            <v>129595</v>
          </cell>
          <cell r="J280">
            <v>0</v>
          </cell>
          <cell r="K280">
            <v>129595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19159494</v>
          </cell>
          <cell r="S280" t="str">
            <v>Tandridge</v>
          </cell>
          <cell r="T280" t="str">
            <v>Surrey</v>
          </cell>
          <cell r="U280" t="str">
            <v>County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35881626</v>
          </cell>
          <cell r="G281">
            <v>0</v>
          </cell>
          <cell r="H281">
            <v>72193</v>
          </cell>
          <cell r="I281">
            <v>163257</v>
          </cell>
          <cell r="J281">
            <v>0</v>
          </cell>
          <cell r="K281">
            <v>163257</v>
          </cell>
          <cell r="L281">
            <v>0</v>
          </cell>
          <cell r="M281">
            <v>0</v>
          </cell>
          <cell r="N281">
            <v>0</v>
          </cell>
          <cell r="O281">
            <v>29894</v>
          </cell>
          <cell r="P281">
            <v>29894</v>
          </cell>
          <cell r="Q281">
            <v>0</v>
          </cell>
          <cell r="R281">
            <v>35616282</v>
          </cell>
          <cell r="S281" t="str">
            <v>Taunton Deane</v>
          </cell>
          <cell r="T281" t="str">
            <v>Somerset</v>
          </cell>
          <cell r="U281" t="str">
            <v>Devon and Somerset Fire Authority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30184941</v>
          </cell>
          <cell r="G282">
            <v>111169</v>
          </cell>
          <cell r="H282">
            <v>0</v>
          </cell>
          <cell r="I282">
            <v>193085</v>
          </cell>
          <cell r="J282">
            <v>0</v>
          </cell>
          <cell r="K282">
            <v>193085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30103025</v>
          </cell>
          <cell r="S282" t="str">
            <v>Teignbridge</v>
          </cell>
          <cell r="T282" t="str">
            <v>Devon</v>
          </cell>
          <cell r="U282" t="str">
            <v>Devon and Somerset Fire Authority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63042586</v>
          </cell>
          <cell r="G283">
            <v>0</v>
          </cell>
          <cell r="H283">
            <v>353192</v>
          </cell>
          <cell r="I283">
            <v>212679</v>
          </cell>
          <cell r="J283">
            <v>0</v>
          </cell>
          <cell r="K283">
            <v>212679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62476715</v>
          </cell>
          <cell r="S283" t="str">
            <v>Telford &amp; Wrekin UA</v>
          </cell>
          <cell r="T283" t="str">
            <v>UA</v>
          </cell>
          <cell r="U283" t="str">
            <v>Shropshire Fire Authority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24395207</v>
          </cell>
          <cell r="G284">
            <v>0</v>
          </cell>
          <cell r="H284">
            <v>13744</v>
          </cell>
          <cell r="I284">
            <v>292364</v>
          </cell>
          <cell r="J284">
            <v>0</v>
          </cell>
          <cell r="K284">
            <v>292364</v>
          </cell>
          <cell r="L284">
            <v>0</v>
          </cell>
          <cell r="M284">
            <v>0</v>
          </cell>
          <cell r="N284">
            <v>0</v>
          </cell>
          <cell r="O284">
            <v>54662</v>
          </cell>
          <cell r="P284">
            <v>54662</v>
          </cell>
          <cell r="Q284">
            <v>0</v>
          </cell>
          <cell r="R284">
            <v>24034437</v>
          </cell>
          <cell r="S284" t="str">
            <v>Tendring</v>
          </cell>
          <cell r="T284" t="str">
            <v>Essex</v>
          </cell>
          <cell r="U284" t="str">
            <v>Essex Fire Authority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44390895</v>
          </cell>
          <cell r="G285">
            <v>0</v>
          </cell>
          <cell r="H285">
            <v>166110</v>
          </cell>
          <cell r="I285">
            <v>183929</v>
          </cell>
          <cell r="J285">
            <v>0</v>
          </cell>
          <cell r="K285">
            <v>183929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44040856</v>
          </cell>
          <cell r="S285" t="str">
            <v>Test Valley</v>
          </cell>
          <cell r="T285" t="str">
            <v>Hampshire</v>
          </cell>
          <cell r="U285" t="str">
            <v>Hampshire Fire Authority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32551008</v>
          </cell>
          <cell r="G286">
            <v>0</v>
          </cell>
          <cell r="H286">
            <v>50599</v>
          </cell>
          <cell r="I286">
            <v>124701</v>
          </cell>
          <cell r="J286">
            <v>0</v>
          </cell>
          <cell r="K286">
            <v>124701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32375708</v>
          </cell>
          <cell r="S286" t="str">
            <v>Tewkesbury</v>
          </cell>
          <cell r="T286" t="str">
            <v>Gloucestershire</v>
          </cell>
          <cell r="U286" t="str">
            <v>County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30039160</v>
          </cell>
          <cell r="G287">
            <v>107891</v>
          </cell>
          <cell r="H287">
            <v>0</v>
          </cell>
          <cell r="I287">
            <v>191907</v>
          </cell>
          <cell r="J287">
            <v>0</v>
          </cell>
          <cell r="K287">
            <v>191907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29955144</v>
          </cell>
          <cell r="S287" t="str">
            <v>Thanet</v>
          </cell>
          <cell r="T287" t="str">
            <v>Kent</v>
          </cell>
          <cell r="U287" t="str">
            <v>Kent Fire Authority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25270803</v>
          </cell>
          <cell r="G288">
            <v>114537</v>
          </cell>
          <cell r="H288">
            <v>0</v>
          </cell>
          <cell r="I288">
            <v>95137</v>
          </cell>
          <cell r="J288">
            <v>6148</v>
          </cell>
          <cell r="K288">
            <v>101285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25284055</v>
          </cell>
          <cell r="S288" t="str">
            <v>Three Rivers</v>
          </cell>
          <cell r="T288" t="str">
            <v>Hertfordshire</v>
          </cell>
          <cell r="U288" t="str">
            <v>County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86373360</v>
          </cell>
          <cell r="G289">
            <v>1062859</v>
          </cell>
          <cell r="H289">
            <v>0</v>
          </cell>
          <cell r="I289">
            <v>222500</v>
          </cell>
          <cell r="J289">
            <v>0</v>
          </cell>
          <cell r="K289">
            <v>222500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87213719</v>
          </cell>
          <cell r="S289" t="str">
            <v>Thurrock UA</v>
          </cell>
          <cell r="T289" t="str">
            <v>UA</v>
          </cell>
          <cell r="U289" t="str">
            <v>Essex Fire Authority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49705702</v>
          </cell>
          <cell r="G290">
            <v>0</v>
          </cell>
          <cell r="H290">
            <v>421255</v>
          </cell>
          <cell r="I290">
            <v>168018</v>
          </cell>
          <cell r="J290">
            <v>0</v>
          </cell>
          <cell r="K290">
            <v>168018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49116429</v>
          </cell>
          <cell r="S290" t="str">
            <v>Tonbridge &amp; Malling</v>
          </cell>
          <cell r="T290" t="str">
            <v>Kent</v>
          </cell>
          <cell r="U290" t="str">
            <v>Kent Fire Authority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32849493</v>
          </cell>
          <cell r="G291">
            <v>0</v>
          </cell>
          <cell r="H291">
            <v>23733</v>
          </cell>
          <cell r="I291">
            <v>206989</v>
          </cell>
          <cell r="J291">
            <v>0</v>
          </cell>
          <cell r="K291">
            <v>206989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32618771</v>
          </cell>
          <cell r="S291" t="str">
            <v>Torbay UA</v>
          </cell>
          <cell r="T291" t="str">
            <v>UA</v>
          </cell>
          <cell r="U291" t="str">
            <v>Devon and Somerset Fire Authority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9726263</v>
          </cell>
          <cell r="G292">
            <v>120743</v>
          </cell>
          <cell r="H292">
            <v>0</v>
          </cell>
          <cell r="I292">
            <v>121660</v>
          </cell>
          <cell r="J292">
            <v>0</v>
          </cell>
          <cell r="K292">
            <v>121660</v>
          </cell>
          <cell r="L292">
            <v>0</v>
          </cell>
          <cell r="M292">
            <v>0</v>
          </cell>
          <cell r="N292">
            <v>0</v>
          </cell>
          <cell r="O292">
            <v>51309</v>
          </cell>
          <cell r="P292">
            <v>51309</v>
          </cell>
          <cell r="Q292">
            <v>0</v>
          </cell>
          <cell r="R292">
            <v>9674037</v>
          </cell>
          <cell r="S292" t="str">
            <v>Torridge</v>
          </cell>
          <cell r="T292" t="str">
            <v>Devon</v>
          </cell>
          <cell r="U292" t="str">
            <v>Devon and Somerset Fire Authority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321357263</v>
          </cell>
          <cell r="G293">
            <v>448865</v>
          </cell>
          <cell r="H293">
            <v>0</v>
          </cell>
          <cell r="I293">
            <v>944275</v>
          </cell>
          <cell r="J293">
            <v>0</v>
          </cell>
          <cell r="K293">
            <v>944275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320861853</v>
          </cell>
          <cell r="S293" t="str">
            <v>Tower Hamlets</v>
          </cell>
          <cell r="T293" t="str">
            <v>Greater London Authority</v>
          </cell>
          <cell r="U293" t="str">
            <v>NA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121091059</v>
          </cell>
          <cell r="G294">
            <v>0</v>
          </cell>
          <cell r="H294">
            <v>629123</v>
          </cell>
          <cell r="I294">
            <v>452163</v>
          </cell>
          <cell r="J294">
            <v>0</v>
          </cell>
          <cell r="K294">
            <v>452163</v>
          </cell>
          <cell r="L294">
            <v>0</v>
          </cell>
          <cell r="M294">
            <v>0</v>
          </cell>
          <cell r="N294">
            <v>0</v>
          </cell>
          <cell r="O294">
            <v>73476</v>
          </cell>
          <cell r="P294">
            <v>73476</v>
          </cell>
          <cell r="Q294">
            <v>0</v>
          </cell>
          <cell r="R294">
            <v>119936297</v>
          </cell>
          <cell r="S294" t="str">
            <v>Trafford</v>
          </cell>
          <cell r="T294" t="str">
            <v>MD</v>
          </cell>
          <cell r="U294" t="str">
            <v>Greater Manchester Fire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48178733</v>
          </cell>
          <cell r="G295">
            <v>0</v>
          </cell>
          <cell r="H295">
            <v>340498</v>
          </cell>
          <cell r="I295">
            <v>181431</v>
          </cell>
          <cell r="J295">
            <v>0</v>
          </cell>
          <cell r="K295">
            <v>181431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47656804</v>
          </cell>
          <cell r="S295" t="str">
            <v>Tunbridge Wells</v>
          </cell>
          <cell r="T295" t="str">
            <v>Kent</v>
          </cell>
          <cell r="U295" t="str">
            <v>Kent Fire Authority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29365535</v>
          </cell>
          <cell r="G296">
            <v>0</v>
          </cell>
          <cell r="H296">
            <v>309948</v>
          </cell>
          <cell r="I296">
            <v>138241</v>
          </cell>
          <cell r="J296">
            <v>0</v>
          </cell>
          <cell r="K296">
            <v>138241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28917346</v>
          </cell>
          <cell r="S296" t="str">
            <v>Uttlesford</v>
          </cell>
          <cell r="T296" t="str">
            <v>Essex</v>
          </cell>
          <cell r="U296" t="str">
            <v>Essex Fire Authority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45221361</v>
          </cell>
          <cell r="G297">
            <v>1424123</v>
          </cell>
          <cell r="H297">
            <v>0</v>
          </cell>
          <cell r="I297">
            <v>189424</v>
          </cell>
          <cell r="J297">
            <v>0</v>
          </cell>
          <cell r="K297">
            <v>189424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46456060</v>
          </cell>
          <cell r="S297" t="str">
            <v>Vale of White Horse</v>
          </cell>
          <cell r="T297" t="str">
            <v>Oxfordshire</v>
          </cell>
          <cell r="U297" t="str">
            <v>County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113817771</v>
          </cell>
          <cell r="G298">
            <v>0</v>
          </cell>
          <cell r="H298">
            <v>196559</v>
          </cell>
          <cell r="I298">
            <v>457961</v>
          </cell>
          <cell r="J298">
            <v>0</v>
          </cell>
          <cell r="K298">
            <v>457961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113163251</v>
          </cell>
          <cell r="S298" t="str">
            <v>Wakefield</v>
          </cell>
          <cell r="T298" t="str">
            <v>MD</v>
          </cell>
          <cell r="U298" t="str">
            <v>West Yorkshire Fire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64611066</v>
          </cell>
          <cell r="G299">
            <v>0</v>
          </cell>
          <cell r="H299">
            <v>168456</v>
          </cell>
          <cell r="I299">
            <v>344295</v>
          </cell>
          <cell r="J299">
            <v>0</v>
          </cell>
          <cell r="K299">
            <v>344295</v>
          </cell>
          <cell r="L299">
            <v>0</v>
          </cell>
          <cell r="M299">
            <v>30666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64067649</v>
          </cell>
          <cell r="S299" t="str">
            <v>Walsall</v>
          </cell>
          <cell r="T299" t="str">
            <v>MD</v>
          </cell>
          <cell r="U299" t="str">
            <v>West Midlands Fire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54678321</v>
          </cell>
          <cell r="G300">
            <v>338831</v>
          </cell>
          <cell r="H300">
            <v>0</v>
          </cell>
          <cell r="I300">
            <v>292541</v>
          </cell>
          <cell r="J300">
            <v>0</v>
          </cell>
          <cell r="K300">
            <v>292541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54724611</v>
          </cell>
          <cell r="S300" t="str">
            <v>Waltham Forest</v>
          </cell>
          <cell r="T300" t="str">
            <v>Greater London Authority</v>
          </cell>
          <cell r="U300" t="str">
            <v>NA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95730700</v>
          </cell>
          <cell r="G301">
            <v>0</v>
          </cell>
          <cell r="H301">
            <v>193380</v>
          </cell>
          <cell r="I301">
            <v>484461</v>
          </cell>
          <cell r="J301">
            <v>0</v>
          </cell>
          <cell r="K301">
            <v>484461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95052859</v>
          </cell>
          <cell r="S301" t="str">
            <v>Wandsworth</v>
          </cell>
          <cell r="T301" t="str">
            <v>Greater London Authority</v>
          </cell>
          <cell r="U301" t="str">
            <v>NA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97980377</v>
          </cell>
          <cell r="G302">
            <v>0</v>
          </cell>
          <cell r="H302">
            <v>1318156</v>
          </cell>
          <cell r="I302">
            <v>308145</v>
          </cell>
          <cell r="J302">
            <v>0</v>
          </cell>
          <cell r="K302">
            <v>308145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96354076</v>
          </cell>
          <cell r="S302" t="str">
            <v>Warrington UA</v>
          </cell>
          <cell r="T302" t="str">
            <v>UA</v>
          </cell>
          <cell r="U302" t="str">
            <v>Cheshire Fire Authority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60469157</v>
          </cell>
          <cell r="G303">
            <v>0</v>
          </cell>
          <cell r="H303">
            <v>177920</v>
          </cell>
          <cell r="I303">
            <v>212678</v>
          </cell>
          <cell r="J303">
            <v>0</v>
          </cell>
          <cell r="K303">
            <v>212678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60078559</v>
          </cell>
          <cell r="S303" t="str">
            <v>Warwick</v>
          </cell>
          <cell r="T303" t="str">
            <v>Warwickshire</v>
          </cell>
          <cell r="U303" t="str">
            <v>County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58780643</v>
          </cell>
          <cell r="G304">
            <v>0</v>
          </cell>
          <cell r="H304">
            <v>3454960</v>
          </cell>
          <cell r="I304">
            <v>176395</v>
          </cell>
          <cell r="J304">
            <v>29300</v>
          </cell>
          <cell r="K304">
            <v>205695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55119988</v>
          </cell>
          <cell r="S304" t="str">
            <v>Watford</v>
          </cell>
          <cell r="T304" t="str">
            <v>Hertfordshire</v>
          </cell>
          <cell r="U304" t="str">
            <v>County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25895531</v>
          </cell>
          <cell r="G305">
            <v>0</v>
          </cell>
          <cell r="H305">
            <v>175611</v>
          </cell>
          <cell r="I305">
            <v>204116</v>
          </cell>
          <cell r="J305">
            <v>0</v>
          </cell>
          <cell r="K305">
            <v>204116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25515804</v>
          </cell>
          <cell r="S305" t="str">
            <v>Waveney</v>
          </cell>
          <cell r="T305" t="str">
            <v>Suffolk</v>
          </cell>
          <cell r="U305" t="str">
            <v>County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35328814</v>
          </cell>
          <cell r="G306">
            <v>0</v>
          </cell>
          <cell r="H306">
            <v>30680</v>
          </cell>
          <cell r="I306">
            <v>181490</v>
          </cell>
          <cell r="J306">
            <v>0</v>
          </cell>
          <cell r="K306">
            <v>181490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35116644</v>
          </cell>
          <cell r="S306" t="str">
            <v>Waverley</v>
          </cell>
          <cell r="T306" t="str">
            <v>Surrey</v>
          </cell>
          <cell r="U306" t="str">
            <v>County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28210208</v>
          </cell>
          <cell r="G307">
            <v>0</v>
          </cell>
          <cell r="H307">
            <v>18402</v>
          </cell>
          <cell r="I307">
            <v>207210</v>
          </cell>
          <cell r="J307">
            <v>0</v>
          </cell>
          <cell r="K307">
            <v>207210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27984596</v>
          </cell>
          <cell r="S307" t="str">
            <v>Wealden</v>
          </cell>
          <cell r="T307" t="str">
            <v>East Sussex</v>
          </cell>
          <cell r="U307" t="str">
            <v>East Sussex Fire Authority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27918749</v>
          </cell>
          <cell r="G308">
            <v>0</v>
          </cell>
          <cell r="H308">
            <v>97250</v>
          </cell>
          <cell r="I308">
            <v>113391</v>
          </cell>
          <cell r="J308">
            <v>0</v>
          </cell>
          <cell r="K308">
            <v>113391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27708108</v>
          </cell>
          <cell r="S308" t="str">
            <v>Wellingborough</v>
          </cell>
          <cell r="T308" t="str">
            <v>Northamptonshire</v>
          </cell>
          <cell r="U308" t="str">
            <v>County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55451796</v>
          </cell>
          <cell r="G309">
            <v>0</v>
          </cell>
          <cell r="H309">
            <v>242600</v>
          </cell>
          <cell r="I309">
            <v>151424</v>
          </cell>
          <cell r="J309">
            <v>0</v>
          </cell>
          <cell r="K309">
            <v>151424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55057772</v>
          </cell>
          <cell r="S309" t="str">
            <v>Welwyn Hatfield</v>
          </cell>
          <cell r="T309" t="str">
            <v>Hertfordshire</v>
          </cell>
          <cell r="U309" t="str">
            <v>County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79492515</v>
          </cell>
          <cell r="G310">
            <v>0</v>
          </cell>
          <cell r="H310">
            <v>460966</v>
          </cell>
          <cell r="I310">
            <v>257520</v>
          </cell>
          <cell r="J310">
            <v>0</v>
          </cell>
          <cell r="K310">
            <v>257520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78774029</v>
          </cell>
          <cell r="S310" t="str">
            <v>West Berkshire UA</v>
          </cell>
          <cell r="T310" t="str">
            <v>UA</v>
          </cell>
          <cell r="U310" t="str">
            <v>Berkshire Fire Authority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10187979</v>
          </cell>
          <cell r="G311">
            <v>0</v>
          </cell>
          <cell r="H311">
            <v>72222</v>
          </cell>
          <cell r="I311">
            <v>84591</v>
          </cell>
          <cell r="J311">
            <v>0</v>
          </cell>
          <cell r="K311">
            <v>84591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10031166</v>
          </cell>
          <cell r="S311" t="str">
            <v>West Devon</v>
          </cell>
          <cell r="T311" t="str">
            <v>Devon</v>
          </cell>
          <cell r="U311" t="str">
            <v>Devon and Somerset Fire Authority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27923208</v>
          </cell>
          <cell r="G312">
            <v>0</v>
          </cell>
          <cell r="H312">
            <v>33552</v>
          </cell>
          <cell r="I312">
            <v>204819</v>
          </cell>
          <cell r="J312">
            <v>0</v>
          </cell>
          <cell r="K312">
            <v>204819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27684837</v>
          </cell>
          <cell r="S312" t="str">
            <v>West Dorset</v>
          </cell>
          <cell r="T312" t="str">
            <v>Dorset</v>
          </cell>
          <cell r="U312" t="str">
            <v>Dorset Fire Authority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27678710</v>
          </cell>
          <cell r="G313">
            <v>0</v>
          </cell>
          <cell r="H313">
            <v>137815</v>
          </cell>
          <cell r="I313">
            <v>134046</v>
          </cell>
          <cell r="J313">
            <v>0</v>
          </cell>
          <cell r="K313">
            <v>134046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27406849</v>
          </cell>
          <cell r="S313" t="str">
            <v>West Lancashire</v>
          </cell>
          <cell r="T313" t="str">
            <v>Lancashire</v>
          </cell>
          <cell r="U313" t="str">
            <v>Lancashire Fire Authority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14043374</v>
          </cell>
          <cell r="G314">
            <v>0</v>
          </cell>
          <cell r="H314">
            <v>25162</v>
          </cell>
          <cell r="I314">
            <v>105838</v>
          </cell>
          <cell r="J314">
            <v>0</v>
          </cell>
          <cell r="K314">
            <v>105838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13912374</v>
          </cell>
          <cell r="S314" t="str">
            <v>West Lindsey</v>
          </cell>
          <cell r="T314" t="str">
            <v>Lincolnshire</v>
          </cell>
          <cell r="U314" t="str">
            <v>County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30616943</v>
          </cell>
          <cell r="G315">
            <v>2441</v>
          </cell>
          <cell r="H315">
            <v>0</v>
          </cell>
          <cell r="I315">
            <v>163678</v>
          </cell>
          <cell r="J315">
            <v>0</v>
          </cell>
          <cell r="K315">
            <v>163678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30455706</v>
          </cell>
          <cell r="S315" t="str">
            <v>West Oxfordshire</v>
          </cell>
          <cell r="T315" t="str">
            <v>Oxfordshire</v>
          </cell>
          <cell r="U315" t="str">
            <v>County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9725274</v>
          </cell>
          <cell r="G316">
            <v>819831</v>
          </cell>
          <cell r="H316">
            <v>0</v>
          </cell>
          <cell r="I316">
            <v>74427</v>
          </cell>
          <cell r="J316">
            <v>0</v>
          </cell>
          <cell r="K316">
            <v>74427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10470678</v>
          </cell>
          <cell r="S316" t="str">
            <v>West Somerset</v>
          </cell>
          <cell r="T316" t="str">
            <v>Somerset</v>
          </cell>
          <cell r="U316" t="str">
            <v>Devon and Somerset Fire Authority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1559648299</v>
          </cell>
          <cell r="G317">
            <v>0</v>
          </cell>
          <cell r="H317">
            <v>22982611</v>
          </cell>
          <cell r="I317">
            <v>3180114</v>
          </cell>
          <cell r="J317">
            <v>0</v>
          </cell>
          <cell r="K317">
            <v>3180114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1533485574</v>
          </cell>
          <cell r="S317" t="str">
            <v>Westminster</v>
          </cell>
          <cell r="T317" t="str">
            <v>Greater London Authority</v>
          </cell>
          <cell r="U317" t="str">
            <v>NA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14095701</v>
          </cell>
          <cell r="G318">
            <v>0</v>
          </cell>
          <cell r="H318">
            <v>61984</v>
          </cell>
          <cell r="I318">
            <v>107439</v>
          </cell>
          <cell r="J318">
            <v>0</v>
          </cell>
          <cell r="K318">
            <v>107439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13926278</v>
          </cell>
          <cell r="S318" t="str">
            <v>Weymouth &amp; Portland</v>
          </cell>
          <cell r="T318" t="str">
            <v>Dorset</v>
          </cell>
          <cell r="U318" t="str">
            <v>Dorset Fire Authority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73330856</v>
          </cell>
          <cell r="G319">
            <v>119857</v>
          </cell>
          <cell r="H319">
            <v>0</v>
          </cell>
          <cell r="I319">
            <v>387575</v>
          </cell>
          <cell r="J319">
            <v>0</v>
          </cell>
          <cell r="K319">
            <v>387575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73063138</v>
          </cell>
          <cell r="S319" t="str">
            <v>Wigan</v>
          </cell>
          <cell r="T319" t="str">
            <v>MD</v>
          </cell>
          <cell r="U319" t="str">
            <v>Greater Manchester Fire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132591469</v>
          </cell>
          <cell r="G320">
            <v>0</v>
          </cell>
          <cell r="H320">
            <v>519845</v>
          </cell>
          <cell r="I320">
            <v>617775</v>
          </cell>
          <cell r="J320">
            <v>0</v>
          </cell>
          <cell r="K320">
            <v>617775</v>
          </cell>
          <cell r="L320">
            <v>0</v>
          </cell>
          <cell r="M320">
            <v>0</v>
          </cell>
          <cell r="N320">
            <v>0</v>
          </cell>
          <cell r="O320">
            <v>87473</v>
          </cell>
          <cell r="P320">
            <v>87473</v>
          </cell>
          <cell r="Q320">
            <v>0</v>
          </cell>
          <cell r="R320">
            <v>131366376</v>
          </cell>
          <cell r="S320" t="str">
            <v>Wiltshire UA</v>
          </cell>
          <cell r="T320" t="str">
            <v>UA</v>
          </cell>
          <cell r="U320" t="str">
            <v>Wiltshire Fire Authority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51172173</v>
          </cell>
          <cell r="G321">
            <v>0</v>
          </cell>
          <cell r="H321">
            <v>90874</v>
          </cell>
          <cell r="I321">
            <v>190784</v>
          </cell>
          <cell r="J321">
            <v>0</v>
          </cell>
          <cell r="K321">
            <v>190784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50890515</v>
          </cell>
          <cell r="S321" t="str">
            <v>Winchester</v>
          </cell>
          <cell r="T321" t="str">
            <v>Hampshire</v>
          </cell>
          <cell r="U321" t="str">
            <v>Hampshire Fire Authority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72037831</v>
          </cell>
          <cell r="G322">
            <v>0</v>
          </cell>
          <cell r="H322">
            <v>447998</v>
          </cell>
          <cell r="I322">
            <v>251201</v>
          </cell>
          <cell r="J322">
            <v>0</v>
          </cell>
          <cell r="K322">
            <v>251201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71338632</v>
          </cell>
          <cell r="S322" t="str">
            <v>Windsor &amp; Maidenhead UA</v>
          </cell>
          <cell r="T322" t="str">
            <v>UA</v>
          </cell>
          <cell r="U322" t="str">
            <v>Berkshire Fire Authority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63539172</v>
          </cell>
          <cell r="G323">
            <v>0</v>
          </cell>
          <cell r="H323">
            <v>262998</v>
          </cell>
          <cell r="I323">
            <v>339810</v>
          </cell>
          <cell r="J323">
            <v>0</v>
          </cell>
          <cell r="K323">
            <v>339810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62936364</v>
          </cell>
          <cell r="S323" t="str">
            <v>Wirral</v>
          </cell>
          <cell r="T323" t="str">
            <v>MD</v>
          </cell>
          <cell r="U323" t="str">
            <v>Merseyside Fire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39229199</v>
          </cell>
          <cell r="G324">
            <v>0</v>
          </cell>
          <cell r="H324">
            <v>423138</v>
          </cell>
          <cell r="I324">
            <v>135670</v>
          </cell>
          <cell r="J324">
            <v>0</v>
          </cell>
          <cell r="K324">
            <v>135670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38670391</v>
          </cell>
          <cell r="S324" t="str">
            <v>Woking</v>
          </cell>
          <cell r="T324" t="str">
            <v>Surrey</v>
          </cell>
          <cell r="U324" t="str">
            <v>County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51370464</v>
          </cell>
          <cell r="G325">
            <v>0</v>
          </cell>
          <cell r="H325">
            <v>225916</v>
          </cell>
          <cell r="I325">
            <v>181184</v>
          </cell>
          <cell r="J325">
            <v>0</v>
          </cell>
          <cell r="K325">
            <v>181184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50963364</v>
          </cell>
          <cell r="S325" t="str">
            <v>Wokingham UA</v>
          </cell>
          <cell r="T325" t="str">
            <v>UA</v>
          </cell>
          <cell r="U325" t="str">
            <v>Berkshire Fire Authority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72024681</v>
          </cell>
          <cell r="G326">
            <v>0</v>
          </cell>
          <cell r="H326">
            <v>66549</v>
          </cell>
          <cell r="I326">
            <v>348621</v>
          </cell>
          <cell r="J326">
            <v>0</v>
          </cell>
          <cell r="K326">
            <v>348621</v>
          </cell>
          <cell r="L326">
            <v>0</v>
          </cell>
          <cell r="M326">
            <v>140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71609371</v>
          </cell>
          <cell r="S326" t="str">
            <v>Wolverhampton</v>
          </cell>
          <cell r="T326" t="str">
            <v>MD</v>
          </cell>
          <cell r="U326" t="str">
            <v>West Midlands Fire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37790263</v>
          </cell>
          <cell r="G327">
            <v>0</v>
          </cell>
          <cell r="H327">
            <v>251836</v>
          </cell>
          <cell r="I327">
            <v>140483</v>
          </cell>
          <cell r="J327">
            <v>0</v>
          </cell>
          <cell r="K327">
            <v>140483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37397944</v>
          </cell>
          <cell r="S327" t="str">
            <v>Worcester</v>
          </cell>
          <cell r="T327" t="str">
            <v>Worcestershire</v>
          </cell>
          <cell r="U327" t="str">
            <v>Hereford and Worcester Fire Authority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29631635</v>
          </cell>
          <cell r="G328">
            <v>0</v>
          </cell>
          <cell r="H328">
            <v>48772</v>
          </cell>
          <cell r="I328">
            <v>133297</v>
          </cell>
          <cell r="J328">
            <v>0</v>
          </cell>
          <cell r="K328">
            <v>133297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29449566</v>
          </cell>
          <cell r="S328" t="str">
            <v>Worthing</v>
          </cell>
          <cell r="T328" t="str">
            <v>West Sussex</v>
          </cell>
          <cell r="U328" t="str">
            <v>County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37123688</v>
          </cell>
          <cell r="G329">
            <v>0</v>
          </cell>
          <cell r="H329">
            <v>119956</v>
          </cell>
          <cell r="I329">
            <v>188368</v>
          </cell>
          <cell r="J329">
            <v>0</v>
          </cell>
          <cell r="K329">
            <v>188368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36815364</v>
          </cell>
          <cell r="S329" t="str">
            <v>Wychavon</v>
          </cell>
          <cell r="T329" t="str">
            <v>Worcestershire</v>
          </cell>
          <cell r="U329" t="str">
            <v>Hereford and Worcester Fire Authority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63849422</v>
          </cell>
          <cell r="G330">
            <v>0</v>
          </cell>
          <cell r="H330">
            <v>895738</v>
          </cell>
          <cell r="I330">
            <v>248843</v>
          </cell>
          <cell r="J330">
            <v>0</v>
          </cell>
          <cell r="K330">
            <v>248843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62704841</v>
          </cell>
          <cell r="S330" t="str">
            <v>Wycombe</v>
          </cell>
          <cell r="T330" t="str">
            <v>Buckinghamshire</v>
          </cell>
          <cell r="U330" t="str">
            <v>Buckinghamshire Fire Authority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25265575</v>
          </cell>
          <cell r="G331">
            <v>202409</v>
          </cell>
          <cell r="H331">
            <v>0</v>
          </cell>
          <cell r="I331">
            <v>154556</v>
          </cell>
          <cell r="J331">
            <v>0</v>
          </cell>
          <cell r="K331">
            <v>154556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25313428</v>
          </cell>
          <cell r="S331" t="str">
            <v>Wyre</v>
          </cell>
          <cell r="T331" t="str">
            <v>Lancashire</v>
          </cell>
          <cell r="U331" t="str">
            <v>Lancashire Fire Authority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26522050</v>
          </cell>
          <cell r="G332">
            <v>0</v>
          </cell>
          <cell r="H332">
            <v>166828</v>
          </cell>
          <cell r="I332">
            <v>137574</v>
          </cell>
          <cell r="J332">
            <v>0</v>
          </cell>
          <cell r="K332">
            <v>137574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26217648</v>
          </cell>
          <cell r="S332" t="str">
            <v>Wyre Forest</v>
          </cell>
          <cell r="T332" t="str">
            <v>Worcestershire</v>
          </cell>
          <cell r="U332" t="str">
            <v>Hereford and Worcester Fire Authority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83601733</v>
          </cell>
          <cell r="G333">
            <v>0</v>
          </cell>
          <cell r="H333">
            <v>431618</v>
          </cell>
          <cell r="I333">
            <v>295938</v>
          </cell>
          <cell r="J333">
            <v>0</v>
          </cell>
          <cell r="K333">
            <v>295938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82874177</v>
          </cell>
          <cell r="S333" t="str">
            <v>York UA</v>
          </cell>
          <cell r="T333" t="str">
            <v>UA</v>
          </cell>
          <cell r="U333" t="str">
            <v>North Yorkshire Fire Authority</v>
          </cell>
        </row>
        <row r="334">
          <cell r="A334">
            <v>327</v>
          </cell>
          <cell r="B334">
            <v>327</v>
          </cell>
          <cell r="D334" t="str">
            <v>E</v>
          </cell>
          <cell r="E334" t="str">
            <v>England</v>
          </cell>
          <cell r="F334">
            <v>20676885273</v>
          </cell>
          <cell r="G334">
            <v>91747277</v>
          </cell>
          <cell r="H334">
            <v>125141507</v>
          </cell>
          <cell r="I334">
            <v>84001481</v>
          </cell>
          <cell r="J334">
            <v>125199</v>
          </cell>
          <cell r="K334">
            <v>84126680</v>
          </cell>
          <cell r="L334">
            <v>10538000</v>
          </cell>
          <cell r="M334">
            <v>2727861</v>
          </cell>
          <cell r="N334">
            <v>1132971</v>
          </cell>
          <cell r="O334">
            <v>3595456</v>
          </cell>
          <cell r="P334">
            <v>3595456</v>
          </cell>
          <cell r="Q334">
            <v>0</v>
          </cell>
          <cell r="R334">
            <v>20541370075</v>
          </cell>
          <cell r="S334" t="str">
            <v>Billing Authority</v>
          </cell>
          <cell r="T334" t="str">
            <v xml:space="preserve"> </v>
          </cell>
          <cell r="U334" t="str">
            <v>Fire Authority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4157308514</v>
          </cell>
          <cell r="G335">
            <v>4162341</v>
          </cell>
          <cell r="H335">
            <v>31246632</v>
          </cell>
          <cell r="I335">
            <v>11549955</v>
          </cell>
          <cell r="J335">
            <v>3624</v>
          </cell>
          <cell r="K335">
            <v>11553579</v>
          </cell>
          <cell r="L335">
            <v>10538000</v>
          </cell>
          <cell r="M335">
            <v>0</v>
          </cell>
          <cell r="N335">
            <v>0</v>
          </cell>
          <cell r="O335">
            <v>60284</v>
          </cell>
          <cell r="P335">
            <v>60284</v>
          </cell>
          <cell r="Q335">
            <v>0</v>
          </cell>
          <cell r="R335">
            <v>4108072360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1873255382</v>
          </cell>
          <cell r="G336">
            <v>3185778</v>
          </cell>
          <cell r="H336">
            <v>6519366</v>
          </cell>
          <cell r="I336">
            <v>6781022</v>
          </cell>
          <cell r="J336">
            <v>63737</v>
          </cell>
          <cell r="K336">
            <v>6844759</v>
          </cell>
          <cell r="L336">
            <v>0</v>
          </cell>
          <cell r="M336">
            <v>173688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1862903347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3621931116</v>
          </cell>
          <cell r="G337">
            <v>2339982</v>
          </cell>
          <cell r="H337">
            <v>21771672</v>
          </cell>
          <cell r="I337">
            <v>16816671</v>
          </cell>
          <cell r="J337">
            <v>0</v>
          </cell>
          <cell r="K337">
            <v>16816671</v>
          </cell>
          <cell r="L337">
            <v>0</v>
          </cell>
          <cell r="M337">
            <v>1353287</v>
          </cell>
          <cell r="N337">
            <v>1132971</v>
          </cell>
          <cell r="O337">
            <v>188916</v>
          </cell>
          <cell r="P337">
            <v>188916</v>
          </cell>
          <cell r="Q337">
            <v>0</v>
          </cell>
          <cell r="R337">
            <v>3583007581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4220316123</v>
          </cell>
          <cell r="G338">
            <v>24182387</v>
          </cell>
          <cell r="H338">
            <v>28734153</v>
          </cell>
          <cell r="I338">
            <v>17758640</v>
          </cell>
          <cell r="J338">
            <v>15640</v>
          </cell>
          <cell r="K338">
            <v>17774280</v>
          </cell>
          <cell r="L338">
            <v>0</v>
          </cell>
          <cell r="M338">
            <v>11720</v>
          </cell>
          <cell r="N338">
            <v>0</v>
          </cell>
          <cell r="O338">
            <v>1652154</v>
          </cell>
          <cell r="P338">
            <v>1652154</v>
          </cell>
          <cell r="Q338">
            <v>0</v>
          </cell>
          <cell r="R338">
            <v>4196326203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6804074138</v>
          </cell>
          <cell r="G339">
            <v>57876789</v>
          </cell>
          <cell r="H339">
            <v>36869684</v>
          </cell>
          <cell r="I339">
            <v>31095193</v>
          </cell>
          <cell r="J339">
            <v>42198</v>
          </cell>
          <cell r="K339">
            <v>31137391</v>
          </cell>
          <cell r="L339">
            <v>0</v>
          </cell>
          <cell r="M339">
            <v>1189166</v>
          </cell>
          <cell r="N339">
            <v>0</v>
          </cell>
          <cell r="O339">
            <v>1694102</v>
          </cell>
          <cell r="P339">
            <v>1694102</v>
          </cell>
          <cell r="Q339">
            <v>0</v>
          </cell>
          <cell r="R339">
            <v>6791060584</v>
          </cell>
        </row>
      </sheetData>
      <sheetData sheetId="7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16627384</v>
          </cell>
          <cell r="G8">
            <v>0</v>
          </cell>
          <cell r="H8">
            <v>0</v>
          </cell>
          <cell r="I8">
            <v>16627384</v>
          </cell>
          <cell r="J8">
            <v>65676</v>
          </cell>
          <cell r="K8">
            <v>0</v>
          </cell>
          <cell r="L8">
            <v>0</v>
          </cell>
          <cell r="M8">
            <v>65676</v>
          </cell>
          <cell r="N8">
            <v>68101</v>
          </cell>
          <cell r="O8">
            <v>0</v>
          </cell>
          <cell r="P8">
            <v>0</v>
          </cell>
          <cell r="Q8">
            <v>68101</v>
          </cell>
          <cell r="R8">
            <v>85969</v>
          </cell>
          <cell r="S8">
            <v>0</v>
          </cell>
          <cell r="T8">
            <v>0</v>
          </cell>
          <cell r="U8">
            <v>85969</v>
          </cell>
          <cell r="V8">
            <v>1091063</v>
          </cell>
          <cell r="W8">
            <v>0</v>
          </cell>
          <cell r="X8">
            <v>0</v>
          </cell>
          <cell r="Y8">
            <v>1091063</v>
          </cell>
          <cell r="Z8">
            <v>15316575</v>
          </cell>
          <cell r="AA8">
            <v>0</v>
          </cell>
          <cell r="AB8">
            <v>0</v>
          </cell>
          <cell r="AC8">
            <v>15316575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839605</v>
          </cell>
          <cell r="AP8">
            <v>253756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26968042</v>
          </cell>
          <cell r="G9">
            <v>0</v>
          </cell>
          <cell r="H9">
            <v>0</v>
          </cell>
          <cell r="I9">
            <v>26968042</v>
          </cell>
          <cell r="J9">
            <v>170827</v>
          </cell>
          <cell r="K9">
            <v>0</v>
          </cell>
          <cell r="L9">
            <v>0</v>
          </cell>
          <cell r="M9">
            <v>170827</v>
          </cell>
          <cell r="N9">
            <v>-167329</v>
          </cell>
          <cell r="O9">
            <v>0</v>
          </cell>
          <cell r="P9">
            <v>0</v>
          </cell>
          <cell r="Q9">
            <v>-167329</v>
          </cell>
          <cell r="R9">
            <v>715291</v>
          </cell>
          <cell r="S9">
            <v>0</v>
          </cell>
          <cell r="T9">
            <v>0</v>
          </cell>
          <cell r="U9">
            <v>715291</v>
          </cell>
          <cell r="V9">
            <v>1778393</v>
          </cell>
          <cell r="W9">
            <v>0</v>
          </cell>
          <cell r="X9">
            <v>0</v>
          </cell>
          <cell r="Y9">
            <v>1778393</v>
          </cell>
          <cell r="Z9">
            <v>24470860</v>
          </cell>
          <cell r="AA9">
            <v>0</v>
          </cell>
          <cell r="AB9">
            <v>0</v>
          </cell>
          <cell r="AC9">
            <v>24470860</v>
          </cell>
          <cell r="AD9">
            <v>151152</v>
          </cell>
          <cell r="AE9">
            <v>0</v>
          </cell>
          <cell r="AF9">
            <v>0</v>
          </cell>
          <cell r="AG9">
            <v>151152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151152</v>
          </cell>
          <cell r="AO9">
            <v>907052</v>
          </cell>
          <cell r="AP9">
            <v>154167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30661223</v>
          </cell>
          <cell r="G10">
            <v>0</v>
          </cell>
          <cell r="H10">
            <v>0</v>
          </cell>
          <cell r="I10">
            <v>30661223</v>
          </cell>
          <cell r="J10">
            <v>367600</v>
          </cell>
          <cell r="K10">
            <v>0</v>
          </cell>
          <cell r="L10">
            <v>0</v>
          </cell>
          <cell r="M10">
            <v>367600</v>
          </cell>
          <cell r="N10">
            <v>475000</v>
          </cell>
          <cell r="O10">
            <v>0</v>
          </cell>
          <cell r="P10">
            <v>0</v>
          </cell>
          <cell r="Q10">
            <v>475000</v>
          </cell>
          <cell r="R10">
            <v>120000</v>
          </cell>
          <cell r="S10">
            <v>0</v>
          </cell>
          <cell r="T10">
            <v>0</v>
          </cell>
          <cell r="U10">
            <v>120000</v>
          </cell>
          <cell r="V10">
            <v>340000</v>
          </cell>
          <cell r="W10">
            <v>0</v>
          </cell>
          <cell r="X10">
            <v>0</v>
          </cell>
          <cell r="Y10">
            <v>340000</v>
          </cell>
          <cell r="Z10">
            <v>29358623</v>
          </cell>
          <cell r="AA10">
            <v>0</v>
          </cell>
          <cell r="AB10">
            <v>0</v>
          </cell>
          <cell r="AC10">
            <v>29358623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468458</v>
          </cell>
          <cell r="AP10">
            <v>681283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33737826</v>
          </cell>
          <cell r="G11">
            <v>0</v>
          </cell>
          <cell r="H11">
            <v>0</v>
          </cell>
          <cell r="I11">
            <v>33737826</v>
          </cell>
          <cell r="J11">
            <v>381055</v>
          </cell>
          <cell r="K11">
            <v>0</v>
          </cell>
          <cell r="L11">
            <v>0</v>
          </cell>
          <cell r="M11">
            <v>381055</v>
          </cell>
          <cell r="N11">
            <v>11000</v>
          </cell>
          <cell r="O11">
            <v>0</v>
          </cell>
          <cell r="P11">
            <v>0</v>
          </cell>
          <cell r="Q11">
            <v>11000</v>
          </cell>
          <cell r="R11">
            <v>685000</v>
          </cell>
          <cell r="S11">
            <v>0</v>
          </cell>
          <cell r="T11">
            <v>0</v>
          </cell>
          <cell r="U11">
            <v>685000</v>
          </cell>
          <cell r="V11">
            <v>1858000</v>
          </cell>
          <cell r="W11">
            <v>0</v>
          </cell>
          <cell r="X11">
            <v>0</v>
          </cell>
          <cell r="Y11">
            <v>1858000</v>
          </cell>
          <cell r="Z11">
            <v>30802771</v>
          </cell>
          <cell r="AA11">
            <v>0</v>
          </cell>
          <cell r="AB11">
            <v>0</v>
          </cell>
          <cell r="AC11">
            <v>30802771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1644912</v>
          </cell>
          <cell r="AP11">
            <v>442119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32417147</v>
          </cell>
          <cell r="G12">
            <v>0</v>
          </cell>
          <cell r="H12">
            <v>0</v>
          </cell>
          <cell r="I12">
            <v>32417147</v>
          </cell>
          <cell r="J12">
            <v>127484</v>
          </cell>
          <cell r="K12">
            <v>0</v>
          </cell>
          <cell r="L12">
            <v>0</v>
          </cell>
          <cell r="M12">
            <v>127484</v>
          </cell>
          <cell r="N12">
            <v>152671</v>
          </cell>
          <cell r="O12">
            <v>0</v>
          </cell>
          <cell r="P12">
            <v>0</v>
          </cell>
          <cell r="Q12">
            <v>152671</v>
          </cell>
          <cell r="R12">
            <v>242425</v>
          </cell>
          <cell r="S12">
            <v>0</v>
          </cell>
          <cell r="T12">
            <v>0</v>
          </cell>
          <cell r="U12">
            <v>242425</v>
          </cell>
          <cell r="V12">
            <v>671687</v>
          </cell>
          <cell r="W12">
            <v>0</v>
          </cell>
          <cell r="X12">
            <v>0</v>
          </cell>
          <cell r="Y12">
            <v>671687</v>
          </cell>
          <cell r="Z12">
            <v>31222880</v>
          </cell>
          <cell r="AA12">
            <v>0</v>
          </cell>
          <cell r="AB12">
            <v>0</v>
          </cell>
          <cell r="AC12">
            <v>31222880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973685</v>
          </cell>
          <cell r="AP12">
            <v>121626.94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44817530</v>
          </cell>
          <cell r="G13">
            <v>0</v>
          </cell>
          <cell r="H13">
            <v>0</v>
          </cell>
          <cell r="I13">
            <v>44817530</v>
          </cell>
          <cell r="J13">
            <v>27799</v>
          </cell>
          <cell r="K13">
            <v>0</v>
          </cell>
          <cell r="L13">
            <v>0</v>
          </cell>
          <cell r="M13">
            <v>27799</v>
          </cell>
          <cell r="N13">
            <v>66227</v>
          </cell>
          <cell r="O13">
            <v>0</v>
          </cell>
          <cell r="P13">
            <v>0</v>
          </cell>
          <cell r="Q13">
            <v>66227</v>
          </cell>
          <cell r="R13">
            <v>600000</v>
          </cell>
          <cell r="S13">
            <v>0</v>
          </cell>
          <cell r="T13">
            <v>0</v>
          </cell>
          <cell r="U13">
            <v>600000</v>
          </cell>
          <cell r="V13">
            <v>2400000</v>
          </cell>
          <cell r="W13">
            <v>0</v>
          </cell>
          <cell r="X13">
            <v>0</v>
          </cell>
          <cell r="Y13">
            <v>2400000</v>
          </cell>
          <cell r="Z13">
            <v>41723504</v>
          </cell>
          <cell r="AA13">
            <v>0</v>
          </cell>
          <cell r="AB13">
            <v>0</v>
          </cell>
          <cell r="AC13">
            <v>41723504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718311.35</v>
          </cell>
          <cell r="AP13">
            <v>1102187.1399999999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48129628</v>
          </cell>
          <cell r="G14">
            <v>0</v>
          </cell>
          <cell r="H14">
            <v>0</v>
          </cell>
          <cell r="I14">
            <v>48129628</v>
          </cell>
          <cell r="J14">
            <v>113853</v>
          </cell>
          <cell r="K14">
            <v>0</v>
          </cell>
          <cell r="L14">
            <v>0</v>
          </cell>
          <cell r="M14">
            <v>113853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4072253</v>
          </cell>
          <cell r="S14">
            <v>0</v>
          </cell>
          <cell r="T14">
            <v>0</v>
          </cell>
          <cell r="U14">
            <v>4072253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43943522</v>
          </cell>
          <cell r="AA14">
            <v>0</v>
          </cell>
          <cell r="AB14">
            <v>0</v>
          </cell>
          <cell r="AC14">
            <v>43943522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185135</v>
          </cell>
          <cell r="AP14">
            <v>1267920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23391296.399999999</v>
          </cell>
          <cell r="G15">
            <v>0</v>
          </cell>
          <cell r="H15">
            <v>0</v>
          </cell>
          <cell r="I15">
            <v>23391296.399999999</v>
          </cell>
          <cell r="J15">
            <v>115979.73</v>
          </cell>
          <cell r="K15">
            <v>0</v>
          </cell>
          <cell r="L15">
            <v>0</v>
          </cell>
          <cell r="M15">
            <v>115979.73</v>
          </cell>
          <cell r="N15">
            <v>-6761</v>
          </cell>
          <cell r="O15">
            <v>0</v>
          </cell>
          <cell r="P15">
            <v>0</v>
          </cell>
          <cell r="Q15">
            <v>-6761</v>
          </cell>
          <cell r="R15">
            <v>301039</v>
          </cell>
          <cell r="S15">
            <v>0</v>
          </cell>
          <cell r="T15">
            <v>0</v>
          </cell>
          <cell r="U15">
            <v>301039</v>
          </cell>
          <cell r="V15">
            <v>774959</v>
          </cell>
          <cell r="W15">
            <v>0</v>
          </cell>
          <cell r="X15">
            <v>0</v>
          </cell>
          <cell r="Y15">
            <v>774959</v>
          </cell>
          <cell r="Z15">
            <v>22206080</v>
          </cell>
          <cell r="AA15">
            <v>0</v>
          </cell>
          <cell r="AB15">
            <v>0</v>
          </cell>
          <cell r="AC15">
            <v>22206080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750043</v>
          </cell>
          <cell r="AP15">
            <v>422434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57447166</v>
          </cell>
          <cell r="G16">
            <v>0</v>
          </cell>
          <cell r="H16">
            <v>0</v>
          </cell>
          <cell r="I16">
            <v>57447166</v>
          </cell>
          <cell r="J16">
            <v>588265</v>
          </cell>
          <cell r="K16">
            <v>0</v>
          </cell>
          <cell r="L16">
            <v>0</v>
          </cell>
          <cell r="M16">
            <v>588265</v>
          </cell>
          <cell r="N16">
            <v>243000</v>
          </cell>
          <cell r="O16">
            <v>0</v>
          </cell>
          <cell r="P16">
            <v>0</v>
          </cell>
          <cell r="Q16">
            <v>243000</v>
          </cell>
          <cell r="R16">
            <v>2074629</v>
          </cell>
          <cell r="S16">
            <v>0</v>
          </cell>
          <cell r="T16">
            <v>0</v>
          </cell>
          <cell r="U16">
            <v>2074629</v>
          </cell>
          <cell r="V16">
            <v>7557284</v>
          </cell>
          <cell r="W16">
            <v>0</v>
          </cell>
          <cell r="X16">
            <v>0</v>
          </cell>
          <cell r="Y16">
            <v>7557284</v>
          </cell>
          <cell r="Z16">
            <v>46983988</v>
          </cell>
          <cell r="AA16">
            <v>0</v>
          </cell>
          <cell r="AB16">
            <v>0</v>
          </cell>
          <cell r="AC16">
            <v>46983988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5231434</v>
          </cell>
          <cell r="AP16">
            <v>786851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112928112</v>
          </cell>
          <cell r="G17">
            <v>0</v>
          </cell>
          <cell r="H17">
            <v>0</v>
          </cell>
          <cell r="I17">
            <v>112928112</v>
          </cell>
          <cell r="J17">
            <v>3784.9</v>
          </cell>
          <cell r="K17">
            <v>0</v>
          </cell>
          <cell r="L17">
            <v>0</v>
          </cell>
          <cell r="M17">
            <v>3784.9</v>
          </cell>
          <cell r="N17">
            <v>2724995</v>
          </cell>
          <cell r="O17">
            <v>0</v>
          </cell>
          <cell r="P17">
            <v>0</v>
          </cell>
          <cell r="Q17">
            <v>2724995</v>
          </cell>
          <cell r="R17">
            <v>1061862</v>
          </cell>
          <cell r="S17">
            <v>0</v>
          </cell>
          <cell r="T17">
            <v>0</v>
          </cell>
          <cell r="U17">
            <v>1061862</v>
          </cell>
          <cell r="V17">
            <v>3638243</v>
          </cell>
          <cell r="W17">
            <v>0</v>
          </cell>
          <cell r="X17">
            <v>0</v>
          </cell>
          <cell r="Y17">
            <v>3638243</v>
          </cell>
          <cell r="Z17">
            <v>105499228</v>
          </cell>
          <cell r="AA17">
            <v>0</v>
          </cell>
          <cell r="AB17">
            <v>0</v>
          </cell>
          <cell r="AC17">
            <v>105499228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11757987.1</v>
          </cell>
          <cell r="AP17">
            <v>1999410.06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52352332</v>
          </cell>
          <cell r="G18">
            <v>0</v>
          </cell>
          <cell r="H18">
            <v>308434</v>
          </cell>
          <cell r="I18">
            <v>52660766</v>
          </cell>
          <cell r="J18">
            <v>454667</v>
          </cell>
          <cell r="K18">
            <v>0</v>
          </cell>
          <cell r="L18">
            <v>0</v>
          </cell>
          <cell r="M18">
            <v>454667</v>
          </cell>
          <cell r="N18">
            <v>448094</v>
          </cell>
          <cell r="O18">
            <v>0</v>
          </cell>
          <cell r="P18">
            <v>0</v>
          </cell>
          <cell r="Q18">
            <v>448094</v>
          </cell>
          <cell r="R18">
            <v>800000</v>
          </cell>
          <cell r="S18">
            <v>0</v>
          </cell>
          <cell r="T18">
            <v>0</v>
          </cell>
          <cell r="U18">
            <v>800000</v>
          </cell>
          <cell r="V18">
            <v>964698</v>
          </cell>
          <cell r="W18">
            <v>0</v>
          </cell>
          <cell r="X18">
            <v>0</v>
          </cell>
          <cell r="Y18">
            <v>964698</v>
          </cell>
          <cell r="Z18">
            <v>49684873</v>
          </cell>
          <cell r="AA18">
            <v>0</v>
          </cell>
          <cell r="AB18">
            <v>308434</v>
          </cell>
          <cell r="AC18">
            <v>49993307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85761</v>
          </cell>
          <cell r="AL18">
            <v>0</v>
          </cell>
          <cell r="AM18">
            <v>222673</v>
          </cell>
          <cell r="AN18">
            <v>0</v>
          </cell>
          <cell r="AO18">
            <v>2435669</v>
          </cell>
          <cell r="AP18">
            <v>697534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23556281</v>
          </cell>
          <cell r="G19">
            <v>0</v>
          </cell>
          <cell r="H19">
            <v>0</v>
          </cell>
          <cell r="I19">
            <v>23556281</v>
          </cell>
          <cell r="J19">
            <v>78813</v>
          </cell>
          <cell r="K19">
            <v>0</v>
          </cell>
          <cell r="L19">
            <v>0</v>
          </cell>
          <cell r="M19">
            <v>78813</v>
          </cell>
          <cell r="N19">
            <v>94213</v>
          </cell>
          <cell r="O19">
            <v>0</v>
          </cell>
          <cell r="P19">
            <v>0</v>
          </cell>
          <cell r="Q19">
            <v>94213</v>
          </cell>
          <cell r="R19">
            <v>265086</v>
          </cell>
          <cell r="S19">
            <v>0</v>
          </cell>
          <cell r="T19">
            <v>0</v>
          </cell>
          <cell r="U19">
            <v>265086</v>
          </cell>
          <cell r="V19">
            <v>756936</v>
          </cell>
          <cell r="W19">
            <v>0</v>
          </cell>
          <cell r="X19">
            <v>0</v>
          </cell>
          <cell r="Y19">
            <v>756936</v>
          </cell>
          <cell r="Z19">
            <v>22361233</v>
          </cell>
          <cell r="AA19">
            <v>0</v>
          </cell>
          <cell r="AB19">
            <v>0</v>
          </cell>
          <cell r="AC19">
            <v>22361233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1552938</v>
          </cell>
          <cell r="AP19">
            <v>854307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79737897</v>
          </cell>
          <cell r="G20">
            <v>0</v>
          </cell>
          <cell r="H20">
            <v>0</v>
          </cell>
          <cell r="I20">
            <v>79737897</v>
          </cell>
          <cell r="J20">
            <v>538291</v>
          </cell>
          <cell r="K20">
            <v>0</v>
          </cell>
          <cell r="L20">
            <v>0</v>
          </cell>
          <cell r="M20">
            <v>538291</v>
          </cell>
          <cell r="N20">
            <v>157000</v>
          </cell>
          <cell r="O20">
            <v>0</v>
          </cell>
          <cell r="P20">
            <v>0</v>
          </cell>
          <cell r="Q20">
            <v>157000</v>
          </cell>
          <cell r="R20">
            <v>2520000</v>
          </cell>
          <cell r="S20">
            <v>0</v>
          </cell>
          <cell r="T20">
            <v>0</v>
          </cell>
          <cell r="U20">
            <v>2520000</v>
          </cell>
          <cell r="V20">
            <v>6380000</v>
          </cell>
          <cell r="W20">
            <v>0</v>
          </cell>
          <cell r="X20">
            <v>0</v>
          </cell>
          <cell r="Y20">
            <v>6380000</v>
          </cell>
          <cell r="Z20">
            <v>70142606</v>
          </cell>
          <cell r="AA20">
            <v>0</v>
          </cell>
          <cell r="AB20">
            <v>0</v>
          </cell>
          <cell r="AC20">
            <v>70142606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2215929</v>
          </cell>
          <cell r="AP20">
            <v>906049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70796984</v>
          </cell>
          <cell r="G21">
            <v>0</v>
          </cell>
          <cell r="H21">
            <v>0</v>
          </cell>
          <cell r="I21">
            <v>70796984</v>
          </cell>
          <cell r="J21">
            <v>587139</v>
          </cell>
          <cell r="K21">
            <v>0</v>
          </cell>
          <cell r="L21">
            <v>0</v>
          </cell>
          <cell r="M21">
            <v>587139</v>
          </cell>
          <cell r="N21">
            <v>50000</v>
          </cell>
          <cell r="O21">
            <v>0</v>
          </cell>
          <cell r="P21">
            <v>0</v>
          </cell>
          <cell r="Q21">
            <v>50000</v>
          </cell>
          <cell r="R21">
            <v>858000</v>
          </cell>
          <cell r="S21">
            <v>0</v>
          </cell>
          <cell r="T21">
            <v>0</v>
          </cell>
          <cell r="U21">
            <v>858000</v>
          </cell>
          <cell r="V21">
            <v>2242000</v>
          </cell>
          <cell r="W21">
            <v>0</v>
          </cell>
          <cell r="X21">
            <v>0</v>
          </cell>
          <cell r="Y21">
            <v>2242000</v>
          </cell>
          <cell r="Z21">
            <v>67059845</v>
          </cell>
          <cell r="AA21">
            <v>0</v>
          </cell>
          <cell r="AB21">
            <v>0</v>
          </cell>
          <cell r="AC21">
            <v>67059845</v>
          </cell>
          <cell r="AD21">
            <v>46806.14</v>
          </cell>
          <cell r="AE21">
            <v>0</v>
          </cell>
          <cell r="AF21">
            <v>0</v>
          </cell>
          <cell r="AG21">
            <v>46806.14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46806.14</v>
          </cell>
          <cell r="AO21">
            <v>2734715</v>
          </cell>
          <cell r="AP21">
            <v>1526335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40680153</v>
          </cell>
          <cell r="G22">
            <v>0</v>
          </cell>
          <cell r="H22">
            <v>0</v>
          </cell>
          <cell r="I22">
            <v>40680153</v>
          </cell>
          <cell r="J22">
            <v>120551</v>
          </cell>
          <cell r="K22">
            <v>0</v>
          </cell>
          <cell r="L22">
            <v>0</v>
          </cell>
          <cell r="M22">
            <v>120551</v>
          </cell>
          <cell r="N22">
            <v>401039</v>
          </cell>
          <cell r="O22">
            <v>0</v>
          </cell>
          <cell r="P22">
            <v>0</v>
          </cell>
          <cell r="Q22">
            <v>401039</v>
          </cell>
          <cell r="R22">
            <v>595026</v>
          </cell>
          <cell r="S22">
            <v>0</v>
          </cell>
          <cell r="T22">
            <v>0</v>
          </cell>
          <cell r="U22">
            <v>595026</v>
          </cell>
          <cell r="V22">
            <v>1648640</v>
          </cell>
          <cell r="W22">
            <v>0</v>
          </cell>
          <cell r="X22">
            <v>0</v>
          </cell>
          <cell r="Y22">
            <v>1648640</v>
          </cell>
          <cell r="Z22">
            <v>37914897</v>
          </cell>
          <cell r="AA22">
            <v>0</v>
          </cell>
          <cell r="AB22">
            <v>0</v>
          </cell>
          <cell r="AC22">
            <v>37914897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1900928</v>
          </cell>
          <cell r="AP22">
            <v>710658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63536352</v>
          </cell>
          <cell r="G23">
            <v>0</v>
          </cell>
          <cell r="H23">
            <v>0</v>
          </cell>
          <cell r="I23">
            <v>63536352</v>
          </cell>
          <cell r="J23">
            <v>520625</v>
          </cell>
          <cell r="K23">
            <v>0</v>
          </cell>
          <cell r="L23">
            <v>0</v>
          </cell>
          <cell r="M23">
            <v>520625</v>
          </cell>
          <cell r="N23">
            <v>71029</v>
          </cell>
          <cell r="O23">
            <v>0</v>
          </cell>
          <cell r="P23">
            <v>0</v>
          </cell>
          <cell r="Q23">
            <v>71029</v>
          </cell>
          <cell r="R23">
            <v>1031579</v>
          </cell>
          <cell r="S23">
            <v>0</v>
          </cell>
          <cell r="T23">
            <v>0</v>
          </cell>
          <cell r="U23">
            <v>1031579</v>
          </cell>
          <cell r="V23">
            <v>2149946</v>
          </cell>
          <cell r="W23">
            <v>0</v>
          </cell>
          <cell r="X23">
            <v>0</v>
          </cell>
          <cell r="Y23">
            <v>2149946</v>
          </cell>
          <cell r="Z23">
            <v>59763173</v>
          </cell>
          <cell r="AA23">
            <v>0</v>
          </cell>
          <cell r="AB23">
            <v>0</v>
          </cell>
          <cell r="AC23">
            <v>59763173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2059661</v>
          </cell>
          <cell r="AP23">
            <v>957628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63516579</v>
          </cell>
          <cell r="G24">
            <v>0</v>
          </cell>
          <cell r="H24">
            <v>0</v>
          </cell>
          <cell r="I24">
            <v>63516579</v>
          </cell>
          <cell r="J24">
            <v>460531</v>
          </cell>
          <cell r="K24">
            <v>0</v>
          </cell>
          <cell r="L24">
            <v>0</v>
          </cell>
          <cell r="M24">
            <v>460531</v>
          </cell>
          <cell r="N24">
            <v>-23741</v>
          </cell>
          <cell r="O24">
            <v>0</v>
          </cell>
          <cell r="P24">
            <v>0</v>
          </cell>
          <cell r="Q24">
            <v>-23741</v>
          </cell>
          <cell r="R24">
            <v>638000</v>
          </cell>
          <cell r="S24">
            <v>0</v>
          </cell>
          <cell r="T24">
            <v>0</v>
          </cell>
          <cell r="U24">
            <v>638000</v>
          </cell>
          <cell r="V24">
            <v>1562000</v>
          </cell>
          <cell r="W24">
            <v>0</v>
          </cell>
          <cell r="X24">
            <v>0</v>
          </cell>
          <cell r="Y24">
            <v>1562000</v>
          </cell>
          <cell r="Z24">
            <v>60879789</v>
          </cell>
          <cell r="AA24">
            <v>0</v>
          </cell>
          <cell r="AB24">
            <v>0</v>
          </cell>
          <cell r="AC24">
            <v>60879789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2144091.67</v>
          </cell>
          <cell r="AP24">
            <v>373974.97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68054333</v>
          </cell>
          <cell r="G25">
            <v>0</v>
          </cell>
          <cell r="H25">
            <v>0</v>
          </cell>
          <cell r="I25">
            <v>68054333</v>
          </cell>
          <cell r="J25">
            <v>607962</v>
          </cell>
          <cell r="K25">
            <v>0</v>
          </cell>
          <cell r="L25">
            <v>0</v>
          </cell>
          <cell r="M25">
            <v>607962</v>
          </cell>
          <cell r="N25">
            <v>-159000</v>
          </cell>
          <cell r="O25">
            <v>0</v>
          </cell>
          <cell r="P25">
            <v>0</v>
          </cell>
          <cell r="Q25">
            <v>-159000</v>
          </cell>
          <cell r="R25">
            <v>1219652</v>
          </cell>
          <cell r="S25">
            <v>0</v>
          </cell>
          <cell r="T25">
            <v>0</v>
          </cell>
          <cell r="U25">
            <v>1219652</v>
          </cell>
          <cell r="V25">
            <v>4217039</v>
          </cell>
          <cell r="W25">
            <v>0</v>
          </cell>
          <cell r="X25">
            <v>0</v>
          </cell>
          <cell r="Y25">
            <v>4217039</v>
          </cell>
          <cell r="Z25">
            <v>62168680</v>
          </cell>
          <cell r="AA25">
            <v>0</v>
          </cell>
          <cell r="AB25">
            <v>0</v>
          </cell>
          <cell r="AC25">
            <v>62168680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2418701</v>
          </cell>
          <cell r="AP25">
            <v>3039565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409222046</v>
          </cell>
          <cell r="G26">
            <v>0</v>
          </cell>
          <cell r="H26">
            <v>4810432</v>
          </cell>
          <cell r="I26">
            <v>414032478</v>
          </cell>
          <cell r="J26">
            <v>3868400</v>
          </cell>
          <cell r="K26">
            <v>0</v>
          </cell>
          <cell r="L26">
            <v>0</v>
          </cell>
          <cell r="M26">
            <v>3868400</v>
          </cell>
          <cell r="N26">
            <v>4611819</v>
          </cell>
          <cell r="O26">
            <v>0</v>
          </cell>
          <cell r="P26">
            <v>27346</v>
          </cell>
          <cell r="Q26">
            <v>4639165</v>
          </cell>
          <cell r="R26">
            <v>11281556</v>
          </cell>
          <cell r="S26">
            <v>0</v>
          </cell>
          <cell r="T26">
            <v>137405</v>
          </cell>
          <cell r="U26">
            <v>11418961</v>
          </cell>
          <cell r="V26">
            <v>31497943</v>
          </cell>
          <cell r="W26">
            <v>0</v>
          </cell>
          <cell r="X26">
            <v>502986</v>
          </cell>
          <cell r="Y26">
            <v>32000929</v>
          </cell>
          <cell r="Z26">
            <v>357962328</v>
          </cell>
          <cell r="AA26">
            <v>0</v>
          </cell>
          <cell r="AB26">
            <v>4142695</v>
          </cell>
          <cell r="AC26">
            <v>362105023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1175</v>
          </cell>
          <cell r="AJ26">
            <v>0</v>
          </cell>
          <cell r="AK26">
            <v>3873037</v>
          </cell>
          <cell r="AL26">
            <v>0</v>
          </cell>
          <cell r="AM26">
            <v>270833</v>
          </cell>
          <cell r="AN26">
            <v>0</v>
          </cell>
          <cell r="AO26">
            <v>98118174</v>
          </cell>
          <cell r="AP26">
            <v>34197630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39919039</v>
          </cell>
          <cell r="G27">
            <v>0</v>
          </cell>
          <cell r="H27">
            <v>0</v>
          </cell>
          <cell r="I27">
            <v>39919039</v>
          </cell>
          <cell r="J27">
            <v>451707</v>
          </cell>
          <cell r="K27">
            <v>0</v>
          </cell>
          <cell r="L27">
            <v>0</v>
          </cell>
          <cell r="M27">
            <v>451707</v>
          </cell>
          <cell r="N27">
            <v>-207590</v>
          </cell>
          <cell r="O27">
            <v>0</v>
          </cell>
          <cell r="P27">
            <v>0</v>
          </cell>
          <cell r="Q27">
            <v>-207590</v>
          </cell>
          <cell r="R27">
            <v>795416</v>
          </cell>
          <cell r="S27">
            <v>0</v>
          </cell>
          <cell r="T27">
            <v>0</v>
          </cell>
          <cell r="U27">
            <v>795416</v>
          </cell>
          <cell r="V27">
            <v>1977011</v>
          </cell>
          <cell r="W27">
            <v>0</v>
          </cell>
          <cell r="X27">
            <v>0</v>
          </cell>
          <cell r="Y27">
            <v>1977011</v>
          </cell>
          <cell r="Z27">
            <v>36902495</v>
          </cell>
          <cell r="AA27">
            <v>0</v>
          </cell>
          <cell r="AB27">
            <v>0</v>
          </cell>
          <cell r="AC27">
            <v>36902495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962376</v>
          </cell>
          <cell r="AP27">
            <v>-489463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46840720</v>
          </cell>
          <cell r="G28">
            <v>0</v>
          </cell>
          <cell r="H28">
            <v>0</v>
          </cell>
          <cell r="I28">
            <v>46840720</v>
          </cell>
          <cell r="J28">
            <v>451506</v>
          </cell>
          <cell r="K28">
            <v>0</v>
          </cell>
          <cell r="L28">
            <v>0</v>
          </cell>
          <cell r="M28">
            <v>451506</v>
          </cell>
          <cell r="N28">
            <v>423827</v>
          </cell>
          <cell r="O28">
            <v>0</v>
          </cell>
          <cell r="P28">
            <v>0</v>
          </cell>
          <cell r="Q28">
            <v>423827</v>
          </cell>
          <cell r="R28">
            <v>1082700</v>
          </cell>
          <cell r="S28">
            <v>0</v>
          </cell>
          <cell r="T28">
            <v>0</v>
          </cell>
          <cell r="U28">
            <v>1082700</v>
          </cell>
          <cell r="V28">
            <v>2497300</v>
          </cell>
          <cell r="W28">
            <v>0</v>
          </cell>
          <cell r="X28">
            <v>0</v>
          </cell>
          <cell r="Y28">
            <v>2497300</v>
          </cell>
          <cell r="Z28">
            <v>42385387</v>
          </cell>
          <cell r="AA28">
            <v>0</v>
          </cell>
          <cell r="AB28">
            <v>0</v>
          </cell>
          <cell r="AC28">
            <v>42385387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2745972</v>
          </cell>
          <cell r="AP28">
            <v>596352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50045672</v>
          </cell>
          <cell r="G29">
            <v>0</v>
          </cell>
          <cell r="H29">
            <v>0</v>
          </cell>
          <cell r="I29">
            <v>50045672</v>
          </cell>
          <cell r="J29">
            <v>1103136</v>
          </cell>
          <cell r="K29">
            <v>0</v>
          </cell>
          <cell r="L29">
            <v>0</v>
          </cell>
          <cell r="M29">
            <v>1103136</v>
          </cell>
          <cell r="N29">
            <v>1595231</v>
          </cell>
          <cell r="O29">
            <v>0</v>
          </cell>
          <cell r="P29">
            <v>0</v>
          </cell>
          <cell r="Q29">
            <v>1595231</v>
          </cell>
          <cell r="R29">
            <v>1284073</v>
          </cell>
          <cell r="S29">
            <v>0</v>
          </cell>
          <cell r="T29">
            <v>0</v>
          </cell>
          <cell r="U29">
            <v>1284073</v>
          </cell>
          <cell r="V29">
            <v>2820843</v>
          </cell>
          <cell r="W29">
            <v>0</v>
          </cell>
          <cell r="X29">
            <v>0</v>
          </cell>
          <cell r="Y29">
            <v>2820843</v>
          </cell>
          <cell r="Z29">
            <v>43242389</v>
          </cell>
          <cell r="AA29">
            <v>0</v>
          </cell>
          <cell r="AB29">
            <v>0</v>
          </cell>
          <cell r="AC29">
            <v>43242389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4637471</v>
          </cell>
          <cell r="AP29">
            <v>456340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21465984</v>
          </cell>
          <cell r="G30">
            <v>0</v>
          </cell>
          <cell r="H30">
            <v>0</v>
          </cell>
          <cell r="I30">
            <v>21465984</v>
          </cell>
          <cell r="J30">
            <v>53844</v>
          </cell>
          <cell r="K30">
            <v>0</v>
          </cell>
          <cell r="L30">
            <v>0</v>
          </cell>
          <cell r="M30">
            <v>53844</v>
          </cell>
          <cell r="N30">
            <v>96067</v>
          </cell>
          <cell r="O30">
            <v>0</v>
          </cell>
          <cell r="P30">
            <v>0</v>
          </cell>
          <cell r="Q30">
            <v>96067</v>
          </cell>
          <cell r="R30">
            <v>153783</v>
          </cell>
          <cell r="S30">
            <v>0</v>
          </cell>
          <cell r="T30">
            <v>0</v>
          </cell>
          <cell r="U30">
            <v>153783</v>
          </cell>
          <cell r="V30">
            <v>607275</v>
          </cell>
          <cell r="W30">
            <v>0</v>
          </cell>
          <cell r="X30">
            <v>0</v>
          </cell>
          <cell r="Y30">
            <v>607275</v>
          </cell>
          <cell r="Z30">
            <v>20555015</v>
          </cell>
          <cell r="AA30">
            <v>0</v>
          </cell>
          <cell r="AB30">
            <v>0</v>
          </cell>
          <cell r="AC30">
            <v>20555015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510715</v>
          </cell>
          <cell r="AP30">
            <v>1318343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85873834</v>
          </cell>
          <cell r="G31">
            <v>0</v>
          </cell>
          <cell r="H31">
            <v>0</v>
          </cell>
          <cell r="I31">
            <v>85873834</v>
          </cell>
          <cell r="J31">
            <v>1196314</v>
          </cell>
          <cell r="K31">
            <v>0</v>
          </cell>
          <cell r="L31">
            <v>0</v>
          </cell>
          <cell r="M31">
            <v>1196314</v>
          </cell>
          <cell r="N31">
            <v>4161145</v>
          </cell>
          <cell r="O31">
            <v>0</v>
          </cell>
          <cell r="P31">
            <v>0</v>
          </cell>
          <cell r="Q31">
            <v>4161145</v>
          </cell>
          <cell r="R31">
            <v>2078159</v>
          </cell>
          <cell r="S31">
            <v>0</v>
          </cell>
          <cell r="T31">
            <v>0</v>
          </cell>
          <cell r="U31">
            <v>2078159</v>
          </cell>
          <cell r="V31">
            <v>6083937</v>
          </cell>
          <cell r="W31">
            <v>0</v>
          </cell>
          <cell r="X31">
            <v>0</v>
          </cell>
          <cell r="Y31">
            <v>6083937</v>
          </cell>
          <cell r="Z31">
            <v>72354279</v>
          </cell>
          <cell r="AA31">
            <v>0</v>
          </cell>
          <cell r="AB31">
            <v>0</v>
          </cell>
          <cell r="AC31">
            <v>72354279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7099863</v>
          </cell>
          <cell r="AP31">
            <v>311376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18513776.199999999</v>
          </cell>
          <cell r="G32">
            <v>0</v>
          </cell>
          <cell r="H32">
            <v>0</v>
          </cell>
          <cell r="I32">
            <v>18513776.199999999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331148</v>
          </cell>
          <cell r="O32">
            <v>0</v>
          </cell>
          <cell r="P32">
            <v>0</v>
          </cell>
          <cell r="Q32">
            <v>331148</v>
          </cell>
          <cell r="R32">
            <v>307700</v>
          </cell>
          <cell r="S32">
            <v>0</v>
          </cell>
          <cell r="T32">
            <v>0</v>
          </cell>
          <cell r="U32">
            <v>307700</v>
          </cell>
          <cell r="V32">
            <v>1104013</v>
          </cell>
          <cell r="W32">
            <v>0</v>
          </cell>
          <cell r="X32">
            <v>0</v>
          </cell>
          <cell r="Y32">
            <v>1104013</v>
          </cell>
          <cell r="Z32">
            <v>16770915</v>
          </cell>
          <cell r="AA32">
            <v>0</v>
          </cell>
          <cell r="AB32">
            <v>0</v>
          </cell>
          <cell r="AC32">
            <v>16770915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1067148</v>
          </cell>
          <cell r="AP32">
            <v>350492.45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63812838.299999997</v>
          </cell>
          <cell r="G33">
            <v>0</v>
          </cell>
          <cell r="H33">
            <v>0</v>
          </cell>
          <cell r="I33">
            <v>63812838.299999997</v>
          </cell>
          <cell r="J33">
            <v>477526</v>
          </cell>
          <cell r="K33">
            <v>0</v>
          </cell>
          <cell r="L33">
            <v>0</v>
          </cell>
          <cell r="M33">
            <v>477526</v>
          </cell>
          <cell r="N33">
            <v>-217221</v>
          </cell>
          <cell r="O33">
            <v>0</v>
          </cell>
          <cell r="P33">
            <v>0</v>
          </cell>
          <cell r="Q33">
            <v>-217221</v>
          </cell>
          <cell r="R33">
            <v>750000</v>
          </cell>
          <cell r="S33">
            <v>0</v>
          </cell>
          <cell r="T33">
            <v>0</v>
          </cell>
          <cell r="U33">
            <v>750000</v>
          </cell>
          <cell r="V33">
            <v>2000000</v>
          </cell>
          <cell r="W33">
            <v>0</v>
          </cell>
          <cell r="X33">
            <v>0</v>
          </cell>
          <cell r="Y33">
            <v>2000000</v>
          </cell>
          <cell r="Z33">
            <v>60802533</v>
          </cell>
          <cell r="AA33">
            <v>0</v>
          </cell>
          <cell r="AB33">
            <v>0</v>
          </cell>
          <cell r="AC33">
            <v>60802533</v>
          </cell>
          <cell r="AD33">
            <v>360</v>
          </cell>
          <cell r="AE33">
            <v>0</v>
          </cell>
          <cell r="AF33">
            <v>0</v>
          </cell>
          <cell r="AG33">
            <v>360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360</v>
          </cell>
          <cell r="AO33">
            <v>2955632</v>
          </cell>
          <cell r="AP33">
            <v>726988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71687492</v>
          </cell>
          <cell r="G34">
            <v>0</v>
          </cell>
          <cell r="H34">
            <v>0</v>
          </cell>
          <cell r="I34">
            <v>71687492</v>
          </cell>
          <cell r="J34">
            <v>793803</v>
          </cell>
          <cell r="K34">
            <v>0</v>
          </cell>
          <cell r="L34">
            <v>0</v>
          </cell>
          <cell r="M34">
            <v>793803</v>
          </cell>
          <cell r="N34">
            <v>-221800</v>
          </cell>
          <cell r="O34">
            <v>0</v>
          </cell>
          <cell r="P34">
            <v>0</v>
          </cell>
          <cell r="Q34">
            <v>-221800</v>
          </cell>
          <cell r="R34">
            <v>791189</v>
          </cell>
          <cell r="S34">
            <v>0</v>
          </cell>
          <cell r="T34">
            <v>0</v>
          </cell>
          <cell r="U34">
            <v>791189</v>
          </cell>
          <cell r="V34">
            <v>3926058</v>
          </cell>
          <cell r="W34">
            <v>0</v>
          </cell>
          <cell r="X34">
            <v>0</v>
          </cell>
          <cell r="Y34">
            <v>3926058</v>
          </cell>
          <cell r="Z34">
            <v>66398242</v>
          </cell>
          <cell r="AA34">
            <v>0</v>
          </cell>
          <cell r="AB34">
            <v>0</v>
          </cell>
          <cell r="AC34">
            <v>66398242</v>
          </cell>
          <cell r="AD34">
            <v>730</v>
          </cell>
          <cell r="AE34">
            <v>0</v>
          </cell>
          <cell r="AF34">
            <v>0</v>
          </cell>
          <cell r="AG34">
            <v>730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730</v>
          </cell>
          <cell r="AO34">
            <v>2737939</v>
          </cell>
          <cell r="AP34">
            <v>1293651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139785175</v>
          </cell>
          <cell r="G35">
            <v>0</v>
          </cell>
          <cell r="H35">
            <v>0</v>
          </cell>
          <cell r="I35">
            <v>139785175</v>
          </cell>
          <cell r="J35">
            <v>2527902</v>
          </cell>
          <cell r="K35">
            <v>0</v>
          </cell>
          <cell r="L35">
            <v>0</v>
          </cell>
          <cell r="M35">
            <v>2527902</v>
          </cell>
          <cell r="N35">
            <v>646982</v>
          </cell>
          <cell r="O35">
            <v>0</v>
          </cell>
          <cell r="P35">
            <v>0</v>
          </cell>
          <cell r="Q35">
            <v>646982</v>
          </cell>
          <cell r="R35">
            <v>3265160</v>
          </cell>
          <cell r="S35">
            <v>0</v>
          </cell>
          <cell r="T35">
            <v>0</v>
          </cell>
          <cell r="U35">
            <v>3265160</v>
          </cell>
          <cell r="V35">
            <v>9067530</v>
          </cell>
          <cell r="W35">
            <v>0</v>
          </cell>
          <cell r="X35">
            <v>0</v>
          </cell>
          <cell r="Y35">
            <v>9067530</v>
          </cell>
          <cell r="Z35">
            <v>124277601</v>
          </cell>
          <cell r="AA35">
            <v>0</v>
          </cell>
          <cell r="AB35">
            <v>0</v>
          </cell>
          <cell r="AC35">
            <v>124277601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10215142</v>
          </cell>
          <cell r="AP35">
            <v>967226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40419003</v>
          </cell>
          <cell r="G36">
            <v>0</v>
          </cell>
          <cell r="H36">
            <v>0</v>
          </cell>
          <cell r="I36">
            <v>40419003</v>
          </cell>
          <cell r="J36">
            <v>437834</v>
          </cell>
          <cell r="K36">
            <v>0</v>
          </cell>
          <cell r="L36">
            <v>0</v>
          </cell>
          <cell r="M36">
            <v>437834</v>
          </cell>
          <cell r="N36">
            <v>-17941</v>
          </cell>
          <cell r="O36">
            <v>0</v>
          </cell>
          <cell r="P36">
            <v>0</v>
          </cell>
          <cell r="Q36">
            <v>-17941</v>
          </cell>
          <cell r="R36">
            <v>393000</v>
          </cell>
          <cell r="S36">
            <v>0</v>
          </cell>
          <cell r="T36">
            <v>0</v>
          </cell>
          <cell r="U36">
            <v>393000</v>
          </cell>
          <cell r="V36">
            <v>957000</v>
          </cell>
          <cell r="W36">
            <v>0</v>
          </cell>
          <cell r="X36">
            <v>0</v>
          </cell>
          <cell r="Y36">
            <v>957000</v>
          </cell>
          <cell r="Z36">
            <v>38649110</v>
          </cell>
          <cell r="AA36">
            <v>0</v>
          </cell>
          <cell r="AB36">
            <v>0</v>
          </cell>
          <cell r="AC36">
            <v>38649110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1320978</v>
          </cell>
          <cell r="AP36">
            <v>707248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29261302.300000001</v>
          </cell>
          <cell r="G37">
            <v>0</v>
          </cell>
          <cell r="H37">
            <v>0</v>
          </cell>
          <cell r="I37">
            <v>29261302.300000001</v>
          </cell>
          <cell r="J37">
            <v>124648.8</v>
          </cell>
          <cell r="K37">
            <v>0</v>
          </cell>
          <cell r="L37">
            <v>0</v>
          </cell>
          <cell r="M37">
            <v>124648.8</v>
          </cell>
          <cell r="N37">
            <v>46708.54</v>
          </cell>
          <cell r="O37">
            <v>0</v>
          </cell>
          <cell r="P37">
            <v>0</v>
          </cell>
          <cell r="Q37">
            <v>46708.54</v>
          </cell>
          <cell r="R37">
            <v>519704</v>
          </cell>
          <cell r="S37">
            <v>0</v>
          </cell>
          <cell r="T37">
            <v>0</v>
          </cell>
          <cell r="U37">
            <v>519704</v>
          </cell>
          <cell r="V37">
            <v>1264617</v>
          </cell>
          <cell r="W37">
            <v>0</v>
          </cell>
          <cell r="X37">
            <v>0</v>
          </cell>
          <cell r="Y37">
            <v>1264617</v>
          </cell>
          <cell r="Z37">
            <v>27305624</v>
          </cell>
          <cell r="AA37">
            <v>0</v>
          </cell>
          <cell r="AB37">
            <v>0</v>
          </cell>
          <cell r="AC37">
            <v>27305624</v>
          </cell>
          <cell r="AD37">
            <v>29673</v>
          </cell>
          <cell r="AE37">
            <v>0</v>
          </cell>
          <cell r="AF37">
            <v>0</v>
          </cell>
          <cell r="AG37">
            <v>29673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29673</v>
          </cell>
          <cell r="AO37">
            <v>768978.1</v>
          </cell>
          <cell r="AP37">
            <v>90370.84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109358373</v>
          </cell>
          <cell r="G38">
            <v>0</v>
          </cell>
          <cell r="H38">
            <v>0</v>
          </cell>
          <cell r="I38">
            <v>109358373</v>
          </cell>
          <cell r="J38">
            <v>1935104</v>
          </cell>
          <cell r="K38">
            <v>0</v>
          </cell>
          <cell r="L38">
            <v>0</v>
          </cell>
          <cell r="M38">
            <v>1935104</v>
          </cell>
          <cell r="N38">
            <v>-191378</v>
          </cell>
          <cell r="O38">
            <v>0</v>
          </cell>
          <cell r="P38">
            <v>0</v>
          </cell>
          <cell r="Q38">
            <v>-191378</v>
          </cell>
          <cell r="R38">
            <v>1614674</v>
          </cell>
          <cell r="S38">
            <v>0</v>
          </cell>
          <cell r="T38">
            <v>0</v>
          </cell>
          <cell r="U38">
            <v>1614674</v>
          </cell>
          <cell r="V38">
            <v>4482334</v>
          </cell>
          <cell r="W38">
            <v>0</v>
          </cell>
          <cell r="X38">
            <v>0</v>
          </cell>
          <cell r="Y38">
            <v>4482334</v>
          </cell>
          <cell r="Z38">
            <v>101517639</v>
          </cell>
          <cell r="AA38">
            <v>0</v>
          </cell>
          <cell r="AB38">
            <v>0</v>
          </cell>
          <cell r="AC38">
            <v>101517639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5590105</v>
          </cell>
          <cell r="AP38">
            <v>2950924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29968664</v>
          </cell>
          <cell r="G39">
            <v>0</v>
          </cell>
          <cell r="H39">
            <v>0</v>
          </cell>
          <cell r="I39">
            <v>29968664</v>
          </cell>
          <cell r="J39">
            <v>693620.66</v>
          </cell>
          <cell r="K39">
            <v>0</v>
          </cell>
          <cell r="L39">
            <v>0</v>
          </cell>
          <cell r="M39">
            <v>693620.66</v>
          </cell>
          <cell r="N39">
            <v>302088</v>
          </cell>
          <cell r="O39">
            <v>0</v>
          </cell>
          <cell r="P39">
            <v>0</v>
          </cell>
          <cell r="Q39">
            <v>302088</v>
          </cell>
          <cell r="R39">
            <v>548321</v>
          </cell>
          <cell r="S39">
            <v>0</v>
          </cell>
          <cell r="T39">
            <v>0</v>
          </cell>
          <cell r="U39">
            <v>548321</v>
          </cell>
          <cell r="V39">
            <v>1506013</v>
          </cell>
          <cell r="W39">
            <v>0</v>
          </cell>
          <cell r="X39">
            <v>0</v>
          </cell>
          <cell r="Y39">
            <v>1506013</v>
          </cell>
          <cell r="Z39">
            <v>26918621</v>
          </cell>
          <cell r="AA39">
            <v>0</v>
          </cell>
          <cell r="AB39">
            <v>0</v>
          </cell>
          <cell r="AC39">
            <v>26918621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2139290</v>
          </cell>
          <cell r="AP39">
            <v>448160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105430715</v>
          </cell>
          <cell r="G40">
            <v>0</v>
          </cell>
          <cell r="H40">
            <v>0</v>
          </cell>
          <cell r="I40">
            <v>105430715</v>
          </cell>
          <cell r="J40">
            <v>918058</v>
          </cell>
          <cell r="K40">
            <v>0</v>
          </cell>
          <cell r="L40">
            <v>0</v>
          </cell>
          <cell r="M40">
            <v>918058</v>
          </cell>
          <cell r="N40">
            <v>176025</v>
          </cell>
          <cell r="O40">
            <v>0</v>
          </cell>
          <cell r="P40">
            <v>0</v>
          </cell>
          <cell r="Q40">
            <v>176025</v>
          </cell>
          <cell r="R40">
            <v>2484253</v>
          </cell>
          <cell r="S40">
            <v>0</v>
          </cell>
          <cell r="T40">
            <v>0</v>
          </cell>
          <cell r="U40">
            <v>2484253</v>
          </cell>
          <cell r="V40">
            <v>3593648</v>
          </cell>
          <cell r="W40">
            <v>0</v>
          </cell>
          <cell r="X40">
            <v>0</v>
          </cell>
          <cell r="Y40">
            <v>3593648</v>
          </cell>
          <cell r="Z40">
            <v>98258731</v>
          </cell>
          <cell r="AA40">
            <v>0</v>
          </cell>
          <cell r="AB40">
            <v>0</v>
          </cell>
          <cell r="AC40">
            <v>98258731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4416853</v>
          </cell>
          <cell r="AP40">
            <v>3485149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194220090</v>
          </cell>
          <cell r="G41">
            <v>0</v>
          </cell>
          <cell r="H41">
            <v>12547523</v>
          </cell>
          <cell r="I41">
            <v>206767613</v>
          </cell>
          <cell r="J41">
            <v>1808845</v>
          </cell>
          <cell r="K41">
            <v>0</v>
          </cell>
          <cell r="L41">
            <v>8332</v>
          </cell>
          <cell r="M41">
            <v>1817177</v>
          </cell>
          <cell r="N41">
            <v>725000</v>
          </cell>
          <cell r="O41">
            <v>0</v>
          </cell>
          <cell r="P41">
            <v>18000</v>
          </cell>
          <cell r="Q41">
            <v>743000</v>
          </cell>
          <cell r="R41">
            <v>3802000</v>
          </cell>
          <cell r="S41">
            <v>0</v>
          </cell>
          <cell r="T41">
            <v>40000</v>
          </cell>
          <cell r="U41">
            <v>3842000</v>
          </cell>
          <cell r="V41">
            <v>10240000</v>
          </cell>
          <cell r="W41">
            <v>0</v>
          </cell>
          <cell r="X41">
            <v>0</v>
          </cell>
          <cell r="Y41">
            <v>10240000</v>
          </cell>
          <cell r="Z41">
            <v>177644245</v>
          </cell>
          <cell r="AA41">
            <v>0</v>
          </cell>
          <cell r="AB41">
            <v>12481191</v>
          </cell>
          <cell r="AC41">
            <v>190125436</v>
          </cell>
          <cell r="AD41">
            <v>221</v>
          </cell>
          <cell r="AE41">
            <v>0</v>
          </cell>
          <cell r="AF41">
            <v>0</v>
          </cell>
          <cell r="AG41">
            <v>221</v>
          </cell>
          <cell r="AH41">
            <v>0</v>
          </cell>
          <cell r="AI41">
            <v>83503</v>
          </cell>
          <cell r="AJ41">
            <v>0</v>
          </cell>
          <cell r="AK41">
            <v>12744508</v>
          </cell>
          <cell r="AL41">
            <v>0</v>
          </cell>
          <cell r="AM41">
            <v>0</v>
          </cell>
          <cell r="AN41">
            <v>221</v>
          </cell>
          <cell r="AO41">
            <v>4385330</v>
          </cell>
          <cell r="AP41">
            <v>3849916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29767163</v>
          </cell>
          <cell r="G42">
            <v>0</v>
          </cell>
          <cell r="H42">
            <v>0</v>
          </cell>
          <cell r="I42">
            <v>29767163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13501</v>
          </cell>
          <cell r="O42">
            <v>0</v>
          </cell>
          <cell r="P42">
            <v>0</v>
          </cell>
          <cell r="Q42">
            <v>13501</v>
          </cell>
          <cell r="R42">
            <v>227620</v>
          </cell>
          <cell r="S42">
            <v>0</v>
          </cell>
          <cell r="T42">
            <v>0</v>
          </cell>
          <cell r="U42">
            <v>227620</v>
          </cell>
          <cell r="V42">
            <v>597214</v>
          </cell>
          <cell r="W42">
            <v>0</v>
          </cell>
          <cell r="X42">
            <v>0</v>
          </cell>
          <cell r="Y42">
            <v>597214</v>
          </cell>
          <cell r="Z42">
            <v>28928828</v>
          </cell>
          <cell r="AA42">
            <v>0</v>
          </cell>
          <cell r="AB42">
            <v>0</v>
          </cell>
          <cell r="AC42">
            <v>28928828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271085</v>
          </cell>
          <cell r="AP42">
            <v>631866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84193580</v>
          </cell>
          <cell r="G43">
            <v>0</v>
          </cell>
          <cell r="H43">
            <v>0</v>
          </cell>
          <cell r="I43">
            <v>84193580</v>
          </cell>
          <cell r="J43">
            <v>753068</v>
          </cell>
          <cell r="K43">
            <v>0</v>
          </cell>
          <cell r="L43">
            <v>0</v>
          </cell>
          <cell r="M43">
            <v>753068</v>
          </cell>
          <cell r="N43">
            <v>22155</v>
          </cell>
          <cell r="O43">
            <v>0</v>
          </cell>
          <cell r="P43">
            <v>0</v>
          </cell>
          <cell r="Q43">
            <v>22155</v>
          </cell>
          <cell r="R43">
            <v>84333</v>
          </cell>
          <cell r="S43">
            <v>0</v>
          </cell>
          <cell r="T43">
            <v>0</v>
          </cell>
          <cell r="U43">
            <v>84333</v>
          </cell>
          <cell r="V43">
            <v>365522</v>
          </cell>
          <cell r="W43">
            <v>0</v>
          </cell>
          <cell r="X43">
            <v>0</v>
          </cell>
          <cell r="Y43">
            <v>365522</v>
          </cell>
          <cell r="Z43">
            <v>82968502</v>
          </cell>
          <cell r="AA43">
            <v>0</v>
          </cell>
          <cell r="AB43">
            <v>0</v>
          </cell>
          <cell r="AC43">
            <v>82968502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1687209.39</v>
          </cell>
          <cell r="AP43">
            <v>3589324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26534611.600000001</v>
          </cell>
          <cell r="G44">
            <v>0</v>
          </cell>
          <cell r="H44">
            <v>0</v>
          </cell>
          <cell r="I44">
            <v>26534611.600000001</v>
          </cell>
          <cell r="J44">
            <v>325712.84999999998</v>
          </cell>
          <cell r="K44">
            <v>0</v>
          </cell>
          <cell r="L44">
            <v>0</v>
          </cell>
          <cell r="M44">
            <v>325712.84999999998</v>
          </cell>
          <cell r="N44">
            <v>-15489</v>
          </cell>
          <cell r="O44">
            <v>0</v>
          </cell>
          <cell r="P44">
            <v>0</v>
          </cell>
          <cell r="Q44">
            <v>-15489</v>
          </cell>
          <cell r="R44">
            <v>271958</v>
          </cell>
          <cell r="S44">
            <v>0</v>
          </cell>
          <cell r="T44">
            <v>0</v>
          </cell>
          <cell r="U44">
            <v>271958</v>
          </cell>
          <cell r="V44">
            <v>651036</v>
          </cell>
          <cell r="W44">
            <v>0</v>
          </cell>
          <cell r="X44">
            <v>0</v>
          </cell>
          <cell r="Y44">
            <v>651036</v>
          </cell>
          <cell r="Z44">
            <v>25301394</v>
          </cell>
          <cell r="AA44">
            <v>0</v>
          </cell>
          <cell r="AB44">
            <v>0</v>
          </cell>
          <cell r="AC44">
            <v>25301394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1204488</v>
          </cell>
          <cell r="AP44">
            <v>441013.3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39890160</v>
          </cell>
          <cell r="G45">
            <v>0</v>
          </cell>
          <cell r="H45">
            <v>0</v>
          </cell>
          <cell r="I45">
            <v>39890160</v>
          </cell>
          <cell r="J45">
            <v>87568</v>
          </cell>
          <cell r="K45">
            <v>0</v>
          </cell>
          <cell r="L45">
            <v>0</v>
          </cell>
          <cell r="M45">
            <v>87568</v>
          </cell>
          <cell r="N45">
            <v>193525</v>
          </cell>
          <cell r="O45">
            <v>0</v>
          </cell>
          <cell r="P45">
            <v>0</v>
          </cell>
          <cell r="Q45">
            <v>193525</v>
          </cell>
          <cell r="R45">
            <v>593881</v>
          </cell>
          <cell r="S45">
            <v>0</v>
          </cell>
          <cell r="T45">
            <v>0</v>
          </cell>
          <cell r="U45">
            <v>593881</v>
          </cell>
          <cell r="V45">
            <v>1268562</v>
          </cell>
          <cell r="W45">
            <v>0</v>
          </cell>
          <cell r="X45">
            <v>0</v>
          </cell>
          <cell r="Y45">
            <v>1268562</v>
          </cell>
          <cell r="Z45">
            <v>37746624</v>
          </cell>
          <cell r="AA45">
            <v>0</v>
          </cell>
          <cell r="AB45">
            <v>0</v>
          </cell>
          <cell r="AC45">
            <v>37746624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1380544</v>
          </cell>
          <cell r="AP45">
            <v>94344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23599219</v>
          </cell>
          <cell r="G46">
            <v>0</v>
          </cell>
          <cell r="H46">
            <v>1006425</v>
          </cell>
          <cell r="I46">
            <v>24605644</v>
          </cell>
          <cell r="J46">
            <v>154698</v>
          </cell>
          <cell r="K46">
            <v>0</v>
          </cell>
          <cell r="L46">
            <v>0</v>
          </cell>
          <cell r="M46">
            <v>154698</v>
          </cell>
          <cell r="N46">
            <v>70000</v>
          </cell>
          <cell r="O46">
            <v>0</v>
          </cell>
          <cell r="P46">
            <v>455598</v>
          </cell>
          <cell r="Q46">
            <v>525598</v>
          </cell>
          <cell r="R46">
            <v>297486</v>
          </cell>
          <cell r="S46">
            <v>0</v>
          </cell>
          <cell r="T46">
            <v>12395</v>
          </cell>
          <cell r="U46">
            <v>309881</v>
          </cell>
          <cell r="V46">
            <v>824244</v>
          </cell>
          <cell r="W46">
            <v>0</v>
          </cell>
          <cell r="X46">
            <v>34343</v>
          </cell>
          <cell r="Y46">
            <v>858587</v>
          </cell>
          <cell r="Z46">
            <v>22252791</v>
          </cell>
          <cell r="AA46">
            <v>0</v>
          </cell>
          <cell r="AB46">
            <v>504089</v>
          </cell>
          <cell r="AC46">
            <v>22756880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-108</v>
          </cell>
          <cell r="AJ46">
            <v>0</v>
          </cell>
          <cell r="AK46">
            <v>1078673</v>
          </cell>
          <cell r="AL46">
            <v>0</v>
          </cell>
          <cell r="AM46">
            <v>0</v>
          </cell>
          <cell r="AN46">
            <v>0</v>
          </cell>
          <cell r="AO46">
            <v>1459448.6</v>
          </cell>
          <cell r="AP46">
            <v>500309.25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27887116.300000001</v>
          </cell>
          <cell r="G47">
            <v>0</v>
          </cell>
          <cell r="H47">
            <v>0</v>
          </cell>
          <cell r="I47">
            <v>27887116.300000001</v>
          </cell>
          <cell r="J47">
            <v>261186</v>
          </cell>
          <cell r="K47">
            <v>0</v>
          </cell>
          <cell r="L47">
            <v>0</v>
          </cell>
          <cell r="M47">
            <v>261186</v>
          </cell>
          <cell r="N47">
            <v>297685</v>
          </cell>
          <cell r="O47">
            <v>0</v>
          </cell>
          <cell r="P47">
            <v>0</v>
          </cell>
          <cell r="Q47">
            <v>297685</v>
          </cell>
          <cell r="R47">
            <v>303996</v>
          </cell>
          <cell r="S47">
            <v>0</v>
          </cell>
          <cell r="T47">
            <v>0</v>
          </cell>
          <cell r="U47">
            <v>303996</v>
          </cell>
          <cell r="V47">
            <v>1330558</v>
          </cell>
          <cell r="W47">
            <v>0</v>
          </cell>
          <cell r="X47">
            <v>0</v>
          </cell>
          <cell r="Y47">
            <v>1330558</v>
          </cell>
          <cell r="Z47">
            <v>25693691</v>
          </cell>
          <cell r="AA47">
            <v>0</v>
          </cell>
          <cell r="AB47">
            <v>0</v>
          </cell>
          <cell r="AC47">
            <v>25693691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1719300</v>
          </cell>
          <cell r="AP47">
            <v>696534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49640468</v>
          </cell>
          <cell r="G48">
            <v>0</v>
          </cell>
          <cell r="H48">
            <v>0</v>
          </cell>
          <cell r="I48">
            <v>49640468</v>
          </cell>
          <cell r="J48">
            <v>662563</v>
          </cell>
          <cell r="K48">
            <v>0</v>
          </cell>
          <cell r="L48">
            <v>0</v>
          </cell>
          <cell r="M48">
            <v>662563</v>
          </cell>
          <cell r="N48">
            <v>725601</v>
          </cell>
          <cell r="O48">
            <v>0</v>
          </cell>
          <cell r="P48">
            <v>0</v>
          </cell>
          <cell r="Q48">
            <v>725601</v>
          </cell>
          <cell r="R48">
            <v>1000000</v>
          </cell>
          <cell r="S48">
            <v>0</v>
          </cell>
          <cell r="T48">
            <v>0</v>
          </cell>
          <cell r="U48">
            <v>1000000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47252304</v>
          </cell>
          <cell r="AA48">
            <v>0</v>
          </cell>
          <cell r="AB48">
            <v>0</v>
          </cell>
          <cell r="AC48">
            <v>47252304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59432772</v>
          </cell>
          <cell r="G49">
            <v>0</v>
          </cell>
          <cell r="H49">
            <v>0</v>
          </cell>
          <cell r="I49">
            <v>59432772</v>
          </cell>
          <cell r="J49">
            <v>10089</v>
          </cell>
          <cell r="K49">
            <v>0</v>
          </cell>
          <cell r="L49">
            <v>0</v>
          </cell>
          <cell r="M49">
            <v>10089</v>
          </cell>
          <cell r="N49">
            <v>1109832</v>
          </cell>
          <cell r="O49">
            <v>0</v>
          </cell>
          <cell r="P49">
            <v>0</v>
          </cell>
          <cell r="Q49">
            <v>1109832</v>
          </cell>
          <cell r="R49">
            <v>590848</v>
          </cell>
          <cell r="S49">
            <v>0</v>
          </cell>
          <cell r="T49">
            <v>0</v>
          </cell>
          <cell r="U49">
            <v>590848</v>
          </cell>
          <cell r="V49">
            <v>1660284</v>
          </cell>
          <cell r="W49">
            <v>0</v>
          </cell>
          <cell r="X49">
            <v>0</v>
          </cell>
          <cell r="Y49">
            <v>1660284</v>
          </cell>
          <cell r="Z49">
            <v>56061719</v>
          </cell>
          <cell r="AA49">
            <v>0</v>
          </cell>
          <cell r="AB49">
            <v>0</v>
          </cell>
          <cell r="AC49">
            <v>56061719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6594921</v>
          </cell>
          <cell r="AP49">
            <v>1469511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93851290</v>
          </cell>
          <cell r="G50">
            <v>0</v>
          </cell>
          <cell r="H50">
            <v>0</v>
          </cell>
          <cell r="I50">
            <v>93851290</v>
          </cell>
          <cell r="J50">
            <v>256946</v>
          </cell>
          <cell r="K50">
            <v>0</v>
          </cell>
          <cell r="L50">
            <v>0</v>
          </cell>
          <cell r="M50">
            <v>256946</v>
          </cell>
          <cell r="N50">
            <v>57899</v>
          </cell>
          <cell r="O50">
            <v>0</v>
          </cell>
          <cell r="P50">
            <v>0</v>
          </cell>
          <cell r="Q50">
            <v>57899</v>
          </cell>
          <cell r="R50">
            <v>2310839</v>
          </cell>
          <cell r="S50">
            <v>0</v>
          </cell>
          <cell r="T50">
            <v>0</v>
          </cell>
          <cell r="U50">
            <v>2310839</v>
          </cell>
          <cell r="V50">
            <v>5784086</v>
          </cell>
          <cell r="W50">
            <v>0</v>
          </cell>
          <cell r="X50">
            <v>0</v>
          </cell>
          <cell r="Y50">
            <v>5784086</v>
          </cell>
          <cell r="Z50">
            <v>85441520</v>
          </cell>
          <cell r="AA50">
            <v>0</v>
          </cell>
          <cell r="AB50">
            <v>0</v>
          </cell>
          <cell r="AC50">
            <v>85441520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1226125</v>
          </cell>
          <cell r="AP50">
            <v>1492055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488520232</v>
          </cell>
          <cell r="G51">
            <v>0</v>
          </cell>
          <cell r="H51">
            <v>0</v>
          </cell>
          <cell r="I51">
            <v>488520232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2233009</v>
          </cell>
          <cell r="O51">
            <v>0</v>
          </cell>
          <cell r="P51">
            <v>0</v>
          </cell>
          <cell r="Q51">
            <v>2233009</v>
          </cell>
          <cell r="R51">
            <v>7192495</v>
          </cell>
          <cell r="S51">
            <v>0</v>
          </cell>
          <cell r="T51">
            <v>0</v>
          </cell>
          <cell r="U51">
            <v>7192495</v>
          </cell>
          <cell r="V51">
            <v>19928251</v>
          </cell>
          <cell r="W51">
            <v>0</v>
          </cell>
          <cell r="X51">
            <v>0</v>
          </cell>
          <cell r="Y51">
            <v>19928251</v>
          </cell>
          <cell r="Z51">
            <v>459166477</v>
          </cell>
          <cell r="AA51">
            <v>0</v>
          </cell>
          <cell r="AB51">
            <v>0</v>
          </cell>
          <cell r="AC51">
            <v>459166477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7562638</v>
          </cell>
          <cell r="AP51">
            <v>-7027884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34306937</v>
          </cell>
          <cell r="G52">
            <v>0</v>
          </cell>
          <cell r="H52">
            <v>0</v>
          </cell>
          <cell r="I52">
            <v>34306937</v>
          </cell>
          <cell r="J52">
            <v>41832.410000000003</v>
          </cell>
          <cell r="K52">
            <v>0</v>
          </cell>
          <cell r="L52">
            <v>0</v>
          </cell>
          <cell r="M52">
            <v>41832.410000000003</v>
          </cell>
          <cell r="N52">
            <v>1014846</v>
          </cell>
          <cell r="O52">
            <v>0</v>
          </cell>
          <cell r="P52">
            <v>0</v>
          </cell>
          <cell r="Q52">
            <v>1014846</v>
          </cell>
          <cell r="R52">
            <v>411830</v>
          </cell>
          <cell r="S52">
            <v>0</v>
          </cell>
          <cell r="T52">
            <v>0</v>
          </cell>
          <cell r="U52">
            <v>411830</v>
          </cell>
          <cell r="V52">
            <v>1235503</v>
          </cell>
          <cell r="W52">
            <v>0</v>
          </cell>
          <cell r="X52">
            <v>0</v>
          </cell>
          <cell r="Y52">
            <v>1235503</v>
          </cell>
          <cell r="Z52">
            <v>31602926</v>
          </cell>
          <cell r="AA52">
            <v>0</v>
          </cell>
          <cell r="AB52">
            <v>0</v>
          </cell>
          <cell r="AC52">
            <v>31602926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2537592</v>
          </cell>
          <cell r="AP52">
            <v>659670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51475431</v>
          </cell>
          <cell r="G53">
            <v>0</v>
          </cell>
          <cell r="H53">
            <v>0</v>
          </cell>
          <cell r="I53">
            <v>51475431</v>
          </cell>
          <cell r="J53">
            <v>292570</v>
          </cell>
          <cell r="K53">
            <v>0</v>
          </cell>
          <cell r="L53">
            <v>0</v>
          </cell>
          <cell r="M53">
            <v>292570</v>
          </cell>
          <cell r="N53">
            <v>220766</v>
          </cell>
          <cell r="O53">
            <v>0</v>
          </cell>
          <cell r="P53">
            <v>0</v>
          </cell>
          <cell r="Q53">
            <v>220766</v>
          </cell>
          <cell r="R53">
            <v>463887</v>
          </cell>
          <cell r="S53">
            <v>0</v>
          </cell>
          <cell r="T53">
            <v>0</v>
          </cell>
          <cell r="U53">
            <v>463887</v>
          </cell>
          <cell r="V53">
            <v>684775</v>
          </cell>
          <cell r="W53">
            <v>0</v>
          </cell>
          <cell r="X53">
            <v>0</v>
          </cell>
          <cell r="Y53">
            <v>684775</v>
          </cell>
          <cell r="Z53">
            <v>49813433</v>
          </cell>
          <cell r="AA53">
            <v>0</v>
          </cell>
          <cell r="AB53">
            <v>0</v>
          </cell>
          <cell r="AC53">
            <v>49813433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1426127</v>
          </cell>
          <cell r="AP53">
            <v>-1246756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41344982</v>
          </cell>
          <cell r="G54">
            <v>0</v>
          </cell>
          <cell r="H54">
            <v>0</v>
          </cell>
          <cell r="I54">
            <v>41344982</v>
          </cell>
          <cell r="J54">
            <v>441207</v>
          </cell>
          <cell r="K54">
            <v>0</v>
          </cell>
          <cell r="L54">
            <v>0</v>
          </cell>
          <cell r="M54">
            <v>441207</v>
          </cell>
          <cell r="N54">
            <v>59996</v>
          </cell>
          <cell r="O54">
            <v>0</v>
          </cell>
          <cell r="P54">
            <v>0</v>
          </cell>
          <cell r="Q54">
            <v>59996</v>
          </cell>
          <cell r="R54">
            <v>609317</v>
          </cell>
          <cell r="S54">
            <v>0</v>
          </cell>
          <cell r="T54">
            <v>0</v>
          </cell>
          <cell r="U54">
            <v>609317</v>
          </cell>
          <cell r="V54">
            <v>1411364</v>
          </cell>
          <cell r="W54">
            <v>0</v>
          </cell>
          <cell r="X54">
            <v>0</v>
          </cell>
          <cell r="Y54">
            <v>1411364</v>
          </cell>
          <cell r="Z54">
            <v>38823098</v>
          </cell>
          <cell r="AA54">
            <v>0</v>
          </cell>
          <cell r="AB54">
            <v>0</v>
          </cell>
          <cell r="AC54">
            <v>38823098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698940</v>
          </cell>
          <cell r="AP54">
            <v>559717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15067322</v>
          </cell>
          <cell r="G55">
            <v>0</v>
          </cell>
          <cell r="H55">
            <v>0</v>
          </cell>
          <cell r="I55">
            <v>15067322</v>
          </cell>
          <cell r="J55">
            <v>60876</v>
          </cell>
          <cell r="K55">
            <v>0</v>
          </cell>
          <cell r="L55">
            <v>0</v>
          </cell>
          <cell r="M55">
            <v>60876</v>
          </cell>
          <cell r="N55">
            <v>110590</v>
          </cell>
          <cell r="O55">
            <v>0</v>
          </cell>
          <cell r="P55">
            <v>0</v>
          </cell>
          <cell r="Q55">
            <v>110590</v>
          </cell>
          <cell r="R55">
            <v>198702</v>
          </cell>
          <cell r="S55">
            <v>0</v>
          </cell>
          <cell r="T55">
            <v>0</v>
          </cell>
          <cell r="U55">
            <v>198702</v>
          </cell>
          <cell r="V55">
            <v>274398</v>
          </cell>
          <cell r="W55">
            <v>0</v>
          </cell>
          <cell r="X55">
            <v>0</v>
          </cell>
          <cell r="Y55">
            <v>274398</v>
          </cell>
          <cell r="Z55">
            <v>14422756</v>
          </cell>
          <cell r="AA55">
            <v>0</v>
          </cell>
          <cell r="AB55">
            <v>0</v>
          </cell>
          <cell r="AC55">
            <v>14422756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250324.45</v>
          </cell>
          <cell r="AP55">
            <v>143220.51999999999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76494093.200000003</v>
          </cell>
          <cell r="G56">
            <v>0</v>
          </cell>
          <cell r="H56">
            <v>0</v>
          </cell>
          <cell r="I56">
            <v>76494093.200000003</v>
          </cell>
          <cell r="J56">
            <v>706745.51</v>
          </cell>
          <cell r="K56">
            <v>0</v>
          </cell>
          <cell r="L56">
            <v>0</v>
          </cell>
          <cell r="M56">
            <v>706745.51</v>
          </cell>
          <cell r="N56">
            <v>174648</v>
          </cell>
          <cell r="O56">
            <v>0</v>
          </cell>
          <cell r="P56">
            <v>0</v>
          </cell>
          <cell r="Q56">
            <v>174648</v>
          </cell>
          <cell r="R56">
            <v>1074340</v>
          </cell>
          <cell r="S56">
            <v>0</v>
          </cell>
          <cell r="T56">
            <v>0</v>
          </cell>
          <cell r="U56">
            <v>1074340</v>
          </cell>
          <cell r="V56">
            <v>2981617</v>
          </cell>
          <cell r="W56">
            <v>0</v>
          </cell>
          <cell r="X56">
            <v>0</v>
          </cell>
          <cell r="Y56">
            <v>2981617</v>
          </cell>
          <cell r="Z56">
            <v>71556743</v>
          </cell>
          <cell r="AA56">
            <v>0</v>
          </cell>
          <cell r="AB56">
            <v>0</v>
          </cell>
          <cell r="AC56">
            <v>71556743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5170106</v>
          </cell>
          <cell r="AP56">
            <v>642765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42371789</v>
          </cell>
          <cell r="G57">
            <v>0</v>
          </cell>
          <cell r="H57">
            <v>0</v>
          </cell>
          <cell r="I57">
            <v>42371789</v>
          </cell>
          <cell r="J57">
            <v>222665</v>
          </cell>
          <cell r="K57">
            <v>0</v>
          </cell>
          <cell r="L57">
            <v>0</v>
          </cell>
          <cell r="M57">
            <v>222665</v>
          </cell>
          <cell r="N57">
            <v>45067</v>
          </cell>
          <cell r="O57">
            <v>0</v>
          </cell>
          <cell r="P57">
            <v>0</v>
          </cell>
          <cell r="Q57">
            <v>45067</v>
          </cell>
          <cell r="R57">
            <v>636822</v>
          </cell>
          <cell r="S57">
            <v>0</v>
          </cell>
          <cell r="T57">
            <v>0</v>
          </cell>
          <cell r="U57">
            <v>636822</v>
          </cell>
          <cell r="V57">
            <v>1010466</v>
          </cell>
          <cell r="W57">
            <v>0</v>
          </cell>
          <cell r="X57">
            <v>0</v>
          </cell>
          <cell r="Y57">
            <v>1010466</v>
          </cell>
          <cell r="Z57">
            <v>40456769</v>
          </cell>
          <cell r="AA57">
            <v>0</v>
          </cell>
          <cell r="AB57">
            <v>0</v>
          </cell>
          <cell r="AC57">
            <v>40456769</v>
          </cell>
          <cell r="AD57">
            <v>121606</v>
          </cell>
          <cell r="AE57">
            <v>0</v>
          </cell>
          <cell r="AF57">
            <v>0</v>
          </cell>
          <cell r="AG57">
            <v>121606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121606</v>
          </cell>
          <cell r="AO57">
            <v>1071944</v>
          </cell>
          <cell r="AP57">
            <v>622513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76139572.599999994</v>
          </cell>
          <cell r="G58">
            <v>0</v>
          </cell>
          <cell r="H58">
            <v>0</v>
          </cell>
          <cell r="I58">
            <v>76139572.599999994</v>
          </cell>
          <cell r="J58">
            <v>1146223.93</v>
          </cell>
          <cell r="K58">
            <v>0</v>
          </cell>
          <cell r="L58">
            <v>0</v>
          </cell>
          <cell r="M58">
            <v>1146223.93</v>
          </cell>
          <cell r="N58">
            <v>-189411.9</v>
          </cell>
          <cell r="O58">
            <v>0</v>
          </cell>
          <cell r="P58">
            <v>0</v>
          </cell>
          <cell r="Q58">
            <v>-189411.9</v>
          </cell>
          <cell r="R58">
            <v>847889</v>
          </cell>
          <cell r="S58">
            <v>0</v>
          </cell>
          <cell r="T58">
            <v>0</v>
          </cell>
          <cell r="U58">
            <v>847889</v>
          </cell>
          <cell r="V58">
            <v>1835806</v>
          </cell>
          <cell r="W58">
            <v>0</v>
          </cell>
          <cell r="X58">
            <v>0</v>
          </cell>
          <cell r="Y58">
            <v>1835806</v>
          </cell>
          <cell r="Z58">
            <v>72499066</v>
          </cell>
          <cell r="AA58">
            <v>0</v>
          </cell>
          <cell r="AB58">
            <v>0</v>
          </cell>
          <cell r="AC58">
            <v>72499066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2698213.07</v>
          </cell>
          <cell r="AP58">
            <v>1750506.94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54281305</v>
          </cell>
          <cell r="G59">
            <v>0</v>
          </cell>
          <cell r="H59">
            <v>0</v>
          </cell>
          <cell r="I59">
            <v>54281305</v>
          </cell>
          <cell r="J59">
            <v>263619</v>
          </cell>
          <cell r="K59">
            <v>0</v>
          </cell>
          <cell r="L59">
            <v>0</v>
          </cell>
          <cell r="M59">
            <v>263619</v>
          </cell>
          <cell r="N59">
            <v>29639</v>
          </cell>
          <cell r="O59">
            <v>0</v>
          </cell>
          <cell r="P59">
            <v>0</v>
          </cell>
          <cell r="Q59">
            <v>29639</v>
          </cell>
          <cell r="R59">
            <v>640000</v>
          </cell>
          <cell r="S59">
            <v>0</v>
          </cell>
          <cell r="T59">
            <v>0</v>
          </cell>
          <cell r="U59">
            <v>640000</v>
          </cell>
          <cell r="V59">
            <v>645000</v>
          </cell>
          <cell r="W59">
            <v>0</v>
          </cell>
          <cell r="X59">
            <v>0</v>
          </cell>
          <cell r="Y59">
            <v>645000</v>
          </cell>
          <cell r="Z59">
            <v>52703047</v>
          </cell>
          <cell r="AA59">
            <v>0</v>
          </cell>
          <cell r="AB59">
            <v>0</v>
          </cell>
          <cell r="AC59">
            <v>52703047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1271155</v>
          </cell>
          <cell r="AP59">
            <v>4228046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70111848</v>
          </cell>
          <cell r="G60">
            <v>0</v>
          </cell>
          <cell r="H60">
            <v>0</v>
          </cell>
          <cell r="I60">
            <v>70111848</v>
          </cell>
          <cell r="J60">
            <v>134868</v>
          </cell>
          <cell r="K60">
            <v>0</v>
          </cell>
          <cell r="L60">
            <v>0</v>
          </cell>
          <cell r="M60">
            <v>134868</v>
          </cell>
          <cell r="N60">
            <v>116472</v>
          </cell>
          <cell r="O60">
            <v>0</v>
          </cell>
          <cell r="P60">
            <v>0</v>
          </cell>
          <cell r="Q60">
            <v>116472</v>
          </cell>
          <cell r="R60">
            <v>832060</v>
          </cell>
          <cell r="S60">
            <v>0</v>
          </cell>
          <cell r="T60">
            <v>0</v>
          </cell>
          <cell r="U60">
            <v>832060</v>
          </cell>
          <cell r="V60">
            <v>2518628</v>
          </cell>
          <cell r="W60">
            <v>0</v>
          </cell>
          <cell r="X60">
            <v>0</v>
          </cell>
          <cell r="Y60">
            <v>2518628</v>
          </cell>
          <cell r="Z60">
            <v>66509820</v>
          </cell>
          <cell r="AA60">
            <v>0</v>
          </cell>
          <cell r="AB60">
            <v>0</v>
          </cell>
          <cell r="AC60">
            <v>66509820</v>
          </cell>
          <cell r="AD60">
            <v>19966</v>
          </cell>
          <cell r="AE60">
            <v>0</v>
          </cell>
          <cell r="AF60">
            <v>0</v>
          </cell>
          <cell r="AG60">
            <v>19966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19966</v>
          </cell>
          <cell r="AO60">
            <v>1529718</v>
          </cell>
          <cell r="AP60">
            <v>1906129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136586427</v>
          </cell>
          <cell r="G61">
            <v>0</v>
          </cell>
          <cell r="H61">
            <v>0</v>
          </cell>
          <cell r="I61">
            <v>136586427</v>
          </cell>
          <cell r="J61">
            <v>867834.67</v>
          </cell>
          <cell r="K61">
            <v>0</v>
          </cell>
          <cell r="L61">
            <v>0</v>
          </cell>
          <cell r="M61">
            <v>867834.67</v>
          </cell>
          <cell r="N61">
            <v>-1580035</v>
          </cell>
          <cell r="O61">
            <v>0</v>
          </cell>
          <cell r="P61">
            <v>0</v>
          </cell>
          <cell r="Q61">
            <v>-1580035</v>
          </cell>
          <cell r="R61">
            <v>1801446</v>
          </cell>
          <cell r="S61">
            <v>0</v>
          </cell>
          <cell r="T61">
            <v>0</v>
          </cell>
          <cell r="U61">
            <v>1801446</v>
          </cell>
          <cell r="V61">
            <v>4901848</v>
          </cell>
          <cell r="W61">
            <v>0</v>
          </cell>
          <cell r="X61">
            <v>0</v>
          </cell>
          <cell r="Y61">
            <v>4901848</v>
          </cell>
          <cell r="Z61">
            <v>130595333</v>
          </cell>
          <cell r="AA61">
            <v>0</v>
          </cell>
          <cell r="AB61">
            <v>0</v>
          </cell>
          <cell r="AC61">
            <v>130595333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6305619</v>
          </cell>
          <cell r="AP61">
            <v>1010203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154223826</v>
          </cell>
          <cell r="G62">
            <v>0</v>
          </cell>
          <cell r="H62">
            <v>0</v>
          </cell>
          <cell r="I62">
            <v>154223826</v>
          </cell>
          <cell r="J62">
            <v>2410241</v>
          </cell>
          <cell r="K62">
            <v>0</v>
          </cell>
          <cell r="L62">
            <v>0</v>
          </cell>
          <cell r="M62">
            <v>2410241</v>
          </cell>
          <cell r="N62">
            <v>379204</v>
          </cell>
          <cell r="O62">
            <v>0</v>
          </cell>
          <cell r="P62">
            <v>0</v>
          </cell>
          <cell r="Q62">
            <v>379204</v>
          </cell>
          <cell r="R62">
            <v>2013201</v>
          </cell>
          <cell r="S62">
            <v>0</v>
          </cell>
          <cell r="T62">
            <v>0</v>
          </cell>
          <cell r="U62">
            <v>2013201</v>
          </cell>
          <cell r="V62">
            <v>6488794</v>
          </cell>
          <cell r="W62">
            <v>0</v>
          </cell>
          <cell r="X62">
            <v>0</v>
          </cell>
          <cell r="Y62">
            <v>6488794</v>
          </cell>
          <cell r="Z62">
            <v>142932386</v>
          </cell>
          <cell r="AA62">
            <v>0</v>
          </cell>
          <cell r="AB62">
            <v>0</v>
          </cell>
          <cell r="AC62">
            <v>142932386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4544971</v>
          </cell>
          <cell r="AP62">
            <v>4254766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35705267</v>
          </cell>
          <cell r="G63">
            <v>0</v>
          </cell>
          <cell r="H63">
            <v>0</v>
          </cell>
          <cell r="I63">
            <v>35705267</v>
          </cell>
          <cell r="J63">
            <v>328232.23</v>
          </cell>
          <cell r="K63">
            <v>0</v>
          </cell>
          <cell r="L63">
            <v>0</v>
          </cell>
          <cell r="M63">
            <v>328232.23</v>
          </cell>
          <cell r="N63">
            <v>52984</v>
          </cell>
          <cell r="O63">
            <v>0</v>
          </cell>
          <cell r="P63">
            <v>0</v>
          </cell>
          <cell r="Q63">
            <v>52984</v>
          </cell>
          <cell r="R63">
            <v>327252</v>
          </cell>
          <cell r="S63">
            <v>0</v>
          </cell>
          <cell r="T63">
            <v>0</v>
          </cell>
          <cell r="U63">
            <v>327252</v>
          </cell>
          <cell r="V63">
            <v>1387571</v>
          </cell>
          <cell r="W63">
            <v>0</v>
          </cell>
          <cell r="X63">
            <v>0</v>
          </cell>
          <cell r="Y63">
            <v>1387571</v>
          </cell>
          <cell r="Z63">
            <v>33609228</v>
          </cell>
          <cell r="AA63">
            <v>0</v>
          </cell>
          <cell r="AB63">
            <v>0</v>
          </cell>
          <cell r="AC63">
            <v>33609228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1399350</v>
          </cell>
          <cell r="AP63">
            <v>509261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43501703</v>
          </cell>
          <cell r="G64">
            <v>0</v>
          </cell>
          <cell r="H64">
            <v>0</v>
          </cell>
          <cell r="I64">
            <v>43501703</v>
          </cell>
          <cell r="J64">
            <v>72783</v>
          </cell>
          <cell r="K64">
            <v>0</v>
          </cell>
          <cell r="L64">
            <v>0</v>
          </cell>
          <cell r="M64">
            <v>72783</v>
          </cell>
          <cell r="N64">
            <v>105217</v>
          </cell>
          <cell r="O64">
            <v>0</v>
          </cell>
          <cell r="P64">
            <v>0</v>
          </cell>
          <cell r="Q64">
            <v>105217</v>
          </cell>
          <cell r="R64">
            <v>222758</v>
          </cell>
          <cell r="S64">
            <v>0</v>
          </cell>
          <cell r="T64">
            <v>0</v>
          </cell>
          <cell r="U64">
            <v>222758</v>
          </cell>
          <cell r="V64">
            <v>1858516</v>
          </cell>
          <cell r="W64">
            <v>0</v>
          </cell>
          <cell r="X64">
            <v>0</v>
          </cell>
          <cell r="Y64">
            <v>1858516</v>
          </cell>
          <cell r="Z64">
            <v>41242429</v>
          </cell>
          <cell r="AA64">
            <v>0</v>
          </cell>
          <cell r="AB64">
            <v>0</v>
          </cell>
          <cell r="AC64">
            <v>41242429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1543021</v>
          </cell>
          <cell r="AP64">
            <v>599560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20443942.199999999</v>
          </cell>
          <cell r="G65">
            <v>0</v>
          </cell>
          <cell r="H65">
            <v>0</v>
          </cell>
          <cell r="I65">
            <v>20443942.199999999</v>
          </cell>
          <cell r="J65">
            <v>96877</v>
          </cell>
          <cell r="K65">
            <v>0</v>
          </cell>
          <cell r="L65">
            <v>0</v>
          </cell>
          <cell r="M65">
            <v>96877</v>
          </cell>
          <cell r="N65">
            <v>-6887</v>
          </cell>
          <cell r="O65">
            <v>0</v>
          </cell>
          <cell r="P65">
            <v>0</v>
          </cell>
          <cell r="Q65">
            <v>-6887</v>
          </cell>
          <cell r="R65">
            <v>386172</v>
          </cell>
          <cell r="S65">
            <v>0</v>
          </cell>
          <cell r="T65">
            <v>0</v>
          </cell>
          <cell r="U65">
            <v>386172</v>
          </cell>
          <cell r="V65">
            <v>1070721</v>
          </cell>
          <cell r="W65">
            <v>0</v>
          </cell>
          <cell r="X65">
            <v>0</v>
          </cell>
          <cell r="Y65">
            <v>1070721</v>
          </cell>
          <cell r="Z65">
            <v>18897059</v>
          </cell>
          <cell r="AA65">
            <v>0</v>
          </cell>
          <cell r="AB65">
            <v>0</v>
          </cell>
          <cell r="AC65">
            <v>18897059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668186</v>
          </cell>
          <cell r="AP65">
            <v>293370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26456313</v>
          </cell>
          <cell r="G66">
            <v>0</v>
          </cell>
          <cell r="H66">
            <v>0</v>
          </cell>
          <cell r="I66">
            <v>26456313</v>
          </cell>
          <cell r="J66">
            <v>276481</v>
          </cell>
          <cell r="K66">
            <v>0</v>
          </cell>
          <cell r="L66">
            <v>0</v>
          </cell>
          <cell r="M66">
            <v>276481</v>
          </cell>
          <cell r="N66">
            <v>78654</v>
          </cell>
          <cell r="O66">
            <v>0</v>
          </cell>
          <cell r="P66">
            <v>0</v>
          </cell>
          <cell r="Q66">
            <v>78654</v>
          </cell>
          <cell r="R66">
            <v>350000</v>
          </cell>
          <cell r="S66">
            <v>0</v>
          </cell>
          <cell r="T66">
            <v>0</v>
          </cell>
          <cell r="U66">
            <v>350000</v>
          </cell>
          <cell r="V66">
            <v>900000</v>
          </cell>
          <cell r="W66">
            <v>0</v>
          </cell>
          <cell r="X66">
            <v>0</v>
          </cell>
          <cell r="Y66">
            <v>900000</v>
          </cell>
          <cell r="Z66">
            <v>24851178</v>
          </cell>
          <cell r="AA66">
            <v>0</v>
          </cell>
          <cell r="AB66">
            <v>0</v>
          </cell>
          <cell r="AC66">
            <v>24851178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1108500</v>
          </cell>
          <cell r="AP66">
            <v>328785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17122567</v>
          </cell>
          <cell r="G67">
            <v>0</v>
          </cell>
          <cell r="H67">
            <v>0</v>
          </cell>
          <cell r="I67">
            <v>17122567</v>
          </cell>
          <cell r="J67">
            <v>19570</v>
          </cell>
          <cell r="K67">
            <v>0</v>
          </cell>
          <cell r="L67">
            <v>0</v>
          </cell>
          <cell r="M67">
            <v>19570</v>
          </cell>
          <cell r="N67">
            <v>109406</v>
          </cell>
          <cell r="O67">
            <v>0</v>
          </cell>
          <cell r="P67">
            <v>0</v>
          </cell>
          <cell r="Q67">
            <v>109406</v>
          </cell>
          <cell r="R67">
            <v>270832</v>
          </cell>
          <cell r="S67">
            <v>0</v>
          </cell>
          <cell r="T67">
            <v>0</v>
          </cell>
          <cell r="U67">
            <v>270832</v>
          </cell>
          <cell r="V67">
            <v>636220</v>
          </cell>
          <cell r="W67">
            <v>0</v>
          </cell>
          <cell r="X67">
            <v>0</v>
          </cell>
          <cell r="Y67">
            <v>636220</v>
          </cell>
          <cell r="Z67">
            <v>16086539</v>
          </cell>
          <cell r="AA67">
            <v>0</v>
          </cell>
          <cell r="AB67">
            <v>0</v>
          </cell>
          <cell r="AC67">
            <v>16086539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700750</v>
          </cell>
          <cell r="AP67">
            <v>-78294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791164983</v>
          </cell>
          <cell r="G68">
            <v>0</v>
          </cell>
          <cell r="H68">
            <v>0</v>
          </cell>
          <cell r="I68">
            <v>791164983</v>
          </cell>
          <cell r="J68">
            <v>962125</v>
          </cell>
          <cell r="K68">
            <v>0</v>
          </cell>
          <cell r="L68">
            <v>0</v>
          </cell>
          <cell r="M68">
            <v>962125</v>
          </cell>
          <cell r="N68">
            <v>803552</v>
          </cell>
          <cell r="O68">
            <v>0</v>
          </cell>
          <cell r="P68">
            <v>0</v>
          </cell>
          <cell r="Q68">
            <v>803552</v>
          </cell>
          <cell r="R68">
            <v>32963077</v>
          </cell>
          <cell r="S68">
            <v>0</v>
          </cell>
          <cell r="T68">
            <v>0</v>
          </cell>
          <cell r="U68">
            <v>32963077</v>
          </cell>
          <cell r="V68">
            <v>80741101</v>
          </cell>
          <cell r="W68">
            <v>0</v>
          </cell>
          <cell r="X68">
            <v>0</v>
          </cell>
          <cell r="Y68">
            <v>80741101</v>
          </cell>
          <cell r="Z68">
            <v>675695128</v>
          </cell>
          <cell r="AA68">
            <v>0</v>
          </cell>
          <cell r="AB68">
            <v>0</v>
          </cell>
          <cell r="AC68">
            <v>675695128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17873083</v>
          </cell>
          <cell r="AP68">
            <v>34507844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61010017</v>
          </cell>
          <cell r="G69">
            <v>0</v>
          </cell>
          <cell r="H69">
            <v>0</v>
          </cell>
          <cell r="I69">
            <v>61010017</v>
          </cell>
          <cell r="J69">
            <v>296901</v>
          </cell>
          <cell r="K69">
            <v>0</v>
          </cell>
          <cell r="L69">
            <v>0</v>
          </cell>
          <cell r="M69">
            <v>296901</v>
          </cell>
          <cell r="N69">
            <v>277983</v>
          </cell>
          <cell r="O69">
            <v>0</v>
          </cell>
          <cell r="P69">
            <v>0</v>
          </cell>
          <cell r="Q69">
            <v>277983</v>
          </cell>
          <cell r="R69">
            <v>435411</v>
          </cell>
          <cell r="S69">
            <v>0</v>
          </cell>
          <cell r="T69">
            <v>0</v>
          </cell>
          <cell r="U69">
            <v>435411</v>
          </cell>
          <cell r="V69">
            <v>1236430</v>
          </cell>
          <cell r="W69">
            <v>0</v>
          </cell>
          <cell r="X69">
            <v>0</v>
          </cell>
          <cell r="Y69">
            <v>1236430</v>
          </cell>
          <cell r="Z69">
            <v>58763292</v>
          </cell>
          <cell r="AA69">
            <v>0</v>
          </cell>
          <cell r="AB69">
            <v>0</v>
          </cell>
          <cell r="AC69">
            <v>58763292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2326661</v>
          </cell>
          <cell r="AP69">
            <v>728507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42431950</v>
          </cell>
          <cell r="G70">
            <v>0</v>
          </cell>
          <cell r="H70">
            <v>0</v>
          </cell>
          <cell r="I70">
            <v>42431950</v>
          </cell>
          <cell r="J70">
            <v>31578</v>
          </cell>
          <cell r="K70">
            <v>0</v>
          </cell>
          <cell r="L70">
            <v>0</v>
          </cell>
          <cell r="M70">
            <v>31578</v>
          </cell>
          <cell r="N70">
            <v>72717</v>
          </cell>
          <cell r="O70">
            <v>0</v>
          </cell>
          <cell r="P70">
            <v>0</v>
          </cell>
          <cell r="Q70">
            <v>72717</v>
          </cell>
          <cell r="R70">
            <v>6234313</v>
          </cell>
          <cell r="S70">
            <v>0</v>
          </cell>
          <cell r="T70">
            <v>0</v>
          </cell>
          <cell r="U70">
            <v>6234313</v>
          </cell>
          <cell r="V70">
            <v>15773367</v>
          </cell>
          <cell r="W70">
            <v>0</v>
          </cell>
          <cell r="X70">
            <v>0</v>
          </cell>
          <cell r="Y70">
            <v>15773367</v>
          </cell>
          <cell r="Z70">
            <v>20319975</v>
          </cell>
          <cell r="AA70">
            <v>0</v>
          </cell>
          <cell r="AB70">
            <v>0</v>
          </cell>
          <cell r="AC70">
            <v>20319975</v>
          </cell>
          <cell r="AD70">
            <v>358</v>
          </cell>
          <cell r="AE70">
            <v>0</v>
          </cell>
          <cell r="AF70">
            <v>0</v>
          </cell>
          <cell r="AG70">
            <v>358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358</v>
          </cell>
          <cell r="AO70">
            <v>798697</v>
          </cell>
          <cell r="AP70">
            <v>184215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32228879</v>
          </cell>
          <cell r="G71">
            <v>0</v>
          </cell>
          <cell r="H71">
            <v>0</v>
          </cell>
          <cell r="I71">
            <v>32228879</v>
          </cell>
          <cell r="J71">
            <v>50745</v>
          </cell>
          <cell r="K71">
            <v>0</v>
          </cell>
          <cell r="L71">
            <v>0</v>
          </cell>
          <cell r="M71">
            <v>50745</v>
          </cell>
          <cell r="N71">
            <v>157641</v>
          </cell>
          <cell r="O71">
            <v>0</v>
          </cell>
          <cell r="P71">
            <v>0</v>
          </cell>
          <cell r="Q71">
            <v>157641</v>
          </cell>
          <cell r="R71">
            <v>1135</v>
          </cell>
          <cell r="S71">
            <v>0</v>
          </cell>
          <cell r="T71">
            <v>0</v>
          </cell>
          <cell r="U71">
            <v>1135</v>
          </cell>
          <cell r="V71">
            <v>1156764</v>
          </cell>
          <cell r="W71">
            <v>0</v>
          </cell>
          <cell r="X71">
            <v>0</v>
          </cell>
          <cell r="Y71">
            <v>1156764</v>
          </cell>
          <cell r="Z71">
            <v>30862594</v>
          </cell>
          <cell r="AA71">
            <v>0</v>
          </cell>
          <cell r="AB71">
            <v>0</v>
          </cell>
          <cell r="AC71">
            <v>30862594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2529294</v>
          </cell>
          <cell r="AP71">
            <v>852669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151151230</v>
          </cell>
          <cell r="G72">
            <v>0</v>
          </cell>
          <cell r="H72">
            <v>347172</v>
          </cell>
          <cell r="I72">
            <v>151498402</v>
          </cell>
          <cell r="J72">
            <v>830126</v>
          </cell>
          <cell r="K72">
            <v>0</v>
          </cell>
          <cell r="L72">
            <v>13397</v>
          </cell>
          <cell r="M72">
            <v>843523</v>
          </cell>
          <cell r="N72">
            <v>843340</v>
          </cell>
          <cell r="O72">
            <v>0</v>
          </cell>
          <cell r="P72">
            <v>0</v>
          </cell>
          <cell r="Q72">
            <v>843340</v>
          </cell>
          <cell r="R72">
            <v>2084000</v>
          </cell>
          <cell r="S72">
            <v>0</v>
          </cell>
          <cell r="T72">
            <v>0</v>
          </cell>
          <cell r="U72">
            <v>2084000</v>
          </cell>
          <cell r="V72">
            <v>6254000</v>
          </cell>
          <cell r="W72">
            <v>0</v>
          </cell>
          <cell r="X72">
            <v>0</v>
          </cell>
          <cell r="Y72">
            <v>6254000</v>
          </cell>
          <cell r="Z72">
            <v>141139764</v>
          </cell>
          <cell r="AA72">
            <v>0</v>
          </cell>
          <cell r="AB72">
            <v>333775</v>
          </cell>
          <cell r="AC72">
            <v>141473539</v>
          </cell>
          <cell r="AD72">
            <v>136761</v>
          </cell>
          <cell r="AE72">
            <v>0</v>
          </cell>
          <cell r="AF72">
            <v>0</v>
          </cell>
          <cell r="AG72">
            <v>136761</v>
          </cell>
          <cell r="AH72">
            <v>0</v>
          </cell>
          <cell r="AI72">
            <v>6</v>
          </cell>
          <cell r="AJ72">
            <v>0</v>
          </cell>
          <cell r="AK72">
            <v>413286</v>
          </cell>
          <cell r="AL72">
            <v>0</v>
          </cell>
          <cell r="AM72">
            <v>0</v>
          </cell>
          <cell r="AN72">
            <v>136761</v>
          </cell>
          <cell r="AO72">
            <v>8877456</v>
          </cell>
          <cell r="AP72">
            <v>5203588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28424970</v>
          </cell>
          <cell r="G73">
            <v>0</v>
          </cell>
          <cell r="H73">
            <v>0</v>
          </cell>
          <cell r="I73">
            <v>28424970</v>
          </cell>
          <cell r="J73">
            <v>123101</v>
          </cell>
          <cell r="K73">
            <v>0</v>
          </cell>
          <cell r="L73">
            <v>0</v>
          </cell>
          <cell r="M73">
            <v>123101</v>
          </cell>
          <cell r="N73">
            <v>47943</v>
          </cell>
          <cell r="O73">
            <v>0</v>
          </cell>
          <cell r="P73">
            <v>0</v>
          </cell>
          <cell r="Q73">
            <v>47943</v>
          </cell>
          <cell r="R73">
            <v>287237</v>
          </cell>
          <cell r="S73">
            <v>0</v>
          </cell>
          <cell r="T73">
            <v>0</v>
          </cell>
          <cell r="U73">
            <v>287237</v>
          </cell>
          <cell r="V73">
            <v>880455</v>
          </cell>
          <cell r="W73">
            <v>0</v>
          </cell>
          <cell r="X73">
            <v>0</v>
          </cell>
          <cell r="Y73">
            <v>880455</v>
          </cell>
          <cell r="Z73">
            <v>27086234</v>
          </cell>
          <cell r="AA73">
            <v>0</v>
          </cell>
          <cell r="AB73">
            <v>0</v>
          </cell>
          <cell r="AC73">
            <v>27086234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724495</v>
          </cell>
          <cell r="AP73">
            <v>360980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116903914</v>
          </cell>
          <cell r="G74">
            <v>0</v>
          </cell>
          <cell r="H74">
            <v>0</v>
          </cell>
          <cell r="I74">
            <v>116903914</v>
          </cell>
          <cell r="J74">
            <v>1142556</v>
          </cell>
          <cell r="K74">
            <v>0</v>
          </cell>
          <cell r="L74">
            <v>0</v>
          </cell>
          <cell r="M74">
            <v>1142556</v>
          </cell>
          <cell r="N74">
            <v>308845</v>
          </cell>
          <cell r="O74">
            <v>0</v>
          </cell>
          <cell r="P74">
            <v>0</v>
          </cell>
          <cell r="Q74">
            <v>308845</v>
          </cell>
          <cell r="R74">
            <v>5660061</v>
          </cell>
          <cell r="S74">
            <v>0</v>
          </cell>
          <cell r="T74">
            <v>0</v>
          </cell>
          <cell r="U74">
            <v>5660061</v>
          </cell>
          <cell r="V74">
            <v>4528240</v>
          </cell>
          <cell r="W74">
            <v>0</v>
          </cell>
          <cell r="X74">
            <v>0</v>
          </cell>
          <cell r="Y74">
            <v>4528240</v>
          </cell>
          <cell r="Z74">
            <v>105264212</v>
          </cell>
          <cell r="AA74">
            <v>0</v>
          </cell>
          <cell r="AB74">
            <v>0</v>
          </cell>
          <cell r="AC74">
            <v>105264212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6469524</v>
          </cell>
          <cell r="AP74">
            <v>2416831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17824415</v>
          </cell>
          <cell r="G75">
            <v>0</v>
          </cell>
          <cell r="H75">
            <v>0</v>
          </cell>
          <cell r="I75">
            <v>17824415</v>
          </cell>
          <cell r="J75">
            <v>101056.77</v>
          </cell>
          <cell r="K75">
            <v>0</v>
          </cell>
          <cell r="L75">
            <v>0</v>
          </cell>
          <cell r="M75">
            <v>101056.77</v>
          </cell>
          <cell r="N75">
            <v>64550</v>
          </cell>
          <cell r="O75">
            <v>0</v>
          </cell>
          <cell r="P75">
            <v>0</v>
          </cell>
          <cell r="Q75">
            <v>64550</v>
          </cell>
          <cell r="R75">
            <v>318000</v>
          </cell>
          <cell r="S75">
            <v>0</v>
          </cell>
          <cell r="T75">
            <v>0</v>
          </cell>
          <cell r="U75">
            <v>318000</v>
          </cell>
          <cell r="V75">
            <v>881000</v>
          </cell>
          <cell r="W75">
            <v>0</v>
          </cell>
          <cell r="X75">
            <v>0</v>
          </cell>
          <cell r="Y75">
            <v>881000</v>
          </cell>
          <cell r="Z75">
            <v>16459808</v>
          </cell>
          <cell r="AA75">
            <v>0</v>
          </cell>
          <cell r="AB75">
            <v>0</v>
          </cell>
          <cell r="AC75">
            <v>16459808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622216</v>
          </cell>
          <cell r="AP75">
            <v>100400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112686297</v>
          </cell>
          <cell r="G76">
            <v>0</v>
          </cell>
          <cell r="H76">
            <v>0</v>
          </cell>
          <cell r="I76">
            <v>112686297</v>
          </cell>
          <cell r="J76">
            <v>592812</v>
          </cell>
          <cell r="K76">
            <v>0</v>
          </cell>
          <cell r="L76">
            <v>0</v>
          </cell>
          <cell r="M76">
            <v>592812</v>
          </cell>
          <cell r="N76">
            <v>-446001</v>
          </cell>
          <cell r="O76">
            <v>0</v>
          </cell>
          <cell r="P76">
            <v>0</v>
          </cell>
          <cell r="Q76">
            <v>-446001</v>
          </cell>
          <cell r="R76">
            <v>1697291</v>
          </cell>
          <cell r="S76">
            <v>0</v>
          </cell>
          <cell r="T76">
            <v>0</v>
          </cell>
          <cell r="U76">
            <v>1697291</v>
          </cell>
          <cell r="V76">
            <v>3870086</v>
          </cell>
          <cell r="W76">
            <v>0</v>
          </cell>
          <cell r="X76">
            <v>0</v>
          </cell>
          <cell r="Y76">
            <v>3870086</v>
          </cell>
          <cell r="Z76">
            <v>106972109</v>
          </cell>
          <cell r="AA76">
            <v>0</v>
          </cell>
          <cell r="AB76">
            <v>0</v>
          </cell>
          <cell r="AC76">
            <v>106972109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1462710</v>
          </cell>
          <cell r="AP76">
            <v>3425944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111441604</v>
          </cell>
          <cell r="G77">
            <v>0</v>
          </cell>
          <cell r="H77">
            <v>0</v>
          </cell>
          <cell r="I77">
            <v>111441604</v>
          </cell>
          <cell r="J77">
            <v>202062</v>
          </cell>
          <cell r="K77">
            <v>0</v>
          </cell>
          <cell r="L77">
            <v>0</v>
          </cell>
          <cell r="M77">
            <v>202062</v>
          </cell>
          <cell r="N77">
            <v>1621219</v>
          </cell>
          <cell r="O77">
            <v>0</v>
          </cell>
          <cell r="P77">
            <v>0</v>
          </cell>
          <cell r="Q77">
            <v>1621219</v>
          </cell>
          <cell r="R77">
            <v>2283204</v>
          </cell>
          <cell r="S77">
            <v>0</v>
          </cell>
          <cell r="T77">
            <v>0</v>
          </cell>
          <cell r="U77">
            <v>2283204</v>
          </cell>
          <cell r="V77">
            <v>3512796</v>
          </cell>
          <cell r="W77">
            <v>0</v>
          </cell>
          <cell r="X77">
            <v>0</v>
          </cell>
          <cell r="Y77">
            <v>3512796</v>
          </cell>
          <cell r="Z77">
            <v>103822323</v>
          </cell>
          <cell r="AA77">
            <v>0</v>
          </cell>
          <cell r="AB77">
            <v>0</v>
          </cell>
          <cell r="AC77">
            <v>103822323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13885873</v>
          </cell>
          <cell r="AP77">
            <v>5349357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62418894.700000003</v>
          </cell>
          <cell r="G78">
            <v>0</v>
          </cell>
          <cell r="H78">
            <v>0</v>
          </cell>
          <cell r="I78">
            <v>62418894.700000003</v>
          </cell>
          <cell r="J78">
            <v>252032</v>
          </cell>
          <cell r="K78">
            <v>0</v>
          </cell>
          <cell r="L78">
            <v>0</v>
          </cell>
          <cell r="M78">
            <v>252032</v>
          </cell>
          <cell r="N78">
            <v>158344</v>
          </cell>
          <cell r="O78">
            <v>0</v>
          </cell>
          <cell r="P78">
            <v>0</v>
          </cell>
          <cell r="Q78">
            <v>158344</v>
          </cell>
          <cell r="R78">
            <v>1496244.79</v>
          </cell>
          <cell r="S78">
            <v>0</v>
          </cell>
          <cell r="T78">
            <v>0</v>
          </cell>
          <cell r="U78">
            <v>1496244.79</v>
          </cell>
          <cell r="V78">
            <v>3640550.87</v>
          </cell>
          <cell r="W78">
            <v>0</v>
          </cell>
          <cell r="X78">
            <v>0</v>
          </cell>
          <cell r="Y78">
            <v>3640550.87</v>
          </cell>
          <cell r="Z78">
            <v>56871723</v>
          </cell>
          <cell r="AA78">
            <v>0</v>
          </cell>
          <cell r="AB78">
            <v>0</v>
          </cell>
          <cell r="AC78">
            <v>56871723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2784483.22</v>
          </cell>
          <cell r="AP78">
            <v>1371449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33584526</v>
          </cell>
          <cell r="G79">
            <v>0</v>
          </cell>
          <cell r="H79">
            <v>0</v>
          </cell>
          <cell r="I79">
            <v>33584526</v>
          </cell>
          <cell r="J79">
            <v>759490</v>
          </cell>
          <cell r="K79">
            <v>0</v>
          </cell>
          <cell r="L79">
            <v>0</v>
          </cell>
          <cell r="M79">
            <v>759490</v>
          </cell>
          <cell r="N79">
            <v>-103490</v>
          </cell>
          <cell r="O79">
            <v>0</v>
          </cell>
          <cell r="P79">
            <v>0</v>
          </cell>
          <cell r="Q79">
            <v>-103490</v>
          </cell>
          <cell r="R79">
            <v>298090</v>
          </cell>
          <cell r="S79">
            <v>0</v>
          </cell>
          <cell r="T79">
            <v>0</v>
          </cell>
          <cell r="U79">
            <v>298090</v>
          </cell>
          <cell r="V79">
            <v>1011919</v>
          </cell>
          <cell r="W79">
            <v>0</v>
          </cell>
          <cell r="X79">
            <v>0</v>
          </cell>
          <cell r="Y79">
            <v>1011919</v>
          </cell>
          <cell r="Z79">
            <v>31618517</v>
          </cell>
          <cell r="AA79">
            <v>0</v>
          </cell>
          <cell r="AB79">
            <v>0</v>
          </cell>
          <cell r="AC79">
            <v>31618517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2024311</v>
          </cell>
          <cell r="AP79">
            <v>-743241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81506624</v>
          </cell>
          <cell r="G80">
            <v>0</v>
          </cell>
          <cell r="H80">
            <v>0</v>
          </cell>
          <cell r="I80">
            <v>81506624</v>
          </cell>
          <cell r="J80">
            <v>246843</v>
          </cell>
          <cell r="K80">
            <v>0</v>
          </cell>
          <cell r="L80">
            <v>0</v>
          </cell>
          <cell r="M80">
            <v>246843</v>
          </cell>
          <cell r="N80">
            <v>-12838</v>
          </cell>
          <cell r="O80">
            <v>0</v>
          </cell>
          <cell r="P80">
            <v>0</v>
          </cell>
          <cell r="Q80">
            <v>-12838</v>
          </cell>
          <cell r="R80">
            <v>3236725</v>
          </cell>
          <cell r="S80">
            <v>0</v>
          </cell>
          <cell r="T80">
            <v>0</v>
          </cell>
          <cell r="U80">
            <v>3236725</v>
          </cell>
          <cell r="V80">
            <v>4785107</v>
          </cell>
          <cell r="W80">
            <v>0</v>
          </cell>
          <cell r="X80">
            <v>0</v>
          </cell>
          <cell r="Y80">
            <v>4785107</v>
          </cell>
          <cell r="Z80">
            <v>73250787</v>
          </cell>
          <cell r="AA80">
            <v>0</v>
          </cell>
          <cell r="AB80">
            <v>0</v>
          </cell>
          <cell r="AC80">
            <v>73250787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1984705</v>
          </cell>
          <cell r="AP80">
            <v>3745726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38677554</v>
          </cell>
          <cell r="G81">
            <v>0</v>
          </cell>
          <cell r="H81">
            <v>0</v>
          </cell>
          <cell r="I81">
            <v>38677554</v>
          </cell>
          <cell r="J81">
            <v>64232</v>
          </cell>
          <cell r="K81">
            <v>0</v>
          </cell>
          <cell r="L81">
            <v>0</v>
          </cell>
          <cell r="M81">
            <v>64232</v>
          </cell>
          <cell r="N81">
            <v>42439</v>
          </cell>
          <cell r="O81">
            <v>0</v>
          </cell>
          <cell r="P81">
            <v>0</v>
          </cell>
          <cell r="Q81">
            <v>42439</v>
          </cell>
          <cell r="R81">
            <v>117270</v>
          </cell>
          <cell r="S81">
            <v>0</v>
          </cell>
          <cell r="T81">
            <v>0</v>
          </cell>
          <cell r="U81">
            <v>117270</v>
          </cell>
          <cell r="V81">
            <v>1128512</v>
          </cell>
          <cell r="W81">
            <v>0</v>
          </cell>
          <cell r="X81">
            <v>0</v>
          </cell>
          <cell r="Y81">
            <v>1128512</v>
          </cell>
          <cell r="Z81">
            <v>37325101</v>
          </cell>
          <cell r="AA81">
            <v>0</v>
          </cell>
          <cell r="AB81">
            <v>0</v>
          </cell>
          <cell r="AC81">
            <v>37325101</v>
          </cell>
          <cell r="AD81">
            <v>155972</v>
          </cell>
          <cell r="AE81">
            <v>0</v>
          </cell>
          <cell r="AF81">
            <v>0</v>
          </cell>
          <cell r="AG81">
            <v>155972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155972</v>
          </cell>
          <cell r="AO81">
            <v>613871</v>
          </cell>
          <cell r="AP81">
            <v>522421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86243839.799999997</v>
          </cell>
          <cell r="G82">
            <v>0</v>
          </cell>
          <cell r="H82">
            <v>0</v>
          </cell>
          <cell r="I82">
            <v>86243839.799999997</v>
          </cell>
          <cell r="J82">
            <v>1857106</v>
          </cell>
          <cell r="K82">
            <v>0</v>
          </cell>
          <cell r="L82">
            <v>0</v>
          </cell>
          <cell r="M82">
            <v>1857106</v>
          </cell>
          <cell r="N82">
            <v>995008</v>
          </cell>
          <cell r="O82">
            <v>0</v>
          </cell>
          <cell r="P82">
            <v>0</v>
          </cell>
          <cell r="Q82">
            <v>995008</v>
          </cell>
          <cell r="R82">
            <v>4087403</v>
          </cell>
          <cell r="S82">
            <v>0</v>
          </cell>
          <cell r="T82">
            <v>0</v>
          </cell>
          <cell r="U82">
            <v>4087403</v>
          </cell>
          <cell r="V82">
            <v>5164658</v>
          </cell>
          <cell r="W82">
            <v>0</v>
          </cell>
          <cell r="X82">
            <v>0</v>
          </cell>
          <cell r="Y82">
            <v>5164658</v>
          </cell>
          <cell r="Z82">
            <v>74139665</v>
          </cell>
          <cell r="AA82">
            <v>0</v>
          </cell>
          <cell r="AB82">
            <v>0</v>
          </cell>
          <cell r="AC82">
            <v>74139665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6649182.4800000004</v>
          </cell>
          <cell r="AP82">
            <v>755116.35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17206055</v>
          </cell>
          <cell r="G83">
            <v>0</v>
          </cell>
          <cell r="H83">
            <v>0</v>
          </cell>
          <cell r="I83">
            <v>17206055</v>
          </cell>
          <cell r="J83">
            <v>131562</v>
          </cell>
          <cell r="K83">
            <v>0</v>
          </cell>
          <cell r="L83">
            <v>0</v>
          </cell>
          <cell r="M83">
            <v>131562</v>
          </cell>
          <cell r="N83">
            <v>81000</v>
          </cell>
          <cell r="O83">
            <v>0</v>
          </cell>
          <cell r="P83">
            <v>0</v>
          </cell>
          <cell r="Q83">
            <v>81000</v>
          </cell>
          <cell r="R83">
            <v>152778</v>
          </cell>
          <cell r="S83">
            <v>0</v>
          </cell>
          <cell r="T83">
            <v>0</v>
          </cell>
          <cell r="U83">
            <v>152778</v>
          </cell>
          <cell r="V83">
            <v>389555</v>
          </cell>
          <cell r="W83">
            <v>0</v>
          </cell>
          <cell r="X83">
            <v>0</v>
          </cell>
          <cell r="Y83">
            <v>389555</v>
          </cell>
          <cell r="Z83">
            <v>16451160</v>
          </cell>
          <cell r="AA83">
            <v>0</v>
          </cell>
          <cell r="AB83">
            <v>0</v>
          </cell>
          <cell r="AC83">
            <v>16451160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969308</v>
          </cell>
          <cell r="AP83">
            <v>156370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91500476</v>
          </cell>
          <cell r="G84">
            <v>0</v>
          </cell>
          <cell r="H84">
            <v>0</v>
          </cell>
          <cell r="I84">
            <v>91500476</v>
          </cell>
          <cell r="J84">
            <v>1681371</v>
          </cell>
          <cell r="K84">
            <v>0</v>
          </cell>
          <cell r="L84">
            <v>0</v>
          </cell>
          <cell r="M84">
            <v>1681371</v>
          </cell>
          <cell r="N84">
            <v>188473</v>
          </cell>
          <cell r="O84">
            <v>0</v>
          </cell>
          <cell r="P84">
            <v>0</v>
          </cell>
          <cell r="Q84">
            <v>188473</v>
          </cell>
          <cell r="R84">
            <v>1540959</v>
          </cell>
          <cell r="S84">
            <v>0</v>
          </cell>
          <cell r="T84">
            <v>0</v>
          </cell>
          <cell r="U84">
            <v>1540959</v>
          </cell>
          <cell r="V84">
            <v>4700271</v>
          </cell>
          <cell r="W84">
            <v>0</v>
          </cell>
          <cell r="X84">
            <v>0</v>
          </cell>
          <cell r="Y84">
            <v>4700271</v>
          </cell>
          <cell r="Z84">
            <v>83389402</v>
          </cell>
          <cell r="AA84">
            <v>0</v>
          </cell>
          <cell r="AB84">
            <v>0</v>
          </cell>
          <cell r="AC84">
            <v>83389402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8822744</v>
          </cell>
          <cell r="AP84">
            <v>1416793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33705324.799999997</v>
          </cell>
          <cell r="G85">
            <v>0</v>
          </cell>
          <cell r="H85">
            <v>0</v>
          </cell>
          <cell r="I85">
            <v>33705324.799999997</v>
          </cell>
          <cell r="J85">
            <v>359730.09</v>
          </cell>
          <cell r="K85">
            <v>0</v>
          </cell>
          <cell r="L85">
            <v>0</v>
          </cell>
          <cell r="M85">
            <v>359730.09</v>
          </cell>
          <cell r="N85">
            <v>-5703</v>
          </cell>
          <cell r="O85">
            <v>0</v>
          </cell>
          <cell r="P85">
            <v>0</v>
          </cell>
          <cell r="Q85">
            <v>-5703</v>
          </cell>
          <cell r="R85">
            <v>733000</v>
          </cell>
          <cell r="S85">
            <v>0</v>
          </cell>
          <cell r="T85">
            <v>0</v>
          </cell>
          <cell r="U85">
            <v>733000</v>
          </cell>
          <cell r="V85">
            <v>2205000</v>
          </cell>
          <cell r="W85">
            <v>0</v>
          </cell>
          <cell r="X85">
            <v>0</v>
          </cell>
          <cell r="Y85">
            <v>2205000</v>
          </cell>
          <cell r="Z85">
            <v>30413298</v>
          </cell>
          <cell r="AA85">
            <v>0</v>
          </cell>
          <cell r="AB85">
            <v>0</v>
          </cell>
          <cell r="AC85">
            <v>30413298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2592966</v>
          </cell>
          <cell r="AP85">
            <v>816120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93378914</v>
          </cell>
          <cell r="G86">
            <v>0</v>
          </cell>
          <cell r="H86">
            <v>0</v>
          </cell>
          <cell r="I86">
            <v>93378914</v>
          </cell>
          <cell r="J86">
            <v>1488537</v>
          </cell>
          <cell r="K86">
            <v>0</v>
          </cell>
          <cell r="L86">
            <v>0</v>
          </cell>
          <cell r="M86">
            <v>1488537</v>
          </cell>
          <cell r="N86">
            <v>605000</v>
          </cell>
          <cell r="O86">
            <v>0</v>
          </cell>
          <cell r="P86">
            <v>0</v>
          </cell>
          <cell r="Q86">
            <v>605000</v>
          </cell>
          <cell r="R86">
            <v>1700000</v>
          </cell>
          <cell r="S86">
            <v>0</v>
          </cell>
          <cell r="T86">
            <v>0</v>
          </cell>
          <cell r="U86">
            <v>1700000</v>
          </cell>
          <cell r="V86">
            <v>5000000</v>
          </cell>
          <cell r="W86">
            <v>0</v>
          </cell>
          <cell r="X86">
            <v>0</v>
          </cell>
          <cell r="Y86">
            <v>5000000</v>
          </cell>
          <cell r="Z86">
            <v>84585377</v>
          </cell>
          <cell r="AA86">
            <v>0</v>
          </cell>
          <cell r="AB86">
            <v>0</v>
          </cell>
          <cell r="AC86">
            <v>84585377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5671333</v>
          </cell>
          <cell r="AP86">
            <v>1561147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113165789</v>
          </cell>
          <cell r="G87">
            <v>0</v>
          </cell>
          <cell r="H87">
            <v>0</v>
          </cell>
          <cell r="I87">
            <v>113165789</v>
          </cell>
          <cell r="J87">
            <v>1419971</v>
          </cell>
          <cell r="K87">
            <v>0</v>
          </cell>
          <cell r="L87">
            <v>0</v>
          </cell>
          <cell r="M87">
            <v>1419971</v>
          </cell>
          <cell r="N87">
            <v>348747</v>
          </cell>
          <cell r="O87">
            <v>0</v>
          </cell>
          <cell r="P87">
            <v>0</v>
          </cell>
          <cell r="Q87">
            <v>348747</v>
          </cell>
          <cell r="R87">
            <v>1624243</v>
          </cell>
          <cell r="S87">
            <v>0</v>
          </cell>
          <cell r="T87">
            <v>0</v>
          </cell>
          <cell r="U87">
            <v>1624243</v>
          </cell>
          <cell r="V87">
            <v>3567418</v>
          </cell>
          <cell r="W87">
            <v>0</v>
          </cell>
          <cell r="X87">
            <v>0</v>
          </cell>
          <cell r="Y87">
            <v>3567418</v>
          </cell>
          <cell r="Z87">
            <v>106205410</v>
          </cell>
          <cell r="AA87">
            <v>0</v>
          </cell>
          <cell r="AB87">
            <v>0</v>
          </cell>
          <cell r="AC87">
            <v>106205410</v>
          </cell>
          <cell r="AD87">
            <v>7579</v>
          </cell>
          <cell r="AE87">
            <v>0</v>
          </cell>
          <cell r="AF87">
            <v>0</v>
          </cell>
          <cell r="AG87">
            <v>7579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7579</v>
          </cell>
          <cell r="AO87">
            <v>7992661</v>
          </cell>
          <cell r="AP87">
            <v>1011345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145587514</v>
          </cell>
          <cell r="G88">
            <v>0</v>
          </cell>
          <cell r="H88">
            <v>0</v>
          </cell>
          <cell r="I88">
            <v>145587514</v>
          </cell>
          <cell r="J88">
            <v>396377</v>
          </cell>
          <cell r="K88">
            <v>0</v>
          </cell>
          <cell r="L88">
            <v>0</v>
          </cell>
          <cell r="M88">
            <v>396377</v>
          </cell>
          <cell r="N88">
            <v>4322204</v>
          </cell>
          <cell r="O88">
            <v>0</v>
          </cell>
          <cell r="P88">
            <v>0</v>
          </cell>
          <cell r="Q88">
            <v>4322204</v>
          </cell>
          <cell r="R88">
            <v>2836570</v>
          </cell>
          <cell r="S88">
            <v>0</v>
          </cell>
          <cell r="T88">
            <v>0</v>
          </cell>
          <cell r="U88">
            <v>2836570</v>
          </cell>
          <cell r="V88">
            <v>17733028</v>
          </cell>
          <cell r="W88">
            <v>0</v>
          </cell>
          <cell r="X88">
            <v>0</v>
          </cell>
          <cell r="Y88">
            <v>17733028</v>
          </cell>
          <cell r="Z88">
            <v>120299335</v>
          </cell>
          <cell r="AA88">
            <v>0</v>
          </cell>
          <cell r="AB88">
            <v>0</v>
          </cell>
          <cell r="AC88">
            <v>120299335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23819916</v>
          </cell>
          <cell r="AP88">
            <v>7550425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17263258.199999999</v>
          </cell>
          <cell r="G89">
            <v>0</v>
          </cell>
          <cell r="H89">
            <v>0</v>
          </cell>
          <cell r="I89">
            <v>17263258.199999999</v>
          </cell>
          <cell r="J89">
            <v>34886.43</v>
          </cell>
          <cell r="K89">
            <v>0</v>
          </cell>
          <cell r="L89">
            <v>0</v>
          </cell>
          <cell r="M89">
            <v>34886.43</v>
          </cell>
          <cell r="N89">
            <v>1366.57</v>
          </cell>
          <cell r="O89">
            <v>0</v>
          </cell>
          <cell r="P89">
            <v>0</v>
          </cell>
          <cell r="Q89">
            <v>1366.57</v>
          </cell>
          <cell r="R89">
            <v>248371</v>
          </cell>
          <cell r="S89">
            <v>0</v>
          </cell>
          <cell r="T89">
            <v>0</v>
          </cell>
          <cell r="U89">
            <v>248371</v>
          </cell>
          <cell r="V89">
            <v>702468</v>
          </cell>
          <cell r="W89">
            <v>0</v>
          </cell>
          <cell r="X89">
            <v>0</v>
          </cell>
          <cell r="Y89">
            <v>702468</v>
          </cell>
          <cell r="Z89">
            <v>16276166</v>
          </cell>
          <cell r="AA89">
            <v>0</v>
          </cell>
          <cell r="AB89">
            <v>0</v>
          </cell>
          <cell r="AC89">
            <v>16276166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289687.92</v>
          </cell>
          <cell r="AP89">
            <v>90529.85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31532063.800000001</v>
          </cell>
          <cell r="G90">
            <v>0</v>
          </cell>
          <cell r="H90">
            <v>0</v>
          </cell>
          <cell r="I90">
            <v>31532063.800000001</v>
          </cell>
          <cell r="J90">
            <v>114622</v>
          </cell>
          <cell r="K90">
            <v>0</v>
          </cell>
          <cell r="L90">
            <v>0</v>
          </cell>
          <cell r="M90">
            <v>114622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392836</v>
          </cell>
          <cell r="S90">
            <v>0</v>
          </cell>
          <cell r="T90">
            <v>0</v>
          </cell>
          <cell r="U90">
            <v>392836</v>
          </cell>
          <cell r="V90">
            <v>1178508</v>
          </cell>
          <cell r="W90">
            <v>0</v>
          </cell>
          <cell r="X90">
            <v>0</v>
          </cell>
          <cell r="Y90">
            <v>1178508</v>
          </cell>
          <cell r="Z90">
            <v>29846098</v>
          </cell>
          <cell r="AA90">
            <v>0</v>
          </cell>
          <cell r="AB90">
            <v>0</v>
          </cell>
          <cell r="AC90">
            <v>29846098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759475.85</v>
          </cell>
          <cell r="AP90">
            <v>676185.61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20990112</v>
          </cell>
          <cell r="G91">
            <v>0</v>
          </cell>
          <cell r="H91">
            <v>0</v>
          </cell>
          <cell r="I91">
            <v>20990112</v>
          </cell>
          <cell r="J91">
            <v>14290</v>
          </cell>
          <cell r="K91">
            <v>0</v>
          </cell>
          <cell r="L91">
            <v>0</v>
          </cell>
          <cell r="M91">
            <v>14290</v>
          </cell>
          <cell r="N91">
            <v>60344</v>
          </cell>
          <cell r="O91">
            <v>0</v>
          </cell>
          <cell r="P91">
            <v>0</v>
          </cell>
          <cell r="Q91">
            <v>60344</v>
          </cell>
          <cell r="R91">
            <v>321615</v>
          </cell>
          <cell r="S91">
            <v>0</v>
          </cell>
          <cell r="T91">
            <v>0</v>
          </cell>
          <cell r="U91">
            <v>321615</v>
          </cell>
          <cell r="V91">
            <v>850774</v>
          </cell>
          <cell r="W91">
            <v>0</v>
          </cell>
          <cell r="X91">
            <v>0</v>
          </cell>
          <cell r="Y91">
            <v>850774</v>
          </cell>
          <cell r="Z91">
            <v>19743089</v>
          </cell>
          <cell r="AA91">
            <v>0</v>
          </cell>
          <cell r="AB91">
            <v>0</v>
          </cell>
          <cell r="AC91">
            <v>19743089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626278.21</v>
          </cell>
          <cell r="AP91">
            <v>-175288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28715316</v>
          </cell>
          <cell r="G92">
            <v>0</v>
          </cell>
          <cell r="H92">
            <v>0</v>
          </cell>
          <cell r="I92">
            <v>28715316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140471</v>
          </cell>
          <cell r="O92">
            <v>0</v>
          </cell>
          <cell r="P92">
            <v>0</v>
          </cell>
          <cell r="Q92">
            <v>140471</v>
          </cell>
          <cell r="R92">
            <v>558333</v>
          </cell>
          <cell r="S92">
            <v>0</v>
          </cell>
          <cell r="T92">
            <v>0</v>
          </cell>
          <cell r="U92">
            <v>558333</v>
          </cell>
          <cell r="V92">
            <v>1026985</v>
          </cell>
          <cell r="W92">
            <v>0</v>
          </cell>
          <cell r="X92">
            <v>0</v>
          </cell>
          <cell r="Y92">
            <v>1026985</v>
          </cell>
          <cell r="Z92">
            <v>26989527</v>
          </cell>
          <cell r="AA92">
            <v>0</v>
          </cell>
          <cell r="AB92">
            <v>0</v>
          </cell>
          <cell r="AC92">
            <v>26989527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522177</v>
          </cell>
          <cell r="AP92">
            <v>263566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43994474</v>
          </cell>
          <cell r="G93">
            <v>0</v>
          </cell>
          <cell r="H93">
            <v>0</v>
          </cell>
          <cell r="I93">
            <v>43994474</v>
          </cell>
          <cell r="J93">
            <v>717829</v>
          </cell>
          <cell r="K93">
            <v>0</v>
          </cell>
          <cell r="L93">
            <v>0</v>
          </cell>
          <cell r="M93">
            <v>717829</v>
          </cell>
          <cell r="N93">
            <v>459336</v>
          </cell>
          <cell r="O93">
            <v>0</v>
          </cell>
          <cell r="P93">
            <v>0</v>
          </cell>
          <cell r="Q93">
            <v>459336</v>
          </cell>
          <cell r="R93">
            <v>701016</v>
          </cell>
          <cell r="S93">
            <v>0</v>
          </cell>
          <cell r="T93">
            <v>0</v>
          </cell>
          <cell r="U93">
            <v>701016</v>
          </cell>
          <cell r="V93">
            <v>1859264</v>
          </cell>
          <cell r="W93">
            <v>0</v>
          </cell>
          <cell r="X93">
            <v>0</v>
          </cell>
          <cell r="Y93">
            <v>1859264</v>
          </cell>
          <cell r="Z93">
            <v>40257029</v>
          </cell>
          <cell r="AA93">
            <v>0</v>
          </cell>
          <cell r="AB93">
            <v>0</v>
          </cell>
          <cell r="AC93">
            <v>40257029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2386948</v>
          </cell>
          <cell r="AP93">
            <v>-526291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33130376</v>
          </cell>
          <cell r="G94">
            <v>0</v>
          </cell>
          <cell r="H94">
            <v>0</v>
          </cell>
          <cell r="I94">
            <v>33130376</v>
          </cell>
          <cell r="J94">
            <v>336435</v>
          </cell>
          <cell r="K94">
            <v>0</v>
          </cell>
          <cell r="L94">
            <v>0</v>
          </cell>
          <cell r="M94">
            <v>336435</v>
          </cell>
          <cell r="N94">
            <v>356000</v>
          </cell>
          <cell r="O94">
            <v>0</v>
          </cell>
          <cell r="P94">
            <v>0</v>
          </cell>
          <cell r="Q94">
            <v>356000</v>
          </cell>
          <cell r="R94">
            <v>427254</v>
          </cell>
          <cell r="S94">
            <v>0</v>
          </cell>
          <cell r="T94">
            <v>0</v>
          </cell>
          <cell r="U94">
            <v>427254</v>
          </cell>
          <cell r="V94">
            <v>1083559</v>
          </cell>
          <cell r="W94">
            <v>0</v>
          </cell>
          <cell r="X94">
            <v>0</v>
          </cell>
          <cell r="Y94">
            <v>1083559</v>
          </cell>
          <cell r="Z94">
            <v>30927128</v>
          </cell>
          <cell r="AA94">
            <v>0</v>
          </cell>
          <cell r="AB94">
            <v>0</v>
          </cell>
          <cell r="AC94">
            <v>30927128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2100579</v>
          </cell>
          <cell r="AP94">
            <v>652135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21033491.199999999</v>
          </cell>
          <cell r="G95">
            <v>0</v>
          </cell>
          <cell r="H95">
            <v>0</v>
          </cell>
          <cell r="I95">
            <v>21033491.199999999</v>
          </cell>
          <cell r="J95">
            <v>41956</v>
          </cell>
          <cell r="K95">
            <v>0</v>
          </cell>
          <cell r="L95">
            <v>0</v>
          </cell>
          <cell r="M95">
            <v>41956</v>
          </cell>
          <cell r="N95">
            <v>20623</v>
          </cell>
          <cell r="O95">
            <v>0</v>
          </cell>
          <cell r="P95">
            <v>0</v>
          </cell>
          <cell r="Q95">
            <v>20623</v>
          </cell>
          <cell r="R95">
            <v>3740</v>
          </cell>
          <cell r="S95">
            <v>0</v>
          </cell>
          <cell r="T95">
            <v>0</v>
          </cell>
          <cell r="U95">
            <v>3740</v>
          </cell>
          <cell r="V95">
            <v>409727</v>
          </cell>
          <cell r="W95">
            <v>0</v>
          </cell>
          <cell r="X95">
            <v>0</v>
          </cell>
          <cell r="Y95">
            <v>409727</v>
          </cell>
          <cell r="Z95">
            <v>20557445</v>
          </cell>
          <cell r="AA95">
            <v>0</v>
          </cell>
          <cell r="AB95">
            <v>0</v>
          </cell>
          <cell r="AC95">
            <v>20557445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407386</v>
          </cell>
          <cell r="AP95">
            <v>48963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91037592</v>
          </cell>
          <cell r="G96">
            <v>0</v>
          </cell>
          <cell r="H96">
            <v>0</v>
          </cell>
          <cell r="I96">
            <v>91037592</v>
          </cell>
          <cell r="J96">
            <v>263072</v>
          </cell>
          <cell r="K96">
            <v>0</v>
          </cell>
          <cell r="L96">
            <v>0</v>
          </cell>
          <cell r="M96">
            <v>263072</v>
          </cell>
          <cell r="N96">
            <v>251643</v>
          </cell>
          <cell r="O96">
            <v>0</v>
          </cell>
          <cell r="P96">
            <v>0</v>
          </cell>
          <cell r="Q96">
            <v>251643</v>
          </cell>
          <cell r="R96">
            <v>452511</v>
          </cell>
          <cell r="S96">
            <v>0</v>
          </cell>
          <cell r="T96">
            <v>0</v>
          </cell>
          <cell r="U96">
            <v>452511</v>
          </cell>
          <cell r="V96">
            <v>1713037</v>
          </cell>
          <cell r="W96">
            <v>0</v>
          </cell>
          <cell r="X96">
            <v>0</v>
          </cell>
          <cell r="Y96">
            <v>1713037</v>
          </cell>
          <cell r="Z96">
            <v>88357329</v>
          </cell>
          <cell r="AA96">
            <v>0</v>
          </cell>
          <cell r="AB96">
            <v>0</v>
          </cell>
          <cell r="AC96">
            <v>88357329</v>
          </cell>
          <cell r="AD96">
            <v>879893</v>
          </cell>
          <cell r="AE96">
            <v>0</v>
          </cell>
          <cell r="AF96">
            <v>0</v>
          </cell>
          <cell r="AG96">
            <v>879893</v>
          </cell>
          <cell r="AH96">
            <v>0</v>
          </cell>
          <cell r="AI96">
            <v>-9970.94</v>
          </cell>
          <cell r="AJ96">
            <v>0</v>
          </cell>
          <cell r="AK96">
            <v>94038</v>
          </cell>
          <cell r="AL96">
            <v>0</v>
          </cell>
          <cell r="AM96">
            <v>0</v>
          </cell>
          <cell r="AN96">
            <v>879893</v>
          </cell>
          <cell r="AO96">
            <v>3431895</v>
          </cell>
          <cell r="AP96">
            <v>1184064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53261979</v>
          </cell>
          <cell r="G97">
            <v>0</v>
          </cell>
          <cell r="H97">
            <v>0</v>
          </cell>
          <cell r="I97">
            <v>53261979</v>
          </cell>
          <cell r="J97">
            <v>484245.93</v>
          </cell>
          <cell r="K97">
            <v>0</v>
          </cell>
          <cell r="L97">
            <v>0</v>
          </cell>
          <cell r="M97">
            <v>484245.93</v>
          </cell>
          <cell r="N97">
            <v>138575</v>
          </cell>
          <cell r="O97">
            <v>0</v>
          </cell>
          <cell r="P97">
            <v>0</v>
          </cell>
          <cell r="Q97">
            <v>138575</v>
          </cell>
          <cell r="R97">
            <v>1186596</v>
          </cell>
          <cell r="S97">
            <v>0</v>
          </cell>
          <cell r="T97">
            <v>0</v>
          </cell>
          <cell r="U97">
            <v>1186596</v>
          </cell>
          <cell r="V97">
            <v>2505765</v>
          </cell>
          <cell r="W97">
            <v>0</v>
          </cell>
          <cell r="X97">
            <v>0</v>
          </cell>
          <cell r="Y97">
            <v>2505765</v>
          </cell>
          <cell r="Z97">
            <v>48946797</v>
          </cell>
          <cell r="AA97">
            <v>0</v>
          </cell>
          <cell r="AB97">
            <v>0</v>
          </cell>
          <cell r="AC97">
            <v>48946797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1821820.82</v>
          </cell>
          <cell r="AP97">
            <v>305929.65999999997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32870546.699999999</v>
          </cell>
          <cell r="G98">
            <v>0</v>
          </cell>
          <cell r="H98">
            <v>0</v>
          </cell>
          <cell r="I98">
            <v>32870546.699999999</v>
          </cell>
          <cell r="J98">
            <v>316693</v>
          </cell>
          <cell r="K98">
            <v>0</v>
          </cell>
          <cell r="L98">
            <v>0</v>
          </cell>
          <cell r="M98">
            <v>316693</v>
          </cell>
          <cell r="N98">
            <v>216544</v>
          </cell>
          <cell r="O98">
            <v>0</v>
          </cell>
          <cell r="P98">
            <v>0</v>
          </cell>
          <cell r="Q98">
            <v>216544</v>
          </cell>
          <cell r="R98">
            <v>477592</v>
          </cell>
          <cell r="S98">
            <v>0</v>
          </cell>
          <cell r="T98">
            <v>0</v>
          </cell>
          <cell r="U98">
            <v>477592</v>
          </cell>
          <cell r="V98">
            <v>1158467</v>
          </cell>
          <cell r="W98">
            <v>0</v>
          </cell>
          <cell r="X98">
            <v>0</v>
          </cell>
          <cell r="Y98">
            <v>1158467</v>
          </cell>
          <cell r="Z98">
            <v>30701251</v>
          </cell>
          <cell r="AA98">
            <v>0</v>
          </cell>
          <cell r="AB98">
            <v>0</v>
          </cell>
          <cell r="AC98">
            <v>30701251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1696791</v>
          </cell>
          <cell r="AP98">
            <v>569044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54616607</v>
          </cell>
          <cell r="G99">
            <v>0</v>
          </cell>
          <cell r="H99">
            <v>0</v>
          </cell>
          <cell r="I99">
            <v>54616607</v>
          </cell>
          <cell r="J99">
            <v>213644</v>
          </cell>
          <cell r="K99">
            <v>0</v>
          </cell>
          <cell r="L99">
            <v>0</v>
          </cell>
          <cell r="M99">
            <v>213644</v>
          </cell>
          <cell r="N99">
            <v>144087</v>
          </cell>
          <cell r="O99">
            <v>0</v>
          </cell>
          <cell r="P99">
            <v>0</v>
          </cell>
          <cell r="Q99">
            <v>144087</v>
          </cell>
          <cell r="R99">
            <v>1016000</v>
          </cell>
          <cell r="S99">
            <v>0</v>
          </cell>
          <cell r="T99">
            <v>0</v>
          </cell>
          <cell r="U99">
            <v>1016000</v>
          </cell>
          <cell r="V99">
            <v>2117000</v>
          </cell>
          <cell r="W99">
            <v>0</v>
          </cell>
          <cell r="X99">
            <v>0</v>
          </cell>
          <cell r="Y99">
            <v>2117000</v>
          </cell>
          <cell r="Z99">
            <v>51125876</v>
          </cell>
          <cell r="AA99">
            <v>0</v>
          </cell>
          <cell r="AB99">
            <v>0</v>
          </cell>
          <cell r="AC99">
            <v>51125876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1293967</v>
          </cell>
          <cell r="AP99">
            <v>202240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20523837.899999999</v>
          </cell>
          <cell r="G100">
            <v>0</v>
          </cell>
          <cell r="H100">
            <v>0</v>
          </cell>
          <cell r="I100">
            <v>20523837.899999999</v>
          </cell>
          <cell r="J100">
            <v>22024</v>
          </cell>
          <cell r="K100">
            <v>0</v>
          </cell>
          <cell r="L100">
            <v>0</v>
          </cell>
          <cell r="M100">
            <v>22024</v>
          </cell>
          <cell r="N100">
            <v>21123</v>
          </cell>
          <cell r="O100">
            <v>0</v>
          </cell>
          <cell r="P100">
            <v>0</v>
          </cell>
          <cell r="Q100">
            <v>21123</v>
          </cell>
          <cell r="R100">
            <v>120382.04</v>
          </cell>
          <cell r="S100">
            <v>0</v>
          </cell>
          <cell r="T100">
            <v>0</v>
          </cell>
          <cell r="U100">
            <v>120382.04</v>
          </cell>
          <cell r="V100">
            <v>286017</v>
          </cell>
          <cell r="W100">
            <v>0</v>
          </cell>
          <cell r="X100">
            <v>0</v>
          </cell>
          <cell r="Y100">
            <v>286017</v>
          </cell>
          <cell r="Z100">
            <v>20074292</v>
          </cell>
          <cell r="AA100">
            <v>0</v>
          </cell>
          <cell r="AB100">
            <v>0</v>
          </cell>
          <cell r="AC100">
            <v>20074292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555228</v>
          </cell>
          <cell r="AP100">
            <v>71973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53593946</v>
          </cell>
          <cell r="G101">
            <v>0</v>
          </cell>
          <cell r="H101">
            <v>0</v>
          </cell>
          <cell r="I101">
            <v>53593946</v>
          </cell>
          <cell r="J101">
            <v>234989</v>
          </cell>
          <cell r="K101">
            <v>0</v>
          </cell>
          <cell r="L101">
            <v>0</v>
          </cell>
          <cell r="M101">
            <v>234989</v>
          </cell>
          <cell r="N101">
            <v>99000</v>
          </cell>
          <cell r="O101">
            <v>0</v>
          </cell>
          <cell r="P101">
            <v>0</v>
          </cell>
          <cell r="Q101">
            <v>99000</v>
          </cell>
          <cell r="R101">
            <v>248020</v>
          </cell>
          <cell r="S101">
            <v>0</v>
          </cell>
          <cell r="T101">
            <v>0</v>
          </cell>
          <cell r="U101">
            <v>248020</v>
          </cell>
          <cell r="V101">
            <v>820156</v>
          </cell>
          <cell r="W101">
            <v>0</v>
          </cell>
          <cell r="X101">
            <v>0</v>
          </cell>
          <cell r="Y101">
            <v>820156</v>
          </cell>
          <cell r="Z101">
            <v>52191781</v>
          </cell>
          <cell r="AA101">
            <v>0</v>
          </cell>
          <cell r="AB101">
            <v>0</v>
          </cell>
          <cell r="AC101">
            <v>52191781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1027025</v>
          </cell>
          <cell r="AP101">
            <v>606593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106397925</v>
          </cell>
          <cell r="G102">
            <v>0</v>
          </cell>
          <cell r="H102">
            <v>0</v>
          </cell>
          <cell r="I102">
            <v>106397925</v>
          </cell>
          <cell r="J102">
            <v>455031</v>
          </cell>
          <cell r="K102">
            <v>0</v>
          </cell>
          <cell r="L102">
            <v>0</v>
          </cell>
          <cell r="M102">
            <v>455031</v>
          </cell>
          <cell r="N102">
            <v>1099864</v>
          </cell>
          <cell r="O102">
            <v>0</v>
          </cell>
          <cell r="P102">
            <v>0</v>
          </cell>
          <cell r="Q102">
            <v>1099864</v>
          </cell>
          <cell r="R102">
            <v>404468.25</v>
          </cell>
          <cell r="S102">
            <v>0</v>
          </cell>
          <cell r="T102">
            <v>0</v>
          </cell>
          <cell r="U102">
            <v>404468.25</v>
          </cell>
          <cell r="V102">
            <v>2012756.29</v>
          </cell>
          <cell r="W102">
            <v>0</v>
          </cell>
          <cell r="X102">
            <v>0</v>
          </cell>
          <cell r="Y102">
            <v>2012756.29</v>
          </cell>
          <cell r="Z102">
            <v>102425806</v>
          </cell>
          <cell r="AA102">
            <v>0</v>
          </cell>
          <cell r="AB102">
            <v>0</v>
          </cell>
          <cell r="AC102">
            <v>102425806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10351355.4</v>
          </cell>
          <cell r="AP102">
            <v>1583172.61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32979130</v>
          </cell>
          <cell r="G103">
            <v>0</v>
          </cell>
          <cell r="H103">
            <v>0</v>
          </cell>
          <cell r="I103">
            <v>32979130</v>
          </cell>
          <cell r="J103">
            <v>397804.88</v>
          </cell>
          <cell r="K103">
            <v>0</v>
          </cell>
          <cell r="L103">
            <v>0</v>
          </cell>
          <cell r="M103">
            <v>397804.88</v>
          </cell>
          <cell r="N103">
            <v>-30160</v>
          </cell>
          <cell r="O103">
            <v>0</v>
          </cell>
          <cell r="P103">
            <v>0</v>
          </cell>
          <cell r="Q103">
            <v>-30160</v>
          </cell>
          <cell r="R103">
            <v>401434</v>
          </cell>
          <cell r="S103">
            <v>0</v>
          </cell>
          <cell r="T103">
            <v>0</v>
          </cell>
          <cell r="U103">
            <v>401434</v>
          </cell>
          <cell r="V103">
            <v>1084632</v>
          </cell>
          <cell r="W103">
            <v>0</v>
          </cell>
          <cell r="X103">
            <v>0</v>
          </cell>
          <cell r="Y103">
            <v>1084632</v>
          </cell>
          <cell r="Z103">
            <v>31125419</v>
          </cell>
          <cell r="AA103">
            <v>0</v>
          </cell>
          <cell r="AB103">
            <v>0</v>
          </cell>
          <cell r="AC103">
            <v>31125419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1112462.3899999999</v>
          </cell>
          <cell r="AP103">
            <v>340423.19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23036483</v>
          </cell>
          <cell r="G104">
            <v>0</v>
          </cell>
          <cell r="H104">
            <v>0</v>
          </cell>
          <cell r="I104">
            <v>23036483</v>
          </cell>
          <cell r="J104">
            <v>225181</v>
          </cell>
          <cell r="K104">
            <v>0</v>
          </cell>
          <cell r="L104">
            <v>0</v>
          </cell>
          <cell r="M104">
            <v>225181</v>
          </cell>
          <cell r="N104">
            <v>-91763</v>
          </cell>
          <cell r="O104">
            <v>0</v>
          </cell>
          <cell r="P104">
            <v>0</v>
          </cell>
          <cell r="Q104">
            <v>-91763</v>
          </cell>
          <cell r="R104">
            <v>263311</v>
          </cell>
          <cell r="S104">
            <v>0</v>
          </cell>
          <cell r="T104">
            <v>0</v>
          </cell>
          <cell r="U104">
            <v>263311</v>
          </cell>
          <cell r="V104">
            <v>1053245</v>
          </cell>
          <cell r="W104">
            <v>0</v>
          </cell>
          <cell r="X104">
            <v>0</v>
          </cell>
          <cell r="Y104">
            <v>1053245</v>
          </cell>
          <cell r="Z104">
            <v>21586509</v>
          </cell>
          <cell r="AA104">
            <v>0</v>
          </cell>
          <cell r="AB104">
            <v>0</v>
          </cell>
          <cell r="AC104">
            <v>21586509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350938</v>
          </cell>
          <cell r="AP104">
            <v>98637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24034750.699999999</v>
          </cell>
          <cell r="G105">
            <v>0</v>
          </cell>
          <cell r="H105">
            <v>0</v>
          </cell>
          <cell r="I105">
            <v>24034750.699999999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54000</v>
          </cell>
          <cell r="O105">
            <v>0</v>
          </cell>
          <cell r="P105">
            <v>0</v>
          </cell>
          <cell r="Q105">
            <v>54000</v>
          </cell>
          <cell r="R105">
            <v>110000</v>
          </cell>
          <cell r="S105">
            <v>0</v>
          </cell>
          <cell r="T105">
            <v>0</v>
          </cell>
          <cell r="U105">
            <v>110000</v>
          </cell>
          <cell r="V105">
            <v>305000</v>
          </cell>
          <cell r="W105">
            <v>0</v>
          </cell>
          <cell r="X105">
            <v>0</v>
          </cell>
          <cell r="Y105">
            <v>305000</v>
          </cell>
          <cell r="Z105">
            <v>23565751</v>
          </cell>
          <cell r="AA105">
            <v>0</v>
          </cell>
          <cell r="AB105">
            <v>0</v>
          </cell>
          <cell r="AC105">
            <v>23565751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1199334.9099999999</v>
          </cell>
          <cell r="AP105">
            <v>1014811.64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75489920.299999997</v>
          </cell>
          <cell r="G106">
            <v>0</v>
          </cell>
          <cell r="H106">
            <v>0</v>
          </cell>
          <cell r="I106">
            <v>75489920.299999997</v>
          </cell>
          <cell r="J106">
            <v>366058.23</v>
          </cell>
          <cell r="K106">
            <v>0</v>
          </cell>
          <cell r="L106">
            <v>0</v>
          </cell>
          <cell r="M106">
            <v>366058.23</v>
          </cell>
          <cell r="N106">
            <v>30000</v>
          </cell>
          <cell r="O106">
            <v>0</v>
          </cell>
          <cell r="P106">
            <v>0</v>
          </cell>
          <cell r="Q106">
            <v>30000</v>
          </cell>
          <cell r="R106">
            <v>863876</v>
          </cell>
          <cell r="S106">
            <v>0</v>
          </cell>
          <cell r="T106">
            <v>0</v>
          </cell>
          <cell r="U106">
            <v>863876</v>
          </cell>
          <cell r="V106">
            <v>2815441</v>
          </cell>
          <cell r="W106">
            <v>0</v>
          </cell>
          <cell r="X106">
            <v>0</v>
          </cell>
          <cell r="Y106">
            <v>2815441</v>
          </cell>
          <cell r="Z106">
            <v>71414545</v>
          </cell>
          <cell r="AA106">
            <v>0</v>
          </cell>
          <cell r="AB106">
            <v>0</v>
          </cell>
          <cell r="AC106">
            <v>71414545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1451201</v>
          </cell>
          <cell r="AP106">
            <v>1174874.9099999999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40621978.5</v>
          </cell>
          <cell r="G107">
            <v>0</v>
          </cell>
          <cell r="H107">
            <v>22812.87</v>
          </cell>
          <cell r="I107">
            <v>40644791.399999999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412095.72</v>
          </cell>
          <cell r="O107">
            <v>0</v>
          </cell>
          <cell r="P107">
            <v>0</v>
          </cell>
          <cell r="Q107">
            <v>412095.72</v>
          </cell>
          <cell r="R107">
            <v>879247.94</v>
          </cell>
          <cell r="S107">
            <v>0</v>
          </cell>
          <cell r="T107">
            <v>0</v>
          </cell>
          <cell r="U107">
            <v>879247.94</v>
          </cell>
          <cell r="V107">
            <v>2498170.08</v>
          </cell>
          <cell r="W107">
            <v>0</v>
          </cell>
          <cell r="X107">
            <v>0</v>
          </cell>
          <cell r="Y107">
            <v>2498170.08</v>
          </cell>
          <cell r="Z107">
            <v>36832465</v>
          </cell>
          <cell r="AA107">
            <v>0</v>
          </cell>
          <cell r="AB107">
            <v>22813</v>
          </cell>
          <cell r="AC107">
            <v>36855278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22840.639999999999</v>
          </cell>
          <cell r="AJ107">
            <v>0</v>
          </cell>
          <cell r="AK107">
            <v>95219.23</v>
          </cell>
          <cell r="AL107">
            <v>0</v>
          </cell>
          <cell r="AM107">
            <v>0</v>
          </cell>
          <cell r="AN107">
            <v>0</v>
          </cell>
          <cell r="AO107">
            <v>790922.1</v>
          </cell>
          <cell r="AP107">
            <v>368704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24384637.300000001</v>
          </cell>
          <cell r="G108">
            <v>0</v>
          </cell>
          <cell r="H108">
            <v>0</v>
          </cell>
          <cell r="I108">
            <v>24384637.300000001</v>
          </cell>
          <cell r="J108">
            <v>215568.61</v>
          </cell>
          <cell r="K108">
            <v>0</v>
          </cell>
          <cell r="L108">
            <v>0</v>
          </cell>
          <cell r="M108">
            <v>215568.61</v>
          </cell>
          <cell r="N108">
            <v>14772.53</v>
          </cell>
          <cell r="O108">
            <v>0</v>
          </cell>
          <cell r="P108">
            <v>0</v>
          </cell>
          <cell r="Q108">
            <v>14772.53</v>
          </cell>
          <cell r="R108">
            <v>297066</v>
          </cell>
          <cell r="S108">
            <v>0</v>
          </cell>
          <cell r="T108">
            <v>0</v>
          </cell>
          <cell r="U108">
            <v>297066</v>
          </cell>
          <cell r="V108">
            <v>718672</v>
          </cell>
          <cell r="W108">
            <v>0</v>
          </cell>
          <cell r="X108">
            <v>0</v>
          </cell>
          <cell r="Y108">
            <v>718672</v>
          </cell>
          <cell r="Z108">
            <v>23138558</v>
          </cell>
          <cell r="AA108">
            <v>0</v>
          </cell>
          <cell r="AB108">
            <v>0</v>
          </cell>
          <cell r="AC108">
            <v>23138558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657122.53</v>
          </cell>
          <cell r="AP108">
            <v>148032.29999999999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21497347.899999999</v>
          </cell>
          <cell r="G109">
            <v>0</v>
          </cell>
          <cell r="H109">
            <v>0</v>
          </cell>
          <cell r="I109">
            <v>21497347.899999999</v>
          </cell>
          <cell r="J109">
            <v>106376</v>
          </cell>
          <cell r="K109">
            <v>0</v>
          </cell>
          <cell r="L109">
            <v>0</v>
          </cell>
          <cell r="M109">
            <v>106376</v>
          </cell>
          <cell r="N109">
            <v>53968.32</v>
          </cell>
          <cell r="O109">
            <v>0</v>
          </cell>
          <cell r="P109">
            <v>0</v>
          </cell>
          <cell r="Q109">
            <v>53968.32</v>
          </cell>
          <cell r="R109">
            <v>190169</v>
          </cell>
          <cell r="S109">
            <v>0</v>
          </cell>
          <cell r="T109">
            <v>0</v>
          </cell>
          <cell r="U109">
            <v>190169</v>
          </cell>
          <cell r="V109">
            <v>210654</v>
          </cell>
          <cell r="W109">
            <v>0</v>
          </cell>
          <cell r="X109">
            <v>0</v>
          </cell>
          <cell r="Y109">
            <v>210654</v>
          </cell>
          <cell r="Z109">
            <v>20936181</v>
          </cell>
          <cell r="AA109">
            <v>0</v>
          </cell>
          <cell r="AB109">
            <v>0</v>
          </cell>
          <cell r="AC109">
            <v>20936181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602504.47</v>
          </cell>
          <cell r="AP109">
            <v>375296.2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11669091.1</v>
          </cell>
          <cell r="G110">
            <v>0</v>
          </cell>
          <cell r="H110">
            <v>0</v>
          </cell>
          <cell r="I110">
            <v>11669091.1</v>
          </cell>
          <cell r="J110">
            <v>37362</v>
          </cell>
          <cell r="K110">
            <v>0</v>
          </cell>
          <cell r="L110">
            <v>0</v>
          </cell>
          <cell r="M110">
            <v>37362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124439</v>
          </cell>
          <cell r="S110">
            <v>0</v>
          </cell>
          <cell r="T110">
            <v>0</v>
          </cell>
          <cell r="U110">
            <v>124439</v>
          </cell>
          <cell r="V110">
            <v>126745</v>
          </cell>
          <cell r="W110">
            <v>0</v>
          </cell>
          <cell r="X110">
            <v>0</v>
          </cell>
          <cell r="Y110">
            <v>126745</v>
          </cell>
          <cell r="Z110">
            <v>11380545</v>
          </cell>
          <cell r="AA110">
            <v>0</v>
          </cell>
          <cell r="AB110">
            <v>0</v>
          </cell>
          <cell r="AC110">
            <v>11380545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742343</v>
          </cell>
          <cell r="AP110">
            <v>54436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22764415</v>
          </cell>
          <cell r="G111">
            <v>0</v>
          </cell>
          <cell r="H111">
            <v>1879290</v>
          </cell>
          <cell r="I111">
            <v>24643705</v>
          </cell>
          <cell r="J111">
            <v>125926</v>
          </cell>
          <cell r="K111">
            <v>0</v>
          </cell>
          <cell r="L111">
            <v>0</v>
          </cell>
          <cell r="M111">
            <v>125926</v>
          </cell>
          <cell r="N111">
            <v>189887</v>
          </cell>
          <cell r="O111">
            <v>0</v>
          </cell>
          <cell r="P111">
            <v>0</v>
          </cell>
          <cell r="Q111">
            <v>189887</v>
          </cell>
          <cell r="R111">
            <v>330135</v>
          </cell>
          <cell r="S111">
            <v>0</v>
          </cell>
          <cell r="T111">
            <v>0</v>
          </cell>
          <cell r="U111">
            <v>330135</v>
          </cell>
          <cell r="V111">
            <v>885656</v>
          </cell>
          <cell r="W111">
            <v>0</v>
          </cell>
          <cell r="X111">
            <v>0</v>
          </cell>
          <cell r="Y111">
            <v>885656</v>
          </cell>
          <cell r="Z111">
            <v>21232811</v>
          </cell>
          <cell r="AA111">
            <v>0</v>
          </cell>
          <cell r="AB111">
            <v>1879290</v>
          </cell>
          <cell r="AC111">
            <v>23112101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1919421</v>
          </cell>
          <cell r="AL111">
            <v>0</v>
          </cell>
          <cell r="AM111">
            <v>0</v>
          </cell>
          <cell r="AN111">
            <v>0</v>
          </cell>
          <cell r="AO111">
            <v>1276326</v>
          </cell>
          <cell r="AP111">
            <v>309345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86687993</v>
          </cell>
          <cell r="G112">
            <v>1084225</v>
          </cell>
          <cell r="H112">
            <v>0</v>
          </cell>
          <cell r="I112">
            <v>87772218</v>
          </cell>
          <cell r="J112">
            <v>1031250</v>
          </cell>
          <cell r="K112">
            <v>7706</v>
          </cell>
          <cell r="L112">
            <v>0</v>
          </cell>
          <cell r="M112">
            <v>1038956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636045</v>
          </cell>
          <cell r="S112">
            <v>7955</v>
          </cell>
          <cell r="T112">
            <v>0</v>
          </cell>
          <cell r="U112">
            <v>644000</v>
          </cell>
          <cell r="V112">
            <v>2702080</v>
          </cell>
          <cell r="W112">
            <v>33795</v>
          </cell>
          <cell r="X112">
            <v>0</v>
          </cell>
          <cell r="Y112">
            <v>2735875</v>
          </cell>
          <cell r="Z112">
            <v>82318618</v>
          </cell>
          <cell r="AA112">
            <v>1034769</v>
          </cell>
          <cell r="AB112">
            <v>0</v>
          </cell>
          <cell r="AC112">
            <v>83353387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41693</v>
          </cell>
          <cell r="AI112">
            <v>0</v>
          </cell>
          <cell r="AJ112">
            <v>1111685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6654302</v>
          </cell>
          <cell r="AP112">
            <v>2074431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20809974</v>
          </cell>
          <cell r="G113">
            <v>0</v>
          </cell>
          <cell r="H113">
            <v>0</v>
          </cell>
          <cell r="I113">
            <v>20809974</v>
          </cell>
          <cell r="J113">
            <v>51565</v>
          </cell>
          <cell r="K113">
            <v>0</v>
          </cell>
          <cell r="L113">
            <v>0</v>
          </cell>
          <cell r="M113">
            <v>51565</v>
          </cell>
          <cell r="N113">
            <v>114780</v>
          </cell>
          <cell r="O113">
            <v>0</v>
          </cell>
          <cell r="P113">
            <v>0</v>
          </cell>
          <cell r="Q113">
            <v>114780</v>
          </cell>
          <cell r="R113">
            <v>147485</v>
          </cell>
          <cell r="S113">
            <v>0</v>
          </cell>
          <cell r="T113">
            <v>0</v>
          </cell>
          <cell r="U113">
            <v>147485</v>
          </cell>
          <cell r="V113">
            <v>408636</v>
          </cell>
          <cell r="W113">
            <v>0</v>
          </cell>
          <cell r="X113">
            <v>0</v>
          </cell>
          <cell r="Y113">
            <v>408636</v>
          </cell>
          <cell r="Z113">
            <v>20087508</v>
          </cell>
          <cell r="AA113">
            <v>0</v>
          </cell>
          <cell r="AB113">
            <v>0</v>
          </cell>
          <cell r="AC113">
            <v>20087508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495777.45</v>
          </cell>
          <cell r="AP113">
            <v>-58307.8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51086459.100000001</v>
          </cell>
          <cell r="G114">
            <v>0</v>
          </cell>
          <cell r="H114">
            <v>0</v>
          </cell>
          <cell r="I114">
            <v>51086459.100000001</v>
          </cell>
          <cell r="J114">
            <v>35689.54</v>
          </cell>
          <cell r="K114">
            <v>0</v>
          </cell>
          <cell r="L114">
            <v>0</v>
          </cell>
          <cell r="M114">
            <v>35689.54</v>
          </cell>
          <cell r="N114">
            <v>300219</v>
          </cell>
          <cell r="O114">
            <v>0</v>
          </cell>
          <cell r="P114">
            <v>0</v>
          </cell>
          <cell r="Q114">
            <v>300219</v>
          </cell>
          <cell r="R114">
            <v>556252</v>
          </cell>
          <cell r="S114">
            <v>0</v>
          </cell>
          <cell r="T114">
            <v>0</v>
          </cell>
          <cell r="U114">
            <v>556252</v>
          </cell>
          <cell r="V114">
            <v>526814</v>
          </cell>
          <cell r="W114">
            <v>0</v>
          </cell>
          <cell r="X114">
            <v>0</v>
          </cell>
          <cell r="Y114">
            <v>526814</v>
          </cell>
          <cell r="Z114">
            <v>49667485</v>
          </cell>
          <cell r="AA114">
            <v>0</v>
          </cell>
          <cell r="AB114">
            <v>0</v>
          </cell>
          <cell r="AC114">
            <v>49667485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4207178.4400000004</v>
          </cell>
          <cell r="AP114">
            <v>969667.83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14566046</v>
          </cell>
          <cell r="G115">
            <v>0</v>
          </cell>
          <cell r="H115">
            <v>307872</v>
          </cell>
          <cell r="I115">
            <v>14873918</v>
          </cell>
          <cell r="J115">
            <v>122081</v>
          </cell>
          <cell r="K115">
            <v>0</v>
          </cell>
          <cell r="L115">
            <v>0</v>
          </cell>
          <cell r="M115">
            <v>122081</v>
          </cell>
          <cell r="N115">
            <v>13100</v>
          </cell>
          <cell r="O115">
            <v>0</v>
          </cell>
          <cell r="P115">
            <v>35200</v>
          </cell>
          <cell r="Q115">
            <v>48300</v>
          </cell>
          <cell r="R115">
            <v>687122</v>
          </cell>
          <cell r="S115">
            <v>0</v>
          </cell>
          <cell r="T115">
            <v>19161</v>
          </cell>
          <cell r="U115">
            <v>706283</v>
          </cell>
          <cell r="V115">
            <v>2503809</v>
          </cell>
          <cell r="W115">
            <v>0</v>
          </cell>
          <cell r="X115">
            <v>53090</v>
          </cell>
          <cell r="Y115">
            <v>2556899</v>
          </cell>
          <cell r="Z115">
            <v>11239934</v>
          </cell>
          <cell r="AA115">
            <v>0</v>
          </cell>
          <cell r="AB115">
            <v>200421</v>
          </cell>
          <cell r="AC115">
            <v>11440355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6851</v>
          </cell>
          <cell r="AJ115">
            <v>0</v>
          </cell>
          <cell r="AK115">
            <v>419327</v>
          </cell>
          <cell r="AL115">
            <v>0</v>
          </cell>
          <cell r="AM115">
            <v>0</v>
          </cell>
          <cell r="AN115">
            <v>0</v>
          </cell>
          <cell r="AO115">
            <v>884642</v>
          </cell>
          <cell r="AP115">
            <v>322077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22162713</v>
          </cell>
          <cell r="G116">
            <v>0</v>
          </cell>
          <cell r="H116">
            <v>0</v>
          </cell>
          <cell r="I116">
            <v>22162713</v>
          </cell>
          <cell r="J116">
            <v>517620.06</v>
          </cell>
          <cell r="K116">
            <v>0</v>
          </cell>
          <cell r="L116">
            <v>0</v>
          </cell>
          <cell r="M116">
            <v>517620.06</v>
          </cell>
          <cell r="N116">
            <v>199241.15</v>
          </cell>
          <cell r="O116">
            <v>0</v>
          </cell>
          <cell r="P116">
            <v>0</v>
          </cell>
          <cell r="Q116">
            <v>199241.15</v>
          </cell>
          <cell r="R116">
            <v>125215</v>
          </cell>
          <cell r="S116">
            <v>0</v>
          </cell>
          <cell r="T116">
            <v>0</v>
          </cell>
          <cell r="U116">
            <v>125215</v>
          </cell>
          <cell r="V116">
            <v>419199</v>
          </cell>
          <cell r="W116">
            <v>0</v>
          </cell>
          <cell r="X116">
            <v>0</v>
          </cell>
          <cell r="Y116">
            <v>419199</v>
          </cell>
          <cell r="Z116">
            <v>20901438</v>
          </cell>
          <cell r="AA116">
            <v>0</v>
          </cell>
          <cell r="AB116">
            <v>0</v>
          </cell>
          <cell r="AC116">
            <v>20901438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1811381.63</v>
          </cell>
          <cell r="AP116">
            <v>230857.91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29048288.699999999</v>
          </cell>
          <cell r="G117">
            <v>0</v>
          </cell>
          <cell r="H117">
            <v>86822.44</v>
          </cell>
          <cell r="I117">
            <v>29135111.100000001</v>
          </cell>
          <cell r="J117">
            <v>93439</v>
          </cell>
          <cell r="K117">
            <v>0</v>
          </cell>
          <cell r="L117">
            <v>0</v>
          </cell>
          <cell r="M117">
            <v>93439</v>
          </cell>
          <cell r="N117">
            <v>28565</v>
          </cell>
          <cell r="O117">
            <v>0</v>
          </cell>
          <cell r="P117">
            <v>0</v>
          </cell>
          <cell r="Q117">
            <v>28565</v>
          </cell>
          <cell r="R117">
            <v>1298127</v>
          </cell>
          <cell r="S117">
            <v>0</v>
          </cell>
          <cell r="T117">
            <v>0</v>
          </cell>
          <cell r="U117">
            <v>1298127</v>
          </cell>
          <cell r="V117">
            <v>9462921</v>
          </cell>
          <cell r="W117">
            <v>0</v>
          </cell>
          <cell r="X117">
            <v>0</v>
          </cell>
          <cell r="Y117">
            <v>9462921</v>
          </cell>
          <cell r="Z117">
            <v>18165237</v>
          </cell>
          <cell r="AA117">
            <v>0</v>
          </cell>
          <cell r="AB117">
            <v>86822</v>
          </cell>
          <cell r="AC117">
            <v>18252059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56000</v>
          </cell>
          <cell r="AJ117">
            <v>0</v>
          </cell>
          <cell r="AK117">
            <v>267476</v>
          </cell>
          <cell r="AL117">
            <v>0</v>
          </cell>
          <cell r="AM117">
            <v>0</v>
          </cell>
          <cell r="AN117">
            <v>0</v>
          </cell>
          <cell r="AO117">
            <v>945189</v>
          </cell>
          <cell r="AP117">
            <v>359558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69286248</v>
          </cell>
          <cell r="G118">
            <v>0</v>
          </cell>
          <cell r="H118">
            <v>0</v>
          </cell>
          <cell r="I118">
            <v>69286248</v>
          </cell>
          <cell r="J118">
            <v>354019.83</v>
          </cell>
          <cell r="K118">
            <v>0</v>
          </cell>
          <cell r="L118">
            <v>0</v>
          </cell>
          <cell r="M118">
            <v>354019.83</v>
          </cell>
          <cell r="N118">
            <v>845536</v>
          </cell>
          <cell r="O118">
            <v>0</v>
          </cell>
          <cell r="P118">
            <v>0</v>
          </cell>
          <cell r="Q118">
            <v>845536</v>
          </cell>
          <cell r="R118">
            <v>1434000</v>
          </cell>
          <cell r="S118">
            <v>0</v>
          </cell>
          <cell r="T118">
            <v>0</v>
          </cell>
          <cell r="U118">
            <v>1434000</v>
          </cell>
          <cell r="V118">
            <v>2758000</v>
          </cell>
          <cell r="W118">
            <v>0</v>
          </cell>
          <cell r="X118">
            <v>0</v>
          </cell>
          <cell r="Y118">
            <v>2758000</v>
          </cell>
          <cell r="Z118">
            <v>63894692</v>
          </cell>
          <cell r="AA118">
            <v>0</v>
          </cell>
          <cell r="AB118">
            <v>0</v>
          </cell>
          <cell r="AC118">
            <v>63894692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2130388</v>
          </cell>
          <cell r="AP118">
            <v>1629653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78648583</v>
          </cell>
          <cell r="G119">
            <v>0</v>
          </cell>
          <cell r="H119">
            <v>0</v>
          </cell>
          <cell r="I119">
            <v>78648583</v>
          </cell>
          <cell r="J119">
            <v>328171</v>
          </cell>
          <cell r="K119">
            <v>0</v>
          </cell>
          <cell r="L119">
            <v>0</v>
          </cell>
          <cell r="M119">
            <v>328171</v>
          </cell>
          <cell r="N119">
            <v>46829</v>
          </cell>
          <cell r="O119">
            <v>0</v>
          </cell>
          <cell r="P119">
            <v>0</v>
          </cell>
          <cell r="Q119">
            <v>46829</v>
          </cell>
          <cell r="R119">
            <v>1100000</v>
          </cell>
          <cell r="S119">
            <v>0</v>
          </cell>
          <cell r="T119">
            <v>0</v>
          </cell>
          <cell r="U119">
            <v>1100000</v>
          </cell>
          <cell r="V119">
            <v>2800000</v>
          </cell>
          <cell r="W119">
            <v>0</v>
          </cell>
          <cell r="X119">
            <v>0</v>
          </cell>
          <cell r="Y119">
            <v>2800000</v>
          </cell>
          <cell r="Z119">
            <v>74373583</v>
          </cell>
          <cell r="AA119">
            <v>0</v>
          </cell>
          <cell r="AB119">
            <v>0</v>
          </cell>
          <cell r="AC119">
            <v>74373583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1113802</v>
          </cell>
          <cell r="AP119">
            <v>2236326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87482869</v>
          </cell>
          <cell r="G120">
            <v>0</v>
          </cell>
          <cell r="H120">
            <v>0</v>
          </cell>
          <cell r="I120">
            <v>87482869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2375402</v>
          </cell>
          <cell r="O120">
            <v>0</v>
          </cell>
          <cell r="P120">
            <v>0</v>
          </cell>
          <cell r="Q120">
            <v>2375402</v>
          </cell>
          <cell r="R120">
            <v>557345</v>
          </cell>
          <cell r="S120">
            <v>0</v>
          </cell>
          <cell r="T120">
            <v>0</v>
          </cell>
          <cell r="U120">
            <v>557345</v>
          </cell>
          <cell r="V120">
            <v>2037531</v>
          </cell>
          <cell r="W120">
            <v>0</v>
          </cell>
          <cell r="X120">
            <v>0</v>
          </cell>
          <cell r="Y120">
            <v>2037531</v>
          </cell>
          <cell r="Z120">
            <v>82512591</v>
          </cell>
          <cell r="AA120">
            <v>0</v>
          </cell>
          <cell r="AB120">
            <v>0</v>
          </cell>
          <cell r="AC120">
            <v>82512591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18457659</v>
          </cell>
          <cell r="AP120">
            <v>6355044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56942372</v>
          </cell>
          <cell r="G121">
            <v>0</v>
          </cell>
          <cell r="H121">
            <v>5076</v>
          </cell>
          <cell r="I121">
            <v>56947448</v>
          </cell>
          <cell r="J121">
            <v>685628</v>
          </cell>
          <cell r="K121">
            <v>0</v>
          </cell>
          <cell r="L121">
            <v>0</v>
          </cell>
          <cell r="M121">
            <v>685628</v>
          </cell>
          <cell r="N121">
            <v>1467315</v>
          </cell>
          <cell r="O121">
            <v>0</v>
          </cell>
          <cell r="P121">
            <v>0</v>
          </cell>
          <cell r="Q121">
            <v>1467315</v>
          </cell>
          <cell r="R121">
            <v>1181065</v>
          </cell>
          <cell r="S121">
            <v>0</v>
          </cell>
          <cell r="T121">
            <v>0</v>
          </cell>
          <cell r="U121">
            <v>1181065</v>
          </cell>
          <cell r="V121">
            <v>3619804</v>
          </cell>
          <cell r="W121">
            <v>0</v>
          </cell>
          <cell r="X121">
            <v>0</v>
          </cell>
          <cell r="Y121">
            <v>3619804</v>
          </cell>
          <cell r="Z121">
            <v>49988560</v>
          </cell>
          <cell r="AA121">
            <v>0</v>
          </cell>
          <cell r="AB121">
            <v>5076</v>
          </cell>
          <cell r="AC121">
            <v>49993636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31175</v>
          </cell>
          <cell r="AL121">
            <v>0</v>
          </cell>
          <cell r="AM121">
            <v>0</v>
          </cell>
          <cell r="AN121">
            <v>0</v>
          </cell>
          <cell r="AO121">
            <v>3707733</v>
          </cell>
          <cell r="AP121">
            <v>1171999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26605698</v>
          </cell>
          <cell r="G122">
            <v>0</v>
          </cell>
          <cell r="H122">
            <v>0</v>
          </cell>
          <cell r="I122">
            <v>26605698</v>
          </cell>
          <cell r="J122">
            <v>278123</v>
          </cell>
          <cell r="K122">
            <v>0</v>
          </cell>
          <cell r="L122">
            <v>0</v>
          </cell>
          <cell r="M122">
            <v>278123</v>
          </cell>
          <cell r="N122">
            <v>112650</v>
          </cell>
          <cell r="O122">
            <v>0</v>
          </cell>
          <cell r="P122">
            <v>0</v>
          </cell>
          <cell r="Q122">
            <v>112650</v>
          </cell>
          <cell r="R122">
            <v>144948</v>
          </cell>
          <cell r="S122">
            <v>0</v>
          </cell>
          <cell r="T122">
            <v>0</v>
          </cell>
          <cell r="U122">
            <v>144948</v>
          </cell>
          <cell r="V122">
            <v>537014</v>
          </cell>
          <cell r="W122">
            <v>0</v>
          </cell>
          <cell r="X122">
            <v>0</v>
          </cell>
          <cell r="Y122">
            <v>537014</v>
          </cell>
          <cell r="Z122">
            <v>25532963</v>
          </cell>
          <cell r="AA122">
            <v>0</v>
          </cell>
          <cell r="AB122">
            <v>0</v>
          </cell>
          <cell r="AC122">
            <v>25532963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639472</v>
          </cell>
          <cell r="AP122">
            <v>376061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186249582</v>
          </cell>
          <cell r="G123">
            <v>0</v>
          </cell>
          <cell r="H123">
            <v>0</v>
          </cell>
          <cell r="I123">
            <v>186249582</v>
          </cell>
          <cell r="J123">
            <v>2031150</v>
          </cell>
          <cell r="K123">
            <v>0</v>
          </cell>
          <cell r="L123">
            <v>0</v>
          </cell>
          <cell r="M123">
            <v>2031150</v>
          </cell>
          <cell r="N123">
            <v>1935109.43</v>
          </cell>
          <cell r="O123">
            <v>0</v>
          </cell>
          <cell r="P123">
            <v>0</v>
          </cell>
          <cell r="Q123">
            <v>1935109.43</v>
          </cell>
          <cell r="R123">
            <v>9708203</v>
          </cell>
          <cell r="S123">
            <v>0</v>
          </cell>
          <cell r="T123">
            <v>0</v>
          </cell>
          <cell r="U123">
            <v>9708203</v>
          </cell>
          <cell r="V123">
            <v>29375203</v>
          </cell>
          <cell r="W123">
            <v>0</v>
          </cell>
          <cell r="X123">
            <v>0</v>
          </cell>
          <cell r="Y123">
            <v>29375203</v>
          </cell>
          <cell r="Z123">
            <v>143199917</v>
          </cell>
          <cell r="AA123">
            <v>0</v>
          </cell>
          <cell r="AB123">
            <v>0</v>
          </cell>
          <cell r="AC123">
            <v>143199917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27588640</v>
          </cell>
          <cell r="AP123">
            <v>14153379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36553248.200000003</v>
          </cell>
          <cell r="G124">
            <v>0</v>
          </cell>
          <cell r="H124">
            <v>0</v>
          </cell>
          <cell r="I124">
            <v>36553248.200000003</v>
          </cell>
          <cell r="J124">
            <v>81497</v>
          </cell>
          <cell r="K124">
            <v>0</v>
          </cell>
          <cell r="L124">
            <v>0</v>
          </cell>
          <cell r="M124">
            <v>81497</v>
          </cell>
          <cell r="N124">
            <v>-493364</v>
          </cell>
          <cell r="O124">
            <v>0</v>
          </cell>
          <cell r="P124">
            <v>0</v>
          </cell>
          <cell r="Q124">
            <v>-493364</v>
          </cell>
          <cell r="R124">
            <v>167943</v>
          </cell>
          <cell r="S124">
            <v>0</v>
          </cell>
          <cell r="T124">
            <v>0</v>
          </cell>
          <cell r="U124">
            <v>167943</v>
          </cell>
          <cell r="V124">
            <v>365764</v>
          </cell>
          <cell r="W124">
            <v>0</v>
          </cell>
          <cell r="X124">
            <v>0</v>
          </cell>
          <cell r="Y124">
            <v>365764</v>
          </cell>
          <cell r="Z124">
            <v>36431408</v>
          </cell>
          <cell r="AA124">
            <v>0</v>
          </cell>
          <cell r="AB124">
            <v>0</v>
          </cell>
          <cell r="AC124">
            <v>36431408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579711</v>
          </cell>
          <cell r="AP124">
            <v>464205.66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64919683</v>
          </cell>
          <cell r="G125">
            <v>0</v>
          </cell>
          <cell r="H125">
            <v>0</v>
          </cell>
          <cell r="I125">
            <v>64919683</v>
          </cell>
          <cell r="J125">
            <v>1212721</v>
          </cell>
          <cell r="K125">
            <v>0</v>
          </cell>
          <cell r="L125">
            <v>0</v>
          </cell>
          <cell r="M125">
            <v>1212721</v>
          </cell>
          <cell r="N125">
            <v>4685</v>
          </cell>
          <cell r="O125">
            <v>0</v>
          </cell>
          <cell r="P125">
            <v>0</v>
          </cell>
          <cell r="Q125">
            <v>4685</v>
          </cell>
          <cell r="R125">
            <v>726254</v>
          </cell>
          <cell r="S125">
            <v>0</v>
          </cell>
          <cell r="T125">
            <v>0</v>
          </cell>
          <cell r="U125">
            <v>726254</v>
          </cell>
          <cell r="V125">
            <v>1002921</v>
          </cell>
          <cell r="W125">
            <v>0</v>
          </cell>
          <cell r="X125">
            <v>0</v>
          </cell>
          <cell r="Y125">
            <v>1002921</v>
          </cell>
          <cell r="Z125">
            <v>61973102</v>
          </cell>
          <cell r="AA125">
            <v>0</v>
          </cell>
          <cell r="AB125">
            <v>0</v>
          </cell>
          <cell r="AC125">
            <v>61973102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10893746</v>
          </cell>
          <cell r="AP125">
            <v>6941347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41115273.700000003</v>
          </cell>
          <cell r="G126">
            <v>0</v>
          </cell>
          <cell r="H126">
            <v>2613041.27</v>
          </cell>
          <cell r="I126">
            <v>43728315</v>
          </cell>
          <cell r="J126">
            <v>297068</v>
          </cell>
          <cell r="K126">
            <v>0</v>
          </cell>
          <cell r="L126">
            <v>0</v>
          </cell>
          <cell r="M126">
            <v>297068</v>
          </cell>
          <cell r="N126">
            <v>790500</v>
          </cell>
          <cell r="O126">
            <v>0</v>
          </cell>
          <cell r="P126">
            <v>0</v>
          </cell>
          <cell r="Q126">
            <v>790500</v>
          </cell>
          <cell r="R126">
            <v>1862324</v>
          </cell>
          <cell r="S126">
            <v>0</v>
          </cell>
          <cell r="T126">
            <v>0</v>
          </cell>
          <cell r="U126">
            <v>1862324</v>
          </cell>
          <cell r="V126">
            <v>2456130</v>
          </cell>
          <cell r="W126">
            <v>0</v>
          </cell>
          <cell r="X126">
            <v>0</v>
          </cell>
          <cell r="Y126">
            <v>2456130</v>
          </cell>
          <cell r="Z126">
            <v>35709252</v>
          </cell>
          <cell r="AA126">
            <v>0</v>
          </cell>
          <cell r="AB126">
            <v>2613041</v>
          </cell>
          <cell r="AC126">
            <v>38322293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-2.71</v>
          </cell>
          <cell r="AJ126">
            <v>0</v>
          </cell>
          <cell r="AK126">
            <v>2754899</v>
          </cell>
          <cell r="AL126">
            <v>0</v>
          </cell>
          <cell r="AM126">
            <v>0</v>
          </cell>
          <cell r="AN126">
            <v>0</v>
          </cell>
          <cell r="AO126">
            <v>2294717</v>
          </cell>
          <cell r="AP126">
            <v>286662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60557573</v>
          </cell>
          <cell r="G127">
            <v>0</v>
          </cell>
          <cell r="H127">
            <v>0</v>
          </cell>
          <cell r="I127">
            <v>60557573</v>
          </cell>
          <cell r="J127">
            <v>285594</v>
          </cell>
          <cell r="K127">
            <v>0</v>
          </cell>
          <cell r="L127">
            <v>0</v>
          </cell>
          <cell r="M127">
            <v>285594</v>
          </cell>
          <cell r="N127">
            <v>349494</v>
          </cell>
          <cell r="O127">
            <v>0</v>
          </cell>
          <cell r="P127">
            <v>0</v>
          </cell>
          <cell r="Q127">
            <v>349494</v>
          </cell>
          <cell r="R127">
            <v>742124</v>
          </cell>
          <cell r="S127">
            <v>0</v>
          </cell>
          <cell r="T127">
            <v>0</v>
          </cell>
          <cell r="U127">
            <v>742124</v>
          </cell>
          <cell r="V127">
            <v>995326</v>
          </cell>
          <cell r="W127">
            <v>0</v>
          </cell>
          <cell r="X127">
            <v>0</v>
          </cell>
          <cell r="Y127">
            <v>995326</v>
          </cell>
          <cell r="Z127">
            <v>58185035</v>
          </cell>
          <cell r="AA127">
            <v>0</v>
          </cell>
          <cell r="AB127">
            <v>0</v>
          </cell>
          <cell r="AC127">
            <v>58185035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1897469</v>
          </cell>
          <cell r="AP127">
            <v>742939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51298363</v>
          </cell>
          <cell r="G128">
            <v>0</v>
          </cell>
          <cell r="H128">
            <v>0</v>
          </cell>
          <cell r="I128">
            <v>51298363</v>
          </cell>
          <cell r="J128">
            <v>1087244</v>
          </cell>
          <cell r="K128">
            <v>0</v>
          </cell>
          <cell r="L128">
            <v>0</v>
          </cell>
          <cell r="M128">
            <v>1087244</v>
          </cell>
          <cell r="N128">
            <v>285191</v>
          </cell>
          <cell r="O128">
            <v>0</v>
          </cell>
          <cell r="P128">
            <v>0</v>
          </cell>
          <cell r="Q128">
            <v>285191</v>
          </cell>
          <cell r="R128">
            <v>1400000</v>
          </cell>
          <cell r="S128">
            <v>0</v>
          </cell>
          <cell r="T128">
            <v>0</v>
          </cell>
          <cell r="U128">
            <v>1400000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48525928</v>
          </cell>
          <cell r="AA128">
            <v>0</v>
          </cell>
          <cell r="AB128">
            <v>0</v>
          </cell>
          <cell r="AC128">
            <v>48525928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3845514</v>
          </cell>
          <cell r="AP128">
            <v>183926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29141523</v>
          </cell>
          <cell r="G129">
            <v>0</v>
          </cell>
          <cell r="H129">
            <v>0</v>
          </cell>
          <cell r="I129">
            <v>29141523</v>
          </cell>
          <cell r="J129">
            <v>446773.97</v>
          </cell>
          <cell r="K129">
            <v>0</v>
          </cell>
          <cell r="L129">
            <v>0</v>
          </cell>
          <cell r="M129">
            <v>446773.97</v>
          </cell>
          <cell r="N129">
            <v>8352.41</v>
          </cell>
          <cell r="O129">
            <v>0</v>
          </cell>
          <cell r="P129">
            <v>0</v>
          </cell>
          <cell r="Q129">
            <v>8352.41</v>
          </cell>
          <cell r="R129">
            <v>458054.77</v>
          </cell>
          <cell r="S129">
            <v>0</v>
          </cell>
          <cell r="T129">
            <v>0</v>
          </cell>
          <cell r="U129">
            <v>458054.77</v>
          </cell>
          <cell r="V129">
            <v>1438654.58</v>
          </cell>
          <cell r="W129">
            <v>0</v>
          </cell>
          <cell r="X129">
            <v>0</v>
          </cell>
          <cell r="Y129">
            <v>1438654.58</v>
          </cell>
          <cell r="Z129">
            <v>26789687</v>
          </cell>
          <cell r="AA129">
            <v>0</v>
          </cell>
          <cell r="AB129">
            <v>0</v>
          </cell>
          <cell r="AC129">
            <v>26789687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1790175.08</v>
          </cell>
          <cell r="AP129">
            <v>508949.35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30021500</v>
          </cell>
          <cell r="G130">
            <v>0</v>
          </cell>
          <cell r="H130">
            <v>0</v>
          </cell>
          <cell r="I130">
            <v>30021500</v>
          </cell>
          <cell r="J130">
            <v>255892</v>
          </cell>
          <cell r="K130">
            <v>0</v>
          </cell>
          <cell r="L130">
            <v>0</v>
          </cell>
          <cell r="M130">
            <v>255892</v>
          </cell>
          <cell r="N130">
            <v>96859</v>
          </cell>
          <cell r="O130">
            <v>0</v>
          </cell>
          <cell r="P130">
            <v>0</v>
          </cell>
          <cell r="Q130">
            <v>96859</v>
          </cell>
          <cell r="R130">
            <v>1040738</v>
          </cell>
          <cell r="S130">
            <v>0</v>
          </cell>
          <cell r="T130">
            <v>0</v>
          </cell>
          <cell r="U130">
            <v>1040738</v>
          </cell>
          <cell r="V130">
            <v>2923061</v>
          </cell>
          <cell r="W130">
            <v>0</v>
          </cell>
          <cell r="X130">
            <v>0</v>
          </cell>
          <cell r="Y130">
            <v>2923061</v>
          </cell>
          <cell r="Z130">
            <v>25704950</v>
          </cell>
          <cell r="AA130">
            <v>0</v>
          </cell>
          <cell r="AB130">
            <v>0</v>
          </cell>
          <cell r="AC130">
            <v>25704950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1414689</v>
          </cell>
          <cell r="AP130">
            <v>538863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21715458</v>
          </cell>
          <cell r="G131">
            <v>0</v>
          </cell>
          <cell r="H131">
            <v>0</v>
          </cell>
          <cell r="I131">
            <v>21715458</v>
          </cell>
          <cell r="J131">
            <v>5664</v>
          </cell>
          <cell r="K131">
            <v>0</v>
          </cell>
          <cell r="L131">
            <v>0</v>
          </cell>
          <cell r="M131">
            <v>5664</v>
          </cell>
          <cell r="N131">
            <v>-6756</v>
          </cell>
          <cell r="O131">
            <v>0</v>
          </cell>
          <cell r="P131">
            <v>0</v>
          </cell>
          <cell r="Q131">
            <v>-6756</v>
          </cell>
          <cell r="R131">
            <v>514476</v>
          </cell>
          <cell r="S131">
            <v>0</v>
          </cell>
          <cell r="T131">
            <v>0</v>
          </cell>
          <cell r="U131">
            <v>514476</v>
          </cell>
          <cell r="V131">
            <v>1285188</v>
          </cell>
          <cell r="W131">
            <v>0</v>
          </cell>
          <cell r="X131">
            <v>0</v>
          </cell>
          <cell r="Y131">
            <v>1285188</v>
          </cell>
          <cell r="Z131">
            <v>19916886</v>
          </cell>
          <cell r="AA131">
            <v>0</v>
          </cell>
          <cell r="AB131">
            <v>0</v>
          </cell>
          <cell r="AC131">
            <v>19916886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1222816</v>
          </cell>
          <cell r="AP131">
            <v>265085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31850405</v>
          </cell>
          <cell r="G132">
            <v>0</v>
          </cell>
          <cell r="H132">
            <v>0</v>
          </cell>
          <cell r="I132">
            <v>31850405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-76196</v>
          </cell>
          <cell r="O132">
            <v>0</v>
          </cell>
          <cell r="P132">
            <v>0</v>
          </cell>
          <cell r="Q132">
            <v>-76196</v>
          </cell>
          <cell r="R132">
            <v>459648</v>
          </cell>
          <cell r="S132">
            <v>0</v>
          </cell>
          <cell r="T132">
            <v>0</v>
          </cell>
          <cell r="U132">
            <v>459648</v>
          </cell>
          <cell r="V132">
            <v>661461</v>
          </cell>
          <cell r="W132">
            <v>0</v>
          </cell>
          <cell r="X132">
            <v>0</v>
          </cell>
          <cell r="Y132">
            <v>661461</v>
          </cell>
          <cell r="Z132">
            <v>30805492</v>
          </cell>
          <cell r="AA132">
            <v>0</v>
          </cell>
          <cell r="AB132">
            <v>0</v>
          </cell>
          <cell r="AC132">
            <v>30805492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559640</v>
          </cell>
          <cell r="AP132">
            <v>563603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72753269.200000003</v>
          </cell>
          <cell r="G133">
            <v>0</v>
          </cell>
          <cell r="H133">
            <v>0</v>
          </cell>
          <cell r="I133">
            <v>72753269.200000003</v>
          </cell>
          <cell r="J133">
            <v>1279132.75</v>
          </cell>
          <cell r="K133">
            <v>0</v>
          </cell>
          <cell r="L133">
            <v>0</v>
          </cell>
          <cell r="M133">
            <v>1279132.75</v>
          </cell>
          <cell r="N133">
            <v>-91918.66</v>
          </cell>
          <cell r="O133">
            <v>0</v>
          </cell>
          <cell r="P133">
            <v>0</v>
          </cell>
          <cell r="Q133">
            <v>-91918.66</v>
          </cell>
          <cell r="R133">
            <v>1257705.4099999999</v>
          </cell>
          <cell r="S133">
            <v>0</v>
          </cell>
          <cell r="T133">
            <v>0</v>
          </cell>
          <cell r="U133">
            <v>1257705.4099999999</v>
          </cell>
          <cell r="V133">
            <v>4627184.07</v>
          </cell>
          <cell r="W133">
            <v>0</v>
          </cell>
          <cell r="X133">
            <v>0</v>
          </cell>
          <cell r="Y133">
            <v>4627184.07</v>
          </cell>
          <cell r="Z133">
            <v>65681166</v>
          </cell>
          <cell r="AA133">
            <v>0</v>
          </cell>
          <cell r="AB133">
            <v>0</v>
          </cell>
          <cell r="AC133">
            <v>65681166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6174694.8499999996</v>
          </cell>
          <cell r="AP133">
            <v>5907277.1200000001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44742351.700000003</v>
          </cell>
          <cell r="G134">
            <v>0</v>
          </cell>
          <cell r="H134">
            <v>-2616.2800000000002</v>
          </cell>
          <cell r="I134">
            <v>44739735.399999999</v>
          </cell>
          <cell r="J134">
            <v>135699</v>
          </cell>
          <cell r="K134">
            <v>0</v>
          </cell>
          <cell r="L134">
            <v>-180</v>
          </cell>
          <cell r="M134">
            <v>135519</v>
          </cell>
          <cell r="N134">
            <v>80053.42</v>
          </cell>
          <cell r="O134">
            <v>0</v>
          </cell>
          <cell r="P134">
            <v>0</v>
          </cell>
          <cell r="Q134">
            <v>80053.42</v>
          </cell>
          <cell r="R134">
            <v>523594</v>
          </cell>
          <cell r="S134">
            <v>0</v>
          </cell>
          <cell r="T134">
            <v>0</v>
          </cell>
          <cell r="U134">
            <v>523594</v>
          </cell>
          <cell r="V134">
            <v>1603195</v>
          </cell>
          <cell r="W134">
            <v>0</v>
          </cell>
          <cell r="X134">
            <v>0</v>
          </cell>
          <cell r="Y134">
            <v>1603195</v>
          </cell>
          <cell r="Z134">
            <v>42399810</v>
          </cell>
          <cell r="AA134">
            <v>0</v>
          </cell>
          <cell r="AB134">
            <v>-2436</v>
          </cell>
          <cell r="AC134">
            <v>42397374</v>
          </cell>
          <cell r="AD134">
            <v>42597</v>
          </cell>
          <cell r="AE134">
            <v>0</v>
          </cell>
          <cell r="AF134">
            <v>0</v>
          </cell>
          <cell r="AG134">
            <v>42597</v>
          </cell>
          <cell r="AH134">
            <v>0</v>
          </cell>
          <cell r="AI134">
            <v>-7424.16</v>
          </cell>
          <cell r="AJ134">
            <v>0</v>
          </cell>
          <cell r="AK134">
            <v>225742</v>
          </cell>
          <cell r="AL134">
            <v>0</v>
          </cell>
          <cell r="AM134">
            <v>0</v>
          </cell>
          <cell r="AN134">
            <v>42597</v>
          </cell>
          <cell r="AO134">
            <v>1099986</v>
          </cell>
          <cell r="AP134">
            <v>706627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45003341.5</v>
          </cell>
          <cell r="G135">
            <v>0</v>
          </cell>
          <cell r="H135">
            <v>0</v>
          </cell>
          <cell r="I135">
            <v>45003341.5</v>
          </cell>
          <cell r="J135">
            <v>686019.42</v>
          </cell>
          <cell r="K135">
            <v>0</v>
          </cell>
          <cell r="L135">
            <v>0</v>
          </cell>
          <cell r="M135">
            <v>686019.42</v>
          </cell>
          <cell r="N135">
            <v>208543.38</v>
          </cell>
          <cell r="O135">
            <v>0</v>
          </cell>
          <cell r="P135">
            <v>0</v>
          </cell>
          <cell r="Q135">
            <v>208543.38</v>
          </cell>
          <cell r="R135">
            <v>1557003.6</v>
          </cell>
          <cell r="S135">
            <v>0</v>
          </cell>
          <cell r="T135">
            <v>0</v>
          </cell>
          <cell r="U135">
            <v>1557003.6</v>
          </cell>
          <cell r="V135">
            <v>4210624.4000000004</v>
          </cell>
          <cell r="W135">
            <v>0</v>
          </cell>
          <cell r="X135">
            <v>0</v>
          </cell>
          <cell r="Y135">
            <v>4210624.4000000004</v>
          </cell>
          <cell r="Z135">
            <v>38341151</v>
          </cell>
          <cell r="AA135">
            <v>0</v>
          </cell>
          <cell r="AB135">
            <v>0</v>
          </cell>
          <cell r="AC135">
            <v>38341151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1630989.17</v>
          </cell>
          <cell r="AP135">
            <v>1324066.1000000001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23226284</v>
          </cell>
          <cell r="G136">
            <v>0</v>
          </cell>
          <cell r="H136">
            <v>0</v>
          </cell>
          <cell r="I136">
            <v>23226284</v>
          </cell>
          <cell r="J136">
            <v>83407</v>
          </cell>
          <cell r="K136">
            <v>0</v>
          </cell>
          <cell r="L136">
            <v>0</v>
          </cell>
          <cell r="M136">
            <v>83407</v>
          </cell>
          <cell r="N136">
            <v>58553</v>
          </cell>
          <cell r="O136">
            <v>0</v>
          </cell>
          <cell r="P136">
            <v>0</v>
          </cell>
          <cell r="Q136">
            <v>58553</v>
          </cell>
          <cell r="R136">
            <v>83780</v>
          </cell>
          <cell r="S136">
            <v>0</v>
          </cell>
          <cell r="T136">
            <v>0</v>
          </cell>
          <cell r="U136">
            <v>83780</v>
          </cell>
          <cell r="V136">
            <v>207056</v>
          </cell>
          <cell r="W136">
            <v>0</v>
          </cell>
          <cell r="X136">
            <v>0</v>
          </cell>
          <cell r="Y136">
            <v>207056</v>
          </cell>
          <cell r="Z136">
            <v>22793488</v>
          </cell>
          <cell r="AA136">
            <v>0</v>
          </cell>
          <cell r="AB136">
            <v>0</v>
          </cell>
          <cell r="AC136">
            <v>22793488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992368</v>
          </cell>
          <cell r="AP136">
            <v>226934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336268418</v>
          </cell>
          <cell r="G137">
            <v>0</v>
          </cell>
          <cell r="H137">
            <v>0</v>
          </cell>
          <cell r="I137">
            <v>336268418</v>
          </cell>
          <cell r="J137">
            <v>2110016</v>
          </cell>
          <cell r="K137">
            <v>0</v>
          </cell>
          <cell r="L137">
            <v>0</v>
          </cell>
          <cell r="M137">
            <v>2110016</v>
          </cell>
          <cell r="N137">
            <v>-392770</v>
          </cell>
          <cell r="O137">
            <v>0</v>
          </cell>
          <cell r="P137">
            <v>0</v>
          </cell>
          <cell r="Q137">
            <v>-392770</v>
          </cell>
          <cell r="R137">
            <v>2914227</v>
          </cell>
          <cell r="S137">
            <v>0</v>
          </cell>
          <cell r="T137">
            <v>0</v>
          </cell>
          <cell r="U137">
            <v>2914227</v>
          </cell>
          <cell r="V137">
            <v>1380825</v>
          </cell>
          <cell r="W137">
            <v>0</v>
          </cell>
          <cell r="X137">
            <v>0</v>
          </cell>
          <cell r="Y137">
            <v>1380825</v>
          </cell>
          <cell r="Z137">
            <v>330256120</v>
          </cell>
          <cell r="AA137">
            <v>0</v>
          </cell>
          <cell r="AB137">
            <v>0</v>
          </cell>
          <cell r="AC137">
            <v>330256120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5939066</v>
          </cell>
          <cell r="AP137">
            <v>14923562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27070601</v>
          </cell>
          <cell r="G138">
            <v>0</v>
          </cell>
          <cell r="H138">
            <v>950243</v>
          </cell>
          <cell r="I138">
            <v>28020844</v>
          </cell>
          <cell r="J138">
            <v>111668</v>
          </cell>
          <cell r="K138">
            <v>0</v>
          </cell>
          <cell r="L138">
            <v>0</v>
          </cell>
          <cell r="M138">
            <v>111668</v>
          </cell>
          <cell r="N138">
            <v>-3948</v>
          </cell>
          <cell r="O138">
            <v>0</v>
          </cell>
          <cell r="P138">
            <v>0</v>
          </cell>
          <cell r="Q138">
            <v>-3948</v>
          </cell>
          <cell r="R138">
            <v>111787</v>
          </cell>
          <cell r="S138">
            <v>0</v>
          </cell>
          <cell r="T138">
            <v>0</v>
          </cell>
          <cell r="U138">
            <v>111787</v>
          </cell>
          <cell r="V138">
            <v>426307</v>
          </cell>
          <cell r="W138">
            <v>0</v>
          </cell>
          <cell r="X138">
            <v>0</v>
          </cell>
          <cell r="Y138">
            <v>426307</v>
          </cell>
          <cell r="Z138">
            <v>26424787</v>
          </cell>
          <cell r="AA138">
            <v>0</v>
          </cell>
          <cell r="AB138">
            <v>950243</v>
          </cell>
          <cell r="AC138">
            <v>27375030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873420</v>
          </cell>
          <cell r="AL138">
            <v>0</v>
          </cell>
          <cell r="AM138">
            <v>76823</v>
          </cell>
          <cell r="AN138">
            <v>0</v>
          </cell>
          <cell r="AO138">
            <v>750261</v>
          </cell>
          <cell r="AP138">
            <v>528783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40641497</v>
          </cell>
          <cell r="G139">
            <v>0</v>
          </cell>
          <cell r="H139">
            <v>0</v>
          </cell>
          <cell r="I139">
            <v>40641497</v>
          </cell>
          <cell r="J139">
            <v>343947</v>
          </cell>
          <cell r="K139">
            <v>0</v>
          </cell>
          <cell r="L139">
            <v>0</v>
          </cell>
          <cell r="M139">
            <v>343947</v>
          </cell>
          <cell r="N139">
            <v>280194</v>
          </cell>
          <cell r="O139">
            <v>0</v>
          </cell>
          <cell r="P139">
            <v>0</v>
          </cell>
          <cell r="Q139">
            <v>280194</v>
          </cell>
          <cell r="R139">
            <v>651304</v>
          </cell>
          <cell r="S139">
            <v>0</v>
          </cell>
          <cell r="T139">
            <v>0</v>
          </cell>
          <cell r="U139">
            <v>651304</v>
          </cell>
          <cell r="V139">
            <v>2022911</v>
          </cell>
          <cell r="W139">
            <v>0</v>
          </cell>
          <cell r="X139">
            <v>0</v>
          </cell>
          <cell r="Y139">
            <v>2022911</v>
          </cell>
          <cell r="Z139">
            <v>37343141</v>
          </cell>
          <cell r="AA139">
            <v>0</v>
          </cell>
          <cell r="AB139">
            <v>0</v>
          </cell>
          <cell r="AC139">
            <v>37343141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2449773</v>
          </cell>
          <cell r="AP139">
            <v>916864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148124774</v>
          </cell>
          <cell r="G140">
            <v>0</v>
          </cell>
          <cell r="H140">
            <v>0</v>
          </cell>
          <cell r="I140">
            <v>148124774</v>
          </cell>
          <cell r="J140">
            <v>304466.07</v>
          </cell>
          <cell r="K140">
            <v>0</v>
          </cell>
          <cell r="L140">
            <v>0</v>
          </cell>
          <cell r="M140">
            <v>304466.07</v>
          </cell>
          <cell r="N140">
            <v>100000</v>
          </cell>
          <cell r="O140">
            <v>0</v>
          </cell>
          <cell r="P140">
            <v>0</v>
          </cell>
          <cell r="Q140">
            <v>100000</v>
          </cell>
          <cell r="R140">
            <v>3500000</v>
          </cell>
          <cell r="S140">
            <v>0</v>
          </cell>
          <cell r="T140">
            <v>0</v>
          </cell>
          <cell r="U140">
            <v>3500000</v>
          </cell>
          <cell r="V140">
            <v>9500000</v>
          </cell>
          <cell r="W140">
            <v>0</v>
          </cell>
          <cell r="X140">
            <v>0</v>
          </cell>
          <cell r="Y140">
            <v>9500000</v>
          </cell>
          <cell r="Z140">
            <v>134720309</v>
          </cell>
          <cell r="AA140">
            <v>0</v>
          </cell>
          <cell r="AB140">
            <v>0</v>
          </cell>
          <cell r="AC140">
            <v>134720309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9311964.2699999996</v>
          </cell>
          <cell r="AP140">
            <v>11044993.300000001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55085069</v>
          </cell>
          <cell r="G141">
            <v>0</v>
          </cell>
          <cell r="H141">
            <v>688512</v>
          </cell>
          <cell r="I141">
            <v>55773581</v>
          </cell>
          <cell r="J141">
            <v>266294</v>
          </cell>
          <cell r="K141">
            <v>0</v>
          </cell>
          <cell r="L141">
            <v>-3751</v>
          </cell>
          <cell r="M141">
            <v>262543</v>
          </cell>
          <cell r="N141">
            <v>-69000</v>
          </cell>
          <cell r="O141">
            <v>0</v>
          </cell>
          <cell r="P141">
            <v>0</v>
          </cell>
          <cell r="Q141">
            <v>-69000</v>
          </cell>
          <cell r="R141">
            <v>1583000</v>
          </cell>
          <cell r="S141">
            <v>0</v>
          </cell>
          <cell r="T141">
            <v>0</v>
          </cell>
          <cell r="U141">
            <v>1583000</v>
          </cell>
          <cell r="V141">
            <v>3552000</v>
          </cell>
          <cell r="W141">
            <v>0</v>
          </cell>
          <cell r="X141">
            <v>0</v>
          </cell>
          <cell r="Y141">
            <v>3552000</v>
          </cell>
          <cell r="Z141">
            <v>49752775</v>
          </cell>
          <cell r="AA141">
            <v>0</v>
          </cell>
          <cell r="AB141">
            <v>692263</v>
          </cell>
          <cell r="AC141">
            <v>50445038</v>
          </cell>
          <cell r="AD141">
            <v>190755</v>
          </cell>
          <cell r="AE141">
            <v>0</v>
          </cell>
          <cell r="AF141">
            <v>0</v>
          </cell>
          <cell r="AG141">
            <v>190755</v>
          </cell>
          <cell r="AH141">
            <v>0</v>
          </cell>
          <cell r="AI141">
            <v>0</v>
          </cell>
          <cell r="AJ141">
            <v>0</v>
          </cell>
          <cell r="AK141">
            <v>612921</v>
          </cell>
          <cell r="AL141">
            <v>0</v>
          </cell>
          <cell r="AM141">
            <v>79342</v>
          </cell>
          <cell r="AN141">
            <v>190755</v>
          </cell>
          <cell r="AO141">
            <v>965989</v>
          </cell>
          <cell r="AP141">
            <v>164545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20899070.600000001</v>
          </cell>
          <cell r="G142">
            <v>0</v>
          </cell>
          <cell r="H142">
            <v>0</v>
          </cell>
          <cell r="I142">
            <v>20899070.600000001</v>
          </cell>
          <cell r="J142">
            <v>228093</v>
          </cell>
          <cell r="K142">
            <v>0</v>
          </cell>
          <cell r="L142">
            <v>0</v>
          </cell>
          <cell r="M142">
            <v>228093</v>
          </cell>
          <cell r="N142">
            <v>171865</v>
          </cell>
          <cell r="O142">
            <v>0</v>
          </cell>
          <cell r="P142">
            <v>0</v>
          </cell>
          <cell r="Q142">
            <v>171865</v>
          </cell>
          <cell r="R142">
            <v>246531</v>
          </cell>
          <cell r="S142">
            <v>0</v>
          </cell>
          <cell r="T142">
            <v>0</v>
          </cell>
          <cell r="U142">
            <v>246531</v>
          </cell>
          <cell r="V142">
            <v>741262.26</v>
          </cell>
          <cell r="W142">
            <v>0</v>
          </cell>
          <cell r="X142">
            <v>0</v>
          </cell>
          <cell r="Y142">
            <v>741262.26</v>
          </cell>
          <cell r="Z142">
            <v>19511319</v>
          </cell>
          <cell r="AA142">
            <v>0</v>
          </cell>
          <cell r="AB142">
            <v>0</v>
          </cell>
          <cell r="AC142">
            <v>19511319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3831488</v>
          </cell>
          <cell r="AP142">
            <v>959377.25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55243786.399999999</v>
          </cell>
          <cell r="G143">
            <v>0</v>
          </cell>
          <cell r="H143">
            <v>0</v>
          </cell>
          <cell r="I143">
            <v>55243786.399999999</v>
          </cell>
          <cell r="J143">
            <v>630551.49</v>
          </cell>
          <cell r="K143">
            <v>0</v>
          </cell>
          <cell r="L143">
            <v>0</v>
          </cell>
          <cell r="M143">
            <v>630551.49</v>
          </cell>
          <cell r="N143">
            <v>35886</v>
          </cell>
          <cell r="O143">
            <v>0</v>
          </cell>
          <cell r="P143">
            <v>0</v>
          </cell>
          <cell r="Q143">
            <v>35886</v>
          </cell>
          <cell r="R143">
            <v>547098</v>
          </cell>
          <cell r="S143">
            <v>0</v>
          </cell>
          <cell r="T143">
            <v>0</v>
          </cell>
          <cell r="U143">
            <v>547098</v>
          </cell>
          <cell r="V143">
            <v>1414448</v>
          </cell>
          <cell r="W143">
            <v>0</v>
          </cell>
          <cell r="X143">
            <v>0</v>
          </cell>
          <cell r="Y143">
            <v>1414448</v>
          </cell>
          <cell r="Z143">
            <v>52615803</v>
          </cell>
          <cell r="AA143">
            <v>0</v>
          </cell>
          <cell r="AB143">
            <v>0</v>
          </cell>
          <cell r="AC143">
            <v>52615803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2117158.13</v>
          </cell>
          <cell r="AP143">
            <v>43795.88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34210049.700000003</v>
          </cell>
          <cell r="G144">
            <v>0</v>
          </cell>
          <cell r="H144">
            <v>0</v>
          </cell>
          <cell r="I144">
            <v>34210049.700000003</v>
          </cell>
          <cell r="J144">
            <v>152927</v>
          </cell>
          <cell r="K144">
            <v>0</v>
          </cell>
          <cell r="L144">
            <v>0</v>
          </cell>
          <cell r="M144">
            <v>152927</v>
          </cell>
          <cell r="N144">
            <v>14235</v>
          </cell>
          <cell r="O144">
            <v>0</v>
          </cell>
          <cell r="P144">
            <v>0</v>
          </cell>
          <cell r="Q144">
            <v>14235</v>
          </cell>
          <cell r="R144">
            <v>24699</v>
          </cell>
          <cell r="S144">
            <v>0</v>
          </cell>
          <cell r="T144">
            <v>0</v>
          </cell>
          <cell r="U144">
            <v>24699</v>
          </cell>
          <cell r="V144">
            <v>3131745</v>
          </cell>
          <cell r="W144">
            <v>0</v>
          </cell>
          <cell r="X144">
            <v>0</v>
          </cell>
          <cell r="Y144">
            <v>3131745</v>
          </cell>
          <cell r="Z144">
            <v>30886444</v>
          </cell>
          <cell r="AA144">
            <v>0</v>
          </cell>
          <cell r="AB144">
            <v>0</v>
          </cell>
          <cell r="AC144">
            <v>30886444</v>
          </cell>
          <cell r="AD144">
            <v>79257</v>
          </cell>
          <cell r="AE144">
            <v>0</v>
          </cell>
          <cell r="AF144">
            <v>0</v>
          </cell>
          <cell r="AG144">
            <v>79257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79257</v>
          </cell>
          <cell r="AO144">
            <v>1510017</v>
          </cell>
          <cell r="AP144">
            <v>513693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1499641</v>
          </cell>
          <cell r="G145">
            <v>0</v>
          </cell>
          <cell r="H145">
            <v>0</v>
          </cell>
          <cell r="I145">
            <v>1499641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40804</v>
          </cell>
          <cell r="O145">
            <v>0</v>
          </cell>
          <cell r="P145">
            <v>0</v>
          </cell>
          <cell r="Q145">
            <v>40804</v>
          </cell>
          <cell r="R145">
            <v>55000</v>
          </cell>
          <cell r="S145">
            <v>0</v>
          </cell>
          <cell r="T145">
            <v>0</v>
          </cell>
          <cell r="U145">
            <v>55000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1403837</v>
          </cell>
          <cell r="AA145">
            <v>0</v>
          </cell>
          <cell r="AB145">
            <v>0</v>
          </cell>
          <cell r="AC145">
            <v>1403837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232437</v>
          </cell>
          <cell r="AP145">
            <v>31096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189671108</v>
          </cell>
          <cell r="G146">
            <v>0</v>
          </cell>
          <cell r="H146">
            <v>0</v>
          </cell>
          <cell r="I146">
            <v>189671108</v>
          </cell>
          <cell r="J146">
            <v>3069676.95</v>
          </cell>
          <cell r="K146">
            <v>0</v>
          </cell>
          <cell r="L146">
            <v>0</v>
          </cell>
          <cell r="M146">
            <v>3069676.95</v>
          </cell>
          <cell r="N146">
            <v>-184770.43</v>
          </cell>
          <cell r="O146">
            <v>0</v>
          </cell>
          <cell r="P146">
            <v>0</v>
          </cell>
          <cell r="Q146">
            <v>-184770.43</v>
          </cell>
          <cell r="R146">
            <v>1994566.8</v>
          </cell>
          <cell r="S146">
            <v>0</v>
          </cell>
          <cell r="T146">
            <v>0</v>
          </cell>
          <cell r="U146">
            <v>1994566.8</v>
          </cell>
          <cell r="V146">
            <v>5539024.25</v>
          </cell>
          <cell r="W146">
            <v>0</v>
          </cell>
          <cell r="X146">
            <v>0</v>
          </cell>
          <cell r="Y146">
            <v>5539024.25</v>
          </cell>
          <cell r="Z146">
            <v>179252611</v>
          </cell>
          <cell r="AA146">
            <v>0</v>
          </cell>
          <cell r="AB146">
            <v>0</v>
          </cell>
          <cell r="AC146">
            <v>179252611</v>
          </cell>
          <cell r="AD146">
            <v>60284.38</v>
          </cell>
          <cell r="AE146">
            <v>0</v>
          </cell>
          <cell r="AF146">
            <v>0</v>
          </cell>
          <cell r="AG146">
            <v>60284.38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60284.38</v>
          </cell>
          <cell r="AO146">
            <v>23022717.899999999</v>
          </cell>
          <cell r="AP146">
            <v>-16511225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277839645</v>
          </cell>
          <cell r="G147">
            <v>0</v>
          </cell>
          <cell r="H147">
            <v>0</v>
          </cell>
          <cell r="I147">
            <v>277839645</v>
          </cell>
          <cell r="J147">
            <v>1045308</v>
          </cell>
          <cell r="K147">
            <v>0</v>
          </cell>
          <cell r="L147">
            <v>0</v>
          </cell>
          <cell r="M147">
            <v>1045308</v>
          </cell>
          <cell r="N147">
            <v>948812</v>
          </cell>
          <cell r="O147">
            <v>0</v>
          </cell>
          <cell r="P147">
            <v>0</v>
          </cell>
          <cell r="Q147">
            <v>948812</v>
          </cell>
          <cell r="R147">
            <v>2471941</v>
          </cell>
          <cell r="S147">
            <v>0</v>
          </cell>
          <cell r="T147">
            <v>0</v>
          </cell>
          <cell r="U147">
            <v>2471941</v>
          </cell>
          <cell r="V147">
            <v>9887765</v>
          </cell>
          <cell r="W147">
            <v>0</v>
          </cell>
          <cell r="X147">
            <v>0</v>
          </cell>
          <cell r="Y147">
            <v>9887765</v>
          </cell>
          <cell r="Z147">
            <v>263485819</v>
          </cell>
          <cell r="AA147">
            <v>0</v>
          </cell>
          <cell r="AB147">
            <v>0</v>
          </cell>
          <cell r="AC147">
            <v>263485819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9210633</v>
          </cell>
          <cell r="AP147">
            <v>7744596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31075137</v>
          </cell>
          <cell r="G148">
            <v>0</v>
          </cell>
          <cell r="H148">
            <v>0</v>
          </cell>
          <cell r="I148">
            <v>31075137</v>
          </cell>
          <cell r="J148">
            <v>129889</v>
          </cell>
          <cell r="K148">
            <v>0</v>
          </cell>
          <cell r="L148">
            <v>0</v>
          </cell>
          <cell r="M148">
            <v>129889</v>
          </cell>
          <cell r="N148">
            <v>-7608</v>
          </cell>
          <cell r="O148">
            <v>0</v>
          </cell>
          <cell r="P148">
            <v>0</v>
          </cell>
          <cell r="Q148">
            <v>-7608</v>
          </cell>
          <cell r="R148">
            <v>64540</v>
          </cell>
          <cell r="S148">
            <v>0</v>
          </cell>
          <cell r="T148">
            <v>0</v>
          </cell>
          <cell r="U148">
            <v>64540</v>
          </cell>
          <cell r="V148">
            <v>1083881</v>
          </cell>
          <cell r="W148">
            <v>0</v>
          </cell>
          <cell r="X148">
            <v>0</v>
          </cell>
          <cell r="Y148">
            <v>1083881</v>
          </cell>
          <cell r="Z148">
            <v>29804435</v>
          </cell>
          <cell r="AA148">
            <v>0</v>
          </cell>
          <cell r="AB148">
            <v>0</v>
          </cell>
          <cell r="AC148">
            <v>29804435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557455</v>
          </cell>
          <cell r="AP148">
            <v>380626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43519063</v>
          </cell>
          <cell r="G149">
            <v>0</v>
          </cell>
          <cell r="H149">
            <v>0</v>
          </cell>
          <cell r="I149">
            <v>43519063</v>
          </cell>
          <cell r="J149">
            <v>421606</v>
          </cell>
          <cell r="K149">
            <v>0</v>
          </cell>
          <cell r="L149">
            <v>0</v>
          </cell>
          <cell r="M149">
            <v>421606</v>
          </cell>
          <cell r="N149">
            <v>-132549</v>
          </cell>
          <cell r="O149">
            <v>0</v>
          </cell>
          <cell r="P149">
            <v>0</v>
          </cell>
          <cell r="Q149">
            <v>-132549</v>
          </cell>
          <cell r="R149">
            <v>2868287.37</v>
          </cell>
          <cell r="S149">
            <v>0</v>
          </cell>
          <cell r="T149">
            <v>0</v>
          </cell>
          <cell r="U149">
            <v>2868287.37</v>
          </cell>
          <cell r="V149">
            <v>5736268.29</v>
          </cell>
          <cell r="W149">
            <v>0</v>
          </cell>
          <cell r="X149">
            <v>0</v>
          </cell>
          <cell r="Y149">
            <v>5736268.29</v>
          </cell>
          <cell r="Z149">
            <v>34625450</v>
          </cell>
          <cell r="AA149">
            <v>0</v>
          </cell>
          <cell r="AB149">
            <v>0</v>
          </cell>
          <cell r="AC149">
            <v>34625450</v>
          </cell>
          <cell r="AD149">
            <v>329248</v>
          </cell>
          <cell r="AE149">
            <v>0</v>
          </cell>
          <cell r="AF149">
            <v>0</v>
          </cell>
          <cell r="AG149">
            <v>329248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329248</v>
          </cell>
          <cell r="AO149">
            <v>1176155</v>
          </cell>
          <cell r="AP149">
            <v>364956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91014525.599999994</v>
          </cell>
          <cell r="G150">
            <v>0</v>
          </cell>
          <cell r="H150">
            <v>50413</v>
          </cell>
          <cell r="I150">
            <v>91064938.599999994</v>
          </cell>
          <cell r="J150">
            <v>1018797</v>
          </cell>
          <cell r="K150">
            <v>0</v>
          </cell>
          <cell r="L150">
            <v>0</v>
          </cell>
          <cell r="M150">
            <v>1018797</v>
          </cell>
          <cell r="N150">
            <v>96720</v>
          </cell>
          <cell r="O150">
            <v>0</v>
          </cell>
          <cell r="P150">
            <v>0</v>
          </cell>
          <cell r="Q150">
            <v>96720</v>
          </cell>
          <cell r="R150">
            <v>982000</v>
          </cell>
          <cell r="S150">
            <v>0</v>
          </cell>
          <cell r="T150">
            <v>0</v>
          </cell>
          <cell r="U150">
            <v>982000</v>
          </cell>
          <cell r="V150">
            <v>4018000</v>
          </cell>
          <cell r="W150">
            <v>0</v>
          </cell>
          <cell r="X150">
            <v>0</v>
          </cell>
          <cell r="Y150">
            <v>4018000</v>
          </cell>
          <cell r="Z150">
            <v>84899009</v>
          </cell>
          <cell r="AA150">
            <v>0</v>
          </cell>
          <cell r="AB150">
            <v>50413</v>
          </cell>
          <cell r="AC150">
            <v>84949422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154475</v>
          </cell>
          <cell r="AL150">
            <v>0</v>
          </cell>
          <cell r="AM150">
            <v>0</v>
          </cell>
          <cell r="AN150">
            <v>0</v>
          </cell>
          <cell r="AO150">
            <v>6487576</v>
          </cell>
          <cell r="AP150">
            <v>678415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81847112.700000003</v>
          </cell>
          <cell r="G151">
            <v>0</v>
          </cell>
          <cell r="H151">
            <v>0</v>
          </cell>
          <cell r="I151">
            <v>81847112.700000003</v>
          </cell>
          <cell r="J151">
            <v>82955.55</v>
          </cell>
          <cell r="K151">
            <v>0</v>
          </cell>
          <cell r="L151">
            <v>0</v>
          </cell>
          <cell r="M151">
            <v>82955.55</v>
          </cell>
          <cell r="N151">
            <v>1099723</v>
          </cell>
          <cell r="O151">
            <v>0</v>
          </cell>
          <cell r="P151">
            <v>0</v>
          </cell>
          <cell r="Q151">
            <v>1099723</v>
          </cell>
          <cell r="R151">
            <v>857643</v>
          </cell>
          <cell r="S151">
            <v>0</v>
          </cell>
          <cell r="T151">
            <v>0</v>
          </cell>
          <cell r="U151">
            <v>857643</v>
          </cell>
          <cell r="V151">
            <v>2915559</v>
          </cell>
          <cell r="W151">
            <v>0</v>
          </cell>
          <cell r="X151">
            <v>0</v>
          </cell>
          <cell r="Y151">
            <v>2915559</v>
          </cell>
          <cell r="Z151">
            <v>76891232</v>
          </cell>
          <cell r="AA151">
            <v>0</v>
          </cell>
          <cell r="AB151">
            <v>0</v>
          </cell>
          <cell r="AC151">
            <v>76891232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3949203</v>
          </cell>
          <cell r="AP151">
            <v>793000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104645504</v>
          </cell>
          <cell r="G152">
            <v>0</v>
          </cell>
          <cell r="H152">
            <v>0</v>
          </cell>
          <cell r="I152">
            <v>104645504</v>
          </cell>
          <cell r="J152">
            <v>890105</v>
          </cell>
          <cell r="K152">
            <v>0</v>
          </cell>
          <cell r="L152">
            <v>0</v>
          </cell>
          <cell r="M152">
            <v>890105</v>
          </cell>
          <cell r="N152">
            <v>878741</v>
          </cell>
          <cell r="O152">
            <v>0</v>
          </cell>
          <cell r="P152">
            <v>0</v>
          </cell>
          <cell r="Q152">
            <v>878741</v>
          </cell>
          <cell r="R152">
            <v>1849924</v>
          </cell>
          <cell r="S152">
            <v>0</v>
          </cell>
          <cell r="T152">
            <v>0</v>
          </cell>
          <cell r="U152">
            <v>1849924</v>
          </cell>
          <cell r="V152">
            <v>5474209</v>
          </cell>
          <cell r="W152">
            <v>0</v>
          </cell>
          <cell r="X152">
            <v>0</v>
          </cell>
          <cell r="Y152">
            <v>5474209</v>
          </cell>
          <cell r="Z152">
            <v>95552525</v>
          </cell>
          <cell r="AA152">
            <v>0</v>
          </cell>
          <cell r="AB152">
            <v>0</v>
          </cell>
          <cell r="AC152">
            <v>95552525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5928119</v>
          </cell>
          <cell r="AP152">
            <v>2210998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40521286</v>
          </cell>
          <cell r="G153">
            <v>0</v>
          </cell>
          <cell r="H153">
            <v>0</v>
          </cell>
          <cell r="I153">
            <v>40521286</v>
          </cell>
          <cell r="J153">
            <v>151756.70000000001</v>
          </cell>
          <cell r="K153">
            <v>0</v>
          </cell>
          <cell r="L153">
            <v>0</v>
          </cell>
          <cell r="M153">
            <v>151756.70000000001</v>
          </cell>
          <cell r="N153">
            <v>958572</v>
          </cell>
          <cell r="O153">
            <v>0</v>
          </cell>
          <cell r="P153">
            <v>0</v>
          </cell>
          <cell r="Q153">
            <v>958572</v>
          </cell>
          <cell r="R153">
            <v>2728328.72</v>
          </cell>
          <cell r="S153">
            <v>0</v>
          </cell>
          <cell r="T153">
            <v>0</v>
          </cell>
          <cell r="U153">
            <v>2728328.72</v>
          </cell>
          <cell r="V153">
            <v>10315568.699999999</v>
          </cell>
          <cell r="W153">
            <v>0</v>
          </cell>
          <cell r="X153">
            <v>0</v>
          </cell>
          <cell r="Y153">
            <v>10315568.699999999</v>
          </cell>
          <cell r="Z153">
            <v>26367060</v>
          </cell>
          <cell r="AA153">
            <v>0</v>
          </cell>
          <cell r="AB153">
            <v>0</v>
          </cell>
          <cell r="AC153">
            <v>26367060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3490151</v>
          </cell>
          <cell r="AP153">
            <v>1864361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123138502</v>
          </cell>
          <cell r="G154">
            <v>0</v>
          </cell>
          <cell r="H154">
            <v>0</v>
          </cell>
          <cell r="I154">
            <v>123138502</v>
          </cell>
          <cell r="J154">
            <v>1239379</v>
          </cell>
          <cell r="K154">
            <v>0</v>
          </cell>
          <cell r="L154">
            <v>0</v>
          </cell>
          <cell r="M154">
            <v>1239379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3326327</v>
          </cell>
          <cell r="S154">
            <v>0</v>
          </cell>
          <cell r="T154">
            <v>0</v>
          </cell>
          <cell r="U154">
            <v>3326327</v>
          </cell>
          <cell r="V154">
            <v>9531146</v>
          </cell>
          <cell r="W154">
            <v>0</v>
          </cell>
          <cell r="X154">
            <v>0</v>
          </cell>
          <cell r="Y154">
            <v>9531146</v>
          </cell>
          <cell r="Z154">
            <v>109041650</v>
          </cell>
          <cell r="AA154">
            <v>0</v>
          </cell>
          <cell r="AB154">
            <v>0</v>
          </cell>
          <cell r="AC154">
            <v>109041650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6426462</v>
          </cell>
          <cell r="AP154">
            <v>6595823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48690463</v>
          </cell>
          <cell r="G155">
            <v>0</v>
          </cell>
          <cell r="H155">
            <v>0</v>
          </cell>
          <cell r="I155">
            <v>48690463</v>
          </cell>
          <cell r="J155">
            <v>55308</v>
          </cell>
          <cell r="K155">
            <v>0</v>
          </cell>
          <cell r="L155">
            <v>0</v>
          </cell>
          <cell r="M155">
            <v>55308</v>
          </cell>
          <cell r="N155">
            <v>171799</v>
          </cell>
          <cell r="O155">
            <v>0</v>
          </cell>
          <cell r="P155">
            <v>0</v>
          </cell>
          <cell r="Q155">
            <v>171799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9042301</v>
          </cell>
          <cell r="W155">
            <v>0</v>
          </cell>
          <cell r="X155">
            <v>0</v>
          </cell>
          <cell r="Y155">
            <v>9042301</v>
          </cell>
          <cell r="Z155">
            <v>39421055</v>
          </cell>
          <cell r="AA155">
            <v>0</v>
          </cell>
          <cell r="AB155">
            <v>0</v>
          </cell>
          <cell r="AC155">
            <v>39421055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1370626.28</v>
          </cell>
          <cell r="AP155">
            <v>-644627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368573711</v>
          </cell>
          <cell r="G156">
            <v>0</v>
          </cell>
          <cell r="H156">
            <v>641105</v>
          </cell>
          <cell r="I156">
            <v>369214816</v>
          </cell>
          <cell r="J156">
            <v>3248107</v>
          </cell>
          <cell r="K156">
            <v>0</v>
          </cell>
          <cell r="L156">
            <v>0</v>
          </cell>
          <cell r="M156">
            <v>3248107</v>
          </cell>
          <cell r="N156">
            <v>651000</v>
          </cell>
          <cell r="O156">
            <v>0</v>
          </cell>
          <cell r="P156">
            <v>0</v>
          </cell>
          <cell r="Q156">
            <v>651000</v>
          </cell>
          <cell r="R156">
            <v>6065342</v>
          </cell>
          <cell r="S156">
            <v>0</v>
          </cell>
          <cell r="T156">
            <v>0</v>
          </cell>
          <cell r="U156">
            <v>6065342</v>
          </cell>
          <cell r="V156">
            <v>17029923</v>
          </cell>
          <cell r="W156">
            <v>0</v>
          </cell>
          <cell r="X156">
            <v>0</v>
          </cell>
          <cell r="Y156">
            <v>17029923</v>
          </cell>
          <cell r="Z156">
            <v>341579339</v>
          </cell>
          <cell r="AA156">
            <v>0</v>
          </cell>
          <cell r="AB156">
            <v>641105</v>
          </cell>
          <cell r="AC156">
            <v>342220444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904981</v>
          </cell>
          <cell r="AL156">
            <v>0</v>
          </cell>
          <cell r="AM156">
            <v>0</v>
          </cell>
          <cell r="AN156">
            <v>0</v>
          </cell>
          <cell r="AO156">
            <v>13787750.300000001</v>
          </cell>
          <cell r="AP156">
            <v>7141181.0899999999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100496322</v>
          </cell>
          <cell r="G157">
            <v>0</v>
          </cell>
          <cell r="H157">
            <v>0</v>
          </cell>
          <cell r="I157">
            <v>100496322</v>
          </cell>
          <cell r="J157">
            <v>1020621</v>
          </cell>
          <cell r="K157">
            <v>0</v>
          </cell>
          <cell r="L157">
            <v>0</v>
          </cell>
          <cell r="M157">
            <v>1020621</v>
          </cell>
          <cell r="N157">
            <v>681142</v>
          </cell>
          <cell r="O157">
            <v>0</v>
          </cell>
          <cell r="P157">
            <v>0</v>
          </cell>
          <cell r="Q157">
            <v>681142</v>
          </cell>
          <cell r="R157">
            <v>1985324</v>
          </cell>
          <cell r="S157">
            <v>0</v>
          </cell>
          <cell r="T157">
            <v>0</v>
          </cell>
          <cell r="U157">
            <v>1985324</v>
          </cell>
          <cell r="V157">
            <v>5265269</v>
          </cell>
          <cell r="W157">
            <v>0</v>
          </cell>
          <cell r="X157">
            <v>0</v>
          </cell>
          <cell r="Y157">
            <v>5265269</v>
          </cell>
          <cell r="Z157">
            <v>91543966</v>
          </cell>
          <cell r="AA157">
            <v>0</v>
          </cell>
          <cell r="AB157">
            <v>0</v>
          </cell>
          <cell r="AC157">
            <v>91543966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7395633</v>
          </cell>
          <cell r="AP157">
            <v>1303306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23873157</v>
          </cell>
          <cell r="G158">
            <v>0</v>
          </cell>
          <cell r="H158">
            <v>0</v>
          </cell>
          <cell r="I158">
            <v>23873157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189541</v>
          </cell>
          <cell r="O158">
            <v>0</v>
          </cell>
          <cell r="P158">
            <v>0</v>
          </cell>
          <cell r="Q158">
            <v>189541</v>
          </cell>
          <cell r="R158">
            <v>260000</v>
          </cell>
          <cell r="S158">
            <v>0</v>
          </cell>
          <cell r="T158">
            <v>0</v>
          </cell>
          <cell r="U158">
            <v>260000</v>
          </cell>
          <cell r="V158">
            <v>782225</v>
          </cell>
          <cell r="W158">
            <v>0</v>
          </cell>
          <cell r="X158">
            <v>0</v>
          </cell>
          <cell r="Y158">
            <v>782225</v>
          </cell>
          <cell r="Z158">
            <v>22641391</v>
          </cell>
          <cell r="AA158">
            <v>0</v>
          </cell>
          <cell r="AB158">
            <v>0</v>
          </cell>
          <cell r="AC158">
            <v>22641391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793549</v>
          </cell>
          <cell r="AP158">
            <v>119045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51461019</v>
          </cell>
          <cell r="G159">
            <v>0</v>
          </cell>
          <cell r="H159">
            <v>0</v>
          </cell>
          <cell r="I159">
            <v>51461019</v>
          </cell>
          <cell r="J159">
            <v>482659</v>
          </cell>
          <cell r="K159">
            <v>0</v>
          </cell>
          <cell r="L159">
            <v>0</v>
          </cell>
          <cell r="M159">
            <v>482659</v>
          </cell>
          <cell r="N159">
            <v>674619</v>
          </cell>
          <cell r="O159">
            <v>0</v>
          </cell>
          <cell r="P159">
            <v>0</v>
          </cell>
          <cell r="Q159">
            <v>674619</v>
          </cell>
          <cell r="R159">
            <v>526775</v>
          </cell>
          <cell r="S159">
            <v>0</v>
          </cell>
          <cell r="T159">
            <v>0</v>
          </cell>
          <cell r="U159">
            <v>526775</v>
          </cell>
          <cell r="V159">
            <v>1721656</v>
          </cell>
          <cell r="W159">
            <v>0</v>
          </cell>
          <cell r="X159">
            <v>0</v>
          </cell>
          <cell r="Y159">
            <v>1721656</v>
          </cell>
          <cell r="Z159">
            <v>48055310</v>
          </cell>
          <cell r="AA159">
            <v>0</v>
          </cell>
          <cell r="AB159">
            <v>0</v>
          </cell>
          <cell r="AC159">
            <v>48055310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4580133</v>
          </cell>
          <cell r="AP159">
            <v>3677031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32314860</v>
          </cell>
          <cell r="G160">
            <v>0</v>
          </cell>
          <cell r="H160">
            <v>0</v>
          </cell>
          <cell r="I160">
            <v>32314860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177056.6</v>
          </cell>
          <cell r="O160">
            <v>0</v>
          </cell>
          <cell r="P160">
            <v>0</v>
          </cell>
          <cell r="Q160">
            <v>177056.6</v>
          </cell>
          <cell r="R160">
            <v>463182</v>
          </cell>
          <cell r="S160">
            <v>0</v>
          </cell>
          <cell r="T160">
            <v>0</v>
          </cell>
          <cell r="U160">
            <v>463182</v>
          </cell>
          <cell r="V160">
            <v>1141221</v>
          </cell>
          <cell r="W160">
            <v>0</v>
          </cell>
          <cell r="X160">
            <v>0</v>
          </cell>
          <cell r="Y160">
            <v>1141221</v>
          </cell>
          <cell r="Z160">
            <v>30533400</v>
          </cell>
          <cell r="AA160">
            <v>0</v>
          </cell>
          <cell r="AB160">
            <v>0</v>
          </cell>
          <cell r="AC160">
            <v>30533400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823640.58</v>
          </cell>
          <cell r="AP160">
            <v>703411.57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40938983</v>
          </cell>
          <cell r="G161">
            <v>0</v>
          </cell>
          <cell r="H161">
            <v>0</v>
          </cell>
          <cell r="I161">
            <v>40938983</v>
          </cell>
          <cell r="J161">
            <v>215431</v>
          </cell>
          <cell r="K161">
            <v>0</v>
          </cell>
          <cell r="L161">
            <v>0</v>
          </cell>
          <cell r="M161">
            <v>215431</v>
          </cell>
          <cell r="N161">
            <v>88435</v>
          </cell>
          <cell r="O161">
            <v>0</v>
          </cell>
          <cell r="P161">
            <v>0</v>
          </cell>
          <cell r="Q161">
            <v>88435</v>
          </cell>
          <cell r="R161">
            <v>541203</v>
          </cell>
          <cell r="S161">
            <v>0</v>
          </cell>
          <cell r="T161">
            <v>0</v>
          </cell>
          <cell r="U161">
            <v>541203</v>
          </cell>
          <cell r="V161">
            <v>1736273</v>
          </cell>
          <cell r="W161">
            <v>0</v>
          </cell>
          <cell r="X161">
            <v>0</v>
          </cell>
          <cell r="Y161">
            <v>1736273</v>
          </cell>
          <cell r="Z161">
            <v>38357641</v>
          </cell>
          <cell r="AA161">
            <v>0</v>
          </cell>
          <cell r="AB161">
            <v>0</v>
          </cell>
          <cell r="AC161">
            <v>38357641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988035</v>
          </cell>
          <cell r="AP161">
            <v>960880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162027486</v>
          </cell>
          <cell r="G162">
            <v>0</v>
          </cell>
          <cell r="H162">
            <v>29077964</v>
          </cell>
          <cell r="I162">
            <v>191105450</v>
          </cell>
          <cell r="J162">
            <v>1470</v>
          </cell>
          <cell r="K162">
            <v>0</v>
          </cell>
          <cell r="L162">
            <v>27387</v>
          </cell>
          <cell r="M162">
            <v>28857</v>
          </cell>
          <cell r="N162">
            <v>3128641</v>
          </cell>
          <cell r="O162">
            <v>0</v>
          </cell>
          <cell r="P162">
            <v>0</v>
          </cell>
          <cell r="Q162">
            <v>3128641</v>
          </cell>
          <cell r="R162">
            <v>3288502</v>
          </cell>
          <cell r="S162">
            <v>0</v>
          </cell>
          <cell r="T162">
            <v>0</v>
          </cell>
          <cell r="U162">
            <v>3288502</v>
          </cell>
          <cell r="V162">
            <v>11877007</v>
          </cell>
          <cell r="W162">
            <v>0</v>
          </cell>
          <cell r="X162">
            <v>0</v>
          </cell>
          <cell r="Y162">
            <v>11877007</v>
          </cell>
          <cell r="Z162">
            <v>143731866</v>
          </cell>
          <cell r="AA162">
            <v>0</v>
          </cell>
          <cell r="AB162">
            <v>29050577</v>
          </cell>
          <cell r="AC162">
            <v>172782443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63484</v>
          </cell>
          <cell r="AJ162">
            <v>0</v>
          </cell>
          <cell r="AK162">
            <v>33735438</v>
          </cell>
          <cell r="AL162">
            <v>0</v>
          </cell>
          <cell r="AM162">
            <v>0</v>
          </cell>
          <cell r="AN162">
            <v>0</v>
          </cell>
          <cell r="AO162">
            <v>63249820</v>
          </cell>
          <cell r="AP162">
            <v>11088641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68709095.400000006</v>
          </cell>
          <cell r="G163">
            <v>0</v>
          </cell>
          <cell r="H163">
            <v>0</v>
          </cell>
          <cell r="I163">
            <v>68709095.400000006</v>
          </cell>
          <cell r="J163">
            <v>3464523.33</v>
          </cell>
          <cell r="K163">
            <v>0</v>
          </cell>
          <cell r="L163">
            <v>0</v>
          </cell>
          <cell r="M163">
            <v>3464523.33</v>
          </cell>
          <cell r="N163">
            <v>-471000</v>
          </cell>
          <cell r="O163">
            <v>0</v>
          </cell>
          <cell r="P163">
            <v>0</v>
          </cell>
          <cell r="Q163">
            <v>-471000</v>
          </cell>
          <cell r="R163">
            <v>785282.17</v>
          </cell>
          <cell r="S163">
            <v>0</v>
          </cell>
          <cell r="T163">
            <v>0</v>
          </cell>
          <cell r="U163">
            <v>785282.17</v>
          </cell>
          <cell r="V163">
            <v>3083483.72</v>
          </cell>
          <cell r="W163">
            <v>0</v>
          </cell>
          <cell r="X163">
            <v>0</v>
          </cell>
          <cell r="Y163">
            <v>3083483.72</v>
          </cell>
          <cell r="Z163">
            <v>61846806</v>
          </cell>
          <cell r="AA163">
            <v>0</v>
          </cell>
          <cell r="AB163">
            <v>0</v>
          </cell>
          <cell r="AC163">
            <v>61846806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10091918.5</v>
          </cell>
          <cell r="AP163">
            <v>1663950.99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56190623</v>
          </cell>
          <cell r="G164">
            <v>0</v>
          </cell>
          <cell r="H164">
            <v>0</v>
          </cell>
          <cell r="I164">
            <v>56190623</v>
          </cell>
          <cell r="J164">
            <v>467896</v>
          </cell>
          <cell r="K164">
            <v>0</v>
          </cell>
          <cell r="L164">
            <v>0</v>
          </cell>
          <cell r="M164">
            <v>467896</v>
          </cell>
          <cell r="N164">
            <v>-475742</v>
          </cell>
          <cell r="O164">
            <v>0</v>
          </cell>
          <cell r="P164">
            <v>0</v>
          </cell>
          <cell r="Q164">
            <v>-475742</v>
          </cell>
          <cell r="R164">
            <v>731183</v>
          </cell>
          <cell r="S164">
            <v>0</v>
          </cell>
          <cell r="T164">
            <v>0</v>
          </cell>
          <cell r="U164">
            <v>731183</v>
          </cell>
          <cell r="V164">
            <v>2146657</v>
          </cell>
          <cell r="W164">
            <v>0</v>
          </cell>
          <cell r="X164">
            <v>0</v>
          </cell>
          <cell r="Y164">
            <v>2146657</v>
          </cell>
          <cell r="Z164">
            <v>53320629</v>
          </cell>
          <cell r="AA164">
            <v>0</v>
          </cell>
          <cell r="AB164">
            <v>0</v>
          </cell>
          <cell r="AC164">
            <v>53320629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2956398</v>
          </cell>
          <cell r="AP164">
            <v>601870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13340097</v>
          </cell>
          <cell r="G165">
            <v>0</v>
          </cell>
          <cell r="H165">
            <v>0</v>
          </cell>
          <cell r="I165">
            <v>13340097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-69880</v>
          </cell>
          <cell r="O165">
            <v>0</v>
          </cell>
          <cell r="P165">
            <v>0</v>
          </cell>
          <cell r="Q165">
            <v>-69880</v>
          </cell>
          <cell r="R165">
            <v>74694</v>
          </cell>
          <cell r="S165">
            <v>0</v>
          </cell>
          <cell r="T165">
            <v>0</v>
          </cell>
          <cell r="U165">
            <v>74694</v>
          </cell>
          <cell r="V165">
            <v>195813</v>
          </cell>
          <cell r="W165">
            <v>0</v>
          </cell>
          <cell r="X165">
            <v>0</v>
          </cell>
          <cell r="Y165">
            <v>195813</v>
          </cell>
          <cell r="Z165">
            <v>13139470</v>
          </cell>
          <cell r="AA165">
            <v>0</v>
          </cell>
          <cell r="AB165">
            <v>0</v>
          </cell>
          <cell r="AC165">
            <v>13139470</v>
          </cell>
          <cell r="AD165">
            <v>164760</v>
          </cell>
          <cell r="AE165">
            <v>0</v>
          </cell>
          <cell r="AF165">
            <v>0</v>
          </cell>
          <cell r="AG165">
            <v>164760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164760</v>
          </cell>
          <cell r="AO165">
            <v>601399</v>
          </cell>
          <cell r="AP165">
            <v>297608.19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14624439</v>
          </cell>
          <cell r="G166">
            <v>0</v>
          </cell>
          <cell r="H166">
            <v>0</v>
          </cell>
          <cell r="I166">
            <v>14624439</v>
          </cell>
          <cell r="J166">
            <v>96384</v>
          </cell>
          <cell r="K166">
            <v>0</v>
          </cell>
          <cell r="L166">
            <v>0</v>
          </cell>
          <cell r="M166">
            <v>96384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141244</v>
          </cell>
          <cell r="S166">
            <v>0</v>
          </cell>
          <cell r="T166">
            <v>0</v>
          </cell>
          <cell r="U166">
            <v>141244</v>
          </cell>
          <cell r="V166">
            <v>459287</v>
          </cell>
          <cell r="W166">
            <v>0</v>
          </cell>
          <cell r="X166">
            <v>0</v>
          </cell>
          <cell r="Y166">
            <v>459287</v>
          </cell>
          <cell r="Z166">
            <v>13927524</v>
          </cell>
          <cell r="AA166">
            <v>0</v>
          </cell>
          <cell r="AB166">
            <v>0</v>
          </cell>
          <cell r="AC166">
            <v>13927524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326329</v>
          </cell>
          <cell r="AP166">
            <v>138352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314377478</v>
          </cell>
          <cell r="G167">
            <v>0</v>
          </cell>
          <cell r="H167">
            <v>4385577</v>
          </cell>
          <cell r="I167">
            <v>318763055</v>
          </cell>
          <cell r="J167">
            <v>4811495</v>
          </cell>
          <cell r="K167">
            <v>0</v>
          </cell>
          <cell r="L167">
            <v>134967</v>
          </cell>
          <cell r="M167">
            <v>4946462</v>
          </cell>
          <cell r="N167">
            <v>-1221743</v>
          </cell>
          <cell r="O167">
            <v>0</v>
          </cell>
          <cell r="P167">
            <v>0</v>
          </cell>
          <cell r="Q167">
            <v>-1221743</v>
          </cell>
          <cell r="R167">
            <v>31489116</v>
          </cell>
          <cell r="S167">
            <v>0</v>
          </cell>
          <cell r="T167">
            <v>296370</v>
          </cell>
          <cell r="U167">
            <v>31785486</v>
          </cell>
          <cell r="V167">
            <v>78997573</v>
          </cell>
          <cell r="W167">
            <v>0</v>
          </cell>
          <cell r="X167">
            <v>732383</v>
          </cell>
          <cell r="Y167">
            <v>79729956</v>
          </cell>
          <cell r="Z167">
            <v>200301037</v>
          </cell>
          <cell r="AA167">
            <v>0</v>
          </cell>
          <cell r="AB167">
            <v>3221857</v>
          </cell>
          <cell r="AC167">
            <v>203522894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-55613</v>
          </cell>
          <cell r="AJ167">
            <v>0</v>
          </cell>
          <cell r="AK167">
            <v>5808966.2400000002</v>
          </cell>
          <cell r="AL167">
            <v>0</v>
          </cell>
          <cell r="AM167">
            <v>0</v>
          </cell>
          <cell r="AN167">
            <v>0</v>
          </cell>
          <cell r="AO167">
            <v>18471889</v>
          </cell>
          <cell r="AP167">
            <v>9293126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28335096</v>
          </cell>
          <cell r="G168">
            <v>0</v>
          </cell>
          <cell r="H168">
            <v>0</v>
          </cell>
          <cell r="I168">
            <v>28335096</v>
          </cell>
          <cell r="J168">
            <v>481957</v>
          </cell>
          <cell r="K168">
            <v>0</v>
          </cell>
          <cell r="L168">
            <v>0</v>
          </cell>
          <cell r="M168">
            <v>481957</v>
          </cell>
          <cell r="N168">
            <v>-119365</v>
          </cell>
          <cell r="O168">
            <v>0</v>
          </cell>
          <cell r="P168">
            <v>0</v>
          </cell>
          <cell r="Q168">
            <v>-119365</v>
          </cell>
          <cell r="R168">
            <v>363484</v>
          </cell>
          <cell r="S168">
            <v>0</v>
          </cell>
          <cell r="T168">
            <v>0</v>
          </cell>
          <cell r="U168">
            <v>363484</v>
          </cell>
          <cell r="V168">
            <v>1007104</v>
          </cell>
          <cell r="W168">
            <v>0</v>
          </cell>
          <cell r="X168">
            <v>0</v>
          </cell>
          <cell r="Y168">
            <v>1007104</v>
          </cell>
          <cell r="Z168">
            <v>26601916</v>
          </cell>
          <cell r="AA168">
            <v>0</v>
          </cell>
          <cell r="AB168">
            <v>0</v>
          </cell>
          <cell r="AC168">
            <v>26601916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625822</v>
          </cell>
          <cell r="AP168">
            <v>40313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86241874</v>
          </cell>
          <cell r="G169">
            <v>0</v>
          </cell>
          <cell r="H169">
            <v>0</v>
          </cell>
          <cell r="I169">
            <v>86241874</v>
          </cell>
          <cell r="J169">
            <v>960629</v>
          </cell>
          <cell r="K169">
            <v>0</v>
          </cell>
          <cell r="L169">
            <v>0</v>
          </cell>
          <cell r="M169">
            <v>960629</v>
          </cell>
          <cell r="N169">
            <v>107065</v>
          </cell>
          <cell r="O169">
            <v>0</v>
          </cell>
          <cell r="P169">
            <v>0</v>
          </cell>
          <cell r="Q169">
            <v>107065</v>
          </cell>
          <cell r="R169">
            <v>2408299</v>
          </cell>
          <cell r="S169">
            <v>0</v>
          </cell>
          <cell r="T169">
            <v>0</v>
          </cell>
          <cell r="U169">
            <v>2408299</v>
          </cell>
          <cell r="V169">
            <v>6828050</v>
          </cell>
          <cell r="W169">
            <v>0</v>
          </cell>
          <cell r="X169">
            <v>0</v>
          </cell>
          <cell r="Y169">
            <v>6828050</v>
          </cell>
          <cell r="Z169">
            <v>75937831</v>
          </cell>
          <cell r="AA169">
            <v>0</v>
          </cell>
          <cell r="AB169">
            <v>0</v>
          </cell>
          <cell r="AC169">
            <v>75937831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5199355</v>
          </cell>
          <cell r="AP169">
            <v>1312370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12674338.6</v>
          </cell>
          <cell r="G170">
            <v>0</v>
          </cell>
          <cell r="H170">
            <v>0</v>
          </cell>
          <cell r="I170">
            <v>12674338.6</v>
          </cell>
          <cell r="J170">
            <v>37137</v>
          </cell>
          <cell r="K170">
            <v>0</v>
          </cell>
          <cell r="L170">
            <v>0</v>
          </cell>
          <cell r="M170">
            <v>37137</v>
          </cell>
          <cell r="N170">
            <v>68442</v>
          </cell>
          <cell r="O170">
            <v>0</v>
          </cell>
          <cell r="P170">
            <v>0</v>
          </cell>
          <cell r="Q170">
            <v>68442</v>
          </cell>
          <cell r="R170">
            <v>110181</v>
          </cell>
          <cell r="S170">
            <v>0</v>
          </cell>
          <cell r="T170">
            <v>0</v>
          </cell>
          <cell r="U170">
            <v>110181</v>
          </cell>
          <cell r="V170">
            <v>281546</v>
          </cell>
          <cell r="W170">
            <v>0</v>
          </cell>
          <cell r="X170">
            <v>0</v>
          </cell>
          <cell r="Y170">
            <v>281546</v>
          </cell>
          <cell r="Z170">
            <v>12177033</v>
          </cell>
          <cell r="AA170">
            <v>0</v>
          </cell>
          <cell r="AB170">
            <v>0</v>
          </cell>
          <cell r="AC170">
            <v>12177033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809219</v>
          </cell>
          <cell r="AP170">
            <v>469574.69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33204008</v>
          </cell>
          <cell r="G171">
            <v>0</v>
          </cell>
          <cell r="H171">
            <v>0</v>
          </cell>
          <cell r="I171">
            <v>33204008</v>
          </cell>
          <cell r="J171">
            <v>165866</v>
          </cell>
          <cell r="K171">
            <v>0</v>
          </cell>
          <cell r="L171">
            <v>0</v>
          </cell>
          <cell r="M171">
            <v>165866</v>
          </cell>
          <cell r="N171">
            <v>409902</v>
          </cell>
          <cell r="O171">
            <v>0</v>
          </cell>
          <cell r="P171">
            <v>0</v>
          </cell>
          <cell r="Q171">
            <v>409902</v>
          </cell>
          <cell r="R171">
            <v>1700000</v>
          </cell>
          <cell r="S171">
            <v>0</v>
          </cell>
          <cell r="T171">
            <v>0</v>
          </cell>
          <cell r="U171">
            <v>1700000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30928240</v>
          </cell>
          <cell r="AA171">
            <v>0</v>
          </cell>
          <cell r="AB171">
            <v>0</v>
          </cell>
          <cell r="AC171">
            <v>30928240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1192918</v>
          </cell>
          <cell r="AP171">
            <v>668394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83768757.599999994</v>
          </cell>
          <cell r="G172">
            <v>0</v>
          </cell>
          <cell r="H172">
            <v>0</v>
          </cell>
          <cell r="I172">
            <v>83768757.599999994</v>
          </cell>
          <cell r="J172">
            <v>252221</v>
          </cell>
          <cell r="K172">
            <v>0</v>
          </cell>
          <cell r="L172">
            <v>0</v>
          </cell>
          <cell r="M172">
            <v>252221</v>
          </cell>
          <cell r="N172">
            <v>-1546000</v>
          </cell>
          <cell r="O172">
            <v>0</v>
          </cell>
          <cell r="P172">
            <v>0</v>
          </cell>
          <cell r="Q172">
            <v>-1546000</v>
          </cell>
          <cell r="R172">
            <v>1374336</v>
          </cell>
          <cell r="S172">
            <v>0</v>
          </cell>
          <cell r="T172">
            <v>0</v>
          </cell>
          <cell r="U172">
            <v>1374336</v>
          </cell>
          <cell r="V172">
            <v>4105104</v>
          </cell>
          <cell r="W172">
            <v>0</v>
          </cell>
          <cell r="X172">
            <v>0</v>
          </cell>
          <cell r="Y172">
            <v>4105104</v>
          </cell>
          <cell r="Z172">
            <v>79583097</v>
          </cell>
          <cell r="AA172">
            <v>0</v>
          </cell>
          <cell r="AB172">
            <v>0</v>
          </cell>
          <cell r="AC172">
            <v>79583097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2250369</v>
          </cell>
          <cell r="AP172">
            <v>1816799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14532870.300000001</v>
          </cell>
          <cell r="G173">
            <v>0</v>
          </cell>
          <cell r="H173">
            <v>0</v>
          </cell>
          <cell r="I173">
            <v>14532870.300000001</v>
          </cell>
          <cell r="J173">
            <v>92920</v>
          </cell>
          <cell r="K173">
            <v>0</v>
          </cell>
          <cell r="L173">
            <v>0</v>
          </cell>
          <cell r="M173">
            <v>92920</v>
          </cell>
          <cell r="N173">
            <v>25950</v>
          </cell>
          <cell r="O173">
            <v>0</v>
          </cell>
          <cell r="P173">
            <v>0</v>
          </cell>
          <cell r="Q173">
            <v>25950</v>
          </cell>
          <cell r="R173">
            <v>2000</v>
          </cell>
          <cell r="S173">
            <v>0</v>
          </cell>
          <cell r="T173">
            <v>0</v>
          </cell>
          <cell r="U173">
            <v>2000</v>
          </cell>
          <cell r="V173">
            <v>13000</v>
          </cell>
          <cell r="W173">
            <v>0</v>
          </cell>
          <cell r="X173">
            <v>0</v>
          </cell>
          <cell r="Y173">
            <v>13000</v>
          </cell>
          <cell r="Z173">
            <v>14399000</v>
          </cell>
          <cell r="AA173">
            <v>0</v>
          </cell>
          <cell r="AB173">
            <v>0</v>
          </cell>
          <cell r="AC173">
            <v>14399000</v>
          </cell>
          <cell r="AD173">
            <v>40779</v>
          </cell>
          <cell r="AE173">
            <v>0</v>
          </cell>
          <cell r="AF173">
            <v>0</v>
          </cell>
          <cell r="AG173">
            <v>40779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40779</v>
          </cell>
          <cell r="AO173">
            <v>394800</v>
          </cell>
          <cell r="AP173">
            <v>-262861.64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21040678.199999999</v>
          </cell>
          <cell r="G174">
            <v>0</v>
          </cell>
          <cell r="H174">
            <v>0</v>
          </cell>
          <cell r="I174">
            <v>21040678.199999999</v>
          </cell>
          <cell r="J174">
            <v>95339.49</v>
          </cell>
          <cell r="K174">
            <v>0</v>
          </cell>
          <cell r="L174">
            <v>0</v>
          </cell>
          <cell r="M174">
            <v>95339.49</v>
          </cell>
          <cell r="N174">
            <v>45074</v>
          </cell>
          <cell r="O174">
            <v>0</v>
          </cell>
          <cell r="P174">
            <v>0</v>
          </cell>
          <cell r="Q174">
            <v>45074</v>
          </cell>
          <cell r="R174">
            <v>392915</v>
          </cell>
          <cell r="S174">
            <v>0</v>
          </cell>
          <cell r="T174">
            <v>0</v>
          </cell>
          <cell r="U174">
            <v>392915</v>
          </cell>
          <cell r="V174">
            <v>543103</v>
          </cell>
          <cell r="W174">
            <v>0</v>
          </cell>
          <cell r="X174">
            <v>0</v>
          </cell>
          <cell r="Y174">
            <v>543103</v>
          </cell>
          <cell r="Z174">
            <v>19964247</v>
          </cell>
          <cell r="AA174">
            <v>0</v>
          </cell>
          <cell r="AB174">
            <v>0</v>
          </cell>
          <cell r="AC174">
            <v>19964247</v>
          </cell>
          <cell r="AD174">
            <v>40761.5</v>
          </cell>
          <cell r="AE174">
            <v>0</v>
          </cell>
          <cell r="AF174">
            <v>0</v>
          </cell>
          <cell r="AG174">
            <v>40761.5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40761.5</v>
          </cell>
          <cell r="AO174">
            <v>1070848.32</v>
          </cell>
          <cell r="AP174">
            <v>45074.68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41850376</v>
          </cell>
          <cell r="G175">
            <v>0</v>
          </cell>
          <cell r="H175">
            <v>0</v>
          </cell>
          <cell r="I175">
            <v>41850376</v>
          </cell>
          <cell r="J175">
            <v>366979</v>
          </cell>
          <cell r="K175">
            <v>0</v>
          </cell>
          <cell r="L175">
            <v>0</v>
          </cell>
          <cell r="M175">
            <v>366979</v>
          </cell>
          <cell r="N175">
            <v>16217</v>
          </cell>
          <cell r="O175">
            <v>0</v>
          </cell>
          <cell r="P175">
            <v>0</v>
          </cell>
          <cell r="Q175">
            <v>16217</v>
          </cell>
          <cell r="R175">
            <v>377867</v>
          </cell>
          <cell r="S175">
            <v>0</v>
          </cell>
          <cell r="T175">
            <v>0</v>
          </cell>
          <cell r="U175">
            <v>377867</v>
          </cell>
          <cell r="V175">
            <v>1006923</v>
          </cell>
          <cell r="W175">
            <v>0</v>
          </cell>
          <cell r="X175">
            <v>0</v>
          </cell>
          <cell r="Y175">
            <v>1006923</v>
          </cell>
          <cell r="Z175">
            <v>40082390</v>
          </cell>
          <cell r="AA175">
            <v>0</v>
          </cell>
          <cell r="AB175">
            <v>0</v>
          </cell>
          <cell r="AC175">
            <v>40082390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1994035</v>
          </cell>
          <cell r="AP175">
            <v>1572042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41093581</v>
          </cell>
          <cell r="G176">
            <v>0</v>
          </cell>
          <cell r="H176">
            <v>0</v>
          </cell>
          <cell r="I176">
            <v>41093581</v>
          </cell>
          <cell r="J176">
            <v>466091</v>
          </cell>
          <cell r="K176">
            <v>0</v>
          </cell>
          <cell r="L176">
            <v>0</v>
          </cell>
          <cell r="M176">
            <v>466091</v>
          </cell>
          <cell r="N176">
            <v>315908</v>
          </cell>
          <cell r="O176">
            <v>0</v>
          </cell>
          <cell r="P176">
            <v>0</v>
          </cell>
          <cell r="Q176">
            <v>315908</v>
          </cell>
          <cell r="R176">
            <v>1800000</v>
          </cell>
          <cell r="S176">
            <v>0</v>
          </cell>
          <cell r="T176">
            <v>0</v>
          </cell>
          <cell r="U176">
            <v>1800000</v>
          </cell>
          <cell r="V176">
            <v>2700000</v>
          </cell>
          <cell r="W176">
            <v>0</v>
          </cell>
          <cell r="X176">
            <v>0</v>
          </cell>
          <cell r="Y176">
            <v>2700000</v>
          </cell>
          <cell r="Z176">
            <v>35811582</v>
          </cell>
          <cell r="AA176">
            <v>0</v>
          </cell>
          <cell r="AB176">
            <v>0</v>
          </cell>
          <cell r="AC176">
            <v>35811582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6767589.9900000002</v>
          </cell>
          <cell r="AP176">
            <v>1329907.24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149612595</v>
          </cell>
          <cell r="G177">
            <v>0</v>
          </cell>
          <cell r="H177">
            <v>0</v>
          </cell>
          <cell r="I177">
            <v>149612595</v>
          </cell>
          <cell r="J177">
            <v>1148351</v>
          </cell>
          <cell r="K177">
            <v>0</v>
          </cell>
          <cell r="L177">
            <v>0</v>
          </cell>
          <cell r="M177">
            <v>1148351</v>
          </cell>
          <cell r="N177">
            <v>1090000</v>
          </cell>
          <cell r="O177">
            <v>0</v>
          </cell>
          <cell r="P177">
            <v>0</v>
          </cell>
          <cell r="Q177">
            <v>1090000</v>
          </cell>
          <cell r="R177">
            <v>5874000</v>
          </cell>
          <cell r="S177">
            <v>0</v>
          </cell>
          <cell r="T177">
            <v>0</v>
          </cell>
          <cell r="U177">
            <v>5874000</v>
          </cell>
          <cell r="V177">
            <v>17326000</v>
          </cell>
          <cell r="W177">
            <v>0</v>
          </cell>
          <cell r="X177">
            <v>0</v>
          </cell>
          <cell r="Y177">
            <v>17326000</v>
          </cell>
          <cell r="Z177">
            <v>124174244</v>
          </cell>
          <cell r="AA177">
            <v>0</v>
          </cell>
          <cell r="AB177">
            <v>0</v>
          </cell>
          <cell r="AC177">
            <v>124174244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894722</v>
          </cell>
          <cell r="AP177">
            <v>1975705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36637536.200000003</v>
          </cell>
          <cell r="G178">
            <v>0</v>
          </cell>
          <cell r="H178">
            <v>0</v>
          </cell>
          <cell r="I178">
            <v>36637536.200000003</v>
          </cell>
          <cell r="J178">
            <v>90701.27</v>
          </cell>
          <cell r="K178">
            <v>0</v>
          </cell>
          <cell r="L178">
            <v>0</v>
          </cell>
          <cell r="M178">
            <v>90701.27</v>
          </cell>
          <cell r="N178">
            <v>50000</v>
          </cell>
          <cell r="O178">
            <v>0</v>
          </cell>
          <cell r="P178">
            <v>0</v>
          </cell>
          <cell r="Q178">
            <v>50000</v>
          </cell>
          <cell r="R178">
            <v>439984</v>
          </cell>
          <cell r="S178">
            <v>0</v>
          </cell>
          <cell r="T178">
            <v>0</v>
          </cell>
          <cell r="U178">
            <v>439984</v>
          </cell>
          <cell r="V178">
            <v>1219063</v>
          </cell>
          <cell r="W178">
            <v>0</v>
          </cell>
          <cell r="X178">
            <v>0</v>
          </cell>
          <cell r="Y178">
            <v>1219063</v>
          </cell>
          <cell r="Z178">
            <v>34837788</v>
          </cell>
          <cell r="AA178">
            <v>0</v>
          </cell>
          <cell r="AB178">
            <v>0</v>
          </cell>
          <cell r="AC178">
            <v>34837788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1148428.55</v>
          </cell>
          <cell r="AP178">
            <v>2540731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62326206</v>
          </cell>
          <cell r="G179">
            <v>0</v>
          </cell>
          <cell r="H179">
            <v>0</v>
          </cell>
          <cell r="I179">
            <v>62326206</v>
          </cell>
          <cell r="J179">
            <v>270273</v>
          </cell>
          <cell r="K179">
            <v>0</v>
          </cell>
          <cell r="L179">
            <v>0</v>
          </cell>
          <cell r="M179">
            <v>270273</v>
          </cell>
          <cell r="N179">
            <v>52560</v>
          </cell>
          <cell r="O179">
            <v>0</v>
          </cell>
          <cell r="P179">
            <v>0</v>
          </cell>
          <cell r="Q179">
            <v>52560</v>
          </cell>
          <cell r="R179">
            <v>1901824</v>
          </cell>
          <cell r="S179">
            <v>0</v>
          </cell>
          <cell r="T179">
            <v>0</v>
          </cell>
          <cell r="U179">
            <v>1901824</v>
          </cell>
          <cell r="V179">
            <v>5247671</v>
          </cell>
          <cell r="W179">
            <v>0</v>
          </cell>
          <cell r="X179">
            <v>0</v>
          </cell>
          <cell r="Y179">
            <v>5247671</v>
          </cell>
          <cell r="Z179">
            <v>54853878</v>
          </cell>
          <cell r="AA179">
            <v>0</v>
          </cell>
          <cell r="AB179">
            <v>0</v>
          </cell>
          <cell r="AC179">
            <v>54853878</v>
          </cell>
          <cell r="AD179">
            <v>278</v>
          </cell>
          <cell r="AE179">
            <v>0</v>
          </cell>
          <cell r="AF179">
            <v>0</v>
          </cell>
          <cell r="AG179">
            <v>278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278</v>
          </cell>
          <cell r="AO179">
            <v>1570508</v>
          </cell>
          <cell r="AP179">
            <v>234700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38799401</v>
          </cell>
          <cell r="G180">
            <v>0</v>
          </cell>
          <cell r="H180">
            <v>0</v>
          </cell>
          <cell r="I180">
            <v>38799401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448935</v>
          </cell>
          <cell r="O180">
            <v>0</v>
          </cell>
          <cell r="P180">
            <v>0</v>
          </cell>
          <cell r="Q180">
            <v>448935</v>
          </cell>
          <cell r="R180">
            <v>441999</v>
          </cell>
          <cell r="S180">
            <v>0</v>
          </cell>
          <cell r="T180">
            <v>0</v>
          </cell>
          <cell r="U180">
            <v>441999</v>
          </cell>
          <cell r="V180">
            <v>1224645</v>
          </cell>
          <cell r="W180">
            <v>0</v>
          </cell>
          <cell r="X180">
            <v>0</v>
          </cell>
          <cell r="Y180">
            <v>1224645</v>
          </cell>
          <cell r="Z180">
            <v>36683822</v>
          </cell>
          <cell r="AA180">
            <v>0</v>
          </cell>
          <cell r="AB180">
            <v>0</v>
          </cell>
          <cell r="AC180">
            <v>36683822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1340757</v>
          </cell>
          <cell r="AP180">
            <v>241758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141613545</v>
          </cell>
          <cell r="G181">
            <v>6890981</v>
          </cell>
          <cell r="H181">
            <v>325196</v>
          </cell>
          <cell r="I181">
            <v>148829722</v>
          </cell>
          <cell r="J181">
            <v>640507</v>
          </cell>
          <cell r="K181">
            <v>8332</v>
          </cell>
          <cell r="L181">
            <v>0</v>
          </cell>
          <cell r="M181">
            <v>648839</v>
          </cell>
          <cell r="N181">
            <v>1127564</v>
          </cell>
          <cell r="O181">
            <v>0</v>
          </cell>
          <cell r="P181">
            <v>0</v>
          </cell>
          <cell r="Q181">
            <v>1127564</v>
          </cell>
          <cell r="R181">
            <v>2821409</v>
          </cell>
          <cell r="S181">
            <v>0</v>
          </cell>
          <cell r="T181">
            <v>0</v>
          </cell>
          <cell r="U181">
            <v>2821409</v>
          </cell>
          <cell r="V181">
            <v>13775116</v>
          </cell>
          <cell r="W181">
            <v>0</v>
          </cell>
          <cell r="X181">
            <v>0</v>
          </cell>
          <cell r="Y181">
            <v>13775116</v>
          </cell>
          <cell r="Z181">
            <v>123248949</v>
          </cell>
          <cell r="AA181">
            <v>6882649</v>
          </cell>
          <cell r="AB181">
            <v>325196</v>
          </cell>
          <cell r="AC181">
            <v>130456794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-1639</v>
          </cell>
          <cell r="AI181">
            <v>0</v>
          </cell>
          <cell r="AJ181">
            <v>5748039</v>
          </cell>
          <cell r="AK181">
            <v>66571.12</v>
          </cell>
          <cell r="AL181">
            <v>1132971</v>
          </cell>
          <cell r="AM181">
            <v>258624.88</v>
          </cell>
          <cell r="AN181">
            <v>0</v>
          </cell>
          <cell r="AO181">
            <v>8309817</v>
          </cell>
          <cell r="AP181">
            <v>6476341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33091008</v>
          </cell>
          <cell r="G182">
            <v>0</v>
          </cell>
          <cell r="H182">
            <v>0</v>
          </cell>
          <cell r="I182">
            <v>33091008</v>
          </cell>
          <cell r="J182">
            <v>207228</v>
          </cell>
          <cell r="K182">
            <v>0</v>
          </cell>
          <cell r="L182">
            <v>0</v>
          </cell>
          <cell r="M182">
            <v>207228</v>
          </cell>
          <cell r="N182">
            <v>3660</v>
          </cell>
          <cell r="O182">
            <v>0</v>
          </cell>
          <cell r="P182">
            <v>0</v>
          </cell>
          <cell r="Q182">
            <v>3660</v>
          </cell>
          <cell r="R182">
            <v>123000</v>
          </cell>
          <cell r="S182">
            <v>0</v>
          </cell>
          <cell r="T182">
            <v>0</v>
          </cell>
          <cell r="U182">
            <v>123000</v>
          </cell>
          <cell r="V182">
            <v>397000</v>
          </cell>
          <cell r="W182">
            <v>0</v>
          </cell>
          <cell r="X182">
            <v>0</v>
          </cell>
          <cell r="Y182">
            <v>397000</v>
          </cell>
          <cell r="Z182">
            <v>32360120</v>
          </cell>
          <cell r="AA182">
            <v>0</v>
          </cell>
          <cell r="AB182">
            <v>0</v>
          </cell>
          <cell r="AC182">
            <v>32360120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2521056</v>
          </cell>
          <cell r="AP182">
            <v>350042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126537146</v>
          </cell>
          <cell r="G183">
            <v>0</v>
          </cell>
          <cell r="H183">
            <v>404055</v>
          </cell>
          <cell r="I183">
            <v>126941201</v>
          </cell>
          <cell r="J183">
            <v>890086</v>
          </cell>
          <cell r="K183">
            <v>0</v>
          </cell>
          <cell r="L183">
            <v>0</v>
          </cell>
          <cell r="M183">
            <v>890086</v>
          </cell>
          <cell r="N183">
            <v>454462</v>
          </cell>
          <cell r="O183">
            <v>0</v>
          </cell>
          <cell r="P183">
            <v>0</v>
          </cell>
          <cell r="Q183">
            <v>454462</v>
          </cell>
          <cell r="R183">
            <v>815024</v>
          </cell>
          <cell r="S183">
            <v>0</v>
          </cell>
          <cell r="T183">
            <v>0</v>
          </cell>
          <cell r="U183">
            <v>815024</v>
          </cell>
          <cell r="V183">
            <v>5454388</v>
          </cell>
          <cell r="W183">
            <v>0</v>
          </cell>
          <cell r="X183">
            <v>0</v>
          </cell>
          <cell r="Y183">
            <v>5454388</v>
          </cell>
          <cell r="Z183">
            <v>118923186</v>
          </cell>
          <cell r="AA183">
            <v>0</v>
          </cell>
          <cell r="AB183">
            <v>404055</v>
          </cell>
          <cell r="AC183">
            <v>119327241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394</v>
          </cell>
          <cell r="AJ183">
            <v>0</v>
          </cell>
          <cell r="AK183">
            <v>230761</v>
          </cell>
          <cell r="AL183">
            <v>0</v>
          </cell>
          <cell r="AM183">
            <v>173688</v>
          </cell>
          <cell r="AN183">
            <v>0</v>
          </cell>
          <cell r="AO183">
            <v>5732251</v>
          </cell>
          <cell r="AP183">
            <v>6271248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31426686</v>
          </cell>
          <cell r="G184">
            <v>0</v>
          </cell>
          <cell r="H184">
            <v>0</v>
          </cell>
          <cell r="I184">
            <v>31426686</v>
          </cell>
          <cell r="J184">
            <v>178118</v>
          </cell>
          <cell r="K184">
            <v>0</v>
          </cell>
          <cell r="L184">
            <v>0</v>
          </cell>
          <cell r="M184">
            <v>178118</v>
          </cell>
          <cell r="N184">
            <v>217033</v>
          </cell>
          <cell r="O184">
            <v>0</v>
          </cell>
          <cell r="P184">
            <v>0</v>
          </cell>
          <cell r="Q184">
            <v>217033</v>
          </cell>
          <cell r="R184">
            <v>201144</v>
          </cell>
          <cell r="S184">
            <v>0</v>
          </cell>
          <cell r="T184">
            <v>0</v>
          </cell>
          <cell r="U184">
            <v>201144</v>
          </cell>
          <cell r="V184">
            <v>659961</v>
          </cell>
          <cell r="W184">
            <v>0</v>
          </cell>
          <cell r="X184">
            <v>0</v>
          </cell>
          <cell r="Y184">
            <v>659961</v>
          </cell>
          <cell r="Z184">
            <v>30170430</v>
          </cell>
          <cell r="AA184">
            <v>0</v>
          </cell>
          <cell r="AB184">
            <v>0</v>
          </cell>
          <cell r="AC184">
            <v>30170430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1451198</v>
          </cell>
          <cell r="AP184">
            <v>881570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13207643</v>
          </cell>
          <cell r="G185">
            <v>0</v>
          </cell>
          <cell r="H185">
            <v>0</v>
          </cell>
          <cell r="I185">
            <v>13207643</v>
          </cell>
          <cell r="J185">
            <v>12703</v>
          </cell>
          <cell r="K185">
            <v>0</v>
          </cell>
          <cell r="L185">
            <v>0</v>
          </cell>
          <cell r="M185">
            <v>12703</v>
          </cell>
          <cell r="N185">
            <v>119366</v>
          </cell>
          <cell r="O185">
            <v>0</v>
          </cell>
          <cell r="P185">
            <v>0</v>
          </cell>
          <cell r="Q185">
            <v>119366</v>
          </cell>
          <cell r="R185">
            <v>134012</v>
          </cell>
          <cell r="S185">
            <v>0</v>
          </cell>
          <cell r="T185">
            <v>0</v>
          </cell>
          <cell r="U185">
            <v>134012</v>
          </cell>
          <cell r="V185">
            <v>297453</v>
          </cell>
          <cell r="W185">
            <v>0</v>
          </cell>
          <cell r="X185">
            <v>0</v>
          </cell>
          <cell r="Y185">
            <v>297453</v>
          </cell>
          <cell r="Z185">
            <v>12644109</v>
          </cell>
          <cell r="AA185">
            <v>0</v>
          </cell>
          <cell r="AB185">
            <v>0</v>
          </cell>
          <cell r="AC185">
            <v>12644109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427872</v>
          </cell>
          <cell r="AP185">
            <v>154460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15481604</v>
          </cell>
          <cell r="G186">
            <v>0</v>
          </cell>
          <cell r="H186">
            <v>0</v>
          </cell>
          <cell r="I186">
            <v>15481604</v>
          </cell>
          <cell r="J186">
            <v>192848.17</v>
          </cell>
          <cell r="K186">
            <v>0</v>
          </cell>
          <cell r="L186">
            <v>0</v>
          </cell>
          <cell r="M186">
            <v>192848.17</v>
          </cell>
          <cell r="N186">
            <v>-22871</v>
          </cell>
          <cell r="O186">
            <v>0</v>
          </cell>
          <cell r="P186">
            <v>0</v>
          </cell>
          <cell r="Q186">
            <v>-22871</v>
          </cell>
          <cell r="R186">
            <v>249598.02</v>
          </cell>
          <cell r="S186">
            <v>0</v>
          </cell>
          <cell r="T186">
            <v>0</v>
          </cell>
          <cell r="U186">
            <v>249598.02</v>
          </cell>
          <cell r="V186">
            <v>529618.22</v>
          </cell>
          <cell r="W186">
            <v>0</v>
          </cell>
          <cell r="X186">
            <v>0</v>
          </cell>
          <cell r="Y186">
            <v>529618.22</v>
          </cell>
          <cell r="Z186">
            <v>14532411</v>
          </cell>
          <cell r="AA186">
            <v>0</v>
          </cell>
          <cell r="AB186">
            <v>0</v>
          </cell>
          <cell r="AC186">
            <v>14532411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602639</v>
          </cell>
          <cell r="AP186">
            <v>751706.82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64530873</v>
          </cell>
          <cell r="G187">
            <v>0</v>
          </cell>
          <cell r="H187">
            <v>0</v>
          </cell>
          <cell r="I187">
            <v>64530873</v>
          </cell>
          <cell r="J187">
            <v>652310</v>
          </cell>
          <cell r="K187">
            <v>0</v>
          </cell>
          <cell r="L187">
            <v>0</v>
          </cell>
          <cell r="M187">
            <v>652310</v>
          </cell>
          <cell r="N187">
            <v>-136708</v>
          </cell>
          <cell r="O187">
            <v>0</v>
          </cell>
          <cell r="P187">
            <v>0</v>
          </cell>
          <cell r="Q187">
            <v>-136708</v>
          </cell>
          <cell r="R187">
            <v>1052454</v>
          </cell>
          <cell r="S187">
            <v>0</v>
          </cell>
          <cell r="T187">
            <v>0</v>
          </cell>
          <cell r="U187">
            <v>1052454</v>
          </cell>
          <cell r="V187">
            <v>3039180</v>
          </cell>
          <cell r="W187">
            <v>0</v>
          </cell>
          <cell r="X187">
            <v>0</v>
          </cell>
          <cell r="Y187">
            <v>3039180</v>
          </cell>
          <cell r="Z187">
            <v>59923637</v>
          </cell>
          <cell r="AA187">
            <v>0</v>
          </cell>
          <cell r="AB187">
            <v>0</v>
          </cell>
          <cell r="AC187">
            <v>59923637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7167107</v>
          </cell>
          <cell r="AP187">
            <v>622906.98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37682429</v>
          </cell>
          <cell r="G188">
            <v>0</v>
          </cell>
          <cell r="H188">
            <v>0</v>
          </cell>
          <cell r="I188">
            <v>37682429</v>
          </cell>
          <cell r="J188">
            <v>381612</v>
          </cell>
          <cell r="K188">
            <v>0</v>
          </cell>
          <cell r="L188">
            <v>0</v>
          </cell>
          <cell r="M188">
            <v>381612</v>
          </cell>
          <cell r="N188">
            <v>270492</v>
          </cell>
          <cell r="O188">
            <v>0</v>
          </cell>
          <cell r="P188">
            <v>0</v>
          </cell>
          <cell r="Q188">
            <v>270492</v>
          </cell>
          <cell r="R188">
            <v>349544</v>
          </cell>
          <cell r="S188">
            <v>0</v>
          </cell>
          <cell r="T188">
            <v>0</v>
          </cell>
          <cell r="U188">
            <v>349544</v>
          </cell>
          <cell r="V188">
            <v>990960</v>
          </cell>
          <cell r="W188">
            <v>0</v>
          </cell>
          <cell r="X188">
            <v>0</v>
          </cell>
          <cell r="Y188">
            <v>990960</v>
          </cell>
          <cell r="Z188">
            <v>35689821</v>
          </cell>
          <cell r="AA188">
            <v>0</v>
          </cell>
          <cell r="AB188">
            <v>0</v>
          </cell>
          <cell r="AC188">
            <v>35689821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2135620</v>
          </cell>
          <cell r="AP188">
            <v>607026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22750134.399999999</v>
          </cell>
          <cell r="G189">
            <v>0</v>
          </cell>
          <cell r="H189">
            <v>0</v>
          </cell>
          <cell r="I189">
            <v>22750134.399999999</v>
          </cell>
          <cell r="J189">
            <v>24267.19</v>
          </cell>
          <cell r="K189">
            <v>0</v>
          </cell>
          <cell r="L189">
            <v>0</v>
          </cell>
          <cell r="M189">
            <v>24267.19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185993</v>
          </cell>
          <cell r="S189">
            <v>0</v>
          </cell>
          <cell r="T189">
            <v>0</v>
          </cell>
          <cell r="U189">
            <v>185993</v>
          </cell>
          <cell r="V189">
            <v>693059</v>
          </cell>
          <cell r="W189">
            <v>0</v>
          </cell>
          <cell r="X189">
            <v>0</v>
          </cell>
          <cell r="Y189">
            <v>693059</v>
          </cell>
          <cell r="Z189">
            <v>21846815</v>
          </cell>
          <cell r="AA189">
            <v>0</v>
          </cell>
          <cell r="AB189">
            <v>0</v>
          </cell>
          <cell r="AC189">
            <v>21846815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493793</v>
          </cell>
          <cell r="AP189">
            <v>411853.98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87970309</v>
          </cell>
          <cell r="G190">
            <v>0</v>
          </cell>
          <cell r="H190">
            <v>0</v>
          </cell>
          <cell r="I190">
            <v>87970309</v>
          </cell>
          <cell r="J190">
            <v>366892</v>
          </cell>
          <cell r="K190">
            <v>0</v>
          </cell>
          <cell r="L190">
            <v>0</v>
          </cell>
          <cell r="M190">
            <v>366892</v>
          </cell>
          <cell r="N190">
            <v>-106900</v>
          </cell>
          <cell r="O190">
            <v>0</v>
          </cell>
          <cell r="P190">
            <v>0</v>
          </cell>
          <cell r="Q190">
            <v>-106900</v>
          </cell>
          <cell r="R190">
            <v>2951331</v>
          </cell>
          <cell r="S190">
            <v>0</v>
          </cell>
          <cell r="T190">
            <v>0</v>
          </cell>
          <cell r="U190">
            <v>2951331</v>
          </cell>
          <cell r="V190">
            <v>6132740</v>
          </cell>
          <cell r="W190">
            <v>0</v>
          </cell>
          <cell r="X190">
            <v>0</v>
          </cell>
          <cell r="Y190">
            <v>6132740</v>
          </cell>
          <cell r="Z190">
            <v>78626246</v>
          </cell>
          <cell r="AA190">
            <v>0</v>
          </cell>
          <cell r="AB190">
            <v>0</v>
          </cell>
          <cell r="AC190">
            <v>78626246</v>
          </cell>
          <cell r="AD190">
            <v>22179</v>
          </cell>
          <cell r="AE190">
            <v>0</v>
          </cell>
          <cell r="AF190">
            <v>0</v>
          </cell>
          <cell r="AG190">
            <v>22179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22179</v>
          </cell>
          <cell r="AO190">
            <v>4195467</v>
          </cell>
          <cell r="AP190">
            <v>1132545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23910537.100000001</v>
          </cell>
          <cell r="G191">
            <v>0</v>
          </cell>
          <cell r="H191">
            <v>0</v>
          </cell>
          <cell r="I191">
            <v>23910537.100000001</v>
          </cell>
          <cell r="J191">
            <v>86893</v>
          </cell>
          <cell r="K191">
            <v>0</v>
          </cell>
          <cell r="L191">
            <v>0</v>
          </cell>
          <cell r="M191">
            <v>86893</v>
          </cell>
          <cell r="N191">
            <v>77088</v>
          </cell>
          <cell r="O191">
            <v>0</v>
          </cell>
          <cell r="P191">
            <v>0</v>
          </cell>
          <cell r="Q191">
            <v>77088</v>
          </cell>
          <cell r="R191">
            <v>128021</v>
          </cell>
          <cell r="S191">
            <v>0</v>
          </cell>
          <cell r="T191">
            <v>0</v>
          </cell>
          <cell r="U191">
            <v>128021</v>
          </cell>
          <cell r="V191">
            <v>322083</v>
          </cell>
          <cell r="W191">
            <v>0</v>
          </cell>
          <cell r="X191">
            <v>0</v>
          </cell>
          <cell r="Y191">
            <v>322083</v>
          </cell>
          <cell r="Z191">
            <v>23296452</v>
          </cell>
          <cell r="AA191">
            <v>0</v>
          </cell>
          <cell r="AB191">
            <v>0</v>
          </cell>
          <cell r="AC191">
            <v>23296452</v>
          </cell>
          <cell r="AD191">
            <v>18840</v>
          </cell>
          <cell r="AE191">
            <v>0</v>
          </cell>
          <cell r="AF191">
            <v>0</v>
          </cell>
          <cell r="AG191">
            <v>18840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18840</v>
          </cell>
          <cell r="AO191">
            <v>359621</v>
          </cell>
          <cell r="AP191">
            <v>400184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59010427</v>
          </cell>
          <cell r="G192">
            <v>0</v>
          </cell>
          <cell r="H192">
            <v>0</v>
          </cell>
          <cell r="I192">
            <v>59010427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958694</v>
          </cell>
          <cell r="O192">
            <v>0</v>
          </cell>
          <cell r="P192">
            <v>0</v>
          </cell>
          <cell r="Q192">
            <v>958694</v>
          </cell>
          <cell r="R192">
            <v>1461426.52</v>
          </cell>
          <cell r="S192">
            <v>0</v>
          </cell>
          <cell r="T192">
            <v>0</v>
          </cell>
          <cell r="U192">
            <v>1461426.52</v>
          </cell>
          <cell r="V192">
            <v>2250087.83</v>
          </cell>
          <cell r="W192">
            <v>0</v>
          </cell>
          <cell r="X192">
            <v>0</v>
          </cell>
          <cell r="Y192">
            <v>2250087.83</v>
          </cell>
          <cell r="Z192">
            <v>54340219</v>
          </cell>
          <cell r="AA192">
            <v>0</v>
          </cell>
          <cell r="AB192">
            <v>0</v>
          </cell>
          <cell r="AC192">
            <v>54340219</v>
          </cell>
          <cell r="AD192">
            <v>4574</v>
          </cell>
          <cell r="AE192">
            <v>0</v>
          </cell>
          <cell r="AF192">
            <v>0</v>
          </cell>
          <cell r="AG192">
            <v>4574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4574</v>
          </cell>
          <cell r="AO192">
            <v>5361769</v>
          </cell>
          <cell r="AP192">
            <v>872777.64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56516742</v>
          </cell>
          <cell r="G193">
            <v>0</v>
          </cell>
          <cell r="H193">
            <v>530732</v>
          </cell>
          <cell r="I193">
            <v>57047474</v>
          </cell>
          <cell r="J193">
            <v>48445</v>
          </cell>
          <cell r="K193">
            <v>0</v>
          </cell>
          <cell r="L193">
            <v>0</v>
          </cell>
          <cell r="M193">
            <v>48445</v>
          </cell>
          <cell r="N193">
            <v>734610</v>
          </cell>
          <cell r="O193">
            <v>0</v>
          </cell>
          <cell r="P193">
            <v>0</v>
          </cell>
          <cell r="Q193">
            <v>734610</v>
          </cell>
          <cell r="R193">
            <v>950791</v>
          </cell>
          <cell r="S193">
            <v>0</v>
          </cell>
          <cell r="T193">
            <v>0</v>
          </cell>
          <cell r="U193">
            <v>950791</v>
          </cell>
          <cell r="V193">
            <v>1901582</v>
          </cell>
          <cell r="W193">
            <v>0</v>
          </cell>
          <cell r="X193">
            <v>0</v>
          </cell>
          <cell r="Y193">
            <v>1901582</v>
          </cell>
          <cell r="Z193">
            <v>52881314</v>
          </cell>
          <cell r="AA193">
            <v>0</v>
          </cell>
          <cell r="AB193">
            <v>530732</v>
          </cell>
          <cell r="AC193">
            <v>53412046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530732</v>
          </cell>
          <cell r="AL193">
            <v>0</v>
          </cell>
          <cell r="AM193">
            <v>0</v>
          </cell>
          <cell r="AN193">
            <v>0</v>
          </cell>
          <cell r="AO193">
            <v>5162513.6100000003</v>
          </cell>
          <cell r="AP193">
            <v>427545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40762010.399999999</v>
          </cell>
          <cell r="G194">
            <v>0</v>
          </cell>
          <cell r="H194">
            <v>0</v>
          </cell>
          <cell r="I194">
            <v>40762010.399999999</v>
          </cell>
          <cell r="J194">
            <v>81052</v>
          </cell>
          <cell r="K194">
            <v>0</v>
          </cell>
          <cell r="L194">
            <v>0</v>
          </cell>
          <cell r="M194">
            <v>81052</v>
          </cell>
          <cell r="N194">
            <v>81922</v>
          </cell>
          <cell r="O194">
            <v>0</v>
          </cell>
          <cell r="P194">
            <v>0</v>
          </cell>
          <cell r="Q194">
            <v>81922</v>
          </cell>
          <cell r="R194">
            <v>585260</v>
          </cell>
          <cell r="S194">
            <v>0</v>
          </cell>
          <cell r="T194">
            <v>0</v>
          </cell>
          <cell r="U194">
            <v>585260</v>
          </cell>
          <cell r="V194">
            <v>1526800</v>
          </cell>
          <cell r="W194">
            <v>0</v>
          </cell>
          <cell r="X194">
            <v>0</v>
          </cell>
          <cell r="Y194">
            <v>1526800</v>
          </cell>
          <cell r="Z194">
            <v>38486976</v>
          </cell>
          <cell r="AA194">
            <v>0</v>
          </cell>
          <cell r="AB194">
            <v>0</v>
          </cell>
          <cell r="AC194">
            <v>38486976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814878</v>
          </cell>
          <cell r="AP194">
            <v>1304847.78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48590205.5</v>
          </cell>
          <cell r="G195">
            <v>0</v>
          </cell>
          <cell r="H195">
            <v>0</v>
          </cell>
          <cell r="I195">
            <v>48590205.5</v>
          </cell>
          <cell r="J195">
            <v>134734.56</v>
          </cell>
          <cell r="K195">
            <v>0</v>
          </cell>
          <cell r="L195">
            <v>0</v>
          </cell>
          <cell r="M195">
            <v>134734.56</v>
          </cell>
          <cell r="N195">
            <v>359251.34</v>
          </cell>
          <cell r="O195">
            <v>0</v>
          </cell>
          <cell r="P195">
            <v>0</v>
          </cell>
          <cell r="Q195">
            <v>359251.34</v>
          </cell>
          <cell r="R195">
            <v>890278.91</v>
          </cell>
          <cell r="S195">
            <v>0</v>
          </cell>
          <cell r="T195">
            <v>0</v>
          </cell>
          <cell r="U195">
            <v>890278.91</v>
          </cell>
          <cell r="V195">
            <v>2522390.04</v>
          </cell>
          <cell r="W195">
            <v>0</v>
          </cell>
          <cell r="X195">
            <v>0</v>
          </cell>
          <cell r="Y195">
            <v>2522390.04</v>
          </cell>
          <cell r="Z195">
            <v>44683551</v>
          </cell>
          <cell r="AA195">
            <v>0</v>
          </cell>
          <cell r="AB195">
            <v>0</v>
          </cell>
          <cell r="AC195">
            <v>44683551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1645813.77</v>
          </cell>
          <cell r="AP195">
            <v>-1485210.2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94373265.299999997</v>
          </cell>
          <cell r="G196">
            <v>0</v>
          </cell>
          <cell r="H196">
            <v>3920786.34</v>
          </cell>
          <cell r="I196">
            <v>98294051.599999994</v>
          </cell>
          <cell r="J196">
            <v>633440.94999999995</v>
          </cell>
          <cell r="K196">
            <v>0</v>
          </cell>
          <cell r="L196">
            <v>25686</v>
          </cell>
          <cell r="M196">
            <v>659126.94999999995</v>
          </cell>
          <cell r="N196">
            <v>230364.73</v>
          </cell>
          <cell r="O196">
            <v>0</v>
          </cell>
          <cell r="P196">
            <v>0</v>
          </cell>
          <cell r="Q196">
            <v>230364.73</v>
          </cell>
          <cell r="R196">
            <v>11121.21</v>
          </cell>
          <cell r="S196">
            <v>0</v>
          </cell>
          <cell r="T196">
            <v>0</v>
          </cell>
          <cell r="U196">
            <v>11121.21</v>
          </cell>
          <cell r="V196">
            <v>2955399.02</v>
          </cell>
          <cell r="W196">
            <v>0</v>
          </cell>
          <cell r="X196">
            <v>2685.26</v>
          </cell>
          <cell r="Y196">
            <v>2958084.28</v>
          </cell>
          <cell r="Z196">
            <v>90542939</v>
          </cell>
          <cell r="AA196">
            <v>0</v>
          </cell>
          <cell r="AB196">
            <v>3892415</v>
          </cell>
          <cell r="AC196">
            <v>94435354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-76886.22</v>
          </cell>
          <cell r="AJ196">
            <v>0</v>
          </cell>
          <cell r="AK196">
            <v>3279668</v>
          </cell>
          <cell r="AL196">
            <v>0</v>
          </cell>
          <cell r="AM196">
            <v>535860.78</v>
          </cell>
          <cell r="AN196">
            <v>0</v>
          </cell>
          <cell r="AO196">
            <v>1907458.06</v>
          </cell>
          <cell r="AP196">
            <v>1790209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75535510.099999994</v>
          </cell>
          <cell r="G197">
            <v>0</v>
          </cell>
          <cell r="H197">
            <v>10470.719999999999</v>
          </cell>
          <cell r="I197">
            <v>75545980.799999997</v>
          </cell>
          <cell r="J197">
            <v>1038190.98</v>
          </cell>
          <cell r="K197">
            <v>0</v>
          </cell>
          <cell r="L197">
            <v>0</v>
          </cell>
          <cell r="M197">
            <v>1038190.98</v>
          </cell>
          <cell r="N197">
            <v>343568.52</v>
          </cell>
          <cell r="O197">
            <v>0</v>
          </cell>
          <cell r="P197">
            <v>0</v>
          </cell>
          <cell r="Q197">
            <v>343568.52</v>
          </cell>
          <cell r="R197">
            <v>1543180</v>
          </cell>
          <cell r="S197">
            <v>0</v>
          </cell>
          <cell r="T197">
            <v>0</v>
          </cell>
          <cell r="U197">
            <v>1543180</v>
          </cell>
          <cell r="V197">
            <v>3723063</v>
          </cell>
          <cell r="W197">
            <v>0</v>
          </cell>
          <cell r="X197">
            <v>0</v>
          </cell>
          <cell r="Y197">
            <v>3723063</v>
          </cell>
          <cell r="Z197">
            <v>68887508</v>
          </cell>
          <cell r="AA197">
            <v>0</v>
          </cell>
          <cell r="AB197">
            <v>10471</v>
          </cell>
          <cell r="AC197">
            <v>68897979</v>
          </cell>
          <cell r="AD197">
            <v>390529.97</v>
          </cell>
          <cell r="AE197">
            <v>0</v>
          </cell>
          <cell r="AF197">
            <v>0</v>
          </cell>
          <cell r="AG197">
            <v>390529.97</v>
          </cell>
          <cell r="AH197">
            <v>0</v>
          </cell>
          <cell r="AI197">
            <v>0</v>
          </cell>
          <cell r="AJ197">
            <v>0</v>
          </cell>
          <cell r="AK197">
            <v>11402</v>
          </cell>
          <cell r="AL197">
            <v>0</v>
          </cell>
          <cell r="AM197">
            <v>0</v>
          </cell>
          <cell r="AN197">
            <v>390529.97</v>
          </cell>
          <cell r="AO197">
            <v>3372058</v>
          </cell>
          <cell r="AP197">
            <v>-212680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77482390</v>
          </cell>
          <cell r="G198">
            <v>0</v>
          </cell>
          <cell r="H198">
            <v>0</v>
          </cell>
          <cell r="I198">
            <v>77482390</v>
          </cell>
          <cell r="J198">
            <v>715792</v>
          </cell>
          <cell r="K198">
            <v>0</v>
          </cell>
          <cell r="L198">
            <v>0</v>
          </cell>
          <cell r="M198">
            <v>715792</v>
          </cell>
          <cell r="N198">
            <v>678946</v>
          </cell>
          <cell r="O198">
            <v>0</v>
          </cell>
          <cell r="P198">
            <v>0</v>
          </cell>
          <cell r="Q198">
            <v>678946</v>
          </cell>
          <cell r="R198">
            <v>476008</v>
          </cell>
          <cell r="S198">
            <v>0</v>
          </cell>
          <cell r="T198">
            <v>0</v>
          </cell>
          <cell r="U198">
            <v>476008</v>
          </cell>
          <cell r="V198">
            <v>389815</v>
          </cell>
          <cell r="W198">
            <v>0</v>
          </cell>
          <cell r="X198">
            <v>0</v>
          </cell>
          <cell r="Y198">
            <v>389815</v>
          </cell>
          <cell r="Z198">
            <v>75221829</v>
          </cell>
          <cell r="AA198">
            <v>0</v>
          </cell>
          <cell r="AB198">
            <v>0</v>
          </cell>
          <cell r="AC198">
            <v>75221829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4153799</v>
          </cell>
          <cell r="AP198">
            <v>883880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117979318</v>
          </cell>
          <cell r="G199">
            <v>5237731</v>
          </cell>
          <cell r="H199">
            <v>3937512</v>
          </cell>
          <cell r="I199">
            <v>127154561</v>
          </cell>
          <cell r="J199">
            <v>2535221</v>
          </cell>
          <cell r="K199">
            <v>1070</v>
          </cell>
          <cell r="L199">
            <v>0</v>
          </cell>
          <cell r="M199">
            <v>2536291</v>
          </cell>
          <cell r="N199">
            <v>65808</v>
          </cell>
          <cell r="O199">
            <v>2742</v>
          </cell>
          <cell r="P199">
            <v>0</v>
          </cell>
          <cell r="Q199">
            <v>68550</v>
          </cell>
          <cell r="R199">
            <v>2319869</v>
          </cell>
          <cell r="S199">
            <v>71749</v>
          </cell>
          <cell r="T199">
            <v>0</v>
          </cell>
          <cell r="U199">
            <v>2391618</v>
          </cell>
          <cell r="V199">
            <v>6427665</v>
          </cell>
          <cell r="W199">
            <v>198794</v>
          </cell>
          <cell r="X199">
            <v>0</v>
          </cell>
          <cell r="Y199">
            <v>6626459</v>
          </cell>
          <cell r="Z199">
            <v>106630755</v>
          </cell>
          <cell r="AA199">
            <v>4963376</v>
          </cell>
          <cell r="AB199">
            <v>3937512</v>
          </cell>
          <cell r="AC199">
            <v>115531643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-34628</v>
          </cell>
          <cell r="AI199">
            <v>-881</v>
          </cell>
          <cell r="AJ199">
            <v>5636338</v>
          </cell>
          <cell r="AK199">
            <v>3949656</v>
          </cell>
          <cell r="AL199">
            <v>0</v>
          </cell>
          <cell r="AM199">
            <v>0</v>
          </cell>
          <cell r="AN199">
            <v>0</v>
          </cell>
          <cell r="AO199">
            <v>10148160</v>
          </cell>
          <cell r="AP199">
            <v>3833870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33697827</v>
          </cell>
          <cell r="G200">
            <v>0</v>
          </cell>
          <cell r="H200">
            <v>0</v>
          </cell>
          <cell r="I200">
            <v>33697827</v>
          </cell>
          <cell r="J200">
            <v>155405</v>
          </cell>
          <cell r="K200">
            <v>0</v>
          </cell>
          <cell r="L200">
            <v>0</v>
          </cell>
          <cell r="M200">
            <v>155405</v>
          </cell>
          <cell r="N200">
            <v>140000</v>
          </cell>
          <cell r="O200">
            <v>0</v>
          </cell>
          <cell r="P200">
            <v>0</v>
          </cell>
          <cell r="Q200">
            <v>140000</v>
          </cell>
          <cell r="R200">
            <v>413198.76</v>
          </cell>
          <cell r="S200">
            <v>0</v>
          </cell>
          <cell r="T200">
            <v>0</v>
          </cell>
          <cell r="U200">
            <v>413198.76</v>
          </cell>
          <cell r="V200">
            <v>1145454.74</v>
          </cell>
          <cell r="W200">
            <v>0</v>
          </cell>
          <cell r="X200">
            <v>0</v>
          </cell>
          <cell r="Y200">
            <v>1145454.74</v>
          </cell>
          <cell r="Z200">
            <v>31843769</v>
          </cell>
          <cell r="AA200">
            <v>0</v>
          </cell>
          <cell r="AB200">
            <v>0</v>
          </cell>
          <cell r="AC200">
            <v>31843769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1235136.29</v>
          </cell>
          <cell r="AP200">
            <v>302357.38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11545661</v>
          </cell>
          <cell r="G201">
            <v>0</v>
          </cell>
          <cell r="H201">
            <v>0</v>
          </cell>
          <cell r="I201">
            <v>11545661</v>
          </cell>
          <cell r="J201">
            <v>65534</v>
          </cell>
          <cell r="K201">
            <v>0</v>
          </cell>
          <cell r="L201">
            <v>0</v>
          </cell>
          <cell r="M201">
            <v>65534</v>
          </cell>
          <cell r="N201">
            <v>75257.2</v>
          </cell>
          <cell r="O201">
            <v>0</v>
          </cell>
          <cell r="P201">
            <v>0</v>
          </cell>
          <cell r="Q201">
            <v>75257.2</v>
          </cell>
          <cell r="R201">
            <v>93281</v>
          </cell>
          <cell r="S201">
            <v>0</v>
          </cell>
          <cell r="T201">
            <v>0</v>
          </cell>
          <cell r="U201">
            <v>93281</v>
          </cell>
          <cell r="V201">
            <v>340751</v>
          </cell>
          <cell r="W201">
            <v>0</v>
          </cell>
          <cell r="X201">
            <v>0</v>
          </cell>
          <cell r="Y201">
            <v>340751</v>
          </cell>
          <cell r="Z201">
            <v>10970838</v>
          </cell>
          <cell r="AA201">
            <v>0</v>
          </cell>
          <cell r="AB201">
            <v>0</v>
          </cell>
          <cell r="AC201">
            <v>10970838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744055</v>
          </cell>
          <cell r="AP201">
            <v>314964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56657682</v>
          </cell>
          <cell r="G202">
            <v>0</v>
          </cell>
          <cell r="H202">
            <v>0</v>
          </cell>
          <cell r="I202">
            <v>56657682</v>
          </cell>
          <cell r="J202">
            <v>152120</v>
          </cell>
          <cell r="K202">
            <v>0</v>
          </cell>
          <cell r="L202">
            <v>0</v>
          </cell>
          <cell r="M202">
            <v>152120</v>
          </cell>
          <cell r="N202">
            <v>204857</v>
          </cell>
          <cell r="O202">
            <v>0</v>
          </cell>
          <cell r="P202">
            <v>0</v>
          </cell>
          <cell r="Q202">
            <v>204857</v>
          </cell>
          <cell r="R202">
            <v>3732195</v>
          </cell>
          <cell r="S202">
            <v>0</v>
          </cell>
          <cell r="T202">
            <v>0</v>
          </cell>
          <cell r="U202">
            <v>3732195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52568510</v>
          </cell>
          <cell r="AA202">
            <v>0</v>
          </cell>
          <cell r="AB202">
            <v>0</v>
          </cell>
          <cell r="AC202">
            <v>52568510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6697960</v>
          </cell>
          <cell r="AP202">
            <v>818776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84468734</v>
          </cell>
          <cell r="G203">
            <v>0</v>
          </cell>
          <cell r="H203">
            <v>0</v>
          </cell>
          <cell r="I203">
            <v>84468734</v>
          </cell>
          <cell r="J203">
            <v>231123</v>
          </cell>
          <cell r="K203">
            <v>0</v>
          </cell>
          <cell r="L203">
            <v>0</v>
          </cell>
          <cell r="M203">
            <v>231123</v>
          </cell>
          <cell r="N203">
            <v>90713</v>
          </cell>
          <cell r="O203">
            <v>0</v>
          </cell>
          <cell r="P203">
            <v>0</v>
          </cell>
          <cell r="Q203">
            <v>90713</v>
          </cell>
          <cell r="R203">
            <v>1132899</v>
          </cell>
          <cell r="S203">
            <v>0</v>
          </cell>
          <cell r="T203">
            <v>0</v>
          </cell>
          <cell r="U203">
            <v>1132899</v>
          </cell>
          <cell r="V203">
            <v>3221763</v>
          </cell>
          <cell r="W203">
            <v>0</v>
          </cell>
          <cell r="X203">
            <v>0</v>
          </cell>
          <cell r="Y203">
            <v>3221763</v>
          </cell>
          <cell r="Z203">
            <v>79792236</v>
          </cell>
          <cell r="AA203">
            <v>0</v>
          </cell>
          <cell r="AB203">
            <v>0</v>
          </cell>
          <cell r="AC203">
            <v>79792236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3322689</v>
          </cell>
          <cell r="AP203">
            <v>2173437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18831475</v>
          </cell>
          <cell r="G204">
            <v>0</v>
          </cell>
          <cell r="H204">
            <v>0</v>
          </cell>
          <cell r="I204">
            <v>18831475</v>
          </cell>
          <cell r="J204">
            <v>487862</v>
          </cell>
          <cell r="K204">
            <v>0</v>
          </cell>
          <cell r="L204">
            <v>0</v>
          </cell>
          <cell r="M204">
            <v>487862</v>
          </cell>
          <cell r="N204">
            <v>-210000</v>
          </cell>
          <cell r="O204">
            <v>0</v>
          </cell>
          <cell r="P204">
            <v>0</v>
          </cell>
          <cell r="Q204">
            <v>-210000</v>
          </cell>
          <cell r="R204">
            <v>360134</v>
          </cell>
          <cell r="S204">
            <v>0</v>
          </cell>
          <cell r="T204">
            <v>0</v>
          </cell>
          <cell r="U204">
            <v>360134</v>
          </cell>
          <cell r="V204">
            <v>1110029</v>
          </cell>
          <cell r="W204">
            <v>0</v>
          </cell>
          <cell r="X204">
            <v>0</v>
          </cell>
          <cell r="Y204">
            <v>1110029</v>
          </cell>
          <cell r="Z204">
            <v>17083450</v>
          </cell>
          <cell r="AA204">
            <v>0</v>
          </cell>
          <cell r="AB204">
            <v>0</v>
          </cell>
          <cell r="AC204">
            <v>17083450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1043287</v>
          </cell>
          <cell r="AP204">
            <v>79348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92150129</v>
          </cell>
          <cell r="G205">
            <v>0</v>
          </cell>
          <cell r="H205">
            <v>0</v>
          </cell>
          <cell r="I205">
            <v>92150129</v>
          </cell>
          <cell r="J205">
            <v>52378</v>
          </cell>
          <cell r="K205">
            <v>0</v>
          </cell>
          <cell r="L205">
            <v>0</v>
          </cell>
          <cell r="M205">
            <v>52378</v>
          </cell>
          <cell r="N205">
            <v>953987</v>
          </cell>
          <cell r="O205">
            <v>0</v>
          </cell>
          <cell r="P205">
            <v>0</v>
          </cell>
          <cell r="Q205">
            <v>953987</v>
          </cell>
          <cell r="R205">
            <v>2315837</v>
          </cell>
          <cell r="S205">
            <v>0</v>
          </cell>
          <cell r="T205">
            <v>0</v>
          </cell>
          <cell r="U205">
            <v>2315837</v>
          </cell>
          <cell r="V205">
            <v>6215011</v>
          </cell>
          <cell r="W205">
            <v>0</v>
          </cell>
          <cell r="X205">
            <v>0</v>
          </cell>
          <cell r="Y205">
            <v>6215011</v>
          </cell>
          <cell r="Z205">
            <v>82612916</v>
          </cell>
          <cell r="AA205">
            <v>0</v>
          </cell>
          <cell r="AB205">
            <v>0</v>
          </cell>
          <cell r="AC205">
            <v>82612916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6151150.5199999996</v>
          </cell>
          <cell r="AP205">
            <v>2302652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88047927</v>
          </cell>
          <cell r="G206">
            <v>0</v>
          </cell>
          <cell r="H206">
            <v>0</v>
          </cell>
          <cell r="I206">
            <v>88047927</v>
          </cell>
          <cell r="J206">
            <v>182952</v>
          </cell>
          <cell r="K206">
            <v>0</v>
          </cell>
          <cell r="L206">
            <v>0</v>
          </cell>
          <cell r="M206">
            <v>182952</v>
          </cell>
          <cell r="N206">
            <v>141113</v>
          </cell>
          <cell r="O206">
            <v>0</v>
          </cell>
          <cell r="P206">
            <v>0</v>
          </cell>
          <cell r="Q206">
            <v>141113</v>
          </cell>
          <cell r="R206">
            <v>477909</v>
          </cell>
          <cell r="S206">
            <v>0</v>
          </cell>
          <cell r="T206">
            <v>0</v>
          </cell>
          <cell r="U206">
            <v>477909</v>
          </cell>
          <cell r="V206">
            <v>902200</v>
          </cell>
          <cell r="W206">
            <v>0</v>
          </cell>
          <cell r="X206">
            <v>0</v>
          </cell>
          <cell r="Y206">
            <v>902200</v>
          </cell>
          <cell r="Z206">
            <v>86343753</v>
          </cell>
          <cell r="AA206">
            <v>0</v>
          </cell>
          <cell r="AB206">
            <v>0</v>
          </cell>
          <cell r="AC206">
            <v>86343753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3696750</v>
          </cell>
          <cell r="AP206">
            <v>-1789074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61022810.399999999</v>
          </cell>
          <cell r="G207">
            <v>0</v>
          </cell>
          <cell r="H207">
            <v>0</v>
          </cell>
          <cell r="I207">
            <v>61022810.399999999</v>
          </cell>
          <cell r="J207">
            <v>266390.53999999998</v>
          </cell>
          <cell r="K207">
            <v>0</v>
          </cell>
          <cell r="L207">
            <v>0</v>
          </cell>
          <cell r="M207">
            <v>266390.53999999998</v>
          </cell>
          <cell r="N207">
            <v>-44128</v>
          </cell>
          <cell r="O207">
            <v>0</v>
          </cell>
          <cell r="P207">
            <v>0</v>
          </cell>
          <cell r="Q207">
            <v>-44128</v>
          </cell>
          <cell r="R207">
            <v>967601</v>
          </cell>
          <cell r="S207">
            <v>0</v>
          </cell>
          <cell r="T207">
            <v>0</v>
          </cell>
          <cell r="U207">
            <v>967601</v>
          </cell>
          <cell r="V207">
            <v>2216511</v>
          </cell>
          <cell r="W207">
            <v>0</v>
          </cell>
          <cell r="X207">
            <v>0</v>
          </cell>
          <cell r="Y207">
            <v>2216511</v>
          </cell>
          <cell r="Z207">
            <v>57616436</v>
          </cell>
          <cell r="AA207">
            <v>0</v>
          </cell>
          <cell r="AB207">
            <v>0</v>
          </cell>
          <cell r="AC207">
            <v>57616436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1293460.17</v>
          </cell>
          <cell r="AP207">
            <v>1050723.4099999999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81196912</v>
          </cell>
          <cell r="G208">
            <v>0</v>
          </cell>
          <cell r="H208">
            <v>0</v>
          </cell>
          <cell r="I208">
            <v>81196912</v>
          </cell>
          <cell r="J208">
            <v>467108</v>
          </cell>
          <cell r="K208">
            <v>0</v>
          </cell>
          <cell r="L208">
            <v>0</v>
          </cell>
          <cell r="M208">
            <v>467108</v>
          </cell>
          <cell r="N208">
            <v>561000</v>
          </cell>
          <cell r="O208">
            <v>0</v>
          </cell>
          <cell r="P208">
            <v>0</v>
          </cell>
          <cell r="Q208">
            <v>561000</v>
          </cell>
          <cell r="R208">
            <v>2681603</v>
          </cell>
          <cell r="S208">
            <v>0</v>
          </cell>
          <cell r="T208">
            <v>0</v>
          </cell>
          <cell r="U208">
            <v>2681603</v>
          </cell>
          <cell r="V208">
            <v>11182658</v>
          </cell>
          <cell r="W208">
            <v>0</v>
          </cell>
          <cell r="X208">
            <v>0</v>
          </cell>
          <cell r="Y208">
            <v>11182658</v>
          </cell>
          <cell r="Z208">
            <v>66304543</v>
          </cell>
          <cell r="AA208">
            <v>0</v>
          </cell>
          <cell r="AB208">
            <v>0</v>
          </cell>
          <cell r="AC208">
            <v>66304543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4496777</v>
          </cell>
          <cell r="AP208">
            <v>1045611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65964697.200000003</v>
          </cell>
          <cell r="G209">
            <v>0</v>
          </cell>
          <cell r="H209">
            <v>0</v>
          </cell>
          <cell r="I209">
            <v>65964697.200000003</v>
          </cell>
          <cell r="J209">
            <v>799109.4</v>
          </cell>
          <cell r="K209">
            <v>0</v>
          </cell>
          <cell r="L209">
            <v>0</v>
          </cell>
          <cell r="M209">
            <v>799109.4</v>
          </cell>
          <cell r="N209">
            <v>282732.94</v>
          </cell>
          <cell r="O209">
            <v>0</v>
          </cell>
          <cell r="P209">
            <v>0</v>
          </cell>
          <cell r="Q209">
            <v>282732.94</v>
          </cell>
          <cell r="R209">
            <v>1277327.1499999999</v>
          </cell>
          <cell r="S209">
            <v>0</v>
          </cell>
          <cell r="T209">
            <v>0</v>
          </cell>
          <cell r="U209">
            <v>1277327.1499999999</v>
          </cell>
          <cell r="V209">
            <v>3619184.12</v>
          </cell>
          <cell r="W209">
            <v>0</v>
          </cell>
          <cell r="X209">
            <v>0</v>
          </cell>
          <cell r="Y209">
            <v>3619184.12</v>
          </cell>
          <cell r="Z209">
            <v>59986344</v>
          </cell>
          <cell r="AA209">
            <v>0</v>
          </cell>
          <cell r="AB209">
            <v>0</v>
          </cell>
          <cell r="AC209">
            <v>59986344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2694832</v>
          </cell>
          <cell r="AP209">
            <v>1096991.6100000001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17829472.899999999</v>
          </cell>
          <cell r="G210">
            <v>0</v>
          </cell>
          <cell r="H210">
            <v>0</v>
          </cell>
          <cell r="I210">
            <v>17829472.899999999</v>
          </cell>
          <cell r="J210">
            <v>99052.52</v>
          </cell>
          <cell r="K210">
            <v>0</v>
          </cell>
          <cell r="L210">
            <v>0</v>
          </cell>
          <cell r="M210">
            <v>99052.52</v>
          </cell>
          <cell r="N210">
            <v>20000</v>
          </cell>
          <cell r="O210">
            <v>0</v>
          </cell>
          <cell r="P210">
            <v>0</v>
          </cell>
          <cell r="Q210">
            <v>20000</v>
          </cell>
          <cell r="R210">
            <v>111481</v>
          </cell>
          <cell r="S210">
            <v>0</v>
          </cell>
          <cell r="T210">
            <v>0</v>
          </cell>
          <cell r="U210">
            <v>111481</v>
          </cell>
          <cell r="V210">
            <v>373218</v>
          </cell>
          <cell r="W210">
            <v>0</v>
          </cell>
          <cell r="X210">
            <v>0</v>
          </cell>
          <cell r="Y210">
            <v>373218</v>
          </cell>
          <cell r="Z210">
            <v>17225721</v>
          </cell>
          <cell r="AA210">
            <v>0</v>
          </cell>
          <cell r="AB210">
            <v>0</v>
          </cell>
          <cell r="AC210">
            <v>17225721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553656.82999999996</v>
          </cell>
          <cell r="AP210">
            <v>233195.61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105360932</v>
          </cell>
          <cell r="G211">
            <v>0</v>
          </cell>
          <cell r="H211">
            <v>0</v>
          </cell>
          <cell r="I211">
            <v>105360932</v>
          </cell>
          <cell r="J211">
            <v>107207</v>
          </cell>
          <cell r="K211">
            <v>0</v>
          </cell>
          <cell r="L211">
            <v>0</v>
          </cell>
          <cell r="M211">
            <v>107207</v>
          </cell>
          <cell r="N211">
            <v>1057071.18</v>
          </cell>
          <cell r="O211">
            <v>0</v>
          </cell>
          <cell r="P211">
            <v>0</v>
          </cell>
          <cell r="Q211">
            <v>1057071.18</v>
          </cell>
          <cell r="R211">
            <v>3000000</v>
          </cell>
          <cell r="S211">
            <v>0</v>
          </cell>
          <cell r="T211">
            <v>0</v>
          </cell>
          <cell r="U211">
            <v>3000000</v>
          </cell>
          <cell r="V211">
            <v>12000000</v>
          </cell>
          <cell r="W211">
            <v>0</v>
          </cell>
          <cell r="X211">
            <v>0</v>
          </cell>
          <cell r="Y211">
            <v>12000000</v>
          </cell>
          <cell r="Z211">
            <v>89196654</v>
          </cell>
          <cell r="AA211">
            <v>0</v>
          </cell>
          <cell r="AB211">
            <v>0</v>
          </cell>
          <cell r="AC211">
            <v>89196654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4646907</v>
          </cell>
          <cell r="AP211">
            <v>1164988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53795558</v>
          </cell>
          <cell r="G212">
            <v>0</v>
          </cell>
          <cell r="H212">
            <v>0</v>
          </cell>
          <cell r="I212">
            <v>53795558</v>
          </cell>
          <cell r="J212">
            <v>627306.61</v>
          </cell>
          <cell r="K212">
            <v>0</v>
          </cell>
          <cell r="L212">
            <v>0</v>
          </cell>
          <cell r="M212">
            <v>627306.61</v>
          </cell>
          <cell r="N212">
            <v>1355000</v>
          </cell>
          <cell r="O212">
            <v>0</v>
          </cell>
          <cell r="P212">
            <v>0</v>
          </cell>
          <cell r="Q212">
            <v>1355000</v>
          </cell>
          <cell r="R212">
            <v>800000</v>
          </cell>
          <cell r="S212">
            <v>0</v>
          </cell>
          <cell r="T212">
            <v>0</v>
          </cell>
          <cell r="U212">
            <v>800000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51013251</v>
          </cell>
          <cell r="AA212">
            <v>0</v>
          </cell>
          <cell r="AB212">
            <v>0</v>
          </cell>
          <cell r="AC212">
            <v>51013251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8278783.1100000003</v>
          </cell>
          <cell r="AP212">
            <v>1636744.58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51472286</v>
          </cell>
          <cell r="G213">
            <v>0</v>
          </cell>
          <cell r="H213">
            <v>11720</v>
          </cell>
          <cell r="I213">
            <v>51484006</v>
          </cell>
          <cell r="J213">
            <v>113488</v>
          </cell>
          <cell r="K213">
            <v>0</v>
          </cell>
          <cell r="L213">
            <v>0</v>
          </cell>
          <cell r="M213">
            <v>113488</v>
          </cell>
          <cell r="N213">
            <v>134632</v>
          </cell>
          <cell r="O213">
            <v>0</v>
          </cell>
          <cell r="P213">
            <v>0</v>
          </cell>
          <cell r="Q213">
            <v>134632</v>
          </cell>
          <cell r="R213">
            <v>1258593</v>
          </cell>
          <cell r="S213">
            <v>0</v>
          </cell>
          <cell r="T213">
            <v>0</v>
          </cell>
          <cell r="U213">
            <v>1258593</v>
          </cell>
          <cell r="V213">
            <v>3468479</v>
          </cell>
          <cell r="W213">
            <v>0</v>
          </cell>
          <cell r="X213">
            <v>0</v>
          </cell>
          <cell r="Y213">
            <v>3468479</v>
          </cell>
          <cell r="Z213">
            <v>46497094</v>
          </cell>
          <cell r="AA213">
            <v>0</v>
          </cell>
          <cell r="AB213">
            <v>11720</v>
          </cell>
          <cell r="AC213">
            <v>46508814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11720</v>
          </cell>
          <cell r="AN213">
            <v>0</v>
          </cell>
          <cell r="AO213">
            <v>7863338</v>
          </cell>
          <cell r="AP213">
            <v>397975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34349142</v>
          </cell>
          <cell r="G214">
            <v>0</v>
          </cell>
          <cell r="H214">
            <v>0</v>
          </cell>
          <cell r="I214">
            <v>34349142</v>
          </cell>
          <cell r="J214">
            <v>167902</v>
          </cell>
          <cell r="K214">
            <v>0</v>
          </cell>
          <cell r="L214">
            <v>0</v>
          </cell>
          <cell r="M214">
            <v>167902</v>
          </cell>
          <cell r="N214">
            <v>134002</v>
          </cell>
          <cell r="O214">
            <v>0</v>
          </cell>
          <cell r="P214">
            <v>0</v>
          </cell>
          <cell r="Q214">
            <v>134002</v>
          </cell>
          <cell r="R214">
            <v>301038</v>
          </cell>
          <cell r="S214">
            <v>0</v>
          </cell>
          <cell r="T214">
            <v>0</v>
          </cell>
          <cell r="U214">
            <v>301038</v>
          </cell>
          <cell r="V214">
            <v>827065</v>
          </cell>
          <cell r="W214">
            <v>0</v>
          </cell>
          <cell r="X214">
            <v>0</v>
          </cell>
          <cell r="Y214">
            <v>827065</v>
          </cell>
          <cell r="Z214">
            <v>32919135</v>
          </cell>
          <cell r="AA214">
            <v>0</v>
          </cell>
          <cell r="AB214">
            <v>0</v>
          </cell>
          <cell r="AC214">
            <v>32919135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1369339</v>
          </cell>
          <cell r="AP214">
            <v>517243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49164090.100000001</v>
          </cell>
          <cell r="G215">
            <v>0</v>
          </cell>
          <cell r="H215">
            <v>0</v>
          </cell>
          <cell r="I215">
            <v>49164090.100000001</v>
          </cell>
          <cell r="J215">
            <v>115695.87</v>
          </cell>
          <cell r="K215">
            <v>0</v>
          </cell>
          <cell r="L215">
            <v>0</v>
          </cell>
          <cell r="M215">
            <v>115695.87</v>
          </cell>
          <cell r="N215">
            <v>36248.410000000003</v>
          </cell>
          <cell r="O215">
            <v>0</v>
          </cell>
          <cell r="P215">
            <v>0</v>
          </cell>
          <cell r="Q215">
            <v>36248.410000000003</v>
          </cell>
          <cell r="R215">
            <v>176647</v>
          </cell>
          <cell r="S215">
            <v>0</v>
          </cell>
          <cell r="T215">
            <v>0</v>
          </cell>
          <cell r="U215">
            <v>176647</v>
          </cell>
          <cell r="V215">
            <v>1203969</v>
          </cell>
          <cell r="W215">
            <v>0</v>
          </cell>
          <cell r="X215">
            <v>0</v>
          </cell>
          <cell r="Y215">
            <v>1203969</v>
          </cell>
          <cell r="Z215">
            <v>47631530</v>
          </cell>
          <cell r="AA215">
            <v>0</v>
          </cell>
          <cell r="AB215">
            <v>0</v>
          </cell>
          <cell r="AC215">
            <v>47631530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42671.99</v>
          </cell>
          <cell r="AP215">
            <v>593892.35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12227097</v>
          </cell>
          <cell r="G216">
            <v>0</v>
          </cell>
          <cell r="H216">
            <v>1794510</v>
          </cell>
          <cell r="I216">
            <v>14021607</v>
          </cell>
          <cell r="J216">
            <v>62584</v>
          </cell>
          <cell r="K216">
            <v>0</v>
          </cell>
          <cell r="L216">
            <v>0</v>
          </cell>
          <cell r="M216">
            <v>62584</v>
          </cell>
          <cell r="N216">
            <v>80000</v>
          </cell>
          <cell r="O216">
            <v>0</v>
          </cell>
          <cell r="P216">
            <v>0</v>
          </cell>
          <cell r="Q216">
            <v>80000</v>
          </cell>
          <cell r="R216">
            <v>107000</v>
          </cell>
          <cell r="S216">
            <v>0</v>
          </cell>
          <cell r="T216">
            <v>0</v>
          </cell>
          <cell r="U216">
            <v>107000</v>
          </cell>
          <cell r="V216">
            <v>261000</v>
          </cell>
          <cell r="W216">
            <v>0</v>
          </cell>
          <cell r="X216">
            <v>0</v>
          </cell>
          <cell r="Y216">
            <v>261000</v>
          </cell>
          <cell r="Z216">
            <v>11716513</v>
          </cell>
          <cell r="AA216">
            <v>0</v>
          </cell>
          <cell r="AB216">
            <v>1794510</v>
          </cell>
          <cell r="AC216">
            <v>13511023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1791513</v>
          </cell>
          <cell r="AL216">
            <v>0</v>
          </cell>
          <cell r="AM216">
            <v>2997</v>
          </cell>
          <cell r="AN216">
            <v>0</v>
          </cell>
          <cell r="AO216">
            <v>601958</v>
          </cell>
          <cell r="AP216">
            <v>91542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82033995</v>
          </cell>
          <cell r="G217">
            <v>0</v>
          </cell>
          <cell r="H217">
            <v>0</v>
          </cell>
          <cell r="I217">
            <v>82033995</v>
          </cell>
          <cell r="J217">
            <v>753214</v>
          </cell>
          <cell r="K217">
            <v>0</v>
          </cell>
          <cell r="L217">
            <v>0</v>
          </cell>
          <cell r="M217">
            <v>753214</v>
          </cell>
          <cell r="N217">
            <v>256064</v>
          </cell>
          <cell r="O217">
            <v>0</v>
          </cell>
          <cell r="P217">
            <v>0</v>
          </cell>
          <cell r="Q217">
            <v>256064</v>
          </cell>
          <cell r="R217">
            <v>1101935</v>
          </cell>
          <cell r="S217">
            <v>0</v>
          </cell>
          <cell r="T217">
            <v>0</v>
          </cell>
          <cell r="U217">
            <v>1101935</v>
          </cell>
          <cell r="V217">
            <v>3023068</v>
          </cell>
          <cell r="W217">
            <v>0</v>
          </cell>
          <cell r="X217">
            <v>0</v>
          </cell>
          <cell r="Y217">
            <v>3023068</v>
          </cell>
          <cell r="Z217">
            <v>76899714</v>
          </cell>
          <cell r="AA217">
            <v>0</v>
          </cell>
          <cell r="AB217">
            <v>0</v>
          </cell>
          <cell r="AC217">
            <v>76899714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4447214</v>
          </cell>
          <cell r="AP217">
            <v>-2685588.2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12988649</v>
          </cell>
          <cell r="G218">
            <v>0</v>
          </cell>
          <cell r="H218">
            <v>0</v>
          </cell>
          <cell r="I218">
            <v>12988649</v>
          </cell>
          <cell r="J218">
            <v>50995</v>
          </cell>
          <cell r="K218">
            <v>0</v>
          </cell>
          <cell r="L218">
            <v>0</v>
          </cell>
          <cell r="M218">
            <v>50995</v>
          </cell>
          <cell r="N218">
            <v>96732</v>
          </cell>
          <cell r="O218">
            <v>0</v>
          </cell>
          <cell r="P218">
            <v>0</v>
          </cell>
          <cell r="Q218">
            <v>96732</v>
          </cell>
          <cell r="R218">
            <v>100000</v>
          </cell>
          <cell r="S218">
            <v>0</v>
          </cell>
          <cell r="T218">
            <v>0</v>
          </cell>
          <cell r="U218">
            <v>100000</v>
          </cell>
          <cell r="V218">
            <v>1275000</v>
          </cell>
          <cell r="W218">
            <v>0</v>
          </cell>
          <cell r="X218">
            <v>0</v>
          </cell>
          <cell r="Y218">
            <v>1275000</v>
          </cell>
          <cell r="Z218">
            <v>11465922</v>
          </cell>
          <cell r="AA218">
            <v>0</v>
          </cell>
          <cell r="AB218">
            <v>0</v>
          </cell>
          <cell r="AC218">
            <v>11465922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569029</v>
          </cell>
          <cell r="AP218">
            <v>79324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62470232</v>
          </cell>
          <cell r="G219">
            <v>0</v>
          </cell>
          <cell r="H219">
            <v>0</v>
          </cell>
          <cell r="I219">
            <v>62470232</v>
          </cell>
          <cell r="J219">
            <v>680537</v>
          </cell>
          <cell r="K219">
            <v>0</v>
          </cell>
          <cell r="L219">
            <v>0</v>
          </cell>
          <cell r="M219">
            <v>680537</v>
          </cell>
          <cell r="N219">
            <v>488000</v>
          </cell>
          <cell r="O219">
            <v>0</v>
          </cell>
          <cell r="P219">
            <v>0</v>
          </cell>
          <cell r="Q219">
            <v>488000</v>
          </cell>
          <cell r="R219">
            <v>701818</v>
          </cell>
          <cell r="S219">
            <v>0</v>
          </cell>
          <cell r="T219">
            <v>0</v>
          </cell>
          <cell r="U219">
            <v>701818</v>
          </cell>
          <cell r="V219">
            <v>1918448</v>
          </cell>
          <cell r="W219">
            <v>0</v>
          </cell>
          <cell r="X219">
            <v>0</v>
          </cell>
          <cell r="Y219">
            <v>1918448</v>
          </cell>
          <cell r="Z219">
            <v>58681429</v>
          </cell>
          <cell r="AA219">
            <v>0</v>
          </cell>
          <cell r="AB219">
            <v>0</v>
          </cell>
          <cell r="AC219">
            <v>58681429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4036410</v>
          </cell>
          <cell r="AP219">
            <v>718651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15880581</v>
          </cell>
          <cell r="G220">
            <v>0</v>
          </cell>
          <cell r="H220">
            <v>0</v>
          </cell>
          <cell r="I220">
            <v>15880581</v>
          </cell>
          <cell r="J220">
            <v>24615</v>
          </cell>
          <cell r="K220">
            <v>0</v>
          </cell>
          <cell r="L220">
            <v>0</v>
          </cell>
          <cell r="M220">
            <v>24615</v>
          </cell>
          <cell r="N220">
            <v>161506</v>
          </cell>
          <cell r="O220">
            <v>0</v>
          </cell>
          <cell r="P220">
            <v>0</v>
          </cell>
          <cell r="Q220">
            <v>161506</v>
          </cell>
          <cell r="R220">
            <v>162278</v>
          </cell>
          <cell r="S220">
            <v>0</v>
          </cell>
          <cell r="T220">
            <v>0</v>
          </cell>
          <cell r="U220">
            <v>162278</v>
          </cell>
          <cell r="V220">
            <v>178056</v>
          </cell>
          <cell r="W220">
            <v>0</v>
          </cell>
          <cell r="X220">
            <v>0</v>
          </cell>
          <cell r="Y220">
            <v>178056</v>
          </cell>
          <cell r="Z220">
            <v>15354126</v>
          </cell>
          <cell r="AA220">
            <v>0</v>
          </cell>
          <cell r="AB220">
            <v>0</v>
          </cell>
          <cell r="AC220">
            <v>15354126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531381</v>
          </cell>
          <cell r="AP220">
            <v>25419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13559482.699999999</v>
          </cell>
          <cell r="G221">
            <v>0</v>
          </cell>
          <cell r="H221">
            <v>0</v>
          </cell>
          <cell r="I221">
            <v>13559482.699999999</v>
          </cell>
          <cell r="J221">
            <v>259805</v>
          </cell>
          <cell r="K221">
            <v>0</v>
          </cell>
          <cell r="L221">
            <v>0</v>
          </cell>
          <cell r="M221">
            <v>259805</v>
          </cell>
          <cell r="N221">
            <v>614940</v>
          </cell>
          <cell r="O221">
            <v>0</v>
          </cell>
          <cell r="P221">
            <v>0</v>
          </cell>
          <cell r="Q221">
            <v>614940</v>
          </cell>
          <cell r="R221">
            <v>198827</v>
          </cell>
          <cell r="S221">
            <v>0</v>
          </cell>
          <cell r="T221">
            <v>0</v>
          </cell>
          <cell r="U221">
            <v>198827</v>
          </cell>
          <cell r="V221">
            <v>261144</v>
          </cell>
          <cell r="W221">
            <v>0</v>
          </cell>
          <cell r="X221">
            <v>0</v>
          </cell>
          <cell r="Y221">
            <v>261144</v>
          </cell>
          <cell r="Z221">
            <v>12224767</v>
          </cell>
          <cell r="AA221">
            <v>0</v>
          </cell>
          <cell r="AB221">
            <v>0</v>
          </cell>
          <cell r="AC221">
            <v>12224767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1065593.76</v>
          </cell>
          <cell r="AP221">
            <v>23934.22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16463985.9</v>
          </cell>
          <cell r="G222">
            <v>0</v>
          </cell>
          <cell r="H222">
            <v>0</v>
          </cell>
          <cell r="I222">
            <v>16463985.9</v>
          </cell>
          <cell r="J222">
            <v>73143.64</v>
          </cell>
          <cell r="K222">
            <v>0</v>
          </cell>
          <cell r="L222">
            <v>0</v>
          </cell>
          <cell r="M222">
            <v>73143.64</v>
          </cell>
          <cell r="N222">
            <v>38572.910000000003</v>
          </cell>
          <cell r="O222">
            <v>0</v>
          </cell>
          <cell r="P222">
            <v>0</v>
          </cell>
          <cell r="Q222">
            <v>38572.910000000003</v>
          </cell>
          <cell r="R222">
            <v>276000</v>
          </cell>
          <cell r="S222">
            <v>0</v>
          </cell>
          <cell r="T222">
            <v>0</v>
          </cell>
          <cell r="U222">
            <v>276000</v>
          </cell>
          <cell r="V222">
            <v>751000</v>
          </cell>
          <cell r="W222">
            <v>0</v>
          </cell>
          <cell r="X222">
            <v>0</v>
          </cell>
          <cell r="Y222">
            <v>751000</v>
          </cell>
          <cell r="Z222">
            <v>15325269</v>
          </cell>
          <cell r="AA222">
            <v>0</v>
          </cell>
          <cell r="AB222">
            <v>0</v>
          </cell>
          <cell r="AC222">
            <v>15325269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626404.24</v>
          </cell>
          <cell r="AP222">
            <v>63126.559999999998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73172093</v>
          </cell>
          <cell r="G223">
            <v>0</v>
          </cell>
          <cell r="H223">
            <v>0</v>
          </cell>
          <cell r="I223">
            <v>73172093</v>
          </cell>
          <cell r="J223">
            <v>474049</v>
          </cell>
          <cell r="K223">
            <v>0</v>
          </cell>
          <cell r="L223">
            <v>0</v>
          </cell>
          <cell r="M223">
            <v>474049</v>
          </cell>
          <cell r="N223">
            <v>270527</v>
          </cell>
          <cell r="O223">
            <v>0</v>
          </cell>
          <cell r="P223">
            <v>0</v>
          </cell>
          <cell r="Q223">
            <v>270527</v>
          </cell>
          <cell r="R223">
            <v>2167190</v>
          </cell>
          <cell r="S223">
            <v>0</v>
          </cell>
          <cell r="T223">
            <v>0</v>
          </cell>
          <cell r="U223">
            <v>2167190</v>
          </cell>
          <cell r="V223">
            <v>4803272</v>
          </cell>
          <cell r="W223">
            <v>0</v>
          </cell>
          <cell r="X223">
            <v>0</v>
          </cell>
          <cell r="Y223">
            <v>4803272</v>
          </cell>
          <cell r="Z223">
            <v>65457055</v>
          </cell>
          <cell r="AA223">
            <v>0</v>
          </cell>
          <cell r="AB223">
            <v>0</v>
          </cell>
          <cell r="AC223">
            <v>65457055</v>
          </cell>
          <cell r="AD223">
            <v>115440</v>
          </cell>
          <cell r="AE223">
            <v>0</v>
          </cell>
          <cell r="AF223">
            <v>0</v>
          </cell>
          <cell r="AG223">
            <v>115440</v>
          </cell>
          <cell r="AH223">
            <v>0</v>
          </cell>
          <cell r="AI223">
            <v>0</v>
          </cell>
          <cell r="AJ223">
            <v>0</v>
          </cell>
          <cell r="AK223">
            <v>324188</v>
          </cell>
          <cell r="AL223">
            <v>0</v>
          </cell>
          <cell r="AM223">
            <v>0</v>
          </cell>
          <cell r="AN223">
            <v>115440</v>
          </cell>
          <cell r="AO223">
            <v>2578478</v>
          </cell>
          <cell r="AP223">
            <v>547866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40330838.799999997</v>
          </cell>
          <cell r="G224">
            <v>0</v>
          </cell>
          <cell r="H224">
            <v>0</v>
          </cell>
          <cell r="I224">
            <v>40330838.799999997</v>
          </cell>
          <cell r="J224">
            <v>73799</v>
          </cell>
          <cell r="K224">
            <v>0</v>
          </cell>
          <cell r="L224">
            <v>0</v>
          </cell>
          <cell r="M224">
            <v>73799</v>
          </cell>
          <cell r="N224">
            <v>27074</v>
          </cell>
          <cell r="O224">
            <v>0</v>
          </cell>
          <cell r="P224">
            <v>0</v>
          </cell>
          <cell r="Q224">
            <v>27074</v>
          </cell>
          <cell r="R224">
            <v>424473</v>
          </cell>
          <cell r="S224">
            <v>0</v>
          </cell>
          <cell r="T224">
            <v>0</v>
          </cell>
          <cell r="U224">
            <v>424473</v>
          </cell>
          <cell r="V224">
            <v>1776949</v>
          </cell>
          <cell r="W224">
            <v>0</v>
          </cell>
          <cell r="X224">
            <v>0</v>
          </cell>
          <cell r="Y224">
            <v>1776949</v>
          </cell>
          <cell r="Z224">
            <v>38028544</v>
          </cell>
          <cell r="AA224">
            <v>0</v>
          </cell>
          <cell r="AB224">
            <v>0</v>
          </cell>
          <cell r="AC224">
            <v>38028544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1004497</v>
          </cell>
          <cell r="AP224">
            <v>573255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43149639</v>
          </cell>
          <cell r="G225">
            <v>0</v>
          </cell>
          <cell r="H225">
            <v>0</v>
          </cell>
          <cell r="I225">
            <v>43149639</v>
          </cell>
          <cell r="J225">
            <v>16091</v>
          </cell>
          <cell r="K225">
            <v>0</v>
          </cell>
          <cell r="L225">
            <v>0</v>
          </cell>
          <cell r="M225">
            <v>16091</v>
          </cell>
          <cell r="N225">
            <v>353200</v>
          </cell>
          <cell r="O225">
            <v>0</v>
          </cell>
          <cell r="P225">
            <v>0</v>
          </cell>
          <cell r="Q225">
            <v>353200</v>
          </cell>
          <cell r="R225">
            <v>573205</v>
          </cell>
          <cell r="S225">
            <v>0</v>
          </cell>
          <cell r="T225">
            <v>0</v>
          </cell>
          <cell r="U225">
            <v>573205</v>
          </cell>
          <cell r="V225">
            <v>1657549</v>
          </cell>
          <cell r="W225">
            <v>0</v>
          </cell>
          <cell r="X225">
            <v>0</v>
          </cell>
          <cell r="Y225">
            <v>1657549</v>
          </cell>
          <cell r="Z225">
            <v>40549594</v>
          </cell>
          <cell r="AA225">
            <v>0</v>
          </cell>
          <cell r="AB225">
            <v>0</v>
          </cell>
          <cell r="AC225">
            <v>40549594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1357079</v>
          </cell>
          <cell r="AP225">
            <v>-826560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24729483.899999999</v>
          </cell>
          <cell r="G226">
            <v>0</v>
          </cell>
          <cell r="H226">
            <v>0</v>
          </cell>
          <cell r="I226">
            <v>24729483.899999999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-131600</v>
          </cell>
          <cell r="O226">
            <v>0</v>
          </cell>
          <cell r="P226">
            <v>0</v>
          </cell>
          <cell r="Q226">
            <v>-131600</v>
          </cell>
          <cell r="R226">
            <v>342222</v>
          </cell>
          <cell r="S226">
            <v>0</v>
          </cell>
          <cell r="T226">
            <v>0</v>
          </cell>
          <cell r="U226">
            <v>342222</v>
          </cell>
          <cell r="V226">
            <v>948195</v>
          </cell>
          <cell r="W226">
            <v>0</v>
          </cell>
          <cell r="X226">
            <v>0</v>
          </cell>
          <cell r="Y226">
            <v>948195</v>
          </cell>
          <cell r="Z226">
            <v>23570667</v>
          </cell>
          <cell r="AA226">
            <v>0</v>
          </cell>
          <cell r="AB226">
            <v>0</v>
          </cell>
          <cell r="AC226">
            <v>23570667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524287.29</v>
          </cell>
          <cell r="AP226">
            <v>375780.31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44209453.399999999</v>
          </cell>
          <cell r="G227">
            <v>0</v>
          </cell>
          <cell r="H227">
            <v>0</v>
          </cell>
          <cell r="I227">
            <v>44209453.399999999</v>
          </cell>
          <cell r="J227">
            <v>330105</v>
          </cell>
          <cell r="K227">
            <v>0</v>
          </cell>
          <cell r="L227">
            <v>0</v>
          </cell>
          <cell r="M227">
            <v>330105</v>
          </cell>
          <cell r="N227">
            <v>84754.73</v>
          </cell>
          <cell r="O227">
            <v>0</v>
          </cell>
          <cell r="P227">
            <v>0</v>
          </cell>
          <cell r="Q227">
            <v>84754.73</v>
          </cell>
          <cell r="R227">
            <v>3032558</v>
          </cell>
          <cell r="S227">
            <v>0</v>
          </cell>
          <cell r="T227">
            <v>0</v>
          </cell>
          <cell r="U227">
            <v>3032558</v>
          </cell>
          <cell r="V227">
            <v>7663574</v>
          </cell>
          <cell r="W227">
            <v>0</v>
          </cell>
          <cell r="X227">
            <v>0</v>
          </cell>
          <cell r="Y227">
            <v>7663574</v>
          </cell>
          <cell r="Z227">
            <v>33098462</v>
          </cell>
          <cell r="AA227">
            <v>0</v>
          </cell>
          <cell r="AB227">
            <v>0</v>
          </cell>
          <cell r="AC227">
            <v>33098462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1397214</v>
          </cell>
          <cell r="AP227">
            <v>1160460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9755554</v>
          </cell>
          <cell r="G228">
            <v>0</v>
          </cell>
          <cell r="H228">
            <v>0</v>
          </cell>
          <cell r="I228">
            <v>9755554</v>
          </cell>
          <cell r="J228">
            <v>20607</v>
          </cell>
          <cell r="K228">
            <v>0</v>
          </cell>
          <cell r="L228">
            <v>0</v>
          </cell>
          <cell r="M228">
            <v>20607</v>
          </cell>
          <cell r="N228">
            <v>10670</v>
          </cell>
          <cell r="O228">
            <v>0</v>
          </cell>
          <cell r="P228">
            <v>0</v>
          </cell>
          <cell r="Q228">
            <v>10670</v>
          </cell>
          <cell r="R228">
            <v>138430.19</v>
          </cell>
          <cell r="S228">
            <v>0</v>
          </cell>
          <cell r="T228">
            <v>0</v>
          </cell>
          <cell r="U228">
            <v>138430.19</v>
          </cell>
          <cell r="V228">
            <v>279743.21000000002</v>
          </cell>
          <cell r="W228">
            <v>0</v>
          </cell>
          <cell r="X228">
            <v>0</v>
          </cell>
          <cell r="Y228">
            <v>279743.21000000002</v>
          </cell>
          <cell r="Z228">
            <v>9306104</v>
          </cell>
          <cell r="AA228">
            <v>0</v>
          </cell>
          <cell r="AB228">
            <v>0</v>
          </cell>
          <cell r="AC228">
            <v>9306104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208419</v>
          </cell>
          <cell r="AP228">
            <v>95815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15179360</v>
          </cell>
          <cell r="G229">
            <v>0</v>
          </cell>
          <cell r="H229">
            <v>0</v>
          </cell>
          <cell r="I229">
            <v>15179360</v>
          </cell>
          <cell r="J229">
            <v>56216</v>
          </cell>
          <cell r="K229">
            <v>0</v>
          </cell>
          <cell r="L229">
            <v>0</v>
          </cell>
          <cell r="M229">
            <v>56216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338000</v>
          </cell>
          <cell r="S229">
            <v>0</v>
          </cell>
          <cell r="T229">
            <v>0</v>
          </cell>
          <cell r="U229">
            <v>338000</v>
          </cell>
          <cell r="V229">
            <v>931000</v>
          </cell>
          <cell r="W229">
            <v>0</v>
          </cell>
          <cell r="X229">
            <v>0</v>
          </cell>
          <cell r="Y229">
            <v>931000</v>
          </cell>
          <cell r="Z229">
            <v>13854144</v>
          </cell>
          <cell r="AA229">
            <v>0</v>
          </cell>
          <cell r="AB229">
            <v>0</v>
          </cell>
          <cell r="AC229">
            <v>13854144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211159.13</v>
          </cell>
          <cell r="AP229">
            <v>149384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100856614</v>
          </cell>
          <cell r="G230">
            <v>0</v>
          </cell>
          <cell r="H230">
            <v>0</v>
          </cell>
          <cell r="I230">
            <v>100856614</v>
          </cell>
          <cell r="J230">
            <v>1416694</v>
          </cell>
          <cell r="K230">
            <v>0</v>
          </cell>
          <cell r="L230">
            <v>0</v>
          </cell>
          <cell r="M230">
            <v>1416694</v>
          </cell>
          <cell r="N230">
            <v>3280063</v>
          </cell>
          <cell r="O230">
            <v>0</v>
          </cell>
          <cell r="P230">
            <v>0</v>
          </cell>
          <cell r="Q230">
            <v>3280063</v>
          </cell>
          <cell r="R230">
            <v>2009973</v>
          </cell>
          <cell r="S230">
            <v>0</v>
          </cell>
          <cell r="T230">
            <v>0</v>
          </cell>
          <cell r="U230">
            <v>2009973</v>
          </cell>
          <cell r="V230">
            <v>4540091</v>
          </cell>
          <cell r="W230">
            <v>0</v>
          </cell>
          <cell r="X230">
            <v>0</v>
          </cell>
          <cell r="Y230">
            <v>4540091</v>
          </cell>
          <cell r="Z230">
            <v>89609793</v>
          </cell>
          <cell r="AA230">
            <v>0</v>
          </cell>
          <cell r="AB230">
            <v>0</v>
          </cell>
          <cell r="AC230">
            <v>89609793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19419871</v>
          </cell>
          <cell r="AP230">
            <v>3348786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97844729</v>
          </cell>
          <cell r="G231">
            <v>0</v>
          </cell>
          <cell r="H231">
            <v>0</v>
          </cell>
          <cell r="I231">
            <v>97844729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-71026</v>
          </cell>
          <cell r="O231">
            <v>0</v>
          </cell>
          <cell r="P231">
            <v>0</v>
          </cell>
          <cell r="Q231">
            <v>-71026</v>
          </cell>
          <cell r="R231">
            <v>1100000</v>
          </cell>
          <cell r="S231">
            <v>0</v>
          </cell>
          <cell r="T231">
            <v>0</v>
          </cell>
          <cell r="U231">
            <v>1100000</v>
          </cell>
          <cell r="V231">
            <v>1000000</v>
          </cell>
          <cell r="W231">
            <v>0</v>
          </cell>
          <cell r="X231">
            <v>0</v>
          </cell>
          <cell r="Y231">
            <v>1000000</v>
          </cell>
          <cell r="Z231">
            <v>95815755</v>
          </cell>
          <cell r="AA231">
            <v>0</v>
          </cell>
          <cell r="AB231">
            <v>0</v>
          </cell>
          <cell r="AC231">
            <v>95815755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4925017</v>
          </cell>
          <cell r="AP231">
            <v>-1061660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33769912</v>
          </cell>
          <cell r="G232">
            <v>0</v>
          </cell>
          <cell r="H232">
            <v>0</v>
          </cell>
          <cell r="I232">
            <v>33769912</v>
          </cell>
          <cell r="J232">
            <v>128668</v>
          </cell>
          <cell r="K232">
            <v>0</v>
          </cell>
          <cell r="L232">
            <v>0</v>
          </cell>
          <cell r="M232">
            <v>128668</v>
          </cell>
          <cell r="N232">
            <v>137415</v>
          </cell>
          <cell r="O232">
            <v>0</v>
          </cell>
          <cell r="P232">
            <v>0</v>
          </cell>
          <cell r="Q232">
            <v>137415</v>
          </cell>
          <cell r="R232">
            <v>989184</v>
          </cell>
          <cell r="S232">
            <v>0</v>
          </cell>
          <cell r="T232">
            <v>0</v>
          </cell>
          <cell r="U232">
            <v>989184</v>
          </cell>
          <cell r="V232">
            <v>2623779</v>
          </cell>
          <cell r="W232">
            <v>0</v>
          </cell>
          <cell r="X232">
            <v>0</v>
          </cell>
          <cell r="Y232">
            <v>2623779</v>
          </cell>
          <cell r="Z232">
            <v>29890866</v>
          </cell>
          <cell r="AA232">
            <v>0</v>
          </cell>
          <cell r="AB232">
            <v>0</v>
          </cell>
          <cell r="AC232">
            <v>29890866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1300256</v>
          </cell>
          <cell r="AP232">
            <v>757271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35299147</v>
          </cell>
          <cell r="G233">
            <v>0</v>
          </cell>
          <cell r="H233">
            <v>0</v>
          </cell>
          <cell r="I233">
            <v>35299147</v>
          </cell>
          <cell r="J233">
            <v>108452</v>
          </cell>
          <cell r="K233">
            <v>0</v>
          </cell>
          <cell r="L233">
            <v>0</v>
          </cell>
          <cell r="M233">
            <v>108452</v>
          </cell>
          <cell r="N233">
            <v>278203</v>
          </cell>
          <cell r="O233">
            <v>0</v>
          </cell>
          <cell r="P233">
            <v>0</v>
          </cell>
          <cell r="Q233">
            <v>278203</v>
          </cell>
          <cell r="R233">
            <v>871398</v>
          </cell>
          <cell r="S233">
            <v>0</v>
          </cell>
          <cell r="T233">
            <v>0</v>
          </cell>
          <cell r="U233">
            <v>871398</v>
          </cell>
          <cell r="V233">
            <v>2198594</v>
          </cell>
          <cell r="W233">
            <v>0</v>
          </cell>
          <cell r="X233">
            <v>0</v>
          </cell>
          <cell r="Y233">
            <v>2198594</v>
          </cell>
          <cell r="Z233">
            <v>31842500</v>
          </cell>
          <cell r="AA233">
            <v>0</v>
          </cell>
          <cell r="AB233">
            <v>0</v>
          </cell>
          <cell r="AC233">
            <v>31842500</v>
          </cell>
          <cell r="AD233">
            <v>507</v>
          </cell>
          <cell r="AE233">
            <v>0</v>
          </cell>
          <cell r="AF233">
            <v>0</v>
          </cell>
          <cell r="AG233">
            <v>507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507</v>
          </cell>
          <cell r="AO233">
            <v>1166342</v>
          </cell>
          <cell r="AP233">
            <v>292130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65932430</v>
          </cell>
          <cell r="G234">
            <v>0</v>
          </cell>
          <cell r="H234">
            <v>0</v>
          </cell>
          <cell r="I234">
            <v>65932430</v>
          </cell>
          <cell r="J234">
            <v>1817266</v>
          </cell>
          <cell r="K234">
            <v>0</v>
          </cell>
          <cell r="L234">
            <v>0</v>
          </cell>
          <cell r="M234">
            <v>1817266</v>
          </cell>
          <cell r="N234">
            <v>-890170</v>
          </cell>
          <cell r="O234">
            <v>0</v>
          </cell>
          <cell r="P234">
            <v>0</v>
          </cell>
          <cell r="Q234">
            <v>-890170</v>
          </cell>
          <cell r="R234">
            <v>1327600</v>
          </cell>
          <cell r="S234">
            <v>0</v>
          </cell>
          <cell r="T234">
            <v>0</v>
          </cell>
          <cell r="U234">
            <v>1327600</v>
          </cell>
          <cell r="V234">
            <v>3308000</v>
          </cell>
          <cell r="W234">
            <v>0</v>
          </cell>
          <cell r="X234">
            <v>0</v>
          </cell>
          <cell r="Y234">
            <v>3308000</v>
          </cell>
          <cell r="Z234">
            <v>60369734</v>
          </cell>
          <cell r="AA234">
            <v>0</v>
          </cell>
          <cell r="AB234">
            <v>0</v>
          </cell>
          <cell r="AC234">
            <v>60369734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3563636</v>
          </cell>
          <cell r="AP234">
            <v>423367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41939969</v>
          </cell>
          <cell r="G235">
            <v>0</v>
          </cell>
          <cell r="H235">
            <v>0</v>
          </cell>
          <cell r="I235">
            <v>41939969</v>
          </cell>
          <cell r="J235">
            <v>68475</v>
          </cell>
          <cell r="K235">
            <v>0</v>
          </cell>
          <cell r="L235">
            <v>0</v>
          </cell>
          <cell r="M235">
            <v>68475</v>
          </cell>
          <cell r="N235">
            <v>170430</v>
          </cell>
          <cell r="O235">
            <v>0</v>
          </cell>
          <cell r="P235">
            <v>0</v>
          </cell>
          <cell r="Q235">
            <v>170430</v>
          </cell>
          <cell r="R235">
            <v>368382</v>
          </cell>
          <cell r="S235">
            <v>0</v>
          </cell>
          <cell r="T235">
            <v>0</v>
          </cell>
          <cell r="U235">
            <v>368382</v>
          </cell>
          <cell r="V235">
            <v>916912</v>
          </cell>
          <cell r="W235">
            <v>0</v>
          </cell>
          <cell r="X235">
            <v>0</v>
          </cell>
          <cell r="Y235">
            <v>916912</v>
          </cell>
          <cell r="Z235">
            <v>40415770</v>
          </cell>
          <cell r="AA235">
            <v>0</v>
          </cell>
          <cell r="AB235">
            <v>0</v>
          </cell>
          <cell r="AC235">
            <v>40415770</v>
          </cell>
          <cell r="AD235">
            <v>9186</v>
          </cell>
          <cell r="AE235">
            <v>0</v>
          </cell>
          <cell r="AF235">
            <v>0</v>
          </cell>
          <cell r="AG235">
            <v>9186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9186</v>
          </cell>
          <cell r="AO235">
            <v>1330416</v>
          </cell>
          <cell r="AP235">
            <v>386029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35177993</v>
          </cell>
          <cell r="G236">
            <v>0</v>
          </cell>
          <cell r="H236">
            <v>0</v>
          </cell>
          <cell r="I236">
            <v>35177993</v>
          </cell>
          <cell r="J236">
            <v>442654</v>
          </cell>
          <cell r="K236">
            <v>0</v>
          </cell>
          <cell r="L236">
            <v>0</v>
          </cell>
          <cell r="M236">
            <v>442654</v>
          </cell>
          <cell r="N236">
            <v>54400</v>
          </cell>
          <cell r="O236">
            <v>0</v>
          </cell>
          <cell r="P236">
            <v>0</v>
          </cell>
          <cell r="Q236">
            <v>54400</v>
          </cell>
          <cell r="R236">
            <v>766722</v>
          </cell>
          <cell r="S236">
            <v>0</v>
          </cell>
          <cell r="T236">
            <v>0</v>
          </cell>
          <cell r="U236">
            <v>766722</v>
          </cell>
          <cell r="V236">
            <v>1500475</v>
          </cell>
          <cell r="W236">
            <v>0</v>
          </cell>
          <cell r="X236">
            <v>0</v>
          </cell>
          <cell r="Y236">
            <v>1500475</v>
          </cell>
          <cell r="Z236">
            <v>32413742</v>
          </cell>
          <cell r="AA236">
            <v>0</v>
          </cell>
          <cell r="AB236">
            <v>0</v>
          </cell>
          <cell r="AC236">
            <v>32413742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1633082</v>
          </cell>
          <cell r="AP236">
            <v>1072278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212878245</v>
          </cell>
          <cell r="G237">
            <v>1013991</v>
          </cell>
          <cell r="H237">
            <v>1206073</v>
          </cell>
          <cell r="I237">
            <v>215098309</v>
          </cell>
          <cell r="J237">
            <v>2173180</v>
          </cell>
          <cell r="K237">
            <v>0</v>
          </cell>
          <cell r="L237">
            <v>0</v>
          </cell>
          <cell r="M237">
            <v>2173180</v>
          </cell>
          <cell r="N237">
            <v>92000</v>
          </cell>
          <cell r="O237">
            <v>0</v>
          </cell>
          <cell r="P237">
            <v>0</v>
          </cell>
          <cell r="Q237">
            <v>92000</v>
          </cell>
          <cell r="R237">
            <v>4453301</v>
          </cell>
          <cell r="S237">
            <v>21329</v>
          </cell>
          <cell r="T237">
            <v>25370</v>
          </cell>
          <cell r="U237">
            <v>4500000</v>
          </cell>
          <cell r="V237">
            <v>9005563</v>
          </cell>
          <cell r="W237">
            <v>43133</v>
          </cell>
          <cell r="X237">
            <v>51304</v>
          </cell>
          <cell r="Y237">
            <v>9100000</v>
          </cell>
          <cell r="Z237">
            <v>197154201</v>
          </cell>
          <cell r="AA237">
            <v>949529</v>
          </cell>
          <cell r="AB237">
            <v>1129399</v>
          </cell>
          <cell r="AC237">
            <v>199233129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1471674</v>
          </cell>
          <cell r="AK237">
            <v>1618240</v>
          </cell>
          <cell r="AL237">
            <v>0</v>
          </cell>
          <cell r="AM237">
            <v>0</v>
          </cell>
          <cell r="AN237">
            <v>0</v>
          </cell>
          <cell r="AO237">
            <v>14380669</v>
          </cell>
          <cell r="AP237">
            <v>1875166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27830103</v>
          </cell>
          <cell r="G238">
            <v>0</v>
          </cell>
          <cell r="H238">
            <v>0</v>
          </cell>
          <cell r="I238">
            <v>27830103</v>
          </cell>
          <cell r="J238">
            <v>383240</v>
          </cell>
          <cell r="K238">
            <v>0</v>
          </cell>
          <cell r="L238">
            <v>0</v>
          </cell>
          <cell r="M238">
            <v>383240</v>
          </cell>
          <cell r="N238">
            <v>153418</v>
          </cell>
          <cell r="O238">
            <v>0</v>
          </cell>
          <cell r="P238">
            <v>0</v>
          </cell>
          <cell r="Q238">
            <v>153418</v>
          </cell>
          <cell r="R238">
            <v>427187</v>
          </cell>
          <cell r="S238">
            <v>0</v>
          </cell>
          <cell r="T238">
            <v>0</v>
          </cell>
          <cell r="U238">
            <v>427187</v>
          </cell>
          <cell r="V238">
            <v>1059937</v>
          </cell>
          <cell r="W238">
            <v>0</v>
          </cell>
          <cell r="X238">
            <v>0</v>
          </cell>
          <cell r="Y238">
            <v>1059937</v>
          </cell>
          <cell r="Z238">
            <v>25806321</v>
          </cell>
          <cell r="AA238">
            <v>0</v>
          </cell>
          <cell r="AB238">
            <v>0</v>
          </cell>
          <cell r="AC238">
            <v>25806321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1211608</v>
          </cell>
          <cell r="AP238">
            <v>492684.61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75981895.700000003</v>
          </cell>
          <cell r="G239">
            <v>0</v>
          </cell>
          <cell r="H239">
            <v>0</v>
          </cell>
          <cell r="I239">
            <v>75981895.700000003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470634</v>
          </cell>
          <cell r="O239">
            <v>0</v>
          </cell>
          <cell r="P239">
            <v>0</v>
          </cell>
          <cell r="Q239">
            <v>470634</v>
          </cell>
          <cell r="R239">
            <v>385449</v>
          </cell>
          <cell r="S239">
            <v>0</v>
          </cell>
          <cell r="T239">
            <v>0</v>
          </cell>
          <cell r="U239">
            <v>385449</v>
          </cell>
          <cell r="V239">
            <v>1220165</v>
          </cell>
          <cell r="W239">
            <v>0</v>
          </cell>
          <cell r="X239">
            <v>0</v>
          </cell>
          <cell r="Y239">
            <v>1220165</v>
          </cell>
          <cell r="Z239">
            <v>73905648</v>
          </cell>
          <cell r="AA239">
            <v>0</v>
          </cell>
          <cell r="AB239">
            <v>0</v>
          </cell>
          <cell r="AC239">
            <v>73905648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3316520</v>
          </cell>
          <cell r="AP239">
            <v>1938011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95721467</v>
          </cell>
          <cell r="G240">
            <v>0</v>
          </cell>
          <cell r="H240">
            <v>0</v>
          </cell>
          <cell r="I240">
            <v>95721467</v>
          </cell>
          <cell r="J240">
            <v>4938490.41</v>
          </cell>
          <cell r="K240">
            <v>0</v>
          </cell>
          <cell r="L240">
            <v>0</v>
          </cell>
          <cell r="M240">
            <v>4938490.41</v>
          </cell>
          <cell r="N240">
            <v>-1228969.5</v>
          </cell>
          <cell r="O240">
            <v>0</v>
          </cell>
          <cell r="P240">
            <v>0</v>
          </cell>
          <cell r="Q240">
            <v>-1228969.5</v>
          </cell>
          <cell r="R240">
            <v>455468</v>
          </cell>
          <cell r="S240">
            <v>0</v>
          </cell>
          <cell r="T240">
            <v>0</v>
          </cell>
          <cell r="U240">
            <v>455468</v>
          </cell>
          <cell r="V240">
            <v>1312123</v>
          </cell>
          <cell r="W240">
            <v>0</v>
          </cell>
          <cell r="X240">
            <v>0</v>
          </cell>
          <cell r="Y240">
            <v>1312123</v>
          </cell>
          <cell r="Z240">
            <v>90244355</v>
          </cell>
          <cell r="AA240">
            <v>0</v>
          </cell>
          <cell r="AB240">
            <v>0</v>
          </cell>
          <cell r="AC240">
            <v>90244355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7150923</v>
          </cell>
          <cell r="AP240">
            <v>451391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105857185</v>
          </cell>
          <cell r="G241">
            <v>0</v>
          </cell>
          <cell r="H241">
            <v>0</v>
          </cell>
          <cell r="I241">
            <v>105857185</v>
          </cell>
          <cell r="J241">
            <v>252039</v>
          </cell>
          <cell r="K241">
            <v>0</v>
          </cell>
          <cell r="L241">
            <v>0</v>
          </cell>
          <cell r="M241">
            <v>252039</v>
          </cell>
          <cell r="N241">
            <v>477817</v>
          </cell>
          <cell r="O241">
            <v>0</v>
          </cell>
          <cell r="P241">
            <v>0</v>
          </cell>
          <cell r="Q241">
            <v>477817</v>
          </cell>
          <cell r="R241">
            <v>924796</v>
          </cell>
          <cell r="S241">
            <v>0</v>
          </cell>
          <cell r="T241">
            <v>0</v>
          </cell>
          <cell r="U241">
            <v>924796</v>
          </cell>
          <cell r="V241">
            <v>2235084</v>
          </cell>
          <cell r="W241">
            <v>0</v>
          </cell>
          <cell r="X241">
            <v>0</v>
          </cell>
          <cell r="Y241">
            <v>2235084</v>
          </cell>
          <cell r="Z241">
            <v>101967449</v>
          </cell>
          <cell r="AA241">
            <v>0</v>
          </cell>
          <cell r="AB241">
            <v>0</v>
          </cell>
          <cell r="AC241">
            <v>101967449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2312838</v>
          </cell>
          <cell r="AP241">
            <v>4422780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29020627.600000001</v>
          </cell>
          <cell r="G242">
            <v>0</v>
          </cell>
          <cell r="H242">
            <v>0</v>
          </cell>
          <cell r="I242">
            <v>29020627.600000001</v>
          </cell>
          <cell r="J242">
            <v>4774</v>
          </cell>
          <cell r="K242">
            <v>0</v>
          </cell>
          <cell r="L242">
            <v>0</v>
          </cell>
          <cell r="M242">
            <v>4774</v>
          </cell>
          <cell r="N242">
            <v>217000</v>
          </cell>
          <cell r="O242">
            <v>0</v>
          </cell>
          <cell r="P242">
            <v>0</v>
          </cell>
          <cell r="Q242">
            <v>217000</v>
          </cell>
          <cell r="R242">
            <v>416648</v>
          </cell>
          <cell r="S242">
            <v>0</v>
          </cell>
          <cell r="T242">
            <v>0</v>
          </cell>
          <cell r="U242">
            <v>416648</v>
          </cell>
          <cell r="V242">
            <v>1274919</v>
          </cell>
          <cell r="W242">
            <v>0</v>
          </cell>
          <cell r="X242">
            <v>0</v>
          </cell>
          <cell r="Y242">
            <v>1274919</v>
          </cell>
          <cell r="Z242">
            <v>27107287</v>
          </cell>
          <cell r="AA242">
            <v>0</v>
          </cell>
          <cell r="AB242">
            <v>0</v>
          </cell>
          <cell r="AC242">
            <v>27107287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1331202</v>
          </cell>
          <cell r="AP242">
            <v>862093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67445978</v>
          </cell>
          <cell r="G243">
            <v>0</v>
          </cell>
          <cell r="H243">
            <v>0</v>
          </cell>
          <cell r="I243">
            <v>67445978</v>
          </cell>
          <cell r="J243">
            <v>394875</v>
          </cell>
          <cell r="K243">
            <v>0</v>
          </cell>
          <cell r="L243">
            <v>0</v>
          </cell>
          <cell r="M243">
            <v>394875</v>
          </cell>
          <cell r="N243">
            <v>57511</v>
          </cell>
          <cell r="O243">
            <v>0</v>
          </cell>
          <cell r="P243">
            <v>0</v>
          </cell>
          <cell r="Q243">
            <v>57511</v>
          </cell>
          <cell r="R243">
            <v>1005699</v>
          </cell>
          <cell r="S243">
            <v>0</v>
          </cell>
          <cell r="T243">
            <v>0</v>
          </cell>
          <cell r="U243">
            <v>1005699</v>
          </cell>
          <cell r="V243">
            <v>2995162</v>
          </cell>
          <cell r="W243">
            <v>0</v>
          </cell>
          <cell r="X243">
            <v>0</v>
          </cell>
          <cell r="Y243">
            <v>2995162</v>
          </cell>
          <cell r="Z243">
            <v>62992731</v>
          </cell>
          <cell r="AA243">
            <v>0</v>
          </cell>
          <cell r="AB243">
            <v>0</v>
          </cell>
          <cell r="AC243">
            <v>62992731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1250506</v>
          </cell>
          <cell r="AP243">
            <v>1179438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21899574</v>
          </cell>
          <cell r="G244">
            <v>0</v>
          </cell>
          <cell r="H244">
            <v>0</v>
          </cell>
          <cell r="I244">
            <v>21899574</v>
          </cell>
          <cell r="J244">
            <v>92386</v>
          </cell>
          <cell r="K244">
            <v>0</v>
          </cell>
          <cell r="L244">
            <v>0</v>
          </cell>
          <cell r="M244">
            <v>92386</v>
          </cell>
          <cell r="N244">
            <v>1360818</v>
          </cell>
          <cell r="O244">
            <v>0</v>
          </cell>
          <cell r="P244">
            <v>0</v>
          </cell>
          <cell r="Q244">
            <v>1360818</v>
          </cell>
          <cell r="R244">
            <v>534701</v>
          </cell>
          <cell r="S244">
            <v>0</v>
          </cell>
          <cell r="T244">
            <v>0</v>
          </cell>
          <cell r="U244">
            <v>534701</v>
          </cell>
          <cell r="V244">
            <v>92367</v>
          </cell>
          <cell r="W244">
            <v>0</v>
          </cell>
          <cell r="X244">
            <v>0</v>
          </cell>
          <cell r="Y244">
            <v>92367</v>
          </cell>
          <cell r="Z244">
            <v>19819302</v>
          </cell>
          <cell r="AA244">
            <v>0</v>
          </cell>
          <cell r="AB244">
            <v>0</v>
          </cell>
          <cell r="AC244">
            <v>19819302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1999347</v>
          </cell>
          <cell r="AP244">
            <v>381449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133756614</v>
          </cell>
          <cell r="G245">
            <v>0</v>
          </cell>
          <cell r="H245">
            <v>0</v>
          </cell>
          <cell r="I245">
            <v>133756614</v>
          </cell>
          <cell r="J245">
            <v>270409.09000000003</v>
          </cell>
          <cell r="K245">
            <v>0</v>
          </cell>
          <cell r="L245">
            <v>0</v>
          </cell>
          <cell r="M245">
            <v>270409.09000000003</v>
          </cell>
          <cell r="N245">
            <v>-70409</v>
          </cell>
          <cell r="O245">
            <v>0</v>
          </cell>
          <cell r="P245">
            <v>0</v>
          </cell>
          <cell r="Q245">
            <v>-70409</v>
          </cell>
          <cell r="R245">
            <v>1424470</v>
          </cell>
          <cell r="S245">
            <v>0</v>
          </cell>
          <cell r="T245">
            <v>0</v>
          </cell>
          <cell r="U245">
            <v>1424470</v>
          </cell>
          <cell r="V245">
            <v>5877530</v>
          </cell>
          <cell r="W245">
            <v>0</v>
          </cell>
          <cell r="X245">
            <v>0</v>
          </cell>
          <cell r="Y245">
            <v>5877530</v>
          </cell>
          <cell r="Z245">
            <v>126254615</v>
          </cell>
          <cell r="AA245">
            <v>0</v>
          </cell>
          <cell r="AB245">
            <v>0</v>
          </cell>
          <cell r="AC245">
            <v>126254615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3881461.19</v>
          </cell>
          <cell r="AP245">
            <v>2471541.6800000002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28697749</v>
          </cell>
          <cell r="G246">
            <v>0</v>
          </cell>
          <cell r="H246">
            <v>0</v>
          </cell>
          <cell r="I246">
            <v>28697749</v>
          </cell>
          <cell r="J246">
            <v>123498</v>
          </cell>
          <cell r="K246">
            <v>0</v>
          </cell>
          <cell r="L246">
            <v>0</v>
          </cell>
          <cell r="M246">
            <v>123498</v>
          </cell>
          <cell r="N246">
            <v>98906</v>
          </cell>
          <cell r="O246">
            <v>0</v>
          </cell>
          <cell r="P246">
            <v>0</v>
          </cell>
          <cell r="Q246">
            <v>98906</v>
          </cell>
          <cell r="R246">
            <v>496476</v>
          </cell>
          <cell r="S246">
            <v>0</v>
          </cell>
          <cell r="T246">
            <v>0</v>
          </cell>
          <cell r="U246">
            <v>496476</v>
          </cell>
          <cell r="V246">
            <v>1359294</v>
          </cell>
          <cell r="W246">
            <v>0</v>
          </cell>
          <cell r="X246">
            <v>0</v>
          </cell>
          <cell r="Y246">
            <v>1359294</v>
          </cell>
          <cell r="Z246">
            <v>26619575</v>
          </cell>
          <cell r="AA246">
            <v>0</v>
          </cell>
          <cell r="AB246">
            <v>0</v>
          </cell>
          <cell r="AC246">
            <v>26619575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1351458</v>
          </cell>
          <cell r="AP246">
            <v>268915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24376737</v>
          </cell>
          <cell r="G247">
            <v>0</v>
          </cell>
          <cell r="H247">
            <v>0</v>
          </cell>
          <cell r="I247">
            <v>24376737</v>
          </cell>
          <cell r="J247">
            <v>70462</v>
          </cell>
          <cell r="K247">
            <v>0</v>
          </cell>
          <cell r="L247">
            <v>0</v>
          </cell>
          <cell r="M247">
            <v>70462</v>
          </cell>
          <cell r="N247">
            <v>7000</v>
          </cell>
          <cell r="O247">
            <v>0</v>
          </cell>
          <cell r="P247">
            <v>0</v>
          </cell>
          <cell r="Q247">
            <v>7000</v>
          </cell>
          <cell r="R247">
            <v>475757</v>
          </cell>
          <cell r="S247">
            <v>0</v>
          </cell>
          <cell r="T247">
            <v>0</v>
          </cell>
          <cell r="U247">
            <v>475757</v>
          </cell>
          <cell r="V247">
            <v>2071854</v>
          </cell>
          <cell r="W247">
            <v>0</v>
          </cell>
          <cell r="X247">
            <v>0</v>
          </cell>
          <cell r="Y247">
            <v>2071854</v>
          </cell>
          <cell r="Z247">
            <v>21751664</v>
          </cell>
          <cell r="AA247">
            <v>0</v>
          </cell>
          <cell r="AB247">
            <v>0</v>
          </cell>
          <cell r="AC247">
            <v>21751664</v>
          </cell>
          <cell r="AD247">
            <v>193097</v>
          </cell>
          <cell r="AE247">
            <v>0</v>
          </cell>
          <cell r="AF247">
            <v>0</v>
          </cell>
          <cell r="AG247">
            <v>193097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193097</v>
          </cell>
          <cell r="AO247">
            <v>608468</v>
          </cell>
          <cell r="AP247">
            <v>294145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39476177</v>
          </cell>
          <cell r="G248">
            <v>0</v>
          </cell>
          <cell r="H248">
            <v>0</v>
          </cell>
          <cell r="I248">
            <v>39476177</v>
          </cell>
          <cell r="J248">
            <v>444946</v>
          </cell>
          <cell r="K248">
            <v>0</v>
          </cell>
          <cell r="L248">
            <v>0</v>
          </cell>
          <cell r="M248">
            <v>444946</v>
          </cell>
          <cell r="N248">
            <v>101000</v>
          </cell>
          <cell r="O248">
            <v>0</v>
          </cell>
          <cell r="P248">
            <v>0</v>
          </cell>
          <cell r="Q248">
            <v>101000</v>
          </cell>
          <cell r="R248">
            <v>347700</v>
          </cell>
          <cell r="S248">
            <v>0</v>
          </cell>
          <cell r="T248">
            <v>0</v>
          </cell>
          <cell r="U248">
            <v>347700</v>
          </cell>
          <cell r="V248">
            <v>923580</v>
          </cell>
          <cell r="W248">
            <v>0</v>
          </cell>
          <cell r="X248">
            <v>0</v>
          </cell>
          <cell r="Y248">
            <v>923580</v>
          </cell>
          <cell r="Z248">
            <v>37658951</v>
          </cell>
          <cell r="AA248">
            <v>0</v>
          </cell>
          <cell r="AB248">
            <v>0</v>
          </cell>
          <cell r="AC248">
            <v>37658951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1740689</v>
          </cell>
          <cell r="AP248">
            <v>-737698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39936183.200000003</v>
          </cell>
          <cell r="G249">
            <v>0</v>
          </cell>
          <cell r="H249">
            <v>0</v>
          </cell>
          <cell r="I249">
            <v>39936183.200000003</v>
          </cell>
          <cell r="J249">
            <v>275791.86</v>
          </cell>
          <cell r="K249">
            <v>0</v>
          </cell>
          <cell r="L249">
            <v>0</v>
          </cell>
          <cell r="M249">
            <v>275791.86</v>
          </cell>
          <cell r="N249">
            <v>145378.85999999999</v>
          </cell>
          <cell r="O249">
            <v>0</v>
          </cell>
          <cell r="P249">
            <v>0</v>
          </cell>
          <cell r="Q249">
            <v>145378.85999999999</v>
          </cell>
          <cell r="R249">
            <v>532000</v>
          </cell>
          <cell r="S249">
            <v>0</v>
          </cell>
          <cell r="T249">
            <v>0</v>
          </cell>
          <cell r="U249">
            <v>532000</v>
          </cell>
          <cell r="V249">
            <v>1258000</v>
          </cell>
          <cell r="W249">
            <v>0</v>
          </cell>
          <cell r="X249">
            <v>0</v>
          </cell>
          <cell r="Y249">
            <v>1258000</v>
          </cell>
          <cell r="Z249">
            <v>37725012</v>
          </cell>
          <cell r="AA249">
            <v>0</v>
          </cell>
          <cell r="AB249">
            <v>0</v>
          </cell>
          <cell r="AC249">
            <v>37725012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1450038.02</v>
          </cell>
          <cell r="AP249">
            <v>589184.6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28097228</v>
          </cell>
          <cell r="G250">
            <v>0</v>
          </cell>
          <cell r="H250">
            <v>0</v>
          </cell>
          <cell r="I250">
            <v>28097228</v>
          </cell>
          <cell r="J250">
            <v>37123</v>
          </cell>
          <cell r="K250">
            <v>0</v>
          </cell>
          <cell r="L250">
            <v>0</v>
          </cell>
          <cell r="M250">
            <v>37123</v>
          </cell>
          <cell r="N250">
            <v>122435</v>
          </cell>
          <cell r="O250">
            <v>0</v>
          </cell>
          <cell r="P250">
            <v>0</v>
          </cell>
          <cell r="Q250">
            <v>122435</v>
          </cell>
          <cell r="R250">
            <v>240523</v>
          </cell>
          <cell r="S250">
            <v>0</v>
          </cell>
          <cell r="T250">
            <v>0</v>
          </cell>
          <cell r="U250">
            <v>240523</v>
          </cell>
          <cell r="V250">
            <v>713285</v>
          </cell>
          <cell r="W250">
            <v>0</v>
          </cell>
          <cell r="X250">
            <v>0</v>
          </cell>
          <cell r="Y250">
            <v>713285</v>
          </cell>
          <cell r="Z250">
            <v>26983862</v>
          </cell>
          <cell r="AA250">
            <v>0</v>
          </cell>
          <cell r="AB250">
            <v>0</v>
          </cell>
          <cell r="AC250">
            <v>26983862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1074937</v>
          </cell>
          <cell r="AP250">
            <v>189769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20239345</v>
          </cell>
          <cell r="G251">
            <v>0</v>
          </cell>
          <cell r="H251">
            <v>0</v>
          </cell>
          <cell r="I251">
            <v>20239345</v>
          </cell>
          <cell r="J251">
            <v>146593</v>
          </cell>
          <cell r="K251">
            <v>0</v>
          </cell>
          <cell r="L251">
            <v>0</v>
          </cell>
          <cell r="M251">
            <v>146593</v>
          </cell>
          <cell r="N251">
            <v>88021</v>
          </cell>
          <cell r="O251">
            <v>0</v>
          </cell>
          <cell r="P251">
            <v>0</v>
          </cell>
          <cell r="Q251">
            <v>88021</v>
          </cell>
          <cell r="R251">
            <v>46500</v>
          </cell>
          <cell r="S251">
            <v>0</v>
          </cell>
          <cell r="T251">
            <v>0</v>
          </cell>
          <cell r="U251">
            <v>46500</v>
          </cell>
          <cell r="V251">
            <v>626656</v>
          </cell>
          <cell r="W251">
            <v>0</v>
          </cell>
          <cell r="X251">
            <v>0</v>
          </cell>
          <cell r="Y251">
            <v>626656</v>
          </cell>
          <cell r="Z251">
            <v>19331575</v>
          </cell>
          <cell r="AA251">
            <v>0</v>
          </cell>
          <cell r="AB251">
            <v>0</v>
          </cell>
          <cell r="AC251">
            <v>19331575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438470</v>
          </cell>
          <cell r="AP251">
            <v>397060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41935195</v>
          </cell>
          <cell r="G252">
            <v>0</v>
          </cell>
          <cell r="H252">
            <v>0</v>
          </cell>
          <cell r="I252">
            <v>41935195</v>
          </cell>
          <cell r="J252">
            <v>385246</v>
          </cell>
          <cell r="K252">
            <v>0</v>
          </cell>
          <cell r="L252">
            <v>0</v>
          </cell>
          <cell r="M252">
            <v>385246</v>
          </cell>
          <cell r="N252">
            <v>-217600</v>
          </cell>
          <cell r="O252">
            <v>0</v>
          </cell>
          <cell r="P252">
            <v>0</v>
          </cell>
          <cell r="Q252">
            <v>-217600</v>
          </cell>
          <cell r="R252">
            <v>256995</v>
          </cell>
          <cell r="S252">
            <v>0</v>
          </cell>
          <cell r="T252">
            <v>0</v>
          </cell>
          <cell r="U252">
            <v>256995</v>
          </cell>
          <cell r="V252">
            <v>1351525</v>
          </cell>
          <cell r="W252">
            <v>0</v>
          </cell>
          <cell r="X252">
            <v>0</v>
          </cell>
          <cell r="Y252">
            <v>1351525</v>
          </cell>
          <cell r="Z252">
            <v>40159029</v>
          </cell>
          <cell r="AA252">
            <v>0</v>
          </cell>
          <cell r="AB252">
            <v>0</v>
          </cell>
          <cell r="AC252">
            <v>40159029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1865335</v>
          </cell>
          <cell r="AP252">
            <v>794235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35215212</v>
          </cell>
          <cell r="G253">
            <v>0</v>
          </cell>
          <cell r="H253">
            <v>0</v>
          </cell>
          <cell r="I253">
            <v>35215212</v>
          </cell>
          <cell r="J253">
            <v>240062</v>
          </cell>
          <cell r="K253">
            <v>0</v>
          </cell>
          <cell r="L253">
            <v>0</v>
          </cell>
          <cell r="M253">
            <v>240062</v>
          </cell>
          <cell r="N253">
            <v>-134484</v>
          </cell>
          <cell r="O253">
            <v>0</v>
          </cell>
          <cell r="P253">
            <v>0</v>
          </cell>
          <cell r="Q253">
            <v>-134484</v>
          </cell>
          <cell r="R253">
            <v>600000</v>
          </cell>
          <cell r="S253">
            <v>0</v>
          </cell>
          <cell r="T253">
            <v>0</v>
          </cell>
          <cell r="U253">
            <v>600000</v>
          </cell>
          <cell r="V253">
            <v>1900000</v>
          </cell>
          <cell r="W253">
            <v>0</v>
          </cell>
          <cell r="X253">
            <v>0</v>
          </cell>
          <cell r="Y253">
            <v>1900000</v>
          </cell>
          <cell r="Z253">
            <v>32609634</v>
          </cell>
          <cell r="AA253">
            <v>0</v>
          </cell>
          <cell r="AB253">
            <v>0</v>
          </cell>
          <cell r="AC253">
            <v>32609634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1207245.94</v>
          </cell>
          <cell r="AP253">
            <v>323290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42677414</v>
          </cell>
          <cell r="G254">
            <v>0</v>
          </cell>
          <cell r="H254">
            <v>0</v>
          </cell>
          <cell r="I254">
            <v>42677414</v>
          </cell>
          <cell r="J254">
            <v>115927</v>
          </cell>
          <cell r="K254">
            <v>0</v>
          </cell>
          <cell r="L254">
            <v>0</v>
          </cell>
          <cell r="M254">
            <v>115927</v>
          </cell>
          <cell r="N254">
            <v>297100</v>
          </cell>
          <cell r="O254">
            <v>0</v>
          </cell>
          <cell r="P254">
            <v>0</v>
          </cell>
          <cell r="Q254">
            <v>297100</v>
          </cell>
          <cell r="R254">
            <v>490515</v>
          </cell>
          <cell r="S254">
            <v>0</v>
          </cell>
          <cell r="T254">
            <v>0</v>
          </cell>
          <cell r="U254">
            <v>490515</v>
          </cell>
          <cell r="V254">
            <v>1885549</v>
          </cell>
          <cell r="W254">
            <v>0</v>
          </cell>
          <cell r="X254">
            <v>0</v>
          </cell>
          <cell r="Y254">
            <v>1885549</v>
          </cell>
          <cell r="Z254">
            <v>39888323</v>
          </cell>
          <cell r="AA254">
            <v>0</v>
          </cell>
          <cell r="AB254">
            <v>0</v>
          </cell>
          <cell r="AC254">
            <v>39888323</v>
          </cell>
          <cell r="AD254">
            <v>8101.2</v>
          </cell>
          <cell r="AE254">
            <v>0</v>
          </cell>
          <cell r="AF254">
            <v>0</v>
          </cell>
          <cell r="AG254">
            <v>8101.2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8101.2</v>
          </cell>
          <cell r="AO254">
            <v>2892041</v>
          </cell>
          <cell r="AP254">
            <v>509587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20751997</v>
          </cell>
          <cell r="G255">
            <v>0</v>
          </cell>
          <cell r="H255">
            <v>494143</v>
          </cell>
          <cell r="I255">
            <v>21246140</v>
          </cell>
          <cell r="J255">
            <v>278807</v>
          </cell>
          <cell r="K255">
            <v>0</v>
          </cell>
          <cell r="L255">
            <v>0</v>
          </cell>
          <cell r="M255">
            <v>278807</v>
          </cell>
          <cell r="N255">
            <v>-20000</v>
          </cell>
          <cell r="O255">
            <v>0</v>
          </cell>
          <cell r="P255">
            <v>0</v>
          </cell>
          <cell r="Q255">
            <v>-20000</v>
          </cell>
          <cell r="R255">
            <v>318480</v>
          </cell>
          <cell r="S255">
            <v>0</v>
          </cell>
          <cell r="T255">
            <v>0</v>
          </cell>
          <cell r="U255">
            <v>318480</v>
          </cell>
          <cell r="V255">
            <v>955440</v>
          </cell>
          <cell r="W255">
            <v>0</v>
          </cell>
          <cell r="X255">
            <v>0</v>
          </cell>
          <cell r="Y255">
            <v>955440</v>
          </cell>
          <cell r="Z255">
            <v>19219270</v>
          </cell>
          <cell r="AA255">
            <v>0</v>
          </cell>
          <cell r="AB255">
            <v>494143</v>
          </cell>
          <cell r="AC255">
            <v>19713413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494143</v>
          </cell>
          <cell r="AN255">
            <v>0</v>
          </cell>
          <cell r="AO255">
            <v>860655</v>
          </cell>
          <cell r="AP255">
            <v>170766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29627722</v>
          </cell>
          <cell r="G256">
            <v>0</v>
          </cell>
          <cell r="H256">
            <v>0</v>
          </cell>
          <cell r="I256">
            <v>29627722</v>
          </cell>
          <cell r="J256">
            <v>252895.98</v>
          </cell>
          <cell r="K256">
            <v>0</v>
          </cell>
          <cell r="L256">
            <v>0</v>
          </cell>
          <cell r="M256">
            <v>252895.98</v>
          </cell>
          <cell r="N256">
            <v>110140.84</v>
          </cell>
          <cell r="O256">
            <v>0</v>
          </cell>
          <cell r="P256">
            <v>0</v>
          </cell>
          <cell r="Q256">
            <v>110140.84</v>
          </cell>
          <cell r="R256">
            <v>195203</v>
          </cell>
          <cell r="S256">
            <v>0</v>
          </cell>
          <cell r="T256">
            <v>0</v>
          </cell>
          <cell r="U256">
            <v>195203</v>
          </cell>
          <cell r="V256">
            <v>485474</v>
          </cell>
          <cell r="W256">
            <v>0</v>
          </cell>
          <cell r="X256">
            <v>0</v>
          </cell>
          <cell r="Y256">
            <v>485474</v>
          </cell>
          <cell r="Z256">
            <v>28584008</v>
          </cell>
          <cell r="AA256">
            <v>0</v>
          </cell>
          <cell r="AB256">
            <v>0</v>
          </cell>
          <cell r="AC256">
            <v>28584008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1198609</v>
          </cell>
          <cell r="AP256">
            <v>474554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100875135</v>
          </cell>
          <cell r="G257">
            <v>0</v>
          </cell>
          <cell r="H257">
            <v>0</v>
          </cell>
          <cell r="I257">
            <v>100875135</v>
          </cell>
          <cell r="J257">
            <v>1192050</v>
          </cell>
          <cell r="K257">
            <v>0</v>
          </cell>
          <cell r="L257">
            <v>0</v>
          </cell>
          <cell r="M257">
            <v>1192050</v>
          </cell>
          <cell r="N257">
            <v>-215691</v>
          </cell>
          <cell r="O257">
            <v>0</v>
          </cell>
          <cell r="P257">
            <v>0</v>
          </cell>
          <cell r="Q257">
            <v>-215691</v>
          </cell>
          <cell r="R257">
            <v>5658977</v>
          </cell>
          <cell r="S257">
            <v>0</v>
          </cell>
          <cell r="T257">
            <v>0</v>
          </cell>
          <cell r="U257">
            <v>5658977</v>
          </cell>
          <cell r="V257">
            <v>9486268</v>
          </cell>
          <cell r="W257">
            <v>0</v>
          </cell>
          <cell r="X257">
            <v>0</v>
          </cell>
          <cell r="Y257">
            <v>9486268</v>
          </cell>
          <cell r="Z257">
            <v>84753531</v>
          </cell>
          <cell r="AA257">
            <v>0</v>
          </cell>
          <cell r="AB257">
            <v>0</v>
          </cell>
          <cell r="AC257">
            <v>84753531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3773664</v>
          </cell>
          <cell r="AP257">
            <v>2962557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46247279</v>
          </cell>
          <cell r="G258">
            <v>0</v>
          </cell>
          <cell r="H258">
            <v>0</v>
          </cell>
          <cell r="I258">
            <v>46247279</v>
          </cell>
          <cell r="J258">
            <v>763429.05</v>
          </cell>
          <cell r="K258">
            <v>0</v>
          </cell>
          <cell r="L258">
            <v>0</v>
          </cell>
          <cell r="M258">
            <v>763429.05</v>
          </cell>
          <cell r="N258">
            <v>392004.34</v>
          </cell>
          <cell r="O258">
            <v>0</v>
          </cell>
          <cell r="P258">
            <v>0</v>
          </cell>
          <cell r="Q258">
            <v>392004.34</v>
          </cell>
          <cell r="R258">
            <v>300434.89</v>
          </cell>
          <cell r="S258">
            <v>0</v>
          </cell>
          <cell r="T258">
            <v>0</v>
          </cell>
          <cell r="U258">
            <v>300434.89</v>
          </cell>
          <cell r="V258">
            <v>1183095.3899999999</v>
          </cell>
          <cell r="W258">
            <v>0</v>
          </cell>
          <cell r="X258">
            <v>0</v>
          </cell>
          <cell r="Y258">
            <v>1183095.3899999999</v>
          </cell>
          <cell r="Z258">
            <v>43608315</v>
          </cell>
          <cell r="AA258">
            <v>0</v>
          </cell>
          <cell r="AB258">
            <v>0</v>
          </cell>
          <cell r="AC258">
            <v>43608315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1877684</v>
          </cell>
          <cell r="AP258">
            <v>747776.94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197495771</v>
          </cell>
          <cell r="G259">
            <v>0</v>
          </cell>
          <cell r="H259">
            <v>0</v>
          </cell>
          <cell r="I259">
            <v>197495771</v>
          </cell>
          <cell r="J259">
            <v>2141252</v>
          </cell>
          <cell r="K259">
            <v>0</v>
          </cell>
          <cell r="L259">
            <v>0</v>
          </cell>
          <cell r="M259">
            <v>2141252</v>
          </cell>
          <cell r="N259">
            <v>147179</v>
          </cell>
          <cell r="O259">
            <v>0</v>
          </cell>
          <cell r="P259">
            <v>0</v>
          </cell>
          <cell r="Q259">
            <v>147179</v>
          </cell>
          <cell r="R259">
            <v>7522140.6399999997</v>
          </cell>
          <cell r="S259">
            <v>0</v>
          </cell>
          <cell r="T259">
            <v>0</v>
          </cell>
          <cell r="U259">
            <v>7522140.6399999997</v>
          </cell>
          <cell r="V259">
            <v>31417142</v>
          </cell>
          <cell r="W259">
            <v>0</v>
          </cell>
          <cell r="X259">
            <v>0</v>
          </cell>
          <cell r="Y259">
            <v>31417142</v>
          </cell>
          <cell r="Z259">
            <v>156268057</v>
          </cell>
          <cell r="AA259">
            <v>0</v>
          </cell>
          <cell r="AB259">
            <v>0</v>
          </cell>
          <cell r="AC259">
            <v>156268057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7930613</v>
          </cell>
          <cell r="AP259">
            <v>-9279933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40455294</v>
          </cell>
          <cell r="G260">
            <v>0</v>
          </cell>
          <cell r="H260">
            <v>0</v>
          </cell>
          <cell r="I260">
            <v>40455294</v>
          </cell>
          <cell r="J260">
            <v>172365</v>
          </cell>
          <cell r="K260">
            <v>0</v>
          </cell>
          <cell r="L260">
            <v>0</v>
          </cell>
          <cell r="M260">
            <v>172365</v>
          </cell>
          <cell r="N260">
            <v>-15000</v>
          </cell>
          <cell r="O260">
            <v>0</v>
          </cell>
          <cell r="P260">
            <v>0</v>
          </cell>
          <cell r="Q260">
            <v>-15000</v>
          </cell>
          <cell r="R260">
            <v>634583</v>
          </cell>
          <cell r="S260">
            <v>0</v>
          </cell>
          <cell r="T260">
            <v>0</v>
          </cell>
          <cell r="U260">
            <v>634583</v>
          </cell>
          <cell r="V260">
            <v>1983762</v>
          </cell>
          <cell r="W260">
            <v>0</v>
          </cell>
          <cell r="X260">
            <v>0</v>
          </cell>
          <cell r="Y260">
            <v>1983762</v>
          </cell>
          <cell r="Z260">
            <v>37679584</v>
          </cell>
          <cell r="AA260">
            <v>0</v>
          </cell>
          <cell r="AB260">
            <v>0</v>
          </cell>
          <cell r="AC260">
            <v>37679584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817103</v>
          </cell>
          <cell r="AP260">
            <v>942205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60863921</v>
          </cell>
          <cell r="G261">
            <v>0</v>
          </cell>
          <cell r="H261">
            <v>0</v>
          </cell>
          <cell r="I261">
            <v>60863921</v>
          </cell>
          <cell r="J261">
            <v>73414</v>
          </cell>
          <cell r="K261">
            <v>0</v>
          </cell>
          <cell r="L261">
            <v>0</v>
          </cell>
          <cell r="M261">
            <v>73414</v>
          </cell>
          <cell r="N261">
            <v>214000</v>
          </cell>
          <cell r="O261">
            <v>0</v>
          </cell>
          <cell r="P261">
            <v>0</v>
          </cell>
          <cell r="Q261">
            <v>214000</v>
          </cell>
          <cell r="R261">
            <v>1151135.8600000001</v>
          </cell>
          <cell r="S261">
            <v>0</v>
          </cell>
          <cell r="T261">
            <v>0</v>
          </cell>
          <cell r="U261">
            <v>1151135.8600000001</v>
          </cell>
          <cell r="V261">
            <v>924895</v>
          </cell>
          <cell r="W261">
            <v>0</v>
          </cell>
          <cell r="X261">
            <v>0</v>
          </cell>
          <cell r="Y261">
            <v>924895</v>
          </cell>
          <cell r="Z261">
            <v>58500476</v>
          </cell>
          <cell r="AA261">
            <v>0</v>
          </cell>
          <cell r="AB261">
            <v>0</v>
          </cell>
          <cell r="AC261">
            <v>58500476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2330975</v>
          </cell>
          <cell r="AP261">
            <v>562391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45488940.799999997</v>
          </cell>
          <cell r="G262">
            <v>0</v>
          </cell>
          <cell r="H262">
            <v>0</v>
          </cell>
          <cell r="I262">
            <v>45488940.799999997</v>
          </cell>
          <cell r="J262">
            <v>183391.46</v>
          </cell>
          <cell r="K262">
            <v>0</v>
          </cell>
          <cell r="L262">
            <v>0</v>
          </cell>
          <cell r="M262">
            <v>183391.46</v>
          </cell>
          <cell r="N262">
            <v>90659.61</v>
          </cell>
          <cell r="O262">
            <v>0</v>
          </cell>
          <cell r="P262">
            <v>0</v>
          </cell>
          <cell r="Q262">
            <v>90659.61</v>
          </cell>
          <cell r="R262">
            <v>380157</v>
          </cell>
          <cell r="S262">
            <v>0</v>
          </cell>
          <cell r="T262">
            <v>0</v>
          </cell>
          <cell r="U262">
            <v>380157</v>
          </cell>
          <cell r="V262">
            <v>1055717</v>
          </cell>
          <cell r="W262">
            <v>0</v>
          </cell>
          <cell r="X262">
            <v>0</v>
          </cell>
          <cell r="Y262">
            <v>1055717</v>
          </cell>
          <cell r="Z262">
            <v>43779016</v>
          </cell>
          <cell r="AA262">
            <v>0</v>
          </cell>
          <cell r="AB262">
            <v>0</v>
          </cell>
          <cell r="AC262">
            <v>43779016</v>
          </cell>
          <cell r="AD262">
            <v>35841.160000000003</v>
          </cell>
          <cell r="AE262">
            <v>0</v>
          </cell>
          <cell r="AF262">
            <v>0</v>
          </cell>
          <cell r="AG262">
            <v>35841.160000000003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35841.160000000003</v>
          </cell>
          <cell r="AO262">
            <v>1330227.93</v>
          </cell>
          <cell r="AP262">
            <v>316503.61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52617354</v>
          </cell>
          <cell r="G263">
            <v>0</v>
          </cell>
          <cell r="H263">
            <v>0</v>
          </cell>
          <cell r="I263">
            <v>52617354</v>
          </cell>
          <cell r="J263">
            <v>619634</v>
          </cell>
          <cell r="K263">
            <v>0</v>
          </cell>
          <cell r="L263">
            <v>0</v>
          </cell>
          <cell r="M263">
            <v>619634</v>
          </cell>
          <cell r="N263">
            <v>408929</v>
          </cell>
          <cell r="O263">
            <v>0</v>
          </cell>
          <cell r="P263">
            <v>0</v>
          </cell>
          <cell r="Q263">
            <v>408929</v>
          </cell>
          <cell r="R263">
            <v>786976</v>
          </cell>
          <cell r="S263">
            <v>0</v>
          </cell>
          <cell r="T263">
            <v>0</v>
          </cell>
          <cell r="U263">
            <v>786976</v>
          </cell>
          <cell r="V263">
            <v>2349718</v>
          </cell>
          <cell r="W263">
            <v>0</v>
          </cell>
          <cell r="X263">
            <v>0</v>
          </cell>
          <cell r="Y263">
            <v>2349718</v>
          </cell>
          <cell r="Z263">
            <v>48452097</v>
          </cell>
          <cell r="AA263">
            <v>0</v>
          </cell>
          <cell r="AB263">
            <v>0</v>
          </cell>
          <cell r="AC263">
            <v>48452097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3549980</v>
          </cell>
          <cell r="AP263">
            <v>888689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44183024</v>
          </cell>
          <cell r="G264">
            <v>0</v>
          </cell>
          <cell r="H264">
            <v>0</v>
          </cell>
          <cell r="I264">
            <v>44183024</v>
          </cell>
          <cell r="J264">
            <v>103882</v>
          </cell>
          <cell r="K264">
            <v>0</v>
          </cell>
          <cell r="L264">
            <v>0</v>
          </cell>
          <cell r="M264">
            <v>103882</v>
          </cell>
          <cell r="N264">
            <v>302218</v>
          </cell>
          <cell r="O264">
            <v>0</v>
          </cell>
          <cell r="P264">
            <v>0</v>
          </cell>
          <cell r="Q264">
            <v>302218</v>
          </cell>
          <cell r="R264">
            <v>445610</v>
          </cell>
          <cell r="S264">
            <v>0</v>
          </cell>
          <cell r="T264">
            <v>0</v>
          </cell>
          <cell r="U264">
            <v>445610</v>
          </cell>
          <cell r="V264">
            <v>1336846</v>
          </cell>
          <cell r="W264">
            <v>0</v>
          </cell>
          <cell r="X264">
            <v>0</v>
          </cell>
          <cell r="Y264">
            <v>1336846</v>
          </cell>
          <cell r="Z264">
            <v>41994468</v>
          </cell>
          <cell r="AA264">
            <v>0</v>
          </cell>
          <cell r="AB264">
            <v>0</v>
          </cell>
          <cell r="AC264">
            <v>41994468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1643503</v>
          </cell>
          <cell r="AP264">
            <v>71648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17801478</v>
          </cell>
          <cell r="G265">
            <v>0</v>
          </cell>
          <cell r="H265">
            <v>0</v>
          </cell>
          <cell r="I265">
            <v>17801478</v>
          </cell>
          <cell r="J265">
            <v>165020</v>
          </cell>
          <cell r="K265">
            <v>0</v>
          </cell>
          <cell r="L265">
            <v>0</v>
          </cell>
          <cell r="M265">
            <v>165020</v>
          </cell>
          <cell r="N265">
            <v>-25496</v>
          </cell>
          <cell r="O265">
            <v>0</v>
          </cell>
          <cell r="P265">
            <v>0</v>
          </cell>
          <cell r="Q265">
            <v>-25496</v>
          </cell>
          <cell r="R265">
            <v>110126</v>
          </cell>
          <cell r="S265">
            <v>0</v>
          </cell>
          <cell r="T265">
            <v>0</v>
          </cell>
          <cell r="U265">
            <v>110126</v>
          </cell>
          <cell r="V265">
            <v>267495</v>
          </cell>
          <cell r="W265">
            <v>0</v>
          </cell>
          <cell r="X265">
            <v>0</v>
          </cell>
          <cell r="Y265">
            <v>267495</v>
          </cell>
          <cell r="Z265">
            <v>17284333</v>
          </cell>
          <cell r="AA265">
            <v>0</v>
          </cell>
          <cell r="AB265">
            <v>0</v>
          </cell>
          <cell r="AC265">
            <v>17284333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562532</v>
          </cell>
          <cell r="AP265">
            <v>125324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49110293</v>
          </cell>
          <cell r="G266">
            <v>0</v>
          </cell>
          <cell r="H266">
            <v>0</v>
          </cell>
          <cell r="I266">
            <v>49110293</v>
          </cell>
          <cell r="J266">
            <v>6509</v>
          </cell>
          <cell r="K266">
            <v>0</v>
          </cell>
          <cell r="L266">
            <v>0</v>
          </cell>
          <cell r="M266">
            <v>6509</v>
          </cell>
          <cell r="N266">
            <v>889476</v>
          </cell>
          <cell r="O266">
            <v>0</v>
          </cell>
          <cell r="P266">
            <v>0</v>
          </cell>
          <cell r="Q266">
            <v>889476</v>
          </cell>
          <cell r="R266">
            <v>806191</v>
          </cell>
          <cell r="S266">
            <v>0</v>
          </cell>
          <cell r="T266">
            <v>0</v>
          </cell>
          <cell r="U266">
            <v>806191</v>
          </cell>
          <cell r="V266">
            <v>2769460</v>
          </cell>
          <cell r="W266">
            <v>0</v>
          </cell>
          <cell r="X266">
            <v>0</v>
          </cell>
          <cell r="Y266">
            <v>2769460</v>
          </cell>
          <cell r="Z266">
            <v>44638657</v>
          </cell>
          <cell r="AA266">
            <v>0</v>
          </cell>
          <cell r="AB266">
            <v>0</v>
          </cell>
          <cell r="AC266">
            <v>44638657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3913040</v>
          </cell>
          <cell r="AP266">
            <v>-1243805.3999999999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89835804</v>
          </cell>
          <cell r="G267">
            <v>0</v>
          </cell>
          <cell r="H267">
            <v>0</v>
          </cell>
          <cell r="I267">
            <v>89835804</v>
          </cell>
          <cell r="J267">
            <v>1005661</v>
          </cell>
          <cell r="K267">
            <v>0</v>
          </cell>
          <cell r="L267">
            <v>0</v>
          </cell>
          <cell r="M267">
            <v>1005661</v>
          </cell>
          <cell r="N267">
            <v>-317867</v>
          </cell>
          <cell r="O267">
            <v>0</v>
          </cell>
          <cell r="P267">
            <v>0</v>
          </cell>
          <cell r="Q267">
            <v>-317867</v>
          </cell>
          <cell r="R267">
            <v>1011586</v>
          </cell>
          <cell r="S267">
            <v>0</v>
          </cell>
          <cell r="T267">
            <v>0</v>
          </cell>
          <cell r="U267">
            <v>1011586</v>
          </cell>
          <cell r="V267">
            <v>2929317</v>
          </cell>
          <cell r="W267">
            <v>0</v>
          </cell>
          <cell r="X267">
            <v>0</v>
          </cell>
          <cell r="Y267">
            <v>2929317</v>
          </cell>
          <cell r="Z267">
            <v>85207107</v>
          </cell>
          <cell r="AA267">
            <v>0</v>
          </cell>
          <cell r="AB267">
            <v>0</v>
          </cell>
          <cell r="AC267">
            <v>85207107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12130438</v>
          </cell>
          <cell r="AP267">
            <v>-1389389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80893072</v>
          </cell>
          <cell r="G268">
            <v>0</v>
          </cell>
          <cell r="H268">
            <v>0</v>
          </cell>
          <cell r="I268">
            <v>80893072</v>
          </cell>
          <cell r="J268">
            <v>295133</v>
          </cell>
          <cell r="K268">
            <v>0</v>
          </cell>
          <cell r="L268">
            <v>0</v>
          </cell>
          <cell r="M268">
            <v>295133</v>
          </cell>
          <cell r="N268">
            <v>82518</v>
          </cell>
          <cell r="O268">
            <v>0</v>
          </cell>
          <cell r="P268">
            <v>0</v>
          </cell>
          <cell r="Q268">
            <v>82518</v>
          </cell>
          <cell r="R268">
            <v>1207644</v>
          </cell>
          <cell r="S268">
            <v>0</v>
          </cell>
          <cell r="T268">
            <v>0</v>
          </cell>
          <cell r="U268">
            <v>1207644</v>
          </cell>
          <cell r="V268">
            <v>1835303</v>
          </cell>
          <cell r="W268">
            <v>0</v>
          </cell>
          <cell r="X268">
            <v>0</v>
          </cell>
          <cell r="Y268">
            <v>1835303</v>
          </cell>
          <cell r="Z268">
            <v>77472474</v>
          </cell>
          <cell r="AA268">
            <v>0</v>
          </cell>
          <cell r="AB268">
            <v>0</v>
          </cell>
          <cell r="AC268">
            <v>77472474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1211168</v>
          </cell>
          <cell r="AP268">
            <v>1470911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84884602</v>
          </cell>
          <cell r="G269">
            <v>0</v>
          </cell>
          <cell r="H269">
            <v>0</v>
          </cell>
          <cell r="I269">
            <v>84884602</v>
          </cell>
          <cell r="J269">
            <v>1418768</v>
          </cell>
          <cell r="K269">
            <v>0</v>
          </cell>
          <cell r="L269">
            <v>0</v>
          </cell>
          <cell r="M269">
            <v>1418768</v>
          </cell>
          <cell r="N269">
            <v>-621000</v>
          </cell>
          <cell r="O269">
            <v>0</v>
          </cell>
          <cell r="P269">
            <v>0</v>
          </cell>
          <cell r="Q269">
            <v>-621000</v>
          </cell>
          <cell r="R269">
            <v>2300000</v>
          </cell>
          <cell r="S269">
            <v>0</v>
          </cell>
          <cell r="T269">
            <v>0</v>
          </cell>
          <cell r="U269">
            <v>2300000</v>
          </cell>
          <cell r="V269">
            <v>6000000</v>
          </cell>
          <cell r="W269">
            <v>0</v>
          </cell>
          <cell r="X269">
            <v>0</v>
          </cell>
          <cell r="Y269">
            <v>6000000</v>
          </cell>
          <cell r="Z269">
            <v>75786834</v>
          </cell>
          <cell r="AA269">
            <v>0</v>
          </cell>
          <cell r="AB269">
            <v>0</v>
          </cell>
          <cell r="AC269">
            <v>75786834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4671739</v>
          </cell>
          <cell r="AP269">
            <v>4975538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51686910</v>
          </cell>
          <cell r="G270">
            <v>0</v>
          </cell>
          <cell r="H270">
            <v>0</v>
          </cell>
          <cell r="I270">
            <v>51686910</v>
          </cell>
          <cell r="J270">
            <v>351842</v>
          </cell>
          <cell r="K270">
            <v>0</v>
          </cell>
          <cell r="L270">
            <v>0</v>
          </cell>
          <cell r="M270">
            <v>351842</v>
          </cell>
          <cell r="N270">
            <v>18852</v>
          </cell>
          <cell r="O270">
            <v>0</v>
          </cell>
          <cell r="P270">
            <v>0</v>
          </cell>
          <cell r="Q270">
            <v>18852</v>
          </cell>
          <cell r="R270">
            <v>569069</v>
          </cell>
          <cell r="S270">
            <v>0</v>
          </cell>
          <cell r="T270">
            <v>0</v>
          </cell>
          <cell r="U270">
            <v>569069</v>
          </cell>
          <cell r="V270">
            <v>2053998</v>
          </cell>
          <cell r="W270">
            <v>0</v>
          </cell>
          <cell r="X270">
            <v>0</v>
          </cell>
          <cell r="Y270">
            <v>2053998</v>
          </cell>
          <cell r="Z270">
            <v>48693149</v>
          </cell>
          <cell r="AA270">
            <v>0</v>
          </cell>
          <cell r="AB270">
            <v>0</v>
          </cell>
          <cell r="AC270">
            <v>48693149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638887</v>
          </cell>
          <cell r="AP270">
            <v>746735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24334527.5</v>
          </cell>
          <cell r="G271">
            <v>0</v>
          </cell>
          <cell r="H271">
            <v>0</v>
          </cell>
          <cell r="I271">
            <v>24334527.5</v>
          </cell>
          <cell r="J271">
            <v>27901</v>
          </cell>
          <cell r="K271">
            <v>0</v>
          </cell>
          <cell r="L271">
            <v>0</v>
          </cell>
          <cell r="M271">
            <v>27901</v>
          </cell>
          <cell r="N271">
            <v>59256.800000000003</v>
          </cell>
          <cell r="O271">
            <v>0</v>
          </cell>
          <cell r="P271">
            <v>0</v>
          </cell>
          <cell r="Q271">
            <v>59256.800000000003</v>
          </cell>
          <cell r="R271">
            <v>307410</v>
          </cell>
          <cell r="S271">
            <v>0</v>
          </cell>
          <cell r="T271">
            <v>0</v>
          </cell>
          <cell r="U271">
            <v>307410</v>
          </cell>
          <cell r="V271">
            <v>475332</v>
          </cell>
          <cell r="W271">
            <v>0</v>
          </cell>
          <cell r="X271">
            <v>0</v>
          </cell>
          <cell r="Y271">
            <v>475332</v>
          </cell>
          <cell r="Z271">
            <v>23464628</v>
          </cell>
          <cell r="AA271">
            <v>0</v>
          </cell>
          <cell r="AB271">
            <v>0</v>
          </cell>
          <cell r="AC271">
            <v>23464628</v>
          </cell>
          <cell r="AD271">
            <v>550.39</v>
          </cell>
          <cell r="AE271">
            <v>0</v>
          </cell>
          <cell r="AF271">
            <v>0</v>
          </cell>
          <cell r="AG271">
            <v>550.39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550.39</v>
          </cell>
          <cell r="AO271">
            <v>886524.48</v>
          </cell>
          <cell r="AP271">
            <v>284542.65999999997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48756085.700000003</v>
          </cell>
          <cell r="G272">
            <v>0</v>
          </cell>
          <cell r="H272">
            <v>0</v>
          </cell>
          <cell r="I272">
            <v>48756085.700000003</v>
          </cell>
          <cell r="J272">
            <v>53611.46</v>
          </cell>
          <cell r="K272">
            <v>0</v>
          </cell>
          <cell r="L272">
            <v>0</v>
          </cell>
          <cell r="M272">
            <v>53611.46</v>
          </cell>
          <cell r="N272">
            <v>44319</v>
          </cell>
          <cell r="O272">
            <v>0</v>
          </cell>
          <cell r="P272">
            <v>0</v>
          </cell>
          <cell r="Q272">
            <v>44319</v>
          </cell>
          <cell r="R272">
            <v>4651483</v>
          </cell>
          <cell r="S272">
            <v>0</v>
          </cell>
          <cell r="T272">
            <v>0</v>
          </cell>
          <cell r="U272">
            <v>4651483</v>
          </cell>
          <cell r="V272">
            <v>13609683</v>
          </cell>
          <cell r="W272">
            <v>0</v>
          </cell>
          <cell r="X272">
            <v>0</v>
          </cell>
          <cell r="Y272">
            <v>13609683</v>
          </cell>
          <cell r="Z272">
            <v>30396989</v>
          </cell>
          <cell r="AA272">
            <v>0</v>
          </cell>
          <cell r="AB272">
            <v>0</v>
          </cell>
          <cell r="AC272">
            <v>30396989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667669</v>
          </cell>
          <cell r="AP272">
            <v>-357765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89978777</v>
          </cell>
          <cell r="G273">
            <v>0</v>
          </cell>
          <cell r="H273">
            <v>718240.08</v>
          </cell>
          <cell r="I273">
            <v>90697017</v>
          </cell>
          <cell r="J273">
            <v>978733</v>
          </cell>
          <cell r="K273">
            <v>0</v>
          </cell>
          <cell r="L273">
            <v>0</v>
          </cell>
          <cell r="M273">
            <v>978733</v>
          </cell>
          <cell r="N273">
            <v>814983</v>
          </cell>
          <cell r="O273">
            <v>0</v>
          </cell>
          <cell r="P273">
            <v>0</v>
          </cell>
          <cell r="Q273">
            <v>814983</v>
          </cell>
          <cell r="R273">
            <v>1843364</v>
          </cell>
          <cell r="S273">
            <v>0</v>
          </cell>
          <cell r="T273">
            <v>10588</v>
          </cell>
          <cell r="U273">
            <v>1853952</v>
          </cell>
          <cell r="V273">
            <v>5911361</v>
          </cell>
          <cell r="W273">
            <v>0</v>
          </cell>
          <cell r="X273">
            <v>0</v>
          </cell>
          <cell r="Y273">
            <v>5911361</v>
          </cell>
          <cell r="Z273">
            <v>80430336</v>
          </cell>
          <cell r="AA273">
            <v>0</v>
          </cell>
          <cell r="AB273">
            <v>707652</v>
          </cell>
          <cell r="AC273">
            <v>81137988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137302</v>
          </cell>
          <cell r="AL273">
            <v>0</v>
          </cell>
          <cell r="AM273">
            <v>570350</v>
          </cell>
          <cell r="AN273">
            <v>0</v>
          </cell>
          <cell r="AO273">
            <v>8382348</v>
          </cell>
          <cell r="AP273">
            <v>584579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35007271</v>
          </cell>
          <cell r="G274">
            <v>0</v>
          </cell>
          <cell r="H274">
            <v>0</v>
          </cell>
          <cell r="I274">
            <v>35007271</v>
          </cell>
          <cell r="J274">
            <v>204787</v>
          </cell>
          <cell r="K274">
            <v>0</v>
          </cell>
          <cell r="L274">
            <v>0</v>
          </cell>
          <cell r="M274">
            <v>204787</v>
          </cell>
          <cell r="N274">
            <v>302000</v>
          </cell>
          <cell r="O274">
            <v>0</v>
          </cell>
          <cell r="P274">
            <v>0</v>
          </cell>
          <cell r="Q274">
            <v>302000</v>
          </cell>
          <cell r="R274">
            <v>360000</v>
          </cell>
          <cell r="S274">
            <v>0</v>
          </cell>
          <cell r="T274">
            <v>0</v>
          </cell>
          <cell r="U274">
            <v>360000</v>
          </cell>
          <cell r="V274">
            <v>1040000</v>
          </cell>
          <cell r="W274">
            <v>0</v>
          </cell>
          <cell r="X274">
            <v>0</v>
          </cell>
          <cell r="Y274">
            <v>1040000</v>
          </cell>
          <cell r="Z274">
            <v>33100484</v>
          </cell>
          <cell r="AA274">
            <v>0</v>
          </cell>
          <cell r="AB274">
            <v>0</v>
          </cell>
          <cell r="AC274">
            <v>33100484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2246434</v>
          </cell>
          <cell r="AP274">
            <v>974349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50999625</v>
          </cell>
          <cell r="G275">
            <v>0</v>
          </cell>
          <cell r="H275">
            <v>0</v>
          </cell>
          <cell r="I275">
            <v>50999625</v>
          </cell>
          <cell r="J275">
            <v>907184</v>
          </cell>
          <cell r="K275">
            <v>0</v>
          </cell>
          <cell r="L275">
            <v>0</v>
          </cell>
          <cell r="M275">
            <v>907184</v>
          </cell>
          <cell r="N275">
            <v>-101753</v>
          </cell>
          <cell r="O275">
            <v>0</v>
          </cell>
          <cell r="P275">
            <v>0</v>
          </cell>
          <cell r="Q275">
            <v>-101753</v>
          </cell>
          <cell r="R275">
            <v>2163794</v>
          </cell>
          <cell r="S275">
            <v>0</v>
          </cell>
          <cell r="T275">
            <v>0</v>
          </cell>
          <cell r="U275">
            <v>2163794</v>
          </cell>
          <cell r="V275">
            <v>10000</v>
          </cell>
          <cell r="W275">
            <v>0</v>
          </cell>
          <cell r="X275">
            <v>0</v>
          </cell>
          <cell r="Y275">
            <v>10000</v>
          </cell>
          <cell r="Z275">
            <v>48020400</v>
          </cell>
          <cell r="AA275">
            <v>0</v>
          </cell>
          <cell r="AB275">
            <v>0</v>
          </cell>
          <cell r="AC275">
            <v>48020400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2819861</v>
          </cell>
          <cell r="AP275">
            <v>-793783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41884071.600000001</v>
          </cell>
          <cell r="G276">
            <v>0</v>
          </cell>
          <cell r="H276">
            <v>0</v>
          </cell>
          <cell r="I276">
            <v>41884071.600000001</v>
          </cell>
          <cell r="J276">
            <v>89204.77</v>
          </cell>
          <cell r="K276">
            <v>0</v>
          </cell>
          <cell r="L276">
            <v>0</v>
          </cell>
          <cell r="M276">
            <v>89204.77</v>
          </cell>
          <cell r="N276">
            <v>322690</v>
          </cell>
          <cell r="O276">
            <v>0</v>
          </cell>
          <cell r="P276">
            <v>0</v>
          </cell>
          <cell r="Q276">
            <v>322690</v>
          </cell>
          <cell r="R276">
            <v>359604</v>
          </cell>
          <cell r="S276">
            <v>0</v>
          </cell>
          <cell r="T276">
            <v>0</v>
          </cell>
          <cell r="U276">
            <v>359604</v>
          </cell>
          <cell r="V276">
            <v>2054417</v>
          </cell>
          <cell r="W276">
            <v>0</v>
          </cell>
          <cell r="X276">
            <v>0</v>
          </cell>
          <cell r="Y276">
            <v>2054417</v>
          </cell>
          <cell r="Z276">
            <v>39058156</v>
          </cell>
          <cell r="AA276">
            <v>0</v>
          </cell>
          <cell r="AB276">
            <v>0</v>
          </cell>
          <cell r="AC276">
            <v>39058156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2151265</v>
          </cell>
          <cell r="AP276">
            <v>891767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105276023</v>
          </cell>
          <cell r="G277">
            <v>0</v>
          </cell>
          <cell r="H277">
            <v>0</v>
          </cell>
          <cell r="I277">
            <v>105276023</v>
          </cell>
          <cell r="J277">
            <v>1056069.02</v>
          </cell>
          <cell r="K277">
            <v>0</v>
          </cell>
          <cell r="L277">
            <v>0</v>
          </cell>
          <cell r="M277">
            <v>1056069.02</v>
          </cell>
          <cell r="N277">
            <v>44630.43</v>
          </cell>
          <cell r="O277">
            <v>0</v>
          </cell>
          <cell r="P277">
            <v>0</v>
          </cell>
          <cell r="Q277">
            <v>44630.43</v>
          </cell>
          <cell r="R277">
            <v>1248869</v>
          </cell>
          <cell r="S277">
            <v>0</v>
          </cell>
          <cell r="T277">
            <v>0</v>
          </cell>
          <cell r="U277">
            <v>1248869</v>
          </cell>
          <cell r="V277">
            <v>2569570</v>
          </cell>
          <cell r="W277">
            <v>0</v>
          </cell>
          <cell r="X277">
            <v>0</v>
          </cell>
          <cell r="Y277">
            <v>2569570</v>
          </cell>
          <cell r="Z277">
            <v>100356885</v>
          </cell>
          <cell r="AA277">
            <v>0</v>
          </cell>
          <cell r="AB277">
            <v>0</v>
          </cell>
          <cell r="AC277">
            <v>100356885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3444897.81</v>
          </cell>
          <cell r="AP277">
            <v>1323849.77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57838508.899999999</v>
          </cell>
          <cell r="G278">
            <v>0</v>
          </cell>
          <cell r="H278">
            <v>0</v>
          </cell>
          <cell r="I278">
            <v>57838508.899999999</v>
          </cell>
          <cell r="J278">
            <v>69580.600000000006</v>
          </cell>
          <cell r="K278">
            <v>0</v>
          </cell>
          <cell r="L278">
            <v>0</v>
          </cell>
          <cell r="M278">
            <v>69580.600000000006</v>
          </cell>
          <cell r="N278">
            <v>921003.06</v>
          </cell>
          <cell r="O278">
            <v>0</v>
          </cell>
          <cell r="P278">
            <v>0</v>
          </cell>
          <cell r="Q278">
            <v>921003.06</v>
          </cell>
          <cell r="R278">
            <v>914059</v>
          </cell>
          <cell r="S278">
            <v>0</v>
          </cell>
          <cell r="T278">
            <v>0</v>
          </cell>
          <cell r="U278">
            <v>914059</v>
          </cell>
          <cell r="V278">
            <v>2452226</v>
          </cell>
          <cell r="W278">
            <v>0</v>
          </cell>
          <cell r="X278">
            <v>0</v>
          </cell>
          <cell r="Y278">
            <v>2452226</v>
          </cell>
          <cell r="Z278">
            <v>53481640</v>
          </cell>
          <cell r="AA278">
            <v>0</v>
          </cell>
          <cell r="AB278">
            <v>0</v>
          </cell>
          <cell r="AC278">
            <v>53481640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5808510.6699999999</v>
          </cell>
          <cell r="AP278">
            <v>971231.17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33038943</v>
          </cell>
          <cell r="G279">
            <v>0</v>
          </cell>
          <cell r="H279">
            <v>0</v>
          </cell>
          <cell r="I279">
            <v>33038943</v>
          </cell>
          <cell r="J279">
            <v>165902</v>
          </cell>
          <cell r="K279">
            <v>0</v>
          </cell>
          <cell r="L279">
            <v>0</v>
          </cell>
          <cell r="M279">
            <v>165902</v>
          </cell>
          <cell r="N279">
            <v>-32856.239999999998</v>
          </cell>
          <cell r="O279">
            <v>0</v>
          </cell>
          <cell r="P279">
            <v>0</v>
          </cell>
          <cell r="Q279">
            <v>-32856.239999999998</v>
          </cell>
          <cell r="R279">
            <v>273955</v>
          </cell>
          <cell r="S279">
            <v>0</v>
          </cell>
          <cell r="T279">
            <v>0</v>
          </cell>
          <cell r="U279">
            <v>273955</v>
          </cell>
          <cell r="V279">
            <v>708194</v>
          </cell>
          <cell r="W279">
            <v>0</v>
          </cell>
          <cell r="X279">
            <v>0</v>
          </cell>
          <cell r="Y279">
            <v>708194</v>
          </cell>
          <cell r="Z279">
            <v>31923748</v>
          </cell>
          <cell r="AA279">
            <v>0</v>
          </cell>
          <cell r="AB279">
            <v>0</v>
          </cell>
          <cell r="AC279">
            <v>31923748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836109</v>
          </cell>
          <cell r="AP279">
            <v>601347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20098959.399999999</v>
          </cell>
          <cell r="G280">
            <v>0</v>
          </cell>
          <cell r="H280">
            <v>0</v>
          </cell>
          <cell r="I280">
            <v>20098959.399999999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102180</v>
          </cell>
          <cell r="O280">
            <v>0</v>
          </cell>
          <cell r="P280">
            <v>0</v>
          </cell>
          <cell r="Q280">
            <v>102180</v>
          </cell>
          <cell r="R280">
            <v>170000</v>
          </cell>
          <cell r="S280">
            <v>0</v>
          </cell>
          <cell r="T280">
            <v>0</v>
          </cell>
          <cell r="U280">
            <v>170000</v>
          </cell>
          <cell r="V280">
            <v>590000</v>
          </cell>
          <cell r="W280">
            <v>0</v>
          </cell>
          <cell r="X280">
            <v>0</v>
          </cell>
          <cell r="Y280">
            <v>590000</v>
          </cell>
          <cell r="Z280">
            <v>19236779</v>
          </cell>
          <cell r="AA280">
            <v>0</v>
          </cell>
          <cell r="AB280">
            <v>0</v>
          </cell>
          <cell r="AC280">
            <v>19236779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659572.54</v>
          </cell>
          <cell r="AP280">
            <v>403103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39240158.299999997</v>
          </cell>
          <cell r="G281">
            <v>0</v>
          </cell>
          <cell r="H281">
            <v>0</v>
          </cell>
          <cell r="I281">
            <v>39240158.299999997</v>
          </cell>
          <cell r="J281">
            <v>160845</v>
          </cell>
          <cell r="K281">
            <v>0</v>
          </cell>
          <cell r="L281">
            <v>0</v>
          </cell>
          <cell r="M281">
            <v>160845</v>
          </cell>
          <cell r="N281">
            <v>255656</v>
          </cell>
          <cell r="O281">
            <v>0</v>
          </cell>
          <cell r="P281">
            <v>0</v>
          </cell>
          <cell r="Q281">
            <v>255656</v>
          </cell>
          <cell r="R281">
            <v>962300</v>
          </cell>
          <cell r="S281">
            <v>0</v>
          </cell>
          <cell r="T281">
            <v>0</v>
          </cell>
          <cell r="U281">
            <v>962300</v>
          </cell>
          <cell r="V281">
            <v>1979731</v>
          </cell>
          <cell r="W281">
            <v>0</v>
          </cell>
          <cell r="X281">
            <v>0</v>
          </cell>
          <cell r="Y281">
            <v>1979731</v>
          </cell>
          <cell r="Z281">
            <v>35881626</v>
          </cell>
          <cell r="AA281">
            <v>0</v>
          </cell>
          <cell r="AB281">
            <v>0</v>
          </cell>
          <cell r="AC281">
            <v>35881626</v>
          </cell>
          <cell r="AD281">
            <v>29894</v>
          </cell>
          <cell r="AE281">
            <v>0</v>
          </cell>
          <cell r="AF281">
            <v>0</v>
          </cell>
          <cell r="AG281">
            <v>29894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29894</v>
          </cell>
          <cell r="AO281">
            <v>1210537</v>
          </cell>
          <cell r="AP281">
            <v>706564.34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30634866</v>
          </cell>
          <cell r="G282">
            <v>0</v>
          </cell>
          <cell r="H282">
            <v>0</v>
          </cell>
          <cell r="I282">
            <v>30634866</v>
          </cell>
          <cell r="J282">
            <v>96938</v>
          </cell>
          <cell r="K282">
            <v>0</v>
          </cell>
          <cell r="L282">
            <v>0</v>
          </cell>
          <cell r="M282">
            <v>96938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117662</v>
          </cell>
          <cell r="S282">
            <v>0</v>
          </cell>
          <cell r="T282">
            <v>0</v>
          </cell>
          <cell r="U282">
            <v>117662</v>
          </cell>
          <cell r="V282">
            <v>235325</v>
          </cell>
          <cell r="W282">
            <v>0</v>
          </cell>
          <cell r="X282">
            <v>0</v>
          </cell>
          <cell r="Y282">
            <v>235325</v>
          </cell>
          <cell r="Z282">
            <v>30184941</v>
          </cell>
          <cell r="AA282">
            <v>0</v>
          </cell>
          <cell r="AB282">
            <v>0</v>
          </cell>
          <cell r="AC282">
            <v>30184941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805564</v>
          </cell>
          <cell r="AP282">
            <v>485660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68497240</v>
          </cell>
          <cell r="G283">
            <v>0</v>
          </cell>
          <cell r="H283">
            <v>0</v>
          </cell>
          <cell r="I283">
            <v>68497240</v>
          </cell>
          <cell r="J283">
            <v>1098654.05</v>
          </cell>
          <cell r="K283">
            <v>0</v>
          </cell>
          <cell r="L283">
            <v>0</v>
          </cell>
          <cell r="M283">
            <v>1098654.05</v>
          </cell>
          <cell r="N283">
            <v>252000</v>
          </cell>
          <cell r="O283">
            <v>0</v>
          </cell>
          <cell r="P283">
            <v>0</v>
          </cell>
          <cell r="Q283">
            <v>252000</v>
          </cell>
          <cell r="R283">
            <v>1724000</v>
          </cell>
          <cell r="S283">
            <v>0</v>
          </cell>
          <cell r="T283">
            <v>0</v>
          </cell>
          <cell r="U283">
            <v>1724000</v>
          </cell>
          <cell r="V283">
            <v>2380000</v>
          </cell>
          <cell r="W283">
            <v>0</v>
          </cell>
          <cell r="X283">
            <v>0</v>
          </cell>
          <cell r="Y283">
            <v>2380000</v>
          </cell>
          <cell r="Z283">
            <v>63042586</v>
          </cell>
          <cell r="AA283">
            <v>0</v>
          </cell>
          <cell r="AB283">
            <v>0</v>
          </cell>
          <cell r="AC283">
            <v>63042586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3191696.21</v>
          </cell>
          <cell r="AP283">
            <v>1594884.26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25699448</v>
          </cell>
          <cell r="G284">
            <v>0</v>
          </cell>
          <cell r="H284">
            <v>0</v>
          </cell>
          <cell r="I284">
            <v>25699448</v>
          </cell>
          <cell r="J284">
            <v>37057</v>
          </cell>
          <cell r="K284">
            <v>0</v>
          </cell>
          <cell r="L284">
            <v>0</v>
          </cell>
          <cell r="M284">
            <v>37057</v>
          </cell>
          <cell r="N284">
            <v>-310816</v>
          </cell>
          <cell r="O284">
            <v>0</v>
          </cell>
          <cell r="P284">
            <v>0</v>
          </cell>
          <cell r="Q284">
            <v>-310816</v>
          </cell>
          <cell r="R284">
            <v>473000</v>
          </cell>
          <cell r="S284">
            <v>0</v>
          </cell>
          <cell r="T284">
            <v>0</v>
          </cell>
          <cell r="U284">
            <v>473000</v>
          </cell>
          <cell r="V284">
            <v>1105000</v>
          </cell>
          <cell r="W284">
            <v>0</v>
          </cell>
          <cell r="X284">
            <v>0</v>
          </cell>
          <cell r="Y284">
            <v>1105000</v>
          </cell>
          <cell r="Z284">
            <v>24395207</v>
          </cell>
          <cell r="AA284">
            <v>0</v>
          </cell>
          <cell r="AB284">
            <v>0</v>
          </cell>
          <cell r="AC284">
            <v>24395207</v>
          </cell>
          <cell r="AD284">
            <v>54662</v>
          </cell>
          <cell r="AE284">
            <v>0</v>
          </cell>
          <cell r="AF284">
            <v>0</v>
          </cell>
          <cell r="AG284">
            <v>54662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54662</v>
          </cell>
          <cell r="AO284">
            <v>515701</v>
          </cell>
          <cell r="AP284">
            <v>527675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48224798</v>
          </cell>
          <cell r="G285">
            <v>0</v>
          </cell>
          <cell r="H285">
            <v>0</v>
          </cell>
          <cell r="I285">
            <v>48224798</v>
          </cell>
          <cell r="J285">
            <v>402335</v>
          </cell>
          <cell r="K285">
            <v>0</v>
          </cell>
          <cell r="L285">
            <v>0</v>
          </cell>
          <cell r="M285">
            <v>402335</v>
          </cell>
          <cell r="N285">
            <v>-203277</v>
          </cell>
          <cell r="O285">
            <v>0</v>
          </cell>
          <cell r="P285">
            <v>0</v>
          </cell>
          <cell r="Q285">
            <v>-203277</v>
          </cell>
          <cell r="R285">
            <v>899555</v>
          </cell>
          <cell r="S285">
            <v>0</v>
          </cell>
          <cell r="T285">
            <v>0</v>
          </cell>
          <cell r="U285">
            <v>899555</v>
          </cell>
          <cell r="V285">
            <v>2735290</v>
          </cell>
          <cell r="W285">
            <v>0</v>
          </cell>
          <cell r="X285">
            <v>0</v>
          </cell>
          <cell r="Y285">
            <v>2735290</v>
          </cell>
          <cell r="Z285">
            <v>44390895</v>
          </cell>
          <cell r="AA285">
            <v>0</v>
          </cell>
          <cell r="AB285">
            <v>0</v>
          </cell>
          <cell r="AC285">
            <v>44390895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3357963</v>
          </cell>
          <cell r="AP285">
            <v>1060083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35624088</v>
          </cell>
          <cell r="G286">
            <v>0</v>
          </cell>
          <cell r="H286">
            <v>0</v>
          </cell>
          <cell r="I286">
            <v>35624088</v>
          </cell>
          <cell r="J286">
            <v>115143.66</v>
          </cell>
          <cell r="K286">
            <v>0</v>
          </cell>
          <cell r="L286">
            <v>0</v>
          </cell>
          <cell r="M286">
            <v>115143.66</v>
          </cell>
          <cell r="N286">
            <v>26000</v>
          </cell>
          <cell r="O286">
            <v>0</v>
          </cell>
          <cell r="P286">
            <v>0</v>
          </cell>
          <cell r="Q286">
            <v>26000</v>
          </cell>
          <cell r="R286">
            <v>365870</v>
          </cell>
          <cell r="S286">
            <v>0</v>
          </cell>
          <cell r="T286">
            <v>0</v>
          </cell>
          <cell r="U286">
            <v>365870</v>
          </cell>
          <cell r="V286">
            <v>2566066</v>
          </cell>
          <cell r="W286">
            <v>0</v>
          </cell>
          <cell r="X286">
            <v>0</v>
          </cell>
          <cell r="Y286">
            <v>2566066</v>
          </cell>
          <cell r="Z286">
            <v>32551008</v>
          </cell>
          <cell r="AA286">
            <v>0</v>
          </cell>
          <cell r="AB286">
            <v>0</v>
          </cell>
          <cell r="AC286">
            <v>32551008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886919.85</v>
          </cell>
          <cell r="AP286">
            <v>-355756.63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31061347</v>
          </cell>
          <cell r="G287">
            <v>0</v>
          </cell>
          <cell r="H287">
            <v>0</v>
          </cell>
          <cell r="I287">
            <v>31061347</v>
          </cell>
          <cell r="J287">
            <v>571362</v>
          </cell>
          <cell r="K287">
            <v>0</v>
          </cell>
          <cell r="L287">
            <v>0</v>
          </cell>
          <cell r="M287">
            <v>571362</v>
          </cell>
          <cell r="N287">
            <v>-57457</v>
          </cell>
          <cell r="O287">
            <v>0</v>
          </cell>
          <cell r="P287">
            <v>0</v>
          </cell>
          <cell r="Q287">
            <v>-57457</v>
          </cell>
          <cell r="R287">
            <v>373864</v>
          </cell>
          <cell r="S287">
            <v>0</v>
          </cell>
          <cell r="T287">
            <v>0</v>
          </cell>
          <cell r="U287">
            <v>373864</v>
          </cell>
          <cell r="V287">
            <v>134418</v>
          </cell>
          <cell r="W287">
            <v>0</v>
          </cell>
          <cell r="X287">
            <v>0</v>
          </cell>
          <cell r="Y287">
            <v>134418</v>
          </cell>
          <cell r="Z287">
            <v>30039160</v>
          </cell>
          <cell r="AA287">
            <v>0</v>
          </cell>
          <cell r="AB287">
            <v>0</v>
          </cell>
          <cell r="AC287">
            <v>30039160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2073649</v>
          </cell>
          <cell r="AP287">
            <v>1369065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26869271</v>
          </cell>
          <cell r="G288">
            <v>0</v>
          </cell>
          <cell r="H288">
            <v>0</v>
          </cell>
          <cell r="I288">
            <v>26869271</v>
          </cell>
          <cell r="J288">
            <v>249961</v>
          </cell>
          <cell r="K288">
            <v>0</v>
          </cell>
          <cell r="L288">
            <v>0</v>
          </cell>
          <cell r="M288">
            <v>249961</v>
          </cell>
          <cell r="N288">
            <v>61000</v>
          </cell>
          <cell r="O288">
            <v>0</v>
          </cell>
          <cell r="P288">
            <v>0</v>
          </cell>
          <cell r="Q288">
            <v>61000</v>
          </cell>
          <cell r="R288">
            <v>355641</v>
          </cell>
          <cell r="S288">
            <v>0</v>
          </cell>
          <cell r="T288">
            <v>0</v>
          </cell>
          <cell r="U288">
            <v>355641</v>
          </cell>
          <cell r="V288">
            <v>931866</v>
          </cell>
          <cell r="W288">
            <v>0</v>
          </cell>
          <cell r="X288">
            <v>0</v>
          </cell>
          <cell r="Y288">
            <v>931866</v>
          </cell>
          <cell r="Z288">
            <v>25270803</v>
          </cell>
          <cell r="AA288">
            <v>0</v>
          </cell>
          <cell r="AB288">
            <v>0</v>
          </cell>
          <cell r="AC288">
            <v>25270803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1842462</v>
          </cell>
          <cell r="AP288">
            <v>-1327583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105098628</v>
          </cell>
          <cell r="G289">
            <v>0</v>
          </cell>
          <cell r="H289">
            <v>0</v>
          </cell>
          <cell r="I289">
            <v>105098628</v>
          </cell>
          <cell r="J289">
            <v>5465345.5099999998</v>
          </cell>
          <cell r="K289">
            <v>0</v>
          </cell>
          <cell r="L289">
            <v>0</v>
          </cell>
          <cell r="M289">
            <v>5465345.5099999998</v>
          </cell>
          <cell r="N289">
            <v>262847</v>
          </cell>
          <cell r="O289">
            <v>0</v>
          </cell>
          <cell r="P289">
            <v>0</v>
          </cell>
          <cell r="Q289">
            <v>262847</v>
          </cell>
          <cell r="R289">
            <v>3821097</v>
          </cell>
          <cell r="S289">
            <v>0</v>
          </cell>
          <cell r="T289">
            <v>0</v>
          </cell>
          <cell r="U289">
            <v>3821097</v>
          </cell>
          <cell r="V289">
            <v>9175978</v>
          </cell>
          <cell r="W289">
            <v>0</v>
          </cell>
          <cell r="X289">
            <v>0</v>
          </cell>
          <cell r="Y289">
            <v>9175978</v>
          </cell>
          <cell r="Z289">
            <v>86373360</v>
          </cell>
          <cell r="AA289">
            <v>0</v>
          </cell>
          <cell r="AB289">
            <v>0</v>
          </cell>
          <cell r="AC289">
            <v>86373360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2368265</v>
          </cell>
          <cell r="AP289">
            <v>128865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52294876</v>
          </cell>
          <cell r="G290">
            <v>0</v>
          </cell>
          <cell r="H290">
            <v>0</v>
          </cell>
          <cell r="I290">
            <v>52294876</v>
          </cell>
          <cell r="J290">
            <v>369174</v>
          </cell>
          <cell r="K290">
            <v>0</v>
          </cell>
          <cell r="L290">
            <v>0</v>
          </cell>
          <cell r="M290">
            <v>369174</v>
          </cell>
          <cell r="N290">
            <v>80000</v>
          </cell>
          <cell r="O290">
            <v>0</v>
          </cell>
          <cell r="P290">
            <v>0</v>
          </cell>
          <cell r="Q290">
            <v>80000</v>
          </cell>
          <cell r="R290">
            <v>535000</v>
          </cell>
          <cell r="S290">
            <v>0</v>
          </cell>
          <cell r="T290">
            <v>0</v>
          </cell>
          <cell r="U290">
            <v>535000</v>
          </cell>
          <cell r="V290">
            <v>1605000</v>
          </cell>
          <cell r="W290">
            <v>0</v>
          </cell>
          <cell r="X290">
            <v>0</v>
          </cell>
          <cell r="Y290">
            <v>1605000</v>
          </cell>
          <cell r="Z290">
            <v>49705702</v>
          </cell>
          <cell r="AA290">
            <v>0</v>
          </cell>
          <cell r="AB290">
            <v>0</v>
          </cell>
          <cell r="AC290">
            <v>49705702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1722236</v>
          </cell>
          <cell r="AP290">
            <v>1959057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35963299</v>
          </cell>
          <cell r="G291">
            <v>0</v>
          </cell>
          <cell r="H291">
            <v>0</v>
          </cell>
          <cell r="I291">
            <v>35963299</v>
          </cell>
          <cell r="J291">
            <v>340563</v>
          </cell>
          <cell r="K291">
            <v>0</v>
          </cell>
          <cell r="L291">
            <v>0</v>
          </cell>
          <cell r="M291">
            <v>340563</v>
          </cell>
          <cell r="N291">
            <v>246085</v>
          </cell>
          <cell r="O291">
            <v>0</v>
          </cell>
          <cell r="P291">
            <v>0</v>
          </cell>
          <cell r="Q291">
            <v>246085</v>
          </cell>
          <cell r="R291">
            <v>720755</v>
          </cell>
          <cell r="S291">
            <v>0</v>
          </cell>
          <cell r="T291">
            <v>0</v>
          </cell>
          <cell r="U291">
            <v>720755</v>
          </cell>
          <cell r="V291">
            <v>1806403</v>
          </cell>
          <cell r="W291">
            <v>0</v>
          </cell>
          <cell r="X291">
            <v>0</v>
          </cell>
          <cell r="Y291">
            <v>1806403</v>
          </cell>
          <cell r="Z291">
            <v>32849493</v>
          </cell>
          <cell r="AA291">
            <v>0</v>
          </cell>
          <cell r="AB291">
            <v>0</v>
          </cell>
          <cell r="AC291">
            <v>32849493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1549305</v>
          </cell>
          <cell r="AP291">
            <v>-417096.65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10419387</v>
          </cell>
          <cell r="G292">
            <v>0</v>
          </cell>
          <cell r="H292">
            <v>0</v>
          </cell>
          <cell r="I292">
            <v>10419387</v>
          </cell>
          <cell r="J292">
            <v>24290</v>
          </cell>
          <cell r="K292">
            <v>0</v>
          </cell>
          <cell r="L292">
            <v>0</v>
          </cell>
          <cell r="M292">
            <v>24290</v>
          </cell>
          <cell r="N292">
            <v>34680</v>
          </cell>
          <cell r="O292">
            <v>0</v>
          </cell>
          <cell r="P292">
            <v>0</v>
          </cell>
          <cell r="Q292">
            <v>34680</v>
          </cell>
          <cell r="R292">
            <v>168156</v>
          </cell>
          <cell r="S292">
            <v>0</v>
          </cell>
          <cell r="T292">
            <v>0</v>
          </cell>
          <cell r="U292">
            <v>168156</v>
          </cell>
          <cell r="V292">
            <v>465998</v>
          </cell>
          <cell r="W292">
            <v>0</v>
          </cell>
          <cell r="X292">
            <v>0</v>
          </cell>
          <cell r="Y292">
            <v>465998</v>
          </cell>
          <cell r="Z292">
            <v>9726263</v>
          </cell>
          <cell r="AA292">
            <v>0</v>
          </cell>
          <cell r="AB292">
            <v>0</v>
          </cell>
          <cell r="AC292">
            <v>9726263</v>
          </cell>
          <cell r="AD292">
            <v>51309</v>
          </cell>
          <cell r="AE292">
            <v>0</v>
          </cell>
          <cell r="AF292">
            <v>0</v>
          </cell>
          <cell r="AG292">
            <v>51309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51309</v>
          </cell>
          <cell r="AO292">
            <v>332068</v>
          </cell>
          <cell r="AP292">
            <v>136162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352905248</v>
          </cell>
          <cell r="G293">
            <v>0</v>
          </cell>
          <cell r="H293">
            <v>0</v>
          </cell>
          <cell r="I293">
            <v>352905248</v>
          </cell>
          <cell r="J293">
            <v>1264107</v>
          </cell>
          <cell r="K293">
            <v>0</v>
          </cell>
          <cell r="L293">
            <v>0</v>
          </cell>
          <cell r="M293">
            <v>1264107</v>
          </cell>
          <cell r="N293">
            <v>2783878</v>
          </cell>
          <cell r="O293">
            <v>0</v>
          </cell>
          <cell r="P293">
            <v>0</v>
          </cell>
          <cell r="Q293">
            <v>2783878</v>
          </cell>
          <cell r="R293">
            <v>7500000</v>
          </cell>
          <cell r="S293">
            <v>0</v>
          </cell>
          <cell r="T293">
            <v>0</v>
          </cell>
          <cell r="U293">
            <v>7500000</v>
          </cell>
          <cell r="V293">
            <v>20000000</v>
          </cell>
          <cell r="W293">
            <v>0</v>
          </cell>
          <cell r="X293">
            <v>0</v>
          </cell>
          <cell r="Y293">
            <v>20000000</v>
          </cell>
          <cell r="Z293">
            <v>321357263</v>
          </cell>
          <cell r="AA293">
            <v>0</v>
          </cell>
          <cell r="AB293">
            <v>0</v>
          </cell>
          <cell r="AC293">
            <v>321357263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12436764</v>
          </cell>
          <cell r="AP293">
            <v>22949202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159886433</v>
          </cell>
          <cell r="G294">
            <v>0</v>
          </cell>
          <cell r="H294">
            <v>0</v>
          </cell>
          <cell r="I294">
            <v>159886433</v>
          </cell>
          <cell r="J294">
            <v>1824111.79</v>
          </cell>
          <cell r="K294">
            <v>0</v>
          </cell>
          <cell r="L294">
            <v>0</v>
          </cell>
          <cell r="M294">
            <v>1824111.79</v>
          </cell>
          <cell r="N294">
            <v>148381.78</v>
          </cell>
          <cell r="O294">
            <v>0</v>
          </cell>
          <cell r="P294">
            <v>0</v>
          </cell>
          <cell r="Q294">
            <v>148381.78</v>
          </cell>
          <cell r="R294">
            <v>9410780</v>
          </cell>
          <cell r="S294">
            <v>0</v>
          </cell>
          <cell r="T294">
            <v>0</v>
          </cell>
          <cell r="U294">
            <v>9410780</v>
          </cell>
          <cell r="V294">
            <v>27412100</v>
          </cell>
          <cell r="W294">
            <v>0</v>
          </cell>
          <cell r="X294">
            <v>0</v>
          </cell>
          <cell r="Y294">
            <v>27412100</v>
          </cell>
          <cell r="Z294">
            <v>121091059</v>
          </cell>
          <cell r="AA294">
            <v>0</v>
          </cell>
          <cell r="AB294">
            <v>0</v>
          </cell>
          <cell r="AC294">
            <v>121091059</v>
          </cell>
          <cell r="AD294">
            <v>73476</v>
          </cell>
          <cell r="AE294">
            <v>0</v>
          </cell>
          <cell r="AF294">
            <v>0</v>
          </cell>
          <cell r="AG294">
            <v>73476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73476</v>
          </cell>
          <cell r="AO294">
            <v>6277241.6900000004</v>
          </cell>
          <cell r="AP294">
            <v>4928445.7699999996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50558518</v>
          </cell>
          <cell r="G295">
            <v>0</v>
          </cell>
          <cell r="H295">
            <v>0</v>
          </cell>
          <cell r="I295">
            <v>50558518</v>
          </cell>
          <cell r="J295">
            <v>190988</v>
          </cell>
          <cell r="K295">
            <v>0</v>
          </cell>
          <cell r="L295">
            <v>0</v>
          </cell>
          <cell r="M295">
            <v>190988</v>
          </cell>
          <cell r="N295">
            <v>434119</v>
          </cell>
          <cell r="O295">
            <v>0</v>
          </cell>
          <cell r="P295">
            <v>0</v>
          </cell>
          <cell r="Q295">
            <v>434119</v>
          </cell>
          <cell r="R295">
            <v>558932</v>
          </cell>
          <cell r="S295">
            <v>0</v>
          </cell>
          <cell r="T295">
            <v>0</v>
          </cell>
          <cell r="U295">
            <v>558932</v>
          </cell>
          <cell r="V295">
            <v>1195746</v>
          </cell>
          <cell r="W295">
            <v>0</v>
          </cell>
          <cell r="X295">
            <v>0</v>
          </cell>
          <cell r="Y295">
            <v>1195746</v>
          </cell>
          <cell r="Z295">
            <v>48178733</v>
          </cell>
          <cell r="AA295">
            <v>0</v>
          </cell>
          <cell r="AB295">
            <v>0</v>
          </cell>
          <cell r="AC295">
            <v>48178733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2046149</v>
          </cell>
          <cell r="AP295">
            <v>975310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41214130</v>
          </cell>
          <cell r="G296">
            <v>0</v>
          </cell>
          <cell r="H296">
            <v>0</v>
          </cell>
          <cell r="I296">
            <v>41214130</v>
          </cell>
          <cell r="J296">
            <v>328242</v>
          </cell>
          <cell r="K296">
            <v>0</v>
          </cell>
          <cell r="L296">
            <v>0</v>
          </cell>
          <cell r="M296">
            <v>328242</v>
          </cell>
          <cell r="N296">
            <v>-4230</v>
          </cell>
          <cell r="O296">
            <v>0</v>
          </cell>
          <cell r="P296">
            <v>0</v>
          </cell>
          <cell r="Q296">
            <v>-4230</v>
          </cell>
          <cell r="R296">
            <v>3197896</v>
          </cell>
          <cell r="S296">
            <v>0</v>
          </cell>
          <cell r="T296">
            <v>0</v>
          </cell>
          <cell r="U296">
            <v>3197896</v>
          </cell>
          <cell r="V296">
            <v>8326687</v>
          </cell>
          <cell r="W296">
            <v>0</v>
          </cell>
          <cell r="X296">
            <v>0</v>
          </cell>
          <cell r="Y296">
            <v>8326687</v>
          </cell>
          <cell r="Z296">
            <v>29365535</v>
          </cell>
          <cell r="AA296">
            <v>0</v>
          </cell>
          <cell r="AB296">
            <v>0</v>
          </cell>
          <cell r="AC296">
            <v>29365535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868614</v>
          </cell>
          <cell r="AP296">
            <v>371382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50110822</v>
          </cell>
          <cell r="G297">
            <v>0</v>
          </cell>
          <cell r="H297">
            <v>1026065</v>
          </cell>
          <cell r="I297">
            <v>51136887</v>
          </cell>
          <cell r="J297">
            <v>180439</v>
          </cell>
          <cell r="K297">
            <v>0</v>
          </cell>
          <cell r="L297">
            <v>0</v>
          </cell>
          <cell r="M297">
            <v>180439</v>
          </cell>
          <cell r="N297">
            <v>-125700</v>
          </cell>
          <cell r="O297">
            <v>0</v>
          </cell>
          <cell r="P297">
            <v>0</v>
          </cell>
          <cell r="Q297">
            <v>-125700</v>
          </cell>
          <cell r="R297">
            <v>1079957</v>
          </cell>
          <cell r="S297">
            <v>0</v>
          </cell>
          <cell r="T297">
            <v>0</v>
          </cell>
          <cell r="U297">
            <v>1079957</v>
          </cell>
          <cell r="V297">
            <v>4780830</v>
          </cell>
          <cell r="W297">
            <v>0</v>
          </cell>
          <cell r="X297">
            <v>0</v>
          </cell>
          <cell r="Y297">
            <v>4780830</v>
          </cell>
          <cell r="Z297">
            <v>44195296</v>
          </cell>
          <cell r="AA297">
            <v>0</v>
          </cell>
          <cell r="AB297">
            <v>1026065</v>
          </cell>
          <cell r="AC297">
            <v>45221361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-3316</v>
          </cell>
          <cell r="AJ297">
            <v>0</v>
          </cell>
          <cell r="AK297">
            <v>1163270</v>
          </cell>
          <cell r="AL297">
            <v>0</v>
          </cell>
          <cell r="AM297">
            <v>0</v>
          </cell>
          <cell r="AN297">
            <v>0</v>
          </cell>
          <cell r="AO297">
            <v>1245286</v>
          </cell>
          <cell r="AP297">
            <v>331677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118963083</v>
          </cell>
          <cell r="G298">
            <v>0</v>
          </cell>
          <cell r="H298">
            <v>0</v>
          </cell>
          <cell r="I298">
            <v>118963083</v>
          </cell>
          <cell r="J298">
            <v>1206812.51</v>
          </cell>
          <cell r="K298">
            <v>0</v>
          </cell>
          <cell r="L298">
            <v>0</v>
          </cell>
          <cell r="M298">
            <v>1206812.51</v>
          </cell>
          <cell r="N298">
            <v>-384536.02</v>
          </cell>
          <cell r="O298">
            <v>0</v>
          </cell>
          <cell r="P298">
            <v>0</v>
          </cell>
          <cell r="Q298">
            <v>-384536.02</v>
          </cell>
          <cell r="R298">
            <v>1118165</v>
          </cell>
          <cell r="S298">
            <v>0</v>
          </cell>
          <cell r="T298">
            <v>0</v>
          </cell>
          <cell r="U298">
            <v>1118165</v>
          </cell>
          <cell r="V298">
            <v>3204871</v>
          </cell>
          <cell r="W298">
            <v>0</v>
          </cell>
          <cell r="X298">
            <v>0</v>
          </cell>
          <cell r="Y298">
            <v>3204871</v>
          </cell>
          <cell r="Z298">
            <v>113817771</v>
          </cell>
          <cell r="AA298">
            <v>0</v>
          </cell>
          <cell r="AB298">
            <v>0</v>
          </cell>
          <cell r="AC298">
            <v>113817771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1644829.43</v>
          </cell>
          <cell r="AP298">
            <v>1068862.53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69352594</v>
          </cell>
          <cell r="G299">
            <v>0</v>
          </cell>
          <cell r="H299">
            <v>199910</v>
          </cell>
          <cell r="I299">
            <v>69552504</v>
          </cell>
          <cell r="J299">
            <v>923599</v>
          </cell>
          <cell r="K299">
            <v>0</v>
          </cell>
          <cell r="L299">
            <v>0</v>
          </cell>
          <cell r="M299">
            <v>923599</v>
          </cell>
          <cell r="N299">
            <v>190295</v>
          </cell>
          <cell r="O299">
            <v>0</v>
          </cell>
          <cell r="P299">
            <v>0</v>
          </cell>
          <cell r="Q299">
            <v>190295</v>
          </cell>
          <cell r="R299">
            <v>1015075</v>
          </cell>
          <cell r="S299">
            <v>0</v>
          </cell>
          <cell r="T299">
            <v>0</v>
          </cell>
          <cell r="U299">
            <v>1015075</v>
          </cell>
          <cell r="V299">
            <v>2812469</v>
          </cell>
          <cell r="W299">
            <v>0</v>
          </cell>
          <cell r="X299">
            <v>0</v>
          </cell>
          <cell r="Y299">
            <v>2812469</v>
          </cell>
          <cell r="Z299">
            <v>64411156</v>
          </cell>
          <cell r="AA299">
            <v>0</v>
          </cell>
          <cell r="AB299">
            <v>199910</v>
          </cell>
          <cell r="AC299">
            <v>64611066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169244</v>
          </cell>
          <cell r="AL299">
            <v>0</v>
          </cell>
          <cell r="AM299">
            <v>30666</v>
          </cell>
          <cell r="AN299">
            <v>0</v>
          </cell>
          <cell r="AO299">
            <v>6173254</v>
          </cell>
          <cell r="AP299">
            <v>1509215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57786871</v>
          </cell>
          <cell r="G300">
            <v>0</v>
          </cell>
          <cell r="H300">
            <v>0</v>
          </cell>
          <cell r="I300">
            <v>57786871</v>
          </cell>
          <cell r="J300">
            <v>1080835</v>
          </cell>
          <cell r="K300">
            <v>0</v>
          </cell>
          <cell r="L300">
            <v>0</v>
          </cell>
          <cell r="M300">
            <v>1080835</v>
          </cell>
          <cell r="N300">
            <v>1065587</v>
          </cell>
          <cell r="O300">
            <v>0</v>
          </cell>
          <cell r="P300">
            <v>0</v>
          </cell>
          <cell r="Q300">
            <v>1065587</v>
          </cell>
          <cell r="R300">
            <v>489314</v>
          </cell>
          <cell r="S300">
            <v>0</v>
          </cell>
          <cell r="T300">
            <v>0</v>
          </cell>
          <cell r="U300">
            <v>489314</v>
          </cell>
          <cell r="V300">
            <v>472814</v>
          </cell>
          <cell r="W300">
            <v>0</v>
          </cell>
          <cell r="X300">
            <v>0</v>
          </cell>
          <cell r="Y300">
            <v>472814</v>
          </cell>
          <cell r="Z300">
            <v>54678321</v>
          </cell>
          <cell r="AA300">
            <v>0</v>
          </cell>
          <cell r="AB300">
            <v>0</v>
          </cell>
          <cell r="AC300">
            <v>54678321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6494083</v>
          </cell>
          <cell r="AP300">
            <v>1756694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103055665</v>
          </cell>
          <cell r="G301">
            <v>0</v>
          </cell>
          <cell r="H301">
            <v>0</v>
          </cell>
          <cell r="I301">
            <v>103055665</v>
          </cell>
          <cell r="J301">
            <v>917486</v>
          </cell>
          <cell r="K301">
            <v>0</v>
          </cell>
          <cell r="L301">
            <v>0</v>
          </cell>
          <cell r="M301">
            <v>917486</v>
          </cell>
          <cell r="N301">
            <v>493000</v>
          </cell>
          <cell r="O301">
            <v>0</v>
          </cell>
          <cell r="P301">
            <v>0</v>
          </cell>
          <cell r="Q301">
            <v>493000</v>
          </cell>
          <cell r="R301">
            <v>1471867</v>
          </cell>
          <cell r="S301">
            <v>0</v>
          </cell>
          <cell r="T301">
            <v>0</v>
          </cell>
          <cell r="U301">
            <v>1471867</v>
          </cell>
          <cell r="V301">
            <v>4442612</v>
          </cell>
          <cell r="W301">
            <v>0</v>
          </cell>
          <cell r="X301">
            <v>0</v>
          </cell>
          <cell r="Y301">
            <v>4442612</v>
          </cell>
          <cell r="Z301">
            <v>95730700</v>
          </cell>
          <cell r="AA301">
            <v>0</v>
          </cell>
          <cell r="AB301">
            <v>0</v>
          </cell>
          <cell r="AC301">
            <v>95730700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3845349</v>
          </cell>
          <cell r="AP301">
            <v>1338189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104789605</v>
          </cell>
          <cell r="G302">
            <v>0</v>
          </cell>
          <cell r="H302">
            <v>0</v>
          </cell>
          <cell r="I302">
            <v>104789605</v>
          </cell>
          <cell r="J302">
            <v>7263.18</v>
          </cell>
          <cell r="K302">
            <v>0</v>
          </cell>
          <cell r="L302">
            <v>0</v>
          </cell>
          <cell r="M302">
            <v>7263.18</v>
          </cell>
          <cell r="N302">
            <v>2671780.09</v>
          </cell>
          <cell r="O302">
            <v>0</v>
          </cell>
          <cell r="P302">
            <v>0</v>
          </cell>
          <cell r="Q302">
            <v>2671780.09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4130185</v>
          </cell>
          <cell r="W302">
            <v>0</v>
          </cell>
          <cell r="X302">
            <v>0</v>
          </cell>
          <cell r="Y302">
            <v>4130185</v>
          </cell>
          <cell r="Z302">
            <v>97980377</v>
          </cell>
          <cell r="AA302">
            <v>0</v>
          </cell>
          <cell r="AB302">
            <v>0</v>
          </cell>
          <cell r="AC302">
            <v>97980377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10939253.699999999</v>
          </cell>
          <cell r="AP302">
            <v>-1547612.4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67389680</v>
          </cell>
          <cell r="G303">
            <v>0</v>
          </cell>
          <cell r="H303">
            <v>0</v>
          </cell>
          <cell r="I303">
            <v>67389680</v>
          </cell>
          <cell r="J303">
            <v>367367</v>
          </cell>
          <cell r="K303">
            <v>0</v>
          </cell>
          <cell r="L303">
            <v>0</v>
          </cell>
          <cell r="M303">
            <v>367367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1928873</v>
          </cell>
          <cell r="S303">
            <v>0</v>
          </cell>
          <cell r="T303">
            <v>0</v>
          </cell>
          <cell r="U303">
            <v>1928873</v>
          </cell>
          <cell r="V303">
            <v>4624283</v>
          </cell>
          <cell r="W303">
            <v>0</v>
          </cell>
          <cell r="X303">
            <v>0</v>
          </cell>
          <cell r="Y303">
            <v>4624283</v>
          </cell>
          <cell r="Z303">
            <v>60469157</v>
          </cell>
          <cell r="AA303">
            <v>0</v>
          </cell>
          <cell r="AB303">
            <v>0</v>
          </cell>
          <cell r="AC303">
            <v>60469157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1147235</v>
          </cell>
          <cell r="AP303">
            <v>735255.54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66092944</v>
          </cell>
          <cell r="G304">
            <v>0</v>
          </cell>
          <cell r="H304">
            <v>0</v>
          </cell>
          <cell r="I304">
            <v>66092944</v>
          </cell>
          <cell r="J304">
            <v>1139140</v>
          </cell>
          <cell r="K304">
            <v>0</v>
          </cell>
          <cell r="L304">
            <v>0</v>
          </cell>
          <cell r="M304">
            <v>1139140</v>
          </cell>
          <cell r="N304">
            <v>134000</v>
          </cell>
          <cell r="O304">
            <v>0</v>
          </cell>
          <cell r="P304">
            <v>0</v>
          </cell>
          <cell r="Q304">
            <v>134000</v>
          </cell>
          <cell r="R304">
            <v>1605263</v>
          </cell>
          <cell r="S304">
            <v>0</v>
          </cell>
          <cell r="T304">
            <v>0</v>
          </cell>
          <cell r="U304">
            <v>1605263</v>
          </cell>
          <cell r="V304">
            <v>4433898</v>
          </cell>
          <cell r="W304">
            <v>0</v>
          </cell>
          <cell r="X304">
            <v>0</v>
          </cell>
          <cell r="Y304">
            <v>4433898</v>
          </cell>
          <cell r="Z304">
            <v>58780643</v>
          </cell>
          <cell r="AA304">
            <v>0</v>
          </cell>
          <cell r="AB304">
            <v>0</v>
          </cell>
          <cell r="AC304">
            <v>58780643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4903978</v>
          </cell>
          <cell r="AP304">
            <v>-2264760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27569224.899999999</v>
          </cell>
          <cell r="G305">
            <v>0</v>
          </cell>
          <cell r="H305">
            <v>0</v>
          </cell>
          <cell r="I305">
            <v>27569224.899999999</v>
          </cell>
          <cell r="J305">
            <v>243390.28</v>
          </cell>
          <cell r="K305">
            <v>0</v>
          </cell>
          <cell r="L305">
            <v>0</v>
          </cell>
          <cell r="M305">
            <v>243390.28</v>
          </cell>
          <cell r="N305">
            <v>305000</v>
          </cell>
          <cell r="O305">
            <v>0</v>
          </cell>
          <cell r="P305">
            <v>0</v>
          </cell>
          <cell r="Q305">
            <v>305000</v>
          </cell>
          <cell r="R305">
            <v>4008</v>
          </cell>
          <cell r="S305">
            <v>0</v>
          </cell>
          <cell r="T305">
            <v>0</v>
          </cell>
          <cell r="U305">
            <v>4008</v>
          </cell>
          <cell r="V305">
            <v>1121296</v>
          </cell>
          <cell r="W305">
            <v>0</v>
          </cell>
          <cell r="X305">
            <v>0</v>
          </cell>
          <cell r="Y305">
            <v>1121296</v>
          </cell>
          <cell r="Z305">
            <v>25895531</v>
          </cell>
          <cell r="AA305">
            <v>0</v>
          </cell>
          <cell r="AB305">
            <v>0</v>
          </cell>
          <cell r="AC305">
            <v>25895531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1183454.6599999999</v>
          </cell>
          <cell r="AP305">
            <v>-642904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36130774</v>
          </cell>
          <cell r="G306">
            <v>0</v>
          </cell>
          <cell r="H306">
            <v>0</v>
          </cell>
          <cell r="I306">
            <v>36130774</v>
          </cell>
          <cell r="J306">
            <v>123627</v>
          </cell>
          <cell r="K306">
            <v>0</v>
          </cell>
          <cell r="L306">
            <v>0</v>
          </cell>
          <cell r="M306">
            <v>123627</v>
          </cell>
          <cell r="N306">
            <v>139373</v>
          </cell>
          <cell r="O306">
            <v>0</v>
          </cell>
          <cell r="P306">
            <v>0</v>
          </cell>
          <cell r="Q306">
            <v>139373</v>
          </cell>
          <cell r="R306">
            <v>580</v>
          </cell>
          <cell r="S306">
            <v>0</v>
          </cell>
          <cell r="T306">
            <v>0</v>
          </cell>
          <cell r="U306">
            <v>580</v>
          </cell>
          <cell r="V306">
            <v>538380</v>
          </cell>
          <cell r="W306">
            <v>0</v>
          </cell>
          <cell r="X306">
            <v>0</v>
          </cell>
          <cell r="Y306">
            <v>538380</v>
          </cell>
          <cell r="Z306">
            <v>35328814</v>
          </cell>
          <cell r="AA306">
            <v>0</v>
          </cell>
          <cell r="AB306">
            <v>0</v>
          </cell>
          <cell r="AC306">
            <v>35328814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2202374.9</v>
          </cell>
          <cell r="AP306">
            <v>777205.63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28758679</v>
          </cell>
          <cell r="G307">
            <v>0</v>
          </cell>
          <cell r="H307">
            <v>0</v>
          </cell>
          <cell r="I307">
            <v>28758679</v>
          </cell>
          <cell r="J307">
            <v>286855</v>
          </cell>
          <cell r="K307">
            <v>0</v>
          </cell>
          <cell r="L307">
            <v>0</v>
          </cell>
          <cell r="M307">
            <v>286855</v>
          </cell>
          <cell r="N307">
            <v>-600939</v>
          </cell>
          <cell r="O307">
            <v>0</v>
          </cell>
          <cell r="P307">
            <v>0</v>
          </cell>
          <cell r="Q307">
            <v>-600939</v>
          </cell>
          <cell r="R307">
            <v>239627</v>
          </cell>
          <cell r="S307">
            <v>0</v>
          </cell>
          <cell r="T307">
            <v>0</v>
          </cell>
          <cell r="U307">
            <v>239627</v>
          </cell>
          <cell r="V307">
            <v>622928</v>
          </cell>
          <cell r="W307">
            <v>0</v>
          </cell>
          <cell r="X307">
            <v>0</v>
          </cell>
          <cell r="Y307">
            <v>622928</v>
          </cell>
          <cell r="Z307">
            <v>28210208</v>
          </cell>
          <cell r="AA307">
            <v>0</v>
          </cell>
          <cell r="AB307">
            <v>0</v>
          </cell>
          <cell r="AC307">
            <v>28210208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1452156</v>
          </cell>
          <cell r="AP307">
            <v>453762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28175666.800000001</v>
          </cell>
          <cell r="G308">
            <v>0</v>
          </cell>
          <cell r="H308">
            <v>0</v>
          </cell>
          <cell r="I308">
            <v>28175666.800000001</v>
          </cell>
          <cell r="J308">
            <v>64973.19</v>
          </cell>
          <cell r="K308">
            <v>0</v>
          </cell>
          <cell r="L308">
            <v>0</v>
          </cell>
          <cell r="M308">
            <v>64973.19</v>
          </cell>
          <cell r="N308">
            <v>-12700</v>
          </cell>
          <cell r="O308">
            <v>0</v>
          </cell>
          <cell r="P308">
            <v>0</v>
          </cell>
          <cell r="Q308">
            <v>-12700</v>
          </cell>
          <cell r="R308">
            <v>5386.62</v>
          </cell>
          <cell r="S308">
            <v>0</v>
          </cell>
          <cell r="T308">
            <v>0</v>
          </cell>
          <cell r="U308">
            <v>5386.62</v>
          </cell>
          <cell r="V308">
            <v>199258.18</v>
          </cell>
          <cell r="W308">
            <v>0</v>
          </cell>
          <cell r="X308">
            <v>0</v>
          </cell>
          <cell r="Y308">
            <v>199258.18</v>
          </cell>
          <cell r="Z308">
            <v>27918749</v>
          </cell>
          <cell r="AA308">
            <v>0</v>
          </cell>
          <cell r="AB308">
            <v>0</v>
          </cell>
          <cell r="AC308">
            <v>27918749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599693.57999999996</v>
          </cell>
          <cell r="AP308">
            <v>289284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57111300.600000001</v>
          </cell>
          <cell r="G309">
            <v>0</v>
          </cell>
          <cell r="H309">
            <v>0</v>
          </cell>
          <cell r="I309">
            <v>57111300.600000001</v>
          </cell>
          <cell r="J309">
            <v>306776.24</v>
          </cell>
          <cell r="K309">
            <v>0</v>
          </cell>
          <cell r="L309">
            <v>0</v>
          </cell>
          <cell r="M309">
            <v>306776.24</v>
          </cell>
          <cell r="N309">
            <v>-40524.639999999999</v>
          </cell>
          <cell r="O309">
            <v>0</v>
          </cell>
          <cell r="P309">
            <v>0</v>
          </cell>
          <cell r="Q309">
            <v>-40524.639999999999</v>
          </cell>
          <cell r="R309">
            <v>353993.52</v>
          </cell>
          <cell r="S309">
            <v>0</v>
          </cell>
          <cell r="T309">
            <v>0</v>
          </cell>
          <cell r="U309">
            <v>353993.52</v>
          </cell>
          <cell r="V309">
            <v>1039259.2</v>
          </cell>
          <cell r="W309">
            <v>0</v>
          </cell>
          <cell r="X309">
            <v>0</v>
          </cell>
          <cell r="Y309">
            <v>1039259.2</v>
          </cell>
          <cell r="Z309">
            <v>55451796</v>
          </cell>
          <cell r="AA309">
            <v>0</v>
          </cell>
          <cell r="AB309">
            <v>0</v>
          </cell>
          <cell r="AC309">
            <v>55451796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898551.61</v>
          </cell>
          <cell r="AP309">
            <v>11752.33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79825012</v>
          </cell>
          <cell r="G310">
            <v>0</v>
          </cell>
          <cell r="H310">
            <v>0</v>
          </cell>
          <cell r="I310">
            <v>79825012</v>
          </cell>
          <cell r="J310">
            <v>142497</v>
          </cell>
          <cell r="K310">
            <v>0</v>
          </cell>
          <cell r="L310">
            <v>0</v>
          </cell>
          <cell r="M310">
            <v>142497</v>
          </cell>
          <cell r="N310">
            <v>-500000</v>
          </cell>
          <cell r="O310">
            <v>0</v>
          </cell>
          <cell r="P310">
            <v>0</v>
          </cell>
          <cell r="Q310">
            <v>-500000</v>
          </cell>
          <cell r="R310">
            <v>300000</v>
          </cell>
          <cell r="S310">
            <v>0</v>
          </cell>
          <cell r="T310">
            <v>0</v>
          </cell>
          <cell r="U310">
            <v>300000</v>
          </cell>
          <cell r="V310">
            <v>390000</v>
          </cell>
          <cell r="W310">
            <v>0</v>
          </cell>
          <cell r="X310">
            <v>0</v>
          </cell>
          <cell r="Y310">
            <v>390000</v>
          </cell>
          <cell r="Z310">
            <v>79492515</v>
          </cell>
          <cell r="AA310">
            <v>0</v>
          </cell>
          <cell r="AB310">
            <v>0</v>
          </cell>
          <cell r="AC310">
            <v>79492515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1972611</v>
          </cell>
          <cell r="AP310">
            <v>1849516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10421378</v>
          </cell>
          <cell r="G311">
            <v>0</v>
          </cell>
          <cell r="H311">
            <v>0</v>
          </cell>
          <cell r="I311">
            <v>10421378</v>
          </cell>
          <cell r="J311">
            <v>44081</v>
          </cell>
          <cell r="K311">
            <v>0</v>
          </cell>
          <cell r="L311">
            <v>0</v>
          </cell>
          <cell r="M311">
            <v>44081</v>
          </cell>
          <cell r="N311">
            <v>-178424</v>
          </cell>
          <cell r="O311">
            <v>0</v>
          </cell>
          <cell r="P311">
            <v>0</v>
          </cell>
          <cell r="Q311">
            <v>-178424</v>
          </cell>
          <cell r="R311">
            <v>88837</v>
          </cell>
          <cell r="S311">
            <v>0</v>
          </cell>
          <cell r="T311">
            <v>0</v>
          </cell>
          <cell r="U311">
            <v>88837</v>
          </cell>
          <cell r="V311">
            <v>278905</v>
          </cell>
          <cell r="W311">
            <v>0</v>
          </cell>
          <cell r="X311">
            <v>0</v>
          </cell>
          <cell r="Y311">
            <v>278905</v>
          </cell>
          <cell r="Z311">
            <v>10187979</v>
          </cell>
          <cell r="AA311">
            <v>0</v>
          </cell>
          <cell r="AB311">
            <v>0</v>
          </cell>
          <cell r="AC311">
            <v>10187979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540667</v>
          </cell>
          <cell r="AP311">
            <v>22923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29413806.199999999</v>
          </cell>
          <cell r="G312">
            <v>0</v>
          </cell>
          <cell r="H312">
            <v>0</v>
          </cell>
          <cell r="I312">
            <v>29413806.199999999</v>
          </cell>
          <cell r="J312">
            <v>3841.65</v>
          </cell>
          <cell r="K312">
            <v>0</v>
          </cell>
          <cell r="L312">
            <v>0</v>
          </cell>
          <cell r="M312">
            <v>3841.65</v>
          </cell>
          <cell r="N312">
            <v>-76000</v>
          </cell>
          <cell r="O312">
            <v>0</v>
          </cell>
          <cell r="P312">
            <v>0</v>
          </cell>
          <cell r="Q312">
            <v>-76000</v>
          </cell>
          <cell r="R312">
            <v>406317</v>
          </cell>
          <cell r="S312">
            <v>0</v>
          </cell>
          <cell r="T312">
            <v>0</v>
          </cell>
          <cell r="U312">
            <v>406317</v>
          </cell>
          <cell r="V312">
            <v>1156440</v>
          </cell>
          <cell r="W312">
            <v>0</v>
          </cell>
          <cell r="X312">
            <v>0</v>
          </cell>
          <cell r="Y312">
            <v>1156440</v>
          </cell>
          <cell r="Z312">
            <v>27923208</v>
          </cell>
          <cell r="AA312">
            <v>0</v>
          </cell>
          <cell r="AB312">
            <v>0</v>
          </cell>
          <cell r="AC312">
            <v>27923208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1785417.27</v>
          </cell>
          <cell r="AP312">
            <v>315952.93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30307677</v>
          </cell>
          <cell r="G313">
            <v>0</v>
          </cell>
          <cell r="H313">
            <v>0</v>
          </cell>
          <cell r="I313">
            <v>30307677</v>
          </cell>
          <cell r="J313">
            <v>68499</v>
          </cell>
          <cell r="K313">
            <v>0</v>
          </cell>
          <cell r="L313">
            <v>0</v>
          </cell>
          <cell r="M313">
            <v>68499</v>
          </cell>
          <cell r="N313">
            <v>414595</v>
          </cell>
          <cell r="O313">
            <v>0</v>
          </cell>
          <cell r="P313">
            <v>0</v>
          </cell>
          <cell r="Q313">
            <v>414595</v>
          </cell>
          <cell r="R313">
            <v>556034</v>
          </cell>
          <cell r="S313">
            <v>0</v>
          </cell>
          <cell r="T313">
            <v>0</v>
          </cell>
          <cell r="U313">
            <v>556034</v>
          </cell>
          <cell r="V313">
            <v>1589839</v>
          </cell>
          <cell r="W313">
            <v>0</v>
          </cell>
          <cell r="X313">
            <v>0</v>
          </cell>
          <cell r="Y313">
            <v>1589839</v>
          </cell>
          <cell r="Z313">
            <v>27678710</v>
          </cell>
          <cell r="AA313">
            <v>0</v>
          </cell>
          <cell r="AB313">
            <v>0</v>
          </cell>
          <cell r="AC313">
            <v>27678710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4833417</v>
          </cell>
          <cell r="AP313">
            <v>908738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14636904</v>
          </cell>
          <cell r="G314">
            <v>0</v>
          </cell>
          <cell r="H314">
            <v>0</v>
          </cell>
          <cell r="I314">
            <v>14636904</v>
          </cell>
          <cell r="J314">
            <v>109039.15</v>
          </cell>
          <cell r="K314">
            <v>0</v>
          </cell>
          <cell r="L314">
            <v>0</v>
          </cell>
          <cell r="M314">
            <v>109039.15</v>
          </cell>
          <cell r="N314">
            <v>-9788</v>
          </cell>
          <cell r="O314">
            <v>0</v>
          </cell>
          <cell r="P314">
            <v>0</v>
          </cell>
          <cell r="Q314">
            <v>-9788</v>
          </cell>
          <cell r="R314">
            <v>120436</v>
          </cell>
          <cell r="S314">
            <v>0</v>
          </cell>
          <cell r="T314">
            <v>0</v>
          </cell>
          <cell r="U314">
            <v>120436</v>
          </cell>
          <cell r="V314">
            <v>373843</v>
          </cell>
          <cell r="W314">
            <v>0</v>
          </cell>
          <cell r="X314">
            <v>0</v>
          </cell>
          <cell r="Y314">
            <v>373843</v>
          </cell>
          <cell r="Z314">
            <v>14043374</v>
          </cell>
          <cell r="AA314">
            <v>0</v>
          </cell>
          <cell r="AB314">
            <v>0</v>
          </cell>
          <cell r="AC314">
            <v>14043374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529906.97</v>
          </cell>
          <cell r="AP314">
            <v>457947.63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32956934</v>
          </cell>
          <cell r="G315">
            <v>0</v>
          </cell>
          <cell r="H315">
            <v>0</v>
          </cell>
          <cell r="I315">
            <v>32956934</v>
          </cell>
          <cell r="J315">
            <v>60904.800000000003</v>
          </cell>
          <cell r="K315">
            <v>0</v>
          </cell>
          <cell r="L315">
            <v>0</v>
          </cell>
          <cell r="M315">
            <v>60904.800000000003</v>
          </cell>
          <cell r="N315">
            <v>99834</v>
          </cell>
          <cell r="O315">
            <v>0</v>
          </cell>
          <cell r="P315">
            <v>0</v>
          </cell>
          <cell r="Q315">
            <v>99834</v>
          </cell>
          <cell r="R315">
            <v>309313</v>
          </cell>
          <cell r="S315">
            <v>0</v>
          </cell>
          <cell r="T315">
            <v>0</v>
          </cell>
          <cell r="U315">
            <v>309313</v>
          </cell>
          <cell r="V315">
            <v>1869939</v>
          </cell>
          <cell r="W315">
            <v>0</v>
          </cell>
          <cell r="X315">
            <v>0</v>
          </cell>
          <cell r="Y315">
            <v>1869939</v>
          </cell>
          <cell r="Z315">
            <v>30616943</v>
          </cell>
          <cell r="AA315">
            <v>0</v>
          </cell>
          <cell r="AB315">
            <v>0</v>
          </cell>
          <cell r="AC315">
            <v>30616943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896942.97</v>
          </cell>
          <cell r="AP315">
            <v>439766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11590884</v>
          </cell>
          <cell r="G316">
            <v>0</v>
          </cell>
          <cell r="H316">
            <v>0</v>
          </cell>
          <cell r="I316">
            <v>11590884</v>
          </cell>
          <cell r="J316">
            <v>16110</v>
          </cell>
          <cell r="K316">
            <v>0</v>
          </cell>
          <cell r="L316">
            <v>0</v>
          </cell>
          <cell r="M316">
            <v>16110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464100</v>
          </cell>
          <cell r="S316">
            <v>0</v>
          </cell>
          <cell r="T316">
            <v>0</v>
          </cell>
          <cell r="U316">
            <v>464100</v>
          </cell>
          <cell r="V316">
            <v>1385400</v>
          </cell>
          <cell r="W316">
            <v>0</v>
          </cell>
          <cell r="X316">
            <v>0</v>
          </cell>
          <cell r="Y316">
            <v>1385400</v>
          </cell>
          <cell r="Z316">
            <v>9725274</v>
          </cell>
          <cell r="AA316">
            <v>0</v>
          </cell>
          <cell r="AB316">
            <v>0</v>
          </cell>
          <cell r="AC316">
            <v>9725274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418904</v>
          </cell>
          <cell r="AP316">
            <v>136671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1735368278</v>
          </cell>
          <cell r="G317">
            <v>0</v>
          </cell>
          <cell r="H317">
            <v>0</v>
          </cell>
          <cell r="I317">
            <v>1735368278</v>
          </cell>
          <cell r="J317">
            <v>11115293</v>
          </cell>
          <cell r="K317">
            <v>0</v>
          </cell>
          <cell r="L317">
            <v>0</v>
          </cell>
          <cell r="M317">
            <v>11115293</v>
          </cell>
          <cell r="N317">
            <v>1420000</v>
          </cell>
          <cell r="O317">
            <v>0</v>
          </cell>
          <cell r="P317">
            <v>0</v>
          </cell>
          <cell r="Q317">
            <v>1420000</v>
          </cell>
          <cell r="R317">
            <v>38295189</v>
          </cell>
          <cell r="S317">
            <v>0</v>
          </cell>
          <cell r="T317">
            <v>0</v>
          </cell>
          <cell r="U317">
            <v>38295189</v>
          </cell>
          <cell r="V317">
            <v>124889497</v>
          </cell>
          <cell r="W317">
            <v>0</v>
          </cell>
          <cell r="X317">
            <v>0</v>
          </cell>
          <cell r="Y317">
            <v>124889497</v>
          </cell>
          <cell r="Z317">
            <v>1559648299</v>
          </cell>
          <cell r="AA317">
            <v>0</v>
          </cell>
          <cell r="AB317">
            <v>0</v>
          </cell>
          <cell r="AC317">
            <v>1559648299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51186391</v>
          </cell>
          <cell r="AP317">
            <v>50858625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15314532.699999999</v>
          </cell>
          <cell r="G318">
            <v>0</v>
          </cell>
          <cell r="H318">
            <v>0</v>
          </cell>
          <cell r="I318">
            <v>15314532.699999999</v>
          </cell>
          <cell r="J318">
            <v>26035.13</v>
          </cell>
          <cell r="K318">
            <v>0</v>
          </cell>
          <cell r="L318">
            <v>0</v>
          </cell>
          <cell r="M318">
            <v>26035.13</v>
          </cell>
          <cell r="N318">
            <v>401000</v>
          </cell>
          <cell r="O318">
            <v>0</v>
          </cell>
          <cell r="P318">
            <v>0</v>
          </cell>
          <cell r="Q318">
            <v>401000</v>
          </cell>
          <cell r="R318">
            <v>229621</v>
          </cell>
          <cell r="S318">
            <v>0</v>
          </cell>
          <cell r="T318">
            <v>0</v>
          </cell>
          <cell r="U318">
            <v>229621</v>
          </cell>
          <cell r="V318">
            <v>562176</v>
          </cell>
          <cell r="W318">
            <v>0</v>
          </cell>
          <cell r="X318">
            <v>0</v>
          </cell>
          <cell r="Y318">
            <v>562176</v>
          </cell>
          <cell r="Z318">
            <v>14095701</v>
          </cell>
          <cell r="AA318">
            <v>0</v>
          </cell>
          <cell r="AB318">
            <v>0</v>
          </cell>
          <cell r="AC318">
            <v>14095701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1844766.75</v>
          </cell>
          <cell r="AP318">
            <v>252489.05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80605453</v>
          </cell>
          <cell r="G319">
            <v>0</v>
          </cell>
          <cell r="H319">
            <v>0</v>
          </cell>
          <cell r="I319">
            <v>80605453</v>
          </cell>
          <cell r="J319">
            <v>1646383</v>
          </cell>
          <cell r="K319">
            <v>0</v>
          </cell>
          <cell r="L319">
            <v>0</v>
          </cell>
          <cell r="M319">
            <v>1646383</v>
          </cell>
          <cell r="N319">
            <v>1795061</v>
          </cell>
          <cell r="O319">
            <v>0</v>
          </cell>
          <cell r="P319">
            <v>0</v>
          </cell>
          <cell r="Q319">
            <v>1795061</v>
          </cell>
          <cell r="R319">
            <v>2160807</v>
          </cell>
          <cell r="S319">
            <v>0</v>
          </cell>
          <cell r="T319">
            <v>0</v>
          </cell>
          <cell r="U319">
            <v>2160807</v>
          </cell>
          <cell r="V319">
            <v>1672346</v>
          </cell>
          <cell r="W319">
            <v>0</v>
          </cell>
          <cell r="X319">
            <v>0</v>
          </cell>
          <cell r="Y319">
            <v>1672346</v>
          </cell>
          <cell r="Z319">
            <v>73330856</v>
          </cell>
          <cell r="AA319">
            <v>0</v>
          </cell>
          <cell r="AB319">
            <v>0</v>
          </cell>
          <cell r="AC319">
            <v>73330856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7070283</v>
          </cell>
          <cell r="AP319">
            <v>235978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136878000</v>
          </cell>
          <cell r="G320">
            <v>0</v>
          </cell>
          <cell r="H320">
            <v>0</v>
          </cell>
          <cell r="I320">
            <v>136878000</v>
          </cell>
          <cell r="J320">
            <v>1428976</v>
          </cell>
          <cell r="K320">
            <v>0</v>
          </cell>
          <cell r="L320">
            <v>0</v>
          </cell>
          <cell r="M320">
            <v>1428976</v>
          </cell>
          <cell r="N320">
            <v>-222200</v>
          </cell>
          <cell r="O320">
            <v>0</v>
          </cell>
          <cell r="P320">
            <v>0</v>
          </cell>
          <cell r="Q320">
            <v>-222200</v>
          </cell>
          <cell r="R320">
            <v>1077914</v>
          </cell>
          <cell r="S320">
            <v>0</v>
          </cell>
          <cell r="T320">
            <v>0</v>
          </cell>
          <cell r="U320">
            <v>1077914</v>
          </cell>
          <cell r="V320">
            <v>2001841</v>
          </cell>
          <cell r="W320">
            <v>0</v>
          </cell>
          <cell r="X320">
            <v>0</v>
          </cell>
          <cell r="Y320">
            <v>2001841</v>
          </cell>
          <cell r="Z320">
            <v>132591469</v>
          </cell>
          <cell r="AA320">
            <v>0</v>
          </cell>
          <cell r="AB320">
            <v>0</v>
          </cell>
          <cell r="AC320">
            <v>132591469</v>
          </cell>
          <cell r="AD320">
            <v>87472.97</v>
          </cell>
          <cell r="AE320">
            <v>0</v>
          </cell>
          <cell r="AF320">
            <v>0</v>
          </cell>
          <cell r="AG320">
            <v>87472.97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87472.97</v>
          </cell>
          <cell r="AO320">
            <v>6796002.7599999998</v>
          </cell>
          <cell r="AP320">
            <v>1924093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54392434</v>
          </cell>
          <cell r="G321">
            <v>0</v>
          </cell>
          <cell r="H321">
            <v>0</v>
          </cell>
          <cell r="I321">
            <v>54392434</v>
          </cell>
          <cell r="J321">
            <v>131525</v>
          </cell>
          <cell r="K321">
            <v>0</v>
          </cell>
          <cell r="L321">
            <v>0</v>
          </cell>
          <cell r="M321">
            <v>131525</v>
          </cell>
          <cell r="N321">
            <v>229105</v>
          </cell>
          <cell r="O321">
            <v>0</v>
          </cell>
          <cell r="P321">
            <v>0</v>
          </cell>
          <cell r="Q321">
            <v>229105</v>
          </cell>
          <cell r="R321">
            <v>2859631</v>
          </cell>
          <cell r="S321">
            <v>0</v>
          </cell>
          <cell r="T321">
            <v>0</v>
          </cell>
          <cell r="U321">
            <v>2859631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51172173</v>
          </cell>
          <cell r="AA321">
            <v>0</v>
          </cell>
          <cell r="AB321">
            <v>0</v>
          </cell>
          <cell r="AC321">
            <v>51172173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2128622.62</v>
          </cell>
          <cell r="AP321">
            <v>494704.42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77937012.099999994</v>
          </cell>
          <cell r="G322">
            <v>0</v>
          </cell>
          <cell r="H322">
            <v>0</v>
          </cell>
          <cell r="I322">
            <v>77937012.099999994</v>
          </cell>
          <cell r="J322">
            <v>825856.54</v>
          </cell>
          <cell r="K322">
            <v>0</v>
          </cell>
          <cell r="L322">
            <v>0</v>
          </cell>
          <cell r="M322">
            <v>825856.54</v>
          </cell>
          <cell r="N322">
            <v>70455.17</v>
          </cell>
          <cell r="O322">
            <v>0</v>
          </cell>
          <cell r="P322">
            <v>0</v>
          </cell>
          <cell r="Q322">
            <v>70455.17</v>
          </cell>
          <cell r="R322">
            <v>1330542</v>
          </cell>
          <cell r="S322">
            <v>0</v>
          </cell>
          <cell r="T322">
            <v>0</v>
          </cell>
          <cell r="U322">
            <v>1330542</v>
          </cell>
          <cell r="V322">
            <v>3672327</v>
          </cell>
          <cell r="W322">
            <v>0</v>
          </cell>
          <cell r="X322">
            <v>0</v>
          </cell>
          <cell r="Y322">
            <v>3672327</v>
          </cell>
          <cell r="Z322">
            <v>72037831</v>
          </cell>
          <cell r="AA322">
            <v>0</v>
          </cell>
          <cell r="AB322">
            <v>0</v>
          </cell>
          <cell r="AC322">
            <v>72037831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4945113.4400000004</v>
          </cell>
          <cell r="AP322">
            <v>1067230.49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68305283.400000006</v>
          </cell>
          <cell r="G323">
            <v>0</v>
          </cell>
          <cell r="H323">
            <v>0</v>
          </cell>
          <cell r="I323">
            <v>68305283.400000006</v>
          </cell>
          <cell r="J323">
            <v>1011021</v>
          </cell>
          <cell r="K323">
            <v>0</v>
          </cell>
          <cell r="L323">
            <v>0</v>
          </cell>
          <cell r="M323">
            <v>1011021</v>
          </cell>
          <cell r="N323">
            <v>563248</v>
          </cell>
          <cell r="O323">
            <v>0</v>
          </cell>
          <cell r="P323">
            <v>0</v>
          </cell>
          <cell r="Q323">
            <v>563248</v>
          </cell>
          <cell r="R323">
            <v>828037</v>
          </cell>
          <cell r="S323">
            <v>0</v>
          </cell>
          <cell r="T323">
            <v>0</v>
          </cell>
          <cell r="U323">
            <v>828037</v>
          </cell>
          <cell r="V323">
            <v>2363805</v>
          </cell>
          <cell r="W323">
            <v>0</v>
          </cell>
          <cell r="X323">
            <v>0</v>
          </cell>
          <cell r="Y323">
            <v>2363805</v>
          </cell>
          <cell r="Z323">
            <v>63539172</v>
          </cell>
          <cell r="AA323">
            <v>0</v>
          </cell>
          <cell r="AB323">
            <v>0</v>
          </cell>
          <cell r="AC323">
            <v>63539172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6435015.8899999997</v>
          </cell>
          <cell r="AP323">
            <v>1027620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44360345.200000003</v>
          </cell>
          <cell r="G324">
            <v>0</v>
          </cell>
          <cell r="H324">
            <v>0</v>
          </cell>
          <cell r="I324">
            <v>44360345.200000003</v>
          </cell>
          <cell r="J324">
            <v>35146.51</v>
          </cell>
          <cell r="K324">
            <v>0</v>
          </cell>
          <cell r="L324">
            <v>0</v>
          </cell>
          <cell r="M324">
            <v>35146.51</v>
          </cell>
          <cell r="N324">
            <v>66000</v>
          </cell>
          <cell r="O324">
            <v>0</v>
          </cell>
          <cell r="P324">
            <v>0</v>
          </cell>
          <cell r="Q324">
            <v>66000</v>
          </cell>
          <cell r="R324">
            <v>1677000</v>
          </cell>
          <cell r="S324">
            <v>0</v>
          </cell>
          <cell r="T324">
            <v>0</v>
          </cell>
          <cell r="U324">
            <v>1677000</v>
          </cell>
          <cell r="V324">
            <v>3353000</v>
          </cell>
          <cell r="W324">
            <v>0</v>
          </cell>
          <cell r="X324">
            <v>0</v>
          </cell>
          <cell r="Y324">
            <v>3353000</v>
          </cell>
          <cell r="Z324">
            <v>39229199</v>
          </cell>
          <cell r="AA324">
            <v>0</v>
          </cell>
          <cell r="AB324">
            <v>0</v>
          </cell>
          <cell r="AC324">
            <v>39229199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1359094.69</v>
          </cell>
          <cell r="AP324">
            <v>1057670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53498530.399999999</v>
          </cell>
          <cell r="G325">
            <v>0</v>
          </cell>
          <cell r="H325">
            <v>0</v>
          </cell>
          <cell r="I325">
            <v>53498530.399999999</v>
          </cell>
          <cell r="J325">
            <v>378066</v>
          </cell>
          <cell r="K325">
            <v>0</v>
          </cell>
          <cell r="L325">
            <v>0</v>
          </cell>
          <cell r="M325">
            <v>378066</v>
          </cell>
          <cell r="N325">
            <v>500000</v>
          </cell>
          <cell r="O325">
            <v>0</v>
          </cell>
          <cell r="P325">
            <v>0</v>
          </cell>
          <cell r="Q325">
            <v>500000</v>
          </cell>
          <cell r="R325">
            <v>1250000</v>
          </cell>
          <cell r="S325">
            <v>0</v>
          </cell>
          <cell r="T325">
            <v>0</v>
          </cell>
          <cell r="U325">
            <v>1250000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51370464</v>
          </cell>
          <cell r="AA325">
            <v>0</v>
          </cell>
          <cell r="AB325">
            <v>0</v>
          </cell>
          <cell r="AC325">
            <v>51370464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2280385</v>
          </cell>
          <cell r="AP325">
            <v>2686329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76106664</v>
          </cell>
          <cell r="G326">
            <v>0</v>
          </cell>
          <cell r="H326">
            <v>85369</v>
          </cell>
          <cell r="I326">
            <v>76192033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2594998</v>
          </cell>
          <cell r="O326">
            <v>0</v>
          </cell>
          <cell r="P326">
            <v>0</v>
          </cell>
          <cell r="Q326">
            <v>2594998</v>
          </cell>
          <cell r="R326">
            <v>908870</v>
          </cell>
          <cell r="S326">
            <v>0</v>
          </cell>
          <cell r="T326">
            <v>0</v>
          </cell>
          <cell r="U326">
            <v>908870</v>
          </cell>
          <cell r="V326">
            <v>663484</v>
          </cell>
          <cell r="W326">
            <v>0</v>
          </cell>
          <cell r="X326">
            <v>0</v>
          </cell>
          <cell r="Y326">
            <v>663484</v>
          </cell>
          <cell r="Z326">
            <v>71939312</v>
          </cell>
          <cell r="AA326">
            <v>0</v>
          </cell>
          <cell r="AB326">
            <v>85369</v>
          </cell>
          <cell r="AC326">
            <v>72024681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85229</v>
          </cell>
          <cell r="AL326">
            <v>0</v>
          </cell>
          <cell r="AM326">
            <v>140</v>
          </cell>
          <cell r="AN326">
            <v>0</v>
          </cell>
          <cell r="AO326">
            <v>7067811</v>
          </cell>
          <cell r="AP326">
            <v>388893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40126153</v>
          </cell>
          <cell r="G327">
            <v>0</v>
          </cell>
          <cell r="H327">
            <v>0</v>
          </cell>
          <cell r="I327">
            <v>40126153</v>
          </cell>
          <cell r="J327">
            <v>207468</v>
          </cell>
          <cell r="K327">
            <v>0</v>
          </cell>
          <cell r="L327">
            <v>0</v>
          </cell>
          <cell r="M327">
            <v>207468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543925</v>
          </cell>
          <cell r="S327">
            <v>0</v>
          </cell>
          <cell r="T327">
            <v>0</v>
          </cell>
          <cell r="U327">
            <v>543925</v>
          </cell>
          <cell r="V327">
            <v>1584497</v>
          </cell>
          <cell r="W327">
            <v>0</v>
          </cell>
          <cell r="X327">
            <v>0</v>
          </cell>
          <cell r="Y327">
            <v>1584497</v>
          </cell>
          <cell r="Z327">
            <v>37790263</v>
          </cell>
          <cell r="AA327">
            <v>0</v>
          </cell>
          <cell r="AB327">
            <v>0</v>
          </cell>
          <cell r="AC327">
            <v>37790263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1233929</v>
          </cell>
          <cell r="AP327">
            <v>632567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31898676</v>
          </cell>
          <cell r="G328">
            <v>0</v>
          </cell>
          <cell r="H328">
            <v>0</v>
          </cell>
          <cell r="I328">
            <v>31898676</v>
          </cell>
          <cell r="J328">
            <v>645233</v>
          </cell>
          <cell r="K328">
            <v>0</v>
          </cell>
          <cell r="L328">
            <v>0</v>
          </cell>
          <cell r="M328">
            <v>645233</v>
          </cell>
          <cell r="N328">
            <v>-28971</v>
          </cell>
          <cell r="O328">
            <v>0</v>
          </cell>
          <cell r="P328">
            <v>0</v>
          </cell>
          <cell r="Q328">
            <v>-28971</v>
          </cell>
          <cell r="R328">
            <v>558019</v>
          </cell>
          <cell r="S328">
            <v>0</v>
          </cell>
          <cell r="T328">
            <v>0</v>
          </cell>
          <cell r="U328">
            <v>558019</v>
          </cell>
          <cell r="V328">
            <v>1092760</v>
          </cell>
          <cell r="W328">
            <v>0</v>
          </cell>
          <cell r="X328">
            <v>0</v>
          </cell>
          <cell r="Y328">
            <v>1092760</v>
          </cell>
          <cell r="Z328">
            <v>29631635</v>
          </cell>
          <cell r="AA328">
            <v>0</v>
          </cell>
          <cell r="AB328">
            <v>0</v>
          </cell>
          <cell r="AC328">
            <v>29631635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1555593</v>
          </cell>
          <cell r="AP328">
            <v>-123531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38814062</v>
          </cell>
          <cell r="G329">
            <v>0</v>
          </cell>
          <cell r="H329">
            <v>0</v>
          </cell>
          <cell r="I329">
            <v>38814062</v>
          </cell>
          <cell r="J329">
            <v>145454.04</v>
          </cell>
          <cell r="K329">
            <v>0</v>
          </cell>
          <cell r="L329">
            <v>0</v>
          </cell>
          <cell r="M329">
            <v>145454.04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366027</v>
          </cell>
          <cell r="S329">
            <v>0</v>
          </cell>
          <cell r="T329">
            <v>0</v>
          </cell>
          <cell r="U329">
            <v>366027</v>
          </cell>
          <cell r="V329">
            <v>1178893</v>
          </cell>
          <cell r="W329">
            <v>0</v>
          </cell>
          <cell r="X329">
            <v>0</v>
          </cell>
          <cell r="Y329">
            <v>1178893</v>
          </cell>
          <cell r="Z329">
            <v>37123688</v>
          </cell>
          <cell r="AA329">
            <v>0</v>
          </cell>
          <cell r="AB329">
            <v>0</v>
          </cell>
          <cell r="AC329">
            <v>37123688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428604</v>
          </cell>
          <cell r="AP329">
            <v>476873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69746165</v>
          </cell>
          <cell r="G330">
            <v>0</v>
          </cell>
          <cell r="H330">
            <v>0</v>
          </cell>
          <cell r="I330">
            <v>69746165</v>
          </cell>
          <cell r="J330">
            <v>567663</v>
          </cell>
          <cell r="K330">
            <v>0</v>
          </cell>
          <cell r="L330">
            <v>0</v>
          </cell>
          <cell r="M330">
            <v>567663</v>
          </cell>
          <cell r="N330">
            <v>210000</v>
          </cell>
          <cell r="O330">
            <v>0</v>
          </cell>
          <cell r="P330">
            <v>0</v>
          </cell>
          <cell r="Q330">
            <v>210000</v>
          </cell>
          <cell r="R330">
            <v>5119080</v>
          </cell>
          <cell r="S330">
            <v>0</v>
          </cell>
          <cell r="T330">
            <v>0</v>
          </cell>
          <cell r="U330">
            <v>5119080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63849422</v>
          </cell>
          <cell r="AA330">
            <v>0</v>
          </cell>
          <cell r="AB330">
            <v>0</v>
          </cell>
          <cell r="AC330">
            <v>63849422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3122394</v>
          </cell>
          <cell r="AP330">
            <v>1435537.53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26599704.300000001</v>
          </cell>
          <cell r="G331">
            <v>0</v>
          </cell>
          <cell r="H331">
            <v>0</v>
          </cell>
          <cell r="I331">
            <v>26599704.300000001</v>
          </cell>
          <cell r="J331">
            <v>65899.66</v>
          </cell>
          <cell r="K331">
            <v>0</v>
          </cell>
          <cell r="L331">
            <v>0</v>
          </cell>
          <cell r="M331">
            <v>65899.66</v>
          </cell>
          <cell r="N331">
            <v>150141.9</v>
          </cell>
          <cell r="O331">
            <v>0</v>
          </cell>
          <cell r="P331">
            <v>0</v>
          </cell>
          <cell r="Q331">
            <v>150141.9</v>
          </cell>
          <cell r="R331">
            <v>309014.51</v>
          </cell>
          <cell r="S331">
            <v>0</v>
          </cell>
          <cell r="T331">
            <v>0</v>
          </cell>
          <cell r="U331">
            <v>309014.51</v>
          </cell>
          <cell r="V331">
            <v>809073.17</v>
          </cell>
          <cell r="W331">
            <v>0</v>
          </cell>
          <cell r="X331">
            <v>0</v>
          </cell>
          <cell r="Y331">
            <v>809073.17</v>
          </cell>
          <cell r="Z331">
            <v>25265575</v>
          </cell>
          <cell r="AA331">
            <v>0</v>
          </cell>
          <cell r="AB331">
            <v>0</v>
          </cell>
          <cell r="AC331">
            <v>25265575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948135</v>
          </cell>
          <cell r="AP331">
            <v>462153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27881372.399999999</v>
          </cell>
          <cell r="G332">
            <v>0</v>
          </cell>
          <cell r="H332">
            <v>0</v>
          </cell>
          <cell r="I332">
            <v>27881372.399999999</v>
          </cell>
          <cell r="J332">
            <v>133915</v>
          </cell>
          <cell r="K332">
            <v>0</v>
          </cell>
          <cell r="L332">
            <v>0</v>
          </cell>
          <cell r="M332">
            <v>133915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322515</v>
          </cell>
          <cell r="S332">
            <v>0</v>
          </cell>
          <cell r="T332">
            <v>0</v>
          </cell>
          <cell r="U332">
            <v>322515</v>
          </cell>
          <cell r="V332">
            <v>902892</v>
          </cell>
          <cell r="W332">
            <v>0</v>
          </cell>
          <cell r="X332">
            <v>0</v>
          </cell>
          <cell r="Y332">
            <v>902892</v>
          </cell>
          <cell r="Z332">
            <v>26522050</v>
          </cell>
          <cell r="AA332">
            <v>0</v>
          </cell>
          <cell r="AB332">
            <v>0</v>
          </cell>
          <cell r="AC332">
            <v>26522050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2264699</v>
          </cell>
          <cell r="AP332">
            <v>190475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95878784.700000003</v>
          </cell>
          <cell r="G333">
            <v>0</v>
          </cell>
          <cell r="H333">
            <v>0</v>
          </cell>
          <cell r="I333">
            <v>95878784.700000003</v>
          </cell>
          <cell r="J333">
            <v>458472.92</v>
          </cell>
          <cell r="K333">
            <v>0</v>
          </cell>
          <cell r="L333">
            <v>0</v>
          </cell>
          <cell r="M333">
            <v>458472.92</v>
          </cell>
          <cell r="N333">
            <v>-363813</v>
          </cell>
          <cell r="O333">
            <v>0</v>
          </cell>
          <cell r="P333">
            <v>0</v>
          </cell>
          <cell r="Q333">
            <v>-363813</v>
          </cell>
          <cell r="R333">
            <v>3273937</v>
          </cell>
          <cell r="S333">
            <v>0</v>
          </cell>
          <cell r="T333">
            <v>0</v>
          </cell>
          <cell r="U333">
            <v>3273937</v>
          </cell>
          <cell r="V333">
            <v>8908455</v>
          </cell>
          <cell r="W333">
            <v>0</v>
          </cell>
          <cell r="X333">
            <v>0</v>
          </cell>
          <cell r="Y333">
            <v>8908455</v>
          </cell>
          <cell r="Z333">
            <v>83601733</v>
          </cell>
          <cell r="AA333">
            <v>0</v>
          </cell>
          <cell r="AB333">
            <v>0</v>
          </cell>
          <cell r="AC333">
            <v>83601733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3762081.41</v>
          </cell>
          <cell r="AP333">
            <v>1230356.3799999999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22596734280.900009</v>
          </cell>
          <cell r="G334">
            <v>14226928</v>
          </cell>
          <cell r="H334">
            <v>74390880.439999998</v>
          </cell>
          <cell r="I334">
            <v>22685352089.200005</v>
          </cell>
          <cell r="J334">
            <v>173007232.98999998</v>
          </cell>
          <cell r="K334">
            <v>17108</v>
          </cell>
          <cell r="L334">
            <v>205838</v>
          </cell>
          <cell r="M334">
            <v>173230178.98999998</v>
          </cell>
          <cell r="N334">
            <v>89915766.520000026</v>
          </cell>
          <cell r="O334">
            <v>2742</v>
          </cell>
          <cell r="P334">
            <v>536144</v>
          </cell>
          <cell r="Q334">
            <v>90454652.520000026</v>
          </cell>
          <cell r="R334">
            <v>477991501.65999991</v>
          </cell>
          <cell r="S334">
            <v>101033</v>
          </cell>
          <cell r="T334">
            <v>541289</v>
          </cell>
          <cell r="U334">
            <v>478633823.65999991</v>
          </cell>
          <cell r="V334">
            <v>1264495655.6300001</v>
          </cell>
          <cell r="W334">
            <v>275722</v>
          </cell>
          <cell r="X334">
            <v>1376791.26</v>
          </cell>
          <cell r="Y334">
            <v>1266148168.8900003</v>
          </cell>
          <cell r="Z334">
            <v>20591324132</v>
          </cell>
          <cell r="AA334">
            <v>13830323</v>
          </cell>
          <cell r="AB334">
            <v>71730818</v>
          </cell>
          <cell r="AC334">
            <v>20676885273</v>
          </cell>
          <cell r="AD334">
            <v>3595456.7100000009</v>
          </cell>
          <cell r="AE334">
            <v>0</v>
          </cell>
          <cell r="AF334">
            <v>0</v>
          </cell>
          <cell r="AG334">
            <v>3595456.7100000009</v>
          </cell>
          <cell r="AH334">
            <v>5426</v>
          </cell>
          <cell r="AI334">
            <v>80051.610000000015</v>
          </cell>
          <cell r="AJ334">
            <v>13967736</v>
          </cell>
          <cell r="AK334">
            <v>79450539.590000004</v>
          </cell>
          <cell r="AL334">
            <v>1132971</v>
          </cell>
          <cell r="AM334">
            <v>2727860.66</v>
          </cell>
          <cell r="AN334">
            <v>3595456.7100000009</v>
          </cell>
          <cell r="AO334">
            <v>1240697166.2200003</v>
          </cell>
          <cell r="AP334">
            <v>470910607.76000023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4653639150</v>
          </cell>
          <cell r="G335">
            <v>0</v>
          </cell>
          <cell r="H335">
            <v>0</v>
          </cell>
          <cell r="I335">
            <v>4653639150</v>
          </cell>
          <cell r="J335">
            <v>24622455.780000001</v>
          </cell>
          <cell r="K335">
            <v>0</v>
          </cell>
          <cell r="L335">
            <v>0</v>
          </cell>
          <cell r="M335">
            <v>24622455.780000001</v>
          </cell>
          <cell r="N335">
            <v>14475326</v>
          </cell>
          <cell r="O335">
            <v>0</v>
          </cell>
          <cell r="P335">
            <v>0</v>
          </cell>
          <cell r="Q335">
            <v>14475326</v>
          </cell>
          <cell r="R335">
            <v>114963926.44</v>
          </cell>
          <cell r="S335">
            <v>0</v>
          </cell>
          <cell r="T335">
            <v>0</v>
          </cell>
          <cell r="U335">
            <v>114963926.44</v>
          </cell>
          <cell r="V335">
            <v>342268928.25</v>
          </cell>
          <cell r="W335">
            <v>0</v>
          </cell>
          <cell r="X335">
            <v>0</v>
          </cell>
          <cell r="Y335">
            <v>342268928.25</v>
          </cell>
          <cell r="Z335">
            <v>4157308514</v>
          </cell>
          <cell r="AA335">
            <v>0</v>
          </cell>
          <cell r="AB335">
            <v>0</v>
          </cell>
          <cell r="AC335">
            <v>4157308514</v>
          </cell>
          <cell r="AD335">
            <v>60284.38</v>
          </cell>
          <cell r="AE335">
            <v>0</v>
          </cell>
          <cell r="AF335">
            <v>0</v>
          </cell>
          <cell r="AG335">
            <v>60284.38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60284.38</v>
          </cell>
          <cell r="AO335">
            <v>192251470.90000001</v>
          </cell>
          <cell r="AP335">
            <v>116990344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2005542179.5</v>
          </cell>
          <cell r="G336">
            <v>0</v>
          </cell>
          <cell r="H336">
            <v>404055</v>
          </cell>
          <cell r="I336">
            <v>2005946234.5</v>
          </cell>
          <cell r="J336">
            <v>15529035.880000001</v>
          </cell>
          <cell r="K336">
            <v>0</v>
          </cell>
          <cell r="L336">
            <v>0</v>
          </cell>
          <cell r="M336">
            <v>15529035.880000001</v>
          </cell>
          <cell r="N336">
            <v>12171329.34</v>
          </cell>
          <cell r="O336">
            <v>0</v>
          </cell>
          <cell r="P336">
            <v>0</v>
          </cell>
          <cell r="Q336">
            <v>12171329.34</v>
          </cell>
          <cell r="R336">
            <v>28979624.66</v>
          </cell>
          <cell r="S336">
            <v>0</v>
          </cell>
          <cell r="T336">
            <v>0</v>
          </cell>
          <cell r="U336">
            <v>28979624.66</v>
          </cell>
          <cell r="V336">
            <v>76010865.359999999</v>
          </cell>
          <cell r="W336">
            <v>0</v>
          </cell>
          <cell r="X336">
            <v>0</v>
          </cell>
          <cell r="Y336">
            <v>76010865.359999999</v>
          </cell>
          <cell r="Z336">
            <v>1872851327</v>
          </cell>
          <cell r="AA336">
            <v>0</v>
          </cell>
          <cell r="AB336">
            <v>404055</v>
          </cell>
          <cell r="AC336">
            <v>1873255382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394</v>
          </cell>
          <cell r="AJ336">
            <v>0</v>
          </cell>
          <cell r="AK336">
            <v>230761</v>
          </cell>
          <cell r="AL336">
            <v>0</v>
          </cell>
          <cell r="AM336">
            <v>173688</v>
          </cell>
          <cell r="AN336">
            <v>0</v>
          </cell>
          <cell r="AO336">
            <v>144879330.12</v>
          </cell>
          <cell r="AP336">
            <v>74645248.469999999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4041840562.3000002</v>
          </cell>
          <cell r="G337">
            <v>8989197</v>
          </cell>
          <cell r="H337">
            <v>42289032.079999998</v>
          </cell>
          <cell r="I337">
            <v>4093118791.3000002</v>
          </cell>
          <cell r="J337">
            <v>40359851.579999998</v>
          </cell>
          <cell r="K337">
            <v>16038</v>
          </cell>
          <cell r="L337">
            <v>162354</v>
          </cell>
          <cell r="M337">
            <v>40538243.579999998</v>
          </cell>
          <cell r="N337">
            <v>29759880.66</v>
          </cell>
          <cell r="O337">
            <v>0</v>
          </cell>
          <cell r="P337">
            <v>27346</v>
          </cell>
          <cell r="Q337">
            <v>29787226.66</v>
          </cell>
          <cell r="R337">
            <v>114355995.72</v>
          </cell>
          <cell r="S337">
            <v>29284</v>
          </cell>
          <cell r="T337">
            <v>469733</v>
          </cell>
          <cell r="U337">
            <v>114855012.72</v>
          </cell>
          <cell r="V337">
            <v>284643590.69999999</v>
          </cell>
          <cell r="W337">
            <v>76928</v>
          </cell>
          <cell r="X337">
            <v>1286673</v>
          </cell>
          <cell r="Y337">
            <v>286007191.69999999</v>
          </cell>
          <cell r="Z337">
            <v>3572721243</v>
          </cell>
          <cell r="AA337">
            <v>8866947</v>
          </cell>
          <cell r="AB337">
            <v>40342926</v>
          </cell>
          <cell r="AC337">
            <v>3621931116</v>
          </cell>
          <cell r="AD337">
            <v>188916</v>
          </cell>
          <cell r="AE337">
            <v>0</v>
          </cell>
          <cell r="AF337">
            <v>0</v>
          </cell>
          <cell r="AG337">
            <v>188916</v>
          </cell>
          <cell r="AH337">
            <v>40054</v>
          </cell>
          <cell r="AI337">
            <v>9046</v>
          </cell>
          <cell r="AJ337">
            <v>8331398</v>
          </cell>
          <cell r="AK337">
            <v>47339689.359999999</v>
          </cell>
          <cell r="AL337">
            <v>1132971</v>
          </cell>
          <cell r="AM337">
            <v>1353286.88</v>
          </cell>
          <cell r="AN337">
            <v>188916</v>
          </cell>
          <cell r="AO337">
            <v>394134931.59000003</v>
          </cell>
          <cell r="AP337">
            <v>105397082.56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4582196875.0999994</v>
          </cell>
          <cell r="G338">
            <v>5237731</v>
          </cell>
          <cell r="H338">
            <v>16907270.440000001</v>
          </cell>
          <cell r="I338">
            <v>4604341876.5</v>
          </cell>
          <cell r="J338">
            <v>50840561.799999997</v>
          </cell>
          <cell r="K338">
            <v>1070</v>
          </cell>
          <cell r="L338">
            <v>21549</v>
          </cell>
          <cell r="M338">
            <v>50863180.799999997</v>
          </cell>
          <cell r="N338">
            <v>13066195.649999999</v>
          </cell>
          <cell r="O338">
            <v>2742</v>
          </cell>
          <cell r="P338">
            <v>18000</v>
          </cell>
          <cell r="Q338">
            <v>13086937.649999999</v>
          </cell>
          <cell r="R338">
            <v>88606819.769999996</v>
          </cell>
          <cell r="S338">
            <v>71749</v>
          </cell>
          <cell r="T338">
            <v>40000</v>
          </cell>
          <cell r="U338">
            <v>88718568.769999996</v>
          </cell>
          <cell r="V338">
            <v>231158275.15000001</v>
          </cell>
          <cell r="W338">
            <v>198794</v>
          </cell>
          <cell r="X338">
            <v>0</v>
          </cell>
          <cell r="Y338">
            <v>231357069.15000001</v>
          </cell>
          <cell r="Z338">
            <v>4198525025</v>
          </cell>
          <cell r="AA338">
            <v>4963376</v>
          </cell>
          <cell r="AB338">
            <v>16827722</v>
          </cell>
          <cell r="AC338">
            <v>4220316123</v>
          </cell>
          <cell r="AD338">
            <v>1652153.94</v>
          </cell>
          <cell r="AE338">
            <v>0</v>
          </cell>
          <cell r="AF338">
            <v>0</v>
          </cell>
          <cell r="AG338">
            <v>1652153.94</v>
          </cell>
          <cell r="AH338">
            <v>-34628</v>
          </cell>
          <cell r="AI338">
            <v>65232.899999999994</v>
          </cell>
          <cell r="AJ338">
            <v>5636338</v>
          </cell>
          <cell r="AK338">
            <v>17624282</v>
          </cell>
          <cell r="AL338">
            <v>0</v>
          </cell>
          <cell r="AM338">
            <v>11720</v>
          </cell>
          <cell r="AN338">
            <v>1652153.94</v>
          </cell>
          <cell r="AO338">
            <v>241614940.84999996</v>
          </cell>
          <cell r="AP338">
            <v>71660789.049999982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7313515513.9999981</v>
          </cell>
          <cell r="G339">
            <v>0</v>
          </cell>
          <cell r="H339">
            <v>14790522.92</v>
          </cell>
          <cell r="I339">
            <v>7328306036.8999987</v>
          </cell>
          <cell r="J339">
            <v>41655327.949999988</v>
          </cell>
          <cell r="K339">
            <v>0</v>
          </cell>
          <cell r="L339">
            <v>21935</v>
          </cell>
          <cell r="M339">
            <v>41677262.949999988</v>
          </cell>
          <cell r="N339">
            <v>20443034.870000001</v>
          </cell>
          <cell r="O339">
            <v>0</v>
          </cell>
          <cell r="P339">
            <v>490798</v>
          </cell>
          <cell r="Q339">
            <v>20933832.870000001</v>
          </cell>
          <cell r="R339">
            <v>131085135.06999999</v>
          </cell>
          <cell r="S339">
            <v>0</v>
          </cell>
          <cell r="T339">
            <v>31556</v>
          </cell>
          <cell r="U339">
            <v>131116691.06999999</v>
          </cell>
          <cell r="V339">
            <v>330413996.17000002</v>
          </cell>
          <cell r="W339">
            <v>0</v>
          </cell>
          <cell r="X339">
            <v>90118.26</v>
          </cell>
          <cell r="Y339">
            <v>330504114.43000001</v>
          </cell>
          <cell r="Z339">
            <v>6789918023</v>
          </cell>
          <cell r="AA339">
            <v>0</v>
          </cell>
          <cell r="AB339">
            <v>14156115</v>
          </cell>
          <cell r="AC339">
            <v>6804074138</v>
          </cell>
          <cell r="AD339">
            <v>1694102.39</v>
          </cell>
          <cell r="AE339">
            <v>0</v>
          </cell>
          <cell r="AF339">
            <v>0</v>
          </cell>
          <cell r="AG339">
            <v>1694102.39</v>
          </cell>
          <cell r="AH339">
            <v>0</v>
          </cell>
          <cell r="AI339">
            <v>5378.7099999999919</v>
          </cell>
          <cell r="AJ339">
            <v>0</v>
          </cell>
          <cell r="AK339">
            <v>14255807.23</v>
          </cell>
          <cell r="AL339">
            <v>0</v>
          </cell>
          <cell r="AM339">
            <v>1189165.78</v>
          </cell>
          <cell r="AN339">
            <v>1694102.39</v>
          </cell>
          <cell r="AO339">
            <v>267816492.76000002</v>
          </cell>
          <cell r="AP339">
            <v>102217143.67999996</v>
          </cell>
        </row>
      </sheetData>
      <sheetData sheetId="8">
        <row r="7">
          <cell r="A7">
            <v>1</v>
          </cell>
          <cell r="B7" t="str">
            <v>E3831</v>
          </cell>
          <cell r="C7" t="str">
            <v>SD</v>
          </cell>
          <cell r="D7" t="str">
            <v>SE</v>
          </cell>
          <cell r="E7" t="str">
            <v>Adur</v>
          </cell>
          <cell r="F7">
            <v>599451</v>
          </cell>
          <cell r="G7">
            <v>0</v>
          </cell>
          <cell r="H7">
            <v>0</v>
          </cell>
          <cell r="I7">
            <v>599451</v>
          </cell>
          <cell r="J7">
            <v>-1878</v>
          </cell>
          <cell r="K7">
            <v>0</v>
          </cell>
          <cell r="L7">
            <v>0</v>
          </cell>
          <cell r="M7">
            <v>-1878</v>
          </cell>
          <cell r="N7">
            <v>2161</v>
          </cell>
          <cell r="O7">
            <v>0</v>
          </cell>
          <cell r="P7">
            <v>0</v>
          </cell>
          <cell r="Q7">
            <v>2161</v>
          </cell>
          <cell r="R7">
            <v>13217</v>
          </cell>
          <cell r="S7">
            <v>0</v>
          </cell>
          <cell r="T7">
            <v>0</v>
          </cell>
          <cell r="U7">
            <v>13217</v>
          </cell>
          <cell r="V7">
            <v>1109848</v>
          </cell>
          <cell r="W7">
            <v>0</v>
          </cell>
          <cell r="X7">
            <v>0</v>
          </cell>
          <cell r="Y7">
            <v>1109848</v>
          </cell>
          <cell r="Z7">
            <v>70828</v>
          </cell>
          <cell r="AA7">
            <v>0</v>
          </cell>
          <cell r="AB7">
            <v>0</v>
          </cell>
          <cell r="AC7">
            <v>70828</v>
          </cell>
          <cell r="AD7">
            <v>316008</v>
          </cell>
          <cell r="AE7">
            <v>0</v>
          </cell>
          <cell r="AF7">
            <v>0</v>
          </cell>
          <cell r="AG7">
            <v>316008</v>
          </cell>
          <cell r="AH7">
            <v>-1107</v>
          </cell>
          <cell r="AI7">
            <v>0</v>
          </cell>
          <cell r="AJ7">
            <v>0</v>
          </cell>
          <cell r="AK7">
            <v>-1107</v>
          </cell>
          <cell r="AL7">
            <v>1227603</v>
          </cell>
          <cell r="AM7">
            <v>0</v>
          </cell>
          <cell r="AN7">
            <v>0</v>
          </cell>
          <cell r="AO7">
            <v>1227603</v>
          </cell>
          <cell r="AP7">
            <v>4866</v>
          </cell>
          <cell r="AQ7">
            <v>0</v>
          </cell>
          <cell r="AR7">
            <v>0</v>
          </cell>
          <cell r="AS7">
            <v>4866</v>
          </cell>
          <cell r="AT7">
            <v>63163</v>
          </cell>
          <cell r="AU7">
            <v>0</v>
          </cell>
          <cell r="AV7">
            <v>0</v>
          </cell>
          <cell r="AW7">
            <v>63163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30523</v>
          </cell>
          <cell r="BK7">
            <v>0</v>
          </cell>
          <cell r="BL7">
            <v>0</v>
          </cell>
          <cell r="BM7">
            <v>30523</v>
          </cell>
          <cell r="BN7">
            <v>78</v>
          </cell>
          <cell r="BO7">
            <v>0</v>
          </cell>
          <cell r="BP7">
            <v>0</v>
          </cell>
          <cell r="BQ7">
            <v>78</v>
          </cell>
          <cell r="BR7">
            <v>337285</v>
          </cell>
          <cell r="BS7">
            <v>0</v>
          </cell>
          <cell r="BT7">
            <v>0</v>
          </cell>
          <cell r="BU7">
            <v>337285</v>
          </cell>
          <cell r="BV7">
            <v>-81375</v>
          </cell>
          <cell r="BW7">
            <v>0</v>
          </cell>
          <cell r="BX7">
            <v>0</v>
          </cell>
          <cell r="BY7">
            <v>-81375</v>
          </cell>
          <cell r="BZ7">
            <v>29918</v>
          </cell>
          <cell r="CA7">
            <v>0</v>
          </cell>
          <cell r="CB7">
            <v>0</v>
          </cell>
          <cell r="CC7">
            <v>29918</v>
          </cell>
          <cell r="CD7">
            <v>273</v>
          </cell>
          <cell r="CE7">
            <v>0</v>
          </cell>
          <cell r="CF7">
            <v>0</v>
          </cell>
          <cell r="CG7">
            <v>273</v>
          </cell>
          <cell r="CH7">
            <v>2055</v>
          </cell>
          <cell r="CI7">
            <v>0</v>
          </cell>
          <cell r="CJ7">
            <v>0</v>
          </cell>
          <cell r="CK7">
            <v>2055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</row>
        <row r="8">
          <cell r="A8">
            <v>2</v>
          </cell>
          <cell r="B8" t="str">
            <v>E0931</v>
          </cell>
          <cell r="C8" t="str">
            <v>SD</v>
          </cell>
          <cell r="D8" t="str">
            <v>NW</v>
          </cell>
          <cell r="E8" t="str">
            <v>Allerdale</v>
          </cell>
          <cell r="F8">
            <v>163719</v>
          </cell>
          <cell r="G8">
            <v>0</v>
          </cell>
          <cell r="H8">
            <v>0</v>
          </cell>
          <cell r="I8">
            <v>163719</v>
          </cell>
          <cell r="J8">
            <v>-201838</v>
          </cell>
          <cell r="K8">
            <v>0</v>
          </cell>
          <cell r="L8">
            <v>0</v>
          </cell>
          <cell r="M8">
            <v>-201838</v>
          </cell>
          <cell r="N8">
            <v>11169</v>
          </cell>
          <cell r="O8">
            <v>0</v>
          </cell>
          <cell r="P8">
            <v>0</v>
          </cell>
          <cell r="Q8">
            <v>11169</v>
          </cell>
          <cell r="R8">
            <v>30000</v>
          </cell>
          <cell r="S8">
            <v>0</v>
          </cell>
          <cell r="T8">
            <v>0</v>
          </cell>
          <cell r="U8">
            <v>30000</v>
          </cell>
          <cell r="V8">
            <v>3068600</v>
          </cell>
          <cell r="W8">
            <v>0</v>
          </cell>
          <cell r="X8">
            <v>0</v>
          </cell>
          <cell r="Y8">
            <v>3068600</v>
          </cell>
          <cell r="Z8">
            <v>203115</v>
          </cell>
          <cell r="AA8">
            <v>0</v>
          </cell>
          <cell r="AB8">
            <v>0</v>
          </cell>
          <cell r="AC8">
            <v>203115</v>
          </cell>
          <cell r="AD8">
            <v>484244</v>
          </cell>
          <cell r="AE8">
            <v>0</v>
          </cell>
          <cell r="AF8">
            <v>0</v>
          </cell>
          <cell r="AG8">
            <v>484244</v>
          </cell>
          <cell r="AH8">
            <v>-9832</v>
          </cell>
          <cell r="AI8">
            <v>0</v>
          </cell>
          <cell r="AJ8">
            <v>0</v>
          </cell>
          <cell r="AK8">
            <v>-9832</v>
          </cell>
          <cell r="AL8">
            <v>1476151</v>
          </cell>
          <cell r="AM8">
            <v>0</v>
          </cell>
          <cell r="AN8">
            <v>0</v>
          </cell>
          <cell r="AO8">
            <v>1476151</v>
          </cell>
          <cell r="AP8">
            <v>-17596</v>
          </cell>
          <cell r="AQ8">
            <v>0</v>
          </cell>
          <cell r="AR8">
            <v>0</v>
          </cell>
          <cell r="AS8">
            <v>-17596</v>
          </cell>
          <cell r="AT8">
            <v>64263</v>
          </cell>
          <cell r="AU8">
            <v>0</v>
          </cell>
          <cell r="AV8">
            <v>0</v>
          </cell>
          <cell r="AW8">
            <v>64263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35649</v>
          </cell>
          <cell r="BC8">
            <v>0</v>
          </cell>
          <cell r="BD8">
            <v>0</v>
          </cell>
          <cell r="BE8">
            <v>35649</v>
          </cell>
          <cell r="BF8">
            <v>1761</v>
          </cell>
          <cell r="BG8">
            <v>0</v>
          </cell>
          <cell r="BH8">
            <v>0</v>
          </cell>
          <cell r="BI8">
            <v>1761</v>
          </cell>
          <cell r="BJ8">
            <v>298</v>
          </cell>
          <cell r="BK8">
            <v>0</v>
          </cell>
          <cell r="BL8">
            <v>0</v>
          </cell>
          <cell r="BM8">
            <v>298</v>
          </cell>
          <cell r="BN8">
            <v>5204</v>
          </cell>
          <cell r="BO8">
            <v>0</v>
          </cell>
          <cell r="BP8">
            <v>0</v>
          </cell>
          <cell r="BQ8">
            <v>5204</v>
          </cell>
          <cell r="BR8">
            <v>939028</v>
          </cell>
          <cell r="BS8">
            <v>0</v>
          </cell>
          <cell r="BT8">
            <v>0</v>
          </cell>
          <cell r="BU8">
            <v>939028</v>
          </cell>
          <cell r="BV8">
            <v>-20842</v>
          </cell>
          <cell r="BW8">
            <v>0</v>
          </cell>
          <cell r="BX8">
            <v>0</v>
          </cell>
          <cell r="BY8">
            <v>-20842</v>
          </cell>
          <cell r="BZ8">
            <v>113036</v>
          </cell>
          <cell r="CA8">
            <v>0</v>
          </cell>
          <cell r="CB8">
            <v>0</v>
          </cell>
          <cell r="CC8">
            <v>113036</v>
          </cell>
          <cell r="CD8">
            <v>-6476</v>
          </cell>
          <cell r="CE8">
            <v>0</v>
          </cell>
          <cell r="CF8">
            <v>0</v>
          </cell>
          <cell r="CG8">
            <v>-6476</v>
          </cell>
          <cell r="CH8">
            <v>77302</v>
          </cell>
          <cell r="CI8">
            <v>0</v>
          </cell>
          <cell r="CJ8">
            <v>0</v>
          </cell>
          <cell r="CK8">
            <v>77302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1178</v>
          </cell>
          <cell r="CQ8">
            <v>0</v>
          </cell>
          <cell r="CR8">
            <v>0</v>
          </cell>
          <cell r="CS8">
            <v>1178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2049</v>
          </cell>
          <cell r="CY8">
            <v>0</v>
          </cell>
          <cell r="CZ8">
            <v>0</v>
          </cell>
          <cell r="DA8">
            <v>2049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</row>
        <row r="9">
          <cell r="A9">
            <v>3</v>
          </cell>
          <cell r="B9" t="str">
            <v>E1031</v>
          </cell>
          <cell r="C9" t="str">
            <v>SD</v>
          </cell>
          <cell r="D9" t="str">
            <v>EM</v>
          </cell>
          <cell r="E9" t="str">
            <v>Amber Valley</v>
          </cell>
          <cell r="F9">
            <v>90336</v>
          </cell>
          <cell r="G9">
            <v>0</v>
          </cell>
          <cell r="H9">
            <v>0</v>
          </cell>
          <cell r="I9">
            <v>90336</v>
          </cell>
          <cell r="J9">
            <v>-33960</v>
          </cell>
          <cell r="K9">
            <v>0</v>
          </cell>
          <cell r="L9">
            <v>0</v>
          </cell>
          <cell r="M9">
            <v>-33960</v>
          </cell>
          <cell r="N9">
            <v>62340</v>
          </cell>
          <cell r="O9">
            <v>0</v>
          </cell>
          <cell r="P9">
            <v>0</v>
          </cell>
          <cell r="Q9">
            <v>62340</v>
          </cell>
          <cell r="R9">
            <v>34585</v>
          </cell>
          <cell r="S9">
            <v>0</v>
          </cell>
          <cell r="T9">
            <v>0</v>
          </cell>
          <cell r="U9">
            <v>34585</v>
          </cell>
          <cell r="V9">
            <v>2493335</v>
          </cell>
          <cell r="W9">
            <v>0</v>
          </cell>
          <cell r="X9">
            <v>0</v>
          </cell>
          <cell r="Y9">
            <v>2493335</v>
          </cell>
          <cell r="Z9">
            <v>38578</v>
          </cell>
          <cell r="AA9">
            <v>0</v>
          </cell>
          <cell r="AB9">
            <v>0</v>
          </cell>
          <cell r="AC9">
            <v>38578</v>
          </cell>
          <cell r="AD9">
            <v>578599</v>
          </cell>
          <cell r="AE9">
            <v>0</v>
          </cell>
          <cell r="AF9">
            <v>0</v>
          </cell>
          <cell r="AG9">
            <v>578599</v>
          </cell>
          <cell r="AH9">
            <v>-7955</v>
          </cell>
          <cell r="AI9">
            <v>0</v>
          </cell>
          <cell r="AJ9">
            <v>0</v>
          </cell>
          <cell r="AK9">
            <v>-7955</v>
          </cell>
          <cell r="AL9">
            <v>1588345</v>
          </cell>
          <cell r="AM9">
            <v>0</v>
          </cell>
          <cell r="AN9">
            <v>0</v>
          </cell>
          <cell r="AO9">
            <v>1588345</v>
          </cell>
          <cell r="AP9">
            <v>11330</v>
          </cell>
          <cell r="AQ9">
            <v>0</v>
          </cell>
          <cell r="AR9">
            <v>0</v>
          </cell>
          <cell r="AS9">
            <v>11330</v>
          </cell>
          <cell r="AT9">
            <v>39752</v>
          </cell>
          <cell r="AU9">
            <v>0</v>
          </cell>
          <cell r="AV9">
            <v>0</v>
          </cell>
          <cell r="AW9">
            <v>39752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20291</v>
          </cell>
          <cell r="BC9">
            <v>0</v>
          </cell>
          <cell r="BD9">
            <v>0</v>
          </cell>
          <cell r="BE9">
            <v>20291</v>
          </cell>
          <cell r="BF9">
            <v>1065</v>
          </cell>
          <cell r="BG9">
            <v>0</v>
          </cell>
          <cell r="BH9">
            <v>0</v>
          </cell>
          <cell r="BI9">
            <v>1065</v>
          </cell>
          <cell r="BJ9">
            <v>138626</v>
          </cell>
          <cell r="BK9">
            <v>0</v>
          </cell>
          <cell r="BL9">
            <v>0</v>
          </cell>
          <cell r="BM9">
            <v>138626</v>
          </cell>
          <cell r="BN9">
            <v>1448</v>
          </cell>
          <cell r="BO9">
            <v>0</v>
          </cell>
          <cell r="BP9">
            <v>0</v>
          </cell>
          <cell r="BQ9">
            <v>1448</v>
          </cell>
          <cell r="BR9">
            <v>1369021</v>
          </cell>
          <cell r="BS9">
            <v>0</v>
          </cell>
          <cell r="BT9">
            <v>0</v>
          </cell>
          <cell r="BU9">
            <v>1369021</v>
          </cell>
          <cell r="BV9">
            <v>-54085</v>
          </cell>
          <cell r="BW9">
            <v>0</v>
          </cell>
          <cell r="BX9">
            <v>0</v>
          </cell>
          <cell r="BY9">
            <v>-54085</v>
          </cell>
          <cell r="BZ9">
            <v>41725</v>
          </cell>
          <cell r="CA9">
            <v>0</v>
          </cell>
          <cell r="CB9">
            <v>0</v>
          </cell>
          <cell r="CC9">
            <v>41725</v>
          </cell>
          <cell r="CD9">
            <v>357</v>
          </cell>
          <cell r="CE9">
            <v>0</v>
          </cell>
          <cell r="CF9">
            <v>0</v>
          </cell>
          <cell r="CG9">
            <v>357</v>
          </cell>
          <cell r="CH9">
            <v>64082</v>
          </cell>
          <cell r="CI9">
            <v>0</v>
          </cell>
          <cell r="CJ9">
            <v>0</v>
          </cell>
          <cell r="CK9">
            <v>64082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20291</v>
          </cell>
          <cell r="CY9">
            <v>0</v>
          </cell>
          <cell r="CZ9">
            <v>0</v>
          </cell>
          <cell r="DA9">
            <v>20291</v>
          </cell>
          <cell r="DB9">
            <v>1065</v>
          </cell>
          <cell r="DC9">
            <v>0</v>
          </cell>
          <cell r="DD9">
            <v>0</v>
          </cell>
          <cell r="DE9">
            <v>1065</v>
          </cell>
          <cell r="DF9">
            <v>2042</v>
          </cell>
          <cell r="DG9">
            <v>0</v>
          </cell>
          <cell r="DH9">
            <v>0</v>
          </cell>
          <cell r="DI9">
            <v>2042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</row>
        <row r="10">
          <cell r="A10">
            <v>4</v>
          </cell>
          <cell r="B10" t="str">
            <v>E3832</v>
          </cell>
          <cell r="C10" t="str">
            <v>SD</v>
          </cell>
          <cell r="D10" t="str">
            <v>SE</v>
          </cell>
          <cell r="E10" t="str">
            <v>Arun</v>
          </cell>
          <cell r="F10">
            <v>74952.67</v>
          </cell>
          <cell r="G10">
            <v>0</v>
          </cell>
          <cell r="H10">
            <v>0</v>
          </cell>
          <cell r="I10">
            <v>74952.67</v>
          </cell>
          <cell r="J10">
            <v>-84351.48</v>
          </cell>
          <cell r="K10">
            <v>0</v>
          </cell>
          <cell r="L10">
            <v>0</v>
          </cell>
          <cell r="M10">
            <v>-84351.48</v>
          </cell>
          <cell r="N10">
            <v>40631.480000000003</v>
          </cell>
          <cell r="O10">
            <v>0</v>
          </cell>
          <cell r="P10">
            <v>0</v>
          </cell>
          <cell r="Q10">
            <v>40631.480000000003</v>
          </cell>
          <cell r="R10">
            <v>143820.74</v>
          </cell>
          <cell r="S10">
            <v>0</v>
          </cell>
          <cell r="T10">
            <v>0</v>
          </cell>
          <cell r="U10">
            <v>143820.74</v>
          </cell>
          <cell r="V10">
            <v>2981063.67</v>
          </cell>
          <cell r="W10">
            <v>0</v>
          </cell>
          <cell r="X10">
            <v>0</v>
          </cell>
          <cell r="Y10">
            <v>2981063.67</v>
          </cell>
          <cell r="Z10">
            <v>120480.99</v>
          </cell>
          <cell r="AA10">
            <v>0</v>
          </cell>
          <cell r="AB10">
            <v>0</v>
          </cell>
          <cell r="AC10">
            <v>120480.99</v>
          </cell>
          <cell r="AD10">
            <v>596495.18000000005</v>
          </cell>
          <cell r="AE10">
            <v>0</v>
          </cell>
          <cell r="AF10">
            <v>0</v>
          </cell>
          <cell r="AG10">
            <v>596495.18000000005</v>
          </cell>
          <cell r="AH10">
            <v>4276.84</v>
          </cell>
          <cell r="AI10">
            <v>0</v>
          </cell>
          <cell r="AJ10">
            <v>0</v>
          </cell>
          <cell r="AK10">
            <v>4276.84</v>
          </cell>
          <cell r="AL10">
            <v>2343522.7999999998</v>
          </cell>
          <cell r="AM10">
            <v>0</v>
          </cell>
          <cell r="AN10">
            <v>0</v>
          </cell>
          <cell r="AO10">
            <v>2343522.7999999998</v>
          </cell>
          <cell r="AP10">
            <v>54526.41</v>
          </cell>
          <cell r="AQ10">
            <v>0</v>
          </cell>
          <cell r="AR10">
            <v>0</v>
          </cell>
          <cell r="AS10">
            <v>54526.41</v>
          </cell>
          <cell r="AT10">
            <v>79804.13</v>
          </cell>
          <cell r="AU10">
            <v>0</v>
          </cell>
          <cell r="AV10">
            <v>0</v>
          </cell>
          <cell r="AW10">
            <v>79804.13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7170.99</v>
          </cell>
          <cell r="BC10">
            <v>0</v>
          </cell>
          <cell r="BD10">
            <v>0</v>
          </cell>
          <cell r="BE10">
            <v>7170.99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879.29</v>
          </cell>
          <cell r="BK10">
            <v>0</v>
          </cell>
          <cell r="BL10">
            <v>0</v>
          </cell>
          <cell r="BM10">
            <v>879.29</v>
          </cell>
          <cell r="BN10">
            <v>12024.03</v>
          </cell>
          <cell r="BO10">
            <v>0</v>
          </cell>
          <cell r="BP10">
            <v>0</v>
          </cell>
          <cell r="BQ10">
            <v>12024.03</v>
          </cell>
          <cell r="BR10">
            <v>741002.84</v>
          </cell>
          <cell r="BS10">
            <v>0</v>
          </cell>
          <cell r="BT10">
            <v>0</v>
          </cell>
          <cell r="BU10">
            <v>741002.84</v>
          </cell>
          <cell r="BV10">
            <v>180847.51</v>
          </cell>
          <cell r="BW10">
            <v>0</v>
          </cell>
          <cell r="BX10">
            <v>0</v>
          </cell>
          <cell r="BY10">
            <v>180847.51</v>
          </cell>
          <cell r="BZ10">
            <v>96300.93</v>
          </cell>
          <cell r="CA10">
            <v>0</v>
          </cell>
          <cell r="CB10">
            <v>0</v>
          </cell>
          <cell r="CC10">
            <v>96300.93</v>
          </cell>
          <cell r="CD10">
            <v>244.87</v>
          </cell>
          <cell r="CE10">
            <v>0</v>
          </cell>
          <cell r="CF10">
            <v>0</v>
          </cell>
          <cell r="CG10">
            <v>244.87</v>
          </cell>
          <cell r="CH10">
            <v>13567.41</v>
          </cell>
          <cell r="CI10">
            <v>0</v>
          </cell>
          <cell r="CJ10">
            <v>0</v>
          </cell>
          <cell r="CK10">
            <v>13567.41</v>
          </cell>
          <cell r="CL10">
            <v>598.72</v>
          </cell>
          <cell r="CM10">
            <v>0</v>
          </cell>
          <cell r="CN10">
            <v>0</v>
          </cell>
          <cell r="CO10">
            <v>598.72</v>
          </cell>
          <cell r="CP10">
            <v>566.6</v>
          </cell>
          <cell r="CQ10">
            <v>0</v>
          </cell>
          <cell r="CR10">
            <v>0</v>
          </cell>
          <cell r="CS10">
            <v>566.6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3820.98</v>
          </cell>
          <cell r="CY10">
            <v>0</v>
          </cell>
          <cell r="CZ10">
            <v>0</v>
          </cell>
          <cell r="DA10">
            <v>3820.98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6402</v>
          </cell>
          <cell r="EG10">
            <v>0</v>
          </cell>
          <cell r="EH10">
            <v>0</v>
          </cell>
          <cell r="EI10">
            <v>6402</v>
          </cell>
          <cell r="EJ10">
            <v>463</v>
          </cell>
          <cell r="EK10">
            <v>0</v>
          </cell>
          <cell r="EL10">
            <v>0</v>
          </cell>
          <cell r="EM10">
            <v>463</v>
          </cell>
        </row>
        <row r="11">
          <cell r="A11">
            <v>5</v>
          </cell>
          <cell r="B11" t="str">
            <v>E3031</v>
          </cell>
          <cell r="C11" t="str">
            <v>SD</v>
          </cell>
          <cell r="D11" t="str">
            <v>EM</v>
          </cell>
          <cell r="E11" t="str">
            <v>Ashfield</v>
          </cell>
          <cell r="F11">
            <v>88906</v>
          </cell>
          <cell r="G11">
            <v>0</v>
          </cell>
          <cell r="H11">
            <v>0</v>
          </cell>
          <cell r="I11">
            <v>88906</v>
          </cell>
          <cell r="J11">
            <v>-90831</v>
          </cell>
          <cell r="K11">
            <v>0</v>
          </cell>
          <cell r="L11">
            <v>0</v>
          </cell>
          <cell r="M11">
            <v>-90831</v>
          </cell>
          <cell r="N11">
            <v>94627</v>
          </cell>
          <cell r="O11">
            <v>0</v>
          </cell>
          <cell r="P11">
            <v>0</v>
          </cell>
          <cell r="Q11">
            <v>94627</v>
          </cell>
          <cell r="R11">
            <v>53835</v>
          </cell>
          <cell r="S11">
            <v>0</v>
          </cell>
          <cell r="T11">
            <v>0</v>
          </cell>
          <cell r="U11">
            <v>53835</v>
          </cell>
          <cell r="V11">
            <v>1711788</v>
          </cell>
          <cell r="W11">
            <v>0</v>
          </cell>
          <cell r="X11">
            <v>0</v>
          </cell>
          <cell r="Y11">
            <v>1711788</v>
          </cell>
          <cell r="Z11">
            <v>52316</v>
          </cell>
          <cell r="AA11">
            <v>0</v>
          </cell>
          <cell r="AB11">
            <v>0</v>
          </cell>
          <cell r="AC11">
            <v>52316</v>
          </cell>
          <cell r="AD11">
            <v>614242</v>
          </cell>
          <cell r="AE11">
            <v>0</v>
          </cell>
          <cell r="AF11">
            <v>0</v>
          </cell>
          <cell r="AG11">
            <v>614242</v>
          </cell>
          <cell r="AH11">
            <v>-2398</v>
          </cell>
          <cell r="AI11">
            <v>0</v>
          </cell>
          <cell r="AJ11">
            <v>0</v>
          </cell>
          <cell r="AK11">
            <v>-2398</v>
          </cell>
          <cell r="AL11">
            <v>1424109</v>
          </cell>
          <cell r="AM11">
            <v>0</v>
          </cell>
          <cell r="AN11">
            <v>0</v>
          </cell>
          <cell r="AO11">
            <v>1424109</v>
          </cell>
          <cell r="AP11">
            <v>217262</v>
          </cell>
          <cell r="AQ11">
            <v>0</v>
          </cell>
          <cell r="AR11">
            <v>0</v>
          </cell>
          <cell r="AS11">
            <v>217262</v>
          </cell>
          <cell r="AT11">
            <v>4220</v>
          </cell>
          <cell r="AU11">
            <v>0</v>
          </cell>
          <cell r="AV11">
            <v>0</v>
          </cell>
          <cell r="AW11">
            <v>4220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13430</v>
          </cell>
          <cell r="BC11">
            <v>0</v>
          </cell>
          <cell r="BD11">
            <v>0</v>
          </cell>
          <cell r="BE11">
            <v>13430</v>
          </cell>
          <cell r="BF11">
            <v>460</v>
          </cell>
          <cell r="BG11">
            <v>0</v>
          </cell>
          <cell r="BH11">
            <v>0</v>
          </cell>
          <cell r="BI11">
            <v>460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44570</v>
          </cell>
          <cell r="BO11">
            <v>0</v>
          </cell>
          <cell r="BP11">
            <v>0</v>
          </cell>
          <cell r="BQ11">
            <v>44570</v>
          </cell>
          <cell r="BR11">
            <v>770019</v>
          </cell>
          <cell r="BS11">
            <v>0</v>
          </cell>
          <cell r="BT11">
            <v>0</v>
          </cell>
          <cell r="BU11">
            <v>770019</v>
          </cell>
          <cell r="BV11">
            <v>-16805</v>
          </cell>
          <cell r="BW11">
            <v>0</v>
          </cell>
          <cell r="BX11">
            <v>0</v>
          </cell>
          <cell r="BY11">
            <v>-16805</v>
          </cell>
          <cell r="BZ11">
            <v>135067</v>
          </cell>
          <cell r="CA11">
            <v>0</v>
          </cell>
          <cell r="CB11">
            <v>0</v>
          </cell>
          <cell r="CC11">
            <v>135067</v>
          </cell>
          <cell r="CD11">
            <v>299</v>
          </cell>
          <cell r="CE11">
            <v>0</v>
          </cell>
          <cell r="CF11">
            <v>0</v>
          </cell>
          <cell r="CG11">
            <v>299</v>
          </cell>
          <cell r="CH11">
            <v>44109</v>
          </cell>
          <cell r="CI11">
            <v>0</v>
          </cell>
          <cell r="CJ11">
            <v>0</v>
          </cell>
          <cell r="CK11">
            <v>44109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7518</v>
          </cell>
          <cell r="CY11">
            <v>0</v>
          </cell>
          <cell r="CZ11">
            <v>0</v>
          </cell>
          <cell r="DA11">
            <v>7518</v>
          </cell>
          <cell r="DB11">
            <v>460</v>
          </cell>
          <cell r="DC11">
            <v>0</v>
          </cell>
          <cell r="DD11">
            <v>0</v>
          </cell>
          <cell r="DE11">
            <v>460</v>
          </cell>
          <cell r="DF11">
            <v>3381</v>
          </cell>
          <cell r="DG11">
            <v>0</v>
          </cell>
          <cell r="DH11">
            <v>0</v>
          </cell>
          <cell r="DI11">
            <v>3381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</row>
        <row r="12">
          <cell r="A12">
            <v>6</v>
          </cell>
          <cell r="B12" t="str">
            <v>E2231</v>
          </cell>
          <cell r="C12" t="str">
            <v>SD</v>
          </cell>
          <cell r="D12" t="str">
            <v>SE</v>
          </cell>
          <cell r="E12" t="str">
            <v>Ashford</v>
          </cell>
          <cell r="F12">
            <v>103280</v>
          </cell>
          <cell r="G12">
            <v>0</v>
          </cell>
          <cell r="H12">
            <v>0</v>
          </cell>
          <cell r="I12">
            <v>103280</v>
          </cell>
          <cell r="J12">
            <v>195926</v>
          </cell>
          <cell r="K12">
            <v>0</v>
          </cell>
          <cell r="L12">
            <v>0</v>
          </cell>
          <cell r="M12">
            <v>195926</v>
          </cell>
          <cell r="N12">
            <v>43652</v>
          </cell>
          <cell r="O12">
            <v>0</v>
          </cell>
          <cell r="P12">
            <v>0</v>
          </cell>
          <cell r="Q12">
            <v>43652</v>
          </cell>
          <cell r="R12">
            <v>57996</v>
          </cell>
          <cell r="S12">
            <v>0</v>
          </cell>
          <cell r="T12">
            <v>0</v>
          </cell>
          <cell r="U12">
            <v>57996</v>
          </cell>
          <cell r="V12">
            <v>2351526</v>
          </cell>
          <cell r="W12">
            <v>0</v>
          </cell>
          <cell r="X12">
            <v>0</v>
          </cell>
          <cell r="Y12">
            <v>2351526</v>
          </cell>
          <cell r="Z12">
            <v>173407</v>
          </cell>
          <cell r="AA12">
            <v>0</v>
          </cell>
          <cell r="AB12">
            <v>0</v>
          </cell>
          <cell r="AC12">
            <v>173407</v>
          </cell>
          <cell r="AD12">
            <v>888365</v>
          </cell>
          <cell r="AE12">
            <v>0</v>
          </cell>
          <cell r="AF12">
            <v>0</v>
          </cell>
          <cell r="AG12">
            <v>888365</v>
          </cell>
          <cell r="AH12">
            <v>14800</v>
          </cell>
          <cell r="AI12">
            <v>0</v>
          </cell>
          <cell r="AJ12">
            <v>0</v>
          </cell>
          <cell r="AK12">
            <v>14800</v>
          </cell>
          <cell r="AL12">
            <v>2974952</v>
          </cell>
          <cell r="AM12">
            <v>0</v>
          </cell>
          <cell r="AN12">
            <v>0</v>
          </cell>
          <cell r="AO12">
            <v>2974952</v>
          </cell>
          <cell r="AP12">
            <v>23160</v>
          </cell>
          <cell r="AQ12">
            <v>0</v>
          </cell>
          <cell r="AR12">
            <v>0</v>
          </cell>
          <cell r="AS12">
            <v>23160</v>
          </cell>
          <cell r="AT12">
            <v>84654</v>
          </cell>
          <cell r="AU12">
            <v>0</v>
          </cell>
          <cell r="AV12">
            <v>0</v>
          </cell>
          <cell r="AW12">
            <v>84654</v>
          </cell>
          <cell r="AX12">
            <v>14941</v>
          </cell>
          <cell r="AY12">
            <v>0</v>
          </cell>
          <cell r="AZ12">
            <v>0</v>
          </cell>
          <cell r="BA12">
            <v>14941</v>
          </cell>
          <cell r="BB12">
            <v>36554</v>
          </cell>
          <cell r="BC12">
            <v>0</v>
          </cell>
          <cell r="BD12">
            <v>0</v>
          </cell>
          <cell r="BE12">
            <v>36554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53113</v>
          </cell>
          <cell r="BK12">
            <v>0</v>
          </cell>
          <cell r="BL12">
            <v>0</v>
          </cell>
          <cell r="BM12">
            <v>53113</v>
          </cell>
          <cell r="BN12">
            <v>18307</v>
          </cell>
          <cell r="BO12">
            <v>0</v>
          </cell>
          <cell r="BP12">
            <v>0</v>
          </cell>
          <cell r="BQ12">
            <v>18307</v>
          </cell>
          <cell r="BR12">
            <v>1894888</v>
          </cell>
          <cell r="BS12">
            <v>0</v>
          </cell>
          <cell r="BT12">
            <v>0</v>
          </cell>
          <cell r="BU12">
            <v>1894888</v>
          </cell>
          <cell r="BV12">
            <v>80218</v>
          </cell>
          <cell r="BW12">
            <v>0</v>
          </cell>
          <cell r="BX12">
            <v>0</v>
          </cell>
          <cell r="BY12">
            <v>80218</v>
          </cell>
          <cell r="BZ12">
            <v>168438</v>
          </cell>
          <cell r="CA12">
            <v>0</v>
          </cell>
          <cell r="CB12">
            <v>0</v>
          </cell>
          <cell r="CC12">
            <v>168438</v>
          </cell>
          <cell r="CD12">
            <v>-3772</v>
          </cell>
          <cell r="CE12">
            <v>0</v>
          </cell>
          <cell r="CF12">
            <v>0</v>
          </cell>
          <cell r="CG12">
            <v>-3772</v>
          </cell>
          <cell r="CH12">
            <v>99341</v>
          </cell>
          <cell r="CI12">
            <v>0</v>
          </cell>
          <cell r="CJ12">
            <v>0</v>
          </cell>
          <cell r="CK12">
            <v>99341</v>
          </cell>
          <cell r="CL12">
            <v>5249</v>
          </cell>
          <cell r="CM12">
            <v>0</v>
          </cell>
          <cell r="CN12">
            <v>0</v>
          </cell>
          <cell r="CO12">
            <v>5249</v>
          </cell>
          <cell r="CP12">
            <v>13830</v>
          </cell>
          <cell r="CQ12">
            <v>0</v>
          </cell>
          <cell r="CR12">
            <v>0</v>
          </cell>
          <cell r="CS12">
            <v>13830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14364</v>
          </cell>
          <cell r="CY12">
            <v>0</v>
          </cell>
          <cell r="CZ12">
            <v>0</v>
          </cell>
          <cell r="DA12">
            <v>14364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49484</v>
          </cell>
          <cell r="DG12">
            <v>0</v>
          </cell>
          <cell r="DH12">
            <v>0</v>
          </cell>
          <cell r="DI12">
            <v>49484</v>
          </cell>
          <cell r="DJ12">
            <v>-392</v>
          </cell>
          <cell r="DK12">
            <v>0</v>
          </cell>
          <cell r="DL12">
            <v>0</v>
          </cell>
          <cell r="DM12">
            <v>-392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</row>
        <row r="13">
          <cell r="A13">
            <v>7</v>
          </cell>
          <cell r="B13" t="str">
            <v>E0431</v>
          </cell>
          <cell r="C13" t="str">
            <v>SD</v>
          </cell>
          <cell r="D13" t="str">
            <v>SE</v>
          </cell>
          <cell r="E13" t="str">
            <v>Aylesbury Vale</v>
          </cell>
          <cell r="F13">
            <v>58559</v>
          </cell>
          <cell r="G13">
            <v>0</v>
          </cell>
          <cell r="H13">
            <v>0</v>
          </cell>
          <cell r="I13">
            <v>58559</v>
          </cell>
          <cell r="J13">
            <v>172739</v>
          </cell>
          <cell r="K13">
            <v>0</v>
          </cell>
          <cell r="L13">
            <v>0</v>
          </cell>
          <cell r="M13">
            <v>172739</v>
          </cell>
          <cell r="N13">
            <v>98282.08</v>
          </cell>
          <cell r="O13">
            <v>0</v>
          </cell>
          <cell r="P13">
            <v>0</v>
          </cell>
          <cell r="Q13">
            <v>98282.08</v>
          </cell>
          <cell r="R13">
            <v>-107838</v>
          </cell>
          <cell r="S13">
            <v>0</v>
          </cell>
          <cell r="T13">
            <v>0</v>
          </cell>
          <cell r="U13">
            <v>-107838</v>
          </cell>
          <cell r="V13">
            <v>2930953</v>
          </cell>
          <cell r="W13">
            <v>0</v>
          </cell>
          <cell r="X13">
            <v>0</v>
          </cell>
          <cell r="Y13">
            <v>2930953</v>
          </cell>
          <cell r="Z13">
            <v>139064</v>
          </cell>
          <cell r="AA13">
            <v>0</v>
          </cell>
          <cell r="AB13">
            <v>0</v>
          </cell>
          <cell r="AC13">
            <v>139064</v>
          </cell>
          <cell r="AD13">
            <v>947449.45</v>
          </cell>
          <cell r="AE13">
            <v>0</v>
          </cell>
          <cell r="AF13">
            <v>0</v>
          </cell>
          <cell r="AG13">
            <v>947449.45</v>
          </cell>
          <cell r="AH13">
            <v>-18290.259999999998</v>
          </cell>
          <cell r="AI13">
            <v>0</v>
          </cell>
          <cell r="AJ13">
            <v>0</v>
          </cell>
          <cell r="AK13">
            <v>-18290.259999999998</v>
          </cell>
          <cell r="AL13">
            <v>3804849.75</v>
          </cell>
          <cell r="AM13">
            <v>0</v>
          </cell>
          <cell r="AN13">
            <v>0</v>
          </cell>
          <cell r="AO13">
            <v>3804849.75</v>
          </cell>
          <cell r="AP13">
            <v>-88737.51</v>
          </cell>
          <cell r="AQ13">
            <v>0</v>
          </cell>
          <cell r="AR13">
            <v>0</v>
          </cell>
          <cell r="AS13">
            <v>-88737.51</v>
          </cell>
          <cell r="AT13">
            <v>27485.68</v>
          </cell>
          <cell r="AU13">
            <v>0</v>
          </cell>
          <cell r="AV13">
            <v>0</v>
          </cell>
          <cell r="AW13">
            <v>27485.68</v>
          </cell>
          <cell r="AX13">
            <v>2346</v>
          </cell>
          <cell r="AY13">
            <v>0</v>
          </cell>
          <cell r="AZ13">
            <v>0</v>
          </cell>
          <cell r="BA13">
            <v>2346</v>
          </cell>
          <cell r="BB13">
            <v>55279.46</v>
          </cell>
          <cell r="BC13">
            <v>0</v>
          </cell>
          <cell r="BD13">
            <v>0</v>
          </cell>
          <cell r="BE13">
            <v>55279.46</v>
          </cell>
          <cell r="BF13">
            <v>17641</v>
          </cell>
          <cell r="BG13">
            <v>0</v>
          </cell>
          <cell r="BH13">
            <v>0</v>
          </cell>
          <cell r="BI13">
            <v>17641</v>
          </cell>
          <cell r="BJ13">
            <v>23344</v>
          </cell>
          <cell r="BK13">
            <v>0</v>
          </cell>
          <cell r="BL13">
            <v>0</v>
          </cell>
          <cell r="BM13">
            <v>23344</v>
          </cell>
          <cell r="BN13">
            <v>66167.240000000005</v>
          </cell>
          <cell r="BO13">
            <v>0</v>
          </cell>
          <cell r="BP13">
            <v>0</v>
          </cell>
          <cell r="BQ13">
            <v>66167.240000000005</v>
          </cell>
          <cell r="BR13">
            <v>3134446</v>
          </cell>
          <cell r="BS13">
            <v>0</v>
          </cell>
          <cell r="BT13">
            <v>0</v>
          </cell>
          <cell r="BU13">
            <v>3134446</v>
          </cell>
          <cell r="BV13">
            <v>112035</v>
          </cell>
          <cell r="BW13">
            <v>0</v>
          </cell>
          <cell r="BX13">
            <v>0</v>
          </cell>
          <cell r="BY13">
            <v>112035</v>
          </cell>
          <cell r="BZ13">
            <v>133954</v>
          </cell>
          <cell r="CA13">
            <v>0</v>
          </cell>
          <cell r="CB13">
            <v>0</v>
          </cell>
          <cell r="CC13">
            <v>133954</v>
          </cell>
          <cell r="CD13">
            <v>-1336</v>
          </cell>
          <cell r="CE13">
            <v>0</v>
          </cell>
          <cell r="CF13">
            <v>0</v>
          </cell>
          <cell r="CG13">
            <v>-1336</v>
          </cell>
          <cell r="CH13">
            <v>138467</v>
          </cell>
          <cell r="CI13">
            <v>0</v>
          </cell>
          <cell r="CJ13">
            <v>0</v>
          </cell>
          <cell r="CK13">
            <v>138467</v>
          </cell>
          <cell r="CL13">
            <v>-5849</v>
          </cell>
          <cell r="CM13">
            <v>0</v>
          </cell>
          <cell r="CN13">
            <v>0</v>
          </cell>
          <cell r="CO13">
            <v>-5849</v>
          </cell>
          <cell r="CP13">
            <v>2138</v>
          </cell>
          <cell r="CQ13">
            <v>0</v>
          </cell>
          <cell r="CR13">
            <v>0</v>
          </cell>
          <cell r="CS13">
            <v>2138</v>
          </cell>
          <cell r="CT13">
            <v>586</v>
          </cell>
          <cell r="CU13">
            <v>0</v>
          </cell>
          <cell r="CV13">
            <v>0</v>
          </cell>
          <cell r="CW13">
            <v>586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2058</v>
          </cell>
          <cell r="EG13">
            <v>0</v>
          </cell>
          <cell r="EH13">
            <v>0</v>
          </cell>
          <cell r="EI13">
            <v>2058</v>
          </cell>
          <cell r="EJ13">
            <v>817</v>
          </cell>
          <cell r="EK13">
            <v>0</v>
          </cell>
          <cell r="EL13">
            <v>0</v>
          </cell>
          <cell r="EM13">
            <v>817</v>
          </cell>
        </row>
        <row r="14">
          <cell r="A14">
            <v>8</v>
          </cell>
          <cell r="B14" t="str">
            <v>E3531</v>
          </cell>
          <cell r="C14" t="str">
            <v>SD</v>
          </cell>
          <cell r="D14" t="str">
            <v>E</v>
          </cell>
          <cell r="E14" t="str">
            <v>Babergh</v>
          </cell>
          <cell r="F14">
            <v>95973.35</v>
          </cell>
          <cell r="G14">
            <v>0</v>
          </cell>
          <cell r="H14">
            <v>0</v>
          </cell>
          <cell r="I14">
            <v>95973.35</v>
          </cell>
          <cell r="J14">
            <v>-11953.41</v>
          </cell>
          <cell r="K14">
            <v>0</v>
          </cell>
          <cell r="L14">
            <v>0</v>
          </cell>
          <cell r="M14">
            <v>-11953.41</v>
          </cell>
          <cell r="N14">
            <v>25361.21</v>
          </cell>
          <cell r="O14">
            <v>0</v>
          </cell>
          <cell r="P14">
            <v>0</v>
          </cell>
          <cell r="Q14">
            <v>25361.21</v>
          </cell>
          <cell r="R14">
            <v>113441.54</v>
          </cell>
          <cell r="S14">
            <v>0</v>
          </cell>
          <cell r="T14">
            <v>0</v>
          </cell>
          <cell r="U14">
            <v>113441.54</v>
          </cell>
          <cell r="V14">
            <v>2007250.18</v>
          </cell>
          <cell r="W14">
            <v>0</v>
          </cell>
          <cell r="X14">
            <v>0</v>
          </cell>
          <cell r="Y14">
            <v>2007250.18</v>
          </cell>
          <cell r="Z14">
            <v>112861.64</v>
          </cell>
          <cell r="AA14">
            <v>0</v>
          </cell>
          <cell r="AB14">
            <v>0</v>
          </cell>
          <cell r="AC14">
            <v>112861.64</v>
          </cell>
          <cell r="AD14">
            <v>432985.58</v>
          </cell>
          <cell r="AE14">
            <v>0</v>
          </cell>
          <cell r="AF14">
            <v>0</v>
          </cell>
          <cell r="AG14">
            <v>432985.58</v>
          </cell>
          <cell r="AH14">
            <v>3677.17</v>
          </cell>
          <cell r="AI14">
            <v>0</v>
          </cell>
          <cell r="AJ14">
            <v>0</v>
          </cell>
          <cell r="AK14">
            <v>3677.17</v>
          </cell>
          <cell r="AL14">
            <v>1672140.31</v>
          </cell>
          <cell r="AM14">
            <v>0</v>
          </cell>
          <cell r="AN14">
            <v>0</v>
          </cell>
          <cell r="AO14">
            <v>1672140.31</v>
          </cell>
          <cell r="AP14">
            <v>50072.54</v>
          </cell>
          <cell r="AQ14">
            <v>0</v>
          </cell>
          <cell r="AR14">
            <v>0</v>
          </cell>
          <cell r="AS14">
            <v>50072.54</v>
          </cell>
          <cell r="AT14">
            <v>51357.72</v>
          </cell>
          <cell r="AU14">
            <v>0</v>
          </cell>
          <cell r="AV14">
            <v>0</v>
          </cell>
          <cell r="AW14">
            <v>51357.72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90840.92</v>
          </cell>
          <cell r="BC14">
            <v>0</v>
          </cell>
          <cell r="BD14">
            <v>0</v>
          </cell>
          <cell r="BE14">
            <v>90840.92</v>
          </cell>
          <cell r="BF14">
            <v>-41.38</v>
          </cell>
          <cell r="BG14">
            <v>0</v>
          </cell>
          <cell r="BH14">
            <v>0</v>
          </cell>
          <cell r="BI14">
            <v>-41.38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865579.25</v>
          </cell>
          <cell r="BS14">
            <v>0</v>
          </cell>
          <cell r="BT14">
            <v>0</v>
          </cell>
          <cell r="BU14">
            <v>865579.25</v>
          </cell>
          <cell r="BV14">
            <v>1521.22</v>
          </cell>
          <cell r="BW14">
            <v>0</v>
          </cell>
          <cell r="BX14">
            <v>0</v>
          </cell>
          <cell r="BY14">
            <v>1521.22</v>
          </cell>
          <cell r="BZ14">
            <v>43227.72</v>
          </cell>
          <cell r="CA14">
            <v>0</v>
          </cell>
          <cell r="CB14">
            <v>0</v>
          </cell>
          <cell r="CC14">
            <v>43227.72</v>
          </cell>
          <cell r="CD14">
            <v>1221.6400000000001</v>
          </cell>
          <cell r="CE14">
            <v>0</v>
          </cell>
          <cell r="CF14">
            <v>0</v>
          </cell>
          <cell r="CG14">
            <v>1221.6400000000001</v>
          </cell>
          <cell r="CH14">
            <v>9373.51</v>
          </cell>
          <cell r="CI14">
            <v>0</v>
          </cell>
          <cell r="CJ14">
            <v>0</v>
          </cell>
          <cell r="CK14">
            <v>9373.51</v>
          </cell>
          <cell r="CL14">
            <v>1703.24</v>
          </cell>
          <cell r="CM14">
            <v>0</v>
          </cell>
          <cell r="CN14">
            <v>0</v>
          </cell>
          <cell r="CO14">
            <v>1703.24</v>
          </cell>
          <cell r="CP14">
            <v>6754.16</v>
          </cell>
          <cell r="CQ14">
            <v>0</v>
          </cell>
          <cell r="CR14">
            <v>0</v>
          </cell>
          <cell r="CS14">
            <v>6754.16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73982.25</v>
          </cell>
          <cell r="CY14">
            <v>0</v>
          </cell>
          <cell r="CZ14">
            <v>0</v>
          </cell>
          <cell r="DA14">
            <v>73982.25</v>
          </cell>
          <cell r="DB14">
            <v>-573.45000000000005</v>
          </cell>
          <cell r="DC14">
            <v>0</v>
          </cell>
          <cell r="DD14">
            <v>0</v>
          </cell>
          <cell r="DE14">
            <v>-573.45000000000005</v>
          </cell>
          <cell r="DF14">
            <v>18655.560000000001</v>
          </cell>
          <cell r="DG14">
            <v>0</v>
          </cell>
          <cell r="DH14">
            <v>0</v>
          </cell>
          <cell r="DI14">
            <v>18655.560000000001</v>
          </cell>
          <cell r="DJ14">
            <v>-331.79</v>
          </cell>
          <cell r="DK14">
            <v>0</v>
          </cell>
          <cell r="DL14">
            <v>0</v>
          </cell>
          <cell r="DM14">
            <v>-331.79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162.59</v>
          </cell>
          <cell r="EC14">
            <v>0</v>
          </cell>
          <cell r="ED14">
            <v>0</v>
          </cell>
          <cell r="EE14">
            <v>162.59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</row>
        <row r="15">
          <cell r="A15">
            <v>9</v>
          </cell>
          <cell r="B15" t="str">
            <v>E5030</v>
          </cell>
          <cell r="C15" t="str">
            <v>OLB</v>
          </cell>
          <cell r="D15" t="str">
            <v>L</v>
          </cell>
          <cell r="E15" t="str">
            <v>Barking &amp; Dagenham</v>
          </cell>
          <cell r="F15">
            <v>1420230</v>
          </cell>
          <cell r="G15">
            <v>0</v>
          </cell>
          <cell r="H15">
            <v>0</v>
          </cell>
          <cell r="I15">
            <v>1420230</v>
          </cell>
          <cell r="J15">
            <v>181052</v>
          </cell>
          <cell r="K15">
            <v>0</v>
          </cell>
          <cell r="L15">
            <v>0</v>
          </cell>
          <cell r="M15">
            <v>181052</v>
          </cell>
          <cell r="N15">
            <v>50476</v>
          </cell>
          <cell r="O15">
            <v>0</v>
          </cell>
          <cell r="P15">
            <v>0</v>
          </cell>
          <cell r="Q15">
            <v>50476</v>
          </cell>
          <cell r="R15">
            <v>336686</v>
          </cell>
          <cell r="S15">
            <v>0</v>
          </cell>
          <cell r="T15">
            <v>0</v>
          </cell>
          <cell r="U15">
            <v>336686</v>
          </cell>
          <cell r="V15">
            <v>2249382</v>
          </cell>
          <cell r="W15">
            <v>0</v>
          </cell>
          <cell r="X15">
            <v>0</v>
          </cell>
          <cell r="Y15">
            <v>2249382</v>
          </cell>
          <cell r="Z15">
            <v>95295</v>
          </cell>
          <cell r="AA15">
            <v>0</v>
          </cell>
          <cell r="AB15">
            <v>0</v>
          </cell>
          <cell r="AC15">
            <v>95295</v>
          </cell>
          <cell r="AD15">
            <v>1111670</v>
          </cell>
          <cell r="AE15">
            <v>0</v>
          </cell>
          <cell r="AF15">
            <v>0</v>
          </cell>
          <cell r="AG15">
            <v>1111670</v>
          </cell>
          <cell r="AH15">
            <v>11012</v>
          </cell>
          <cell r="AI15">
            <v>0</v>
          </cell>
          <cell r="AJ15">
            <v>0</v>
          </cell>
          <cell r="AK15">
            <v>11012</v>
          </cell>
          <cell r="AL15">
            <v>2732185</v>
          </cell>
          <cell r="AM15">
            <v>0</v>
          </cell>
          <cell r="AN15">
            <v>0</v>
          </cell>
          <cell r="AO15">
            <v>2732185</v>
          </cell>
          <cell r="AP15">
            <v>184932</v>
          </cell>
          <cell r="AQ15">
            <v>0</v>
          </cell>
          <cell r="AR15">
            <v>0</v>
          </cell>
          <cell r="AS15">
            <v>184932</v>
          </cell>
          <cell r="AT15">
            <v>29955</v>
          </cell>
          <cell r="AU15">
            <v>0</v>
          </cell>
          <cell r="AV15">
            <v>0</v>
          </cell>
          <cell r="AW15">
            <v>29955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488902</v>
          </cell>
          <cell r="BK15">
            <v>0</v>
          </cell>
          <cell r="BL15">
            <v>0</v>
          </cell>
          <cell r="BM15">
            <v>488902</v>
          </cell>
          <cell r="BN15">
            <v>85338</v>
          </cell>
          <cell r="BO15">
            <v>0</v>
          </cell>
          <cell r="BP15">
            <v>0</v>
          </cell>
          <cell r="BQ15">
            <v>85338</v>
          </cell>
          <cell r="BR15">
            <v>3180427</v>
          </cell>
          <cell r="BS15">
            <v>0</v>
          </cell>
          <cell r="BT15">
            <v>0</v>
          </cell>
          <cell r="BU15">
            <v>3180427</v>
          </cell>
          <cell r="BV15">
            <v>165052</v>
          </cell>
          <cell r="BW15">
            <v>0</v>
          </cell>
          <cell r="BX15">
            <v>0</v>
          </cell>
          <cell r="BY15">
            <v>165052</v>
          </cell>
          <cell r="BZ15">
            <v>269228</v>
          </cell>
          <cell r="CA15">
            <v>0</v>
          </cell>
          <cell r="CB15">
            <v>0</v>
          </cell>
          <cell r="CC15">
            <v>269228</v>
          </cell>
          <cell r="CD15">
            <v>30414</v>
          </cell>
          <cell r="CE15">
            <v>0</v>
          </cell>
          <cell r="CF15">
            <v>0</v>
          </cell>
          <cell r="CG15">
            <v>30414</v>
          </cell>
          <cell r="CH15">
            <v>35759</v>
          </cell>
          <cell r="CI15">
            <v>0</v>
          </cell>
          <cell r="CJ15">
            <v>0</v>
          </cell>
          <cell r="CK15">
            <v>35759</v>
          </cell>
          <cell r="CL15">
            <v>8117</v>
          </cell>
          <cell r="CM15">
            <v>0</v>
          </cell>
          <cell r="CN15">
            <v>0</v>
          </cell>
          <cell r="CO15">
            <v>8117</v>
          </cell>
          <cell r="CP15">
            <v>7489</v>
          </cell>
          <cell r="CQ15">
            <v>0</v>
          </cell>
          <cell r="CR15">
            <v>0</v>
          </cell>
          <cell r="CS15">
            <v>7489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</row>
        <row r="16">
          <cell r="A16">
            <v>10</v>
          </cell>
          <cell r="B16" t="str">
            <v>E5031</v>
          </cell>
          <cell r="C16" t="str">
            <v>OLB</v>
          </cell>
          <cell r="D16" t="str">
            <v>L</v>
          </cell>
          <cell r="E16" t="str">
            <v>Barnet</v>
          </cell>
          <cell r="F16">
            <v>581218.62</v>
          </cell>
          <cell r="G16">
            <v>0</v>
          </cell>
          <cell r="H16">
            <v>0</v>
          </cell>
          <cell r="I16">
            <v>581218.62</v>
          </cell>
          <cell r="J16">
            <v>-554127.74</v>
          </cell>
          <cell r="K16">
            <v>0</v>
          </cell>
          <cell r="L16">
            <v>0</v>
          </cell>
          <cell r="M16">
            <v>-554127.74</v>
          </cell>
          <cell r="N16">
            <v>59277.22</v>
          </cell>
          <cell r="O16">
            <v>0</v>
          </cell>
          <cell r="P16">
            <v>0</v>
          </cell>
          <cell r="Q16">
            <v>59277.22</v>
          </cell>
          <cell r="R16">
            <v>1184831.1499999999</v>
          </cell>
          <cell r="S16">
            <v>0</v>
          </cell>
          <cell r="T16">
            <v>0</v>
          </cell>
          <cell r="U16">
            <v>1184831.1499999999</v>
          </cell>
          <cell r="V16">
            <v>3330314.67</v>
          </cell>
          <cell r="W16">
            <v>0</v>
          </cell>
          <cell r="X16">
            <v>0</v>
          </cell>
          <cell r="Y16">
            <v>3330314.67</v>
          </cell>
          <cell r="Z16">
            <v>256195.54</v>
          </cell>
          <cell r="AA16">
            <v>0</v>
          </cell>
          <cell r="AB16">
            <v>0</v>
          </cell>
          <cell r="AC16">
            <v>256195.54</v>
          </cell>
          <cell r="AD16">
            <v>2042302.32</v>
          </cell>
          <cell r="AE16">
            <v>0</v>
          </cell>
          <cell r="AF16">
            <v>0</v>
          </cell>
          <cell r="AG16">
            <v>2042302.32</v>
          </cell>
          <cell r="AH16">
            <v>-47336.03</v>
          </cell>
          <cell r="AI16">
            <v>0</v>
          </cell>
          <cell r="AJ16">
            <v>0</v>
          </cell>
          <cell r="AK16">
            <v>-47336.03</v>
          </cell>
          <cell r="AL16">
            <v>10416288.199999999</v>
          </cell>
          <cell r="AM16">
            <v>0</v>
          </cell>
          <cell r="AN16">
            <v>0</v>
          </cell>
          <cell r="AO16">
            <v>10416288.199999999</v>
          </cell>
          <cell r="AP16">
            <v>104130.3</v>
          </cell>
          <cell r="AQ16">
            <v>0</v>
          </cell>
          <cell r="AR16">
            <v>0</v>
          </cell>
          <cell r="AS16">
            <v>104130.3</v>
          </cell>
          <cell r="AT16">
            <v>210134.39</v>
          </cell>
          <cell r="AU16">
            <v>0</v>
          </cell>
          <cell r="AV16">
            <v>0</v>
          </cell>
          <cell r="AW16">
            <v>210134.39</v>
          </cell>
          <cell r="AX16">
            <v>-34548.42</v>
          </cell>
          <cell r="AY16">
            <v>0</v>
          </cell>
          <cell r="AZ16">
            <v>0</v>
          </cell>
          <cell r="BA16">
            <v>-34548.42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1539.43</v>
          </cell>
          <cell r="BK16">
            <v>0</v>
          </cell>
          <cell r="BL16">
            <v>0</v>
          </cell>
          <cell r="BM16">
            <v>1539.43</v>
          </cell>
          <cell r="BN16">
            <v>-4448.66</v>
          </cell>
          <cell r="BO16">
            <v>0</v>
          </cell>
          <cell r="BP16">
            <v>0</v>
          </cell>
          <cell r="BQ16">
            <v>-4448.66</v>
          </cell>
          <cell r="BR16">
            <v>2549053.66</v>
          </cell>
          <cell r="BS16">
            <v>0</v>
          </cell>
          <cell r="BT16">
            <v>0</v>
          </cell>
          <cell r="BU16">
            <v>2549053.66</v>
          </cell>
          <cell r="BV16">
            <v>228562.55</v>
          </cell>
          <cell r="BW16">
            <v>0</v>
          </cell>
          <cell r="BX16">
            <v>0</v>
          </cell>
          <cell r="BY16">
            <v>228562.55</v>
          </cell>
          <cell r="BZ16">
            <v>785118.53</v>
          </cell>
          <cell r="CA16">
            <v>0</v>
          </cell>
          <cell r="CB16">
            <v>0</v>
          </cell>
          <cell r="CC16">
            <v>785118.53</v>
          </cell>
          <cell r="CD16">
            <v>-92.85</v>
          </cell>
          <cell r="CE16">
            <v>0</v>
          </cell>
          <cell r="CF16">
            <v>0</v>
          </cell>
          <cell r="CG16">
            <v>-92.85</v>
          </cell>
          <cell r="CH16">
            <v>100190.41</v>
          </cell>
          <cell r="CI16">
            <v>0</v>
          </cell>
          <cell r="CJ16">
            <v>0</v>
          </cell>
          <cell r="CK16">
            <v>100190.41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</row>
        <row r="17">
          <cell r="A17">
            <v>11</v>
          </cell>
          <cell r="B17" t="str">
            <v>E4401</v>
          </cell>
          <cell r="C17" t="str">
            <v>Met</v>
          </cell>
          <cell r="D17" t="str">
            <v>YH</v>
          </cell>
          <cell r="E17" t="str">
            <v>Barnsley</v>
          </cell>
          <cell r="F17">
            <v>144383</v>
          </cell>
          <cell r="G17">
            <v>0</v>
          </cell>
          <cell r="H17">
            <v>0</v>
          </cell>
          <cell r="I17">
            <v>144383</v>
          </cell>
          <cell r="J17">
            <v>-251655</v>
          </cell>
          <cell r="K17">
            <v>0</v>
          </cell>
          <cell r="L17">
            <v>0</v>
          </cell>
          <cell r="M17">
            <v>-251655</v>
          </cell>
          <cell r="N17">
            <v>49134</v>
          </cell>
          <cell r="O17">
            <v>0</v>
          </cell>
          <cell r="P17">
            <v>0</v>
          </cell>
          <cell r="Q17">
            <v>49134</v>
          </cell>
          <cell r="R17">
            <v>314548</v>
          </cell>
          <cell r="S17">
            <v>0</v>
          </cell>
          <cell r="T17">
            <v>0</v>
          </cell>
          <cell r="U17">
            <v>314548</v>
          </cell>
          <cell r="V17">
            <v>4447494</v>
          </cell>
          <cell r="W17">
            <v>0</v>
          </cell>
          <cell r="X17">
            <v>0</v>
          </cell>
          <cell r="Y17">
            <v>4447494</v>
          </cell>
          <cell r="Z17">
            <v>209625</v>
          </cell>
          <cell r="AA17">
            <v>0</v>
          </cell>
          <cell r="AB17">
            <v>0</v>
          </cell>
          <cell r="AC17">
            <v>209625</v>
          </cell>
          <cell r="AD17">
            <v>997770</v>
          </cell>
          <cell r="AE17">
            <v>0</v>
          </cell>
          <cell r="AF17">
            <v>7020</v>
          </cell>
          <cell r="AG17">
            <v>1004790</v>
          </cell>
          <cell r="AH17">
            <v>40103</v>
          </cell>
          <cell r="AI17">
            <v>0</v>
          </cell>
          <cell r="AJ17">
            <v>0</v>
          </cell>
          <cell r="AK17">
            <v>40103</v>
          </cell>
          <cell r="AL17">
            <v>2979927</v>
          </cell>
          <cell r="AM17">
            <v>0</v>
          </cell>
          <cell r="AN17">
            <v>0</v>
          </cell>
          <cell r="AO17">
            <v>2979927</v>
          </cell>
          <cell r="AP17">
            <v>-49193</v>
          </cell>
          <cell r="AQ17">
            <v>0</v>
          </cell>
          <cell r="AR17">
            <v>0</v>
          </cell>
          <cell r="AS17">
            <v>-49193</v>
          </cell>
          <cell r="AT17">
            <v>53572</v>
          </cell>
          <cell r="AU17">
            <v>0</v>
          </cell>
          <cell r="AV17">
            <v>0</v>
          </cell>
          <cell r="AW17">
            <v>53572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6750</v>
          </cell>
          <cell r="BC17">
            <v>0</v>
          </cell>
          <cell r="BD17">
            <v>0</v>
          </cell>
          <cell r="BE17">
            <v>6750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36674</v>
          </cell>
          <cell r="BK17">
            <v>0</v>
          </cell>
          <cell r="BL17">
            <v>3946</v>
          </cell>
          <cell r="BM17">
            <v>40620</v>
          </cell>
          <cell r="BN17">
            <v>5567</v>
          </cell>
          <cell r="BO17">
            <v>0</v>
          </cell>
          <cell r="BP17">
            <v>0</v>
          </cell>
          <cell r="BQ17">
            <v>5567</v>
          </cell>
          <cell r="BR17">
            <v>2014458</v>
          </cell>
          <cell r="BS17">
            <v>0</v>
          </cell>
          <cell r="BT17">
            <v>0</v>
          </cell>
          <cell r="BU17">
            <v>2014458</v>
          </cell>
          <cell r="BV17">
            <v>25108</v>
          </cell>
          <cell r="BW17">
            <v>0</v>
          </cell>
          <cell r="BX17">
            <v>0</v>
          </cell>
          <cell r="BY17">
            <v>25108</v>
          </cell>
          <cell r="BZ17">
            <v>162507</v>
          </cell>
          <cell r="CA17">
            <v>0</v>
          </cell>
          <cell r="CB17">
            <v>0</v>
          </cell>
          <cell r="CC17">
            <v>162507</v>
          </cell>
          <cell r="CD17">
            <v>691</v>
          </cell>
          <cell r="CE17">
            <v>0</v>
          </cell>
          <cell r="CF17">
            <v>0</v>
          </cell>
          <cell r="CG17">
            <v>691</v>
          </cell>
          <cell r="CH17">
            <v>37327</v>
          </cell>
          <cell r="CI17">
            <v>0</v>
          </cell>
          <cell r="CJ17">
            <v>0</v>
          </cell>
          <cell r="CK17">
            <v>37327</v>
          </cell>
          <cell r="CL17">
            <v>-1141</v>
          </cell>
          <cell r="CM17">
            <v>0</v>
          </cell>
          <cell r="CN17">
            <v>0</v>
          </cell>
          <cell r="CO17">
            <v>-1141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2532</v>
          </cell>
          <cell r="CY17">
            <v>0</v>
          </cell>
          <cell r="CZ17">
            <v>0</v>
          </cell>
          <cell r="DA17">
            <v>2532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-55000</v>
          </cell>
          <cell r="DQ17">
            <v>-55000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55000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-44384</v>
          </cell>
          <cell r="EG17">
            <v>0</v>
          </cell>
          <cell r="EH17">
            <v>0</v>
          </cell>
          <cell r="EI17">
            <v>-44384</v>
          </cell>
          <cell r="EJ17">
            <v>-6184</v>
          </cell>
          <cell r="EK17">
            <v>0</v>
          </cell>
          <cell r="EL17">
            <v>0</v>
          </cell>
          <cell r="EM17">
            <v>-6184</v>
          </cell>
        </row>
        <row r="18">
          <cell r="A18">
            <v>12</v>
          </cell>
          <cell r="B18" t="str">
            <v>E0932</v>
          </cell>
          <cell r="C18" t="str">
            <v>SD</v>
          </cell>
          <cell r="D18" t="str">
            <v>NW</v>
          </cell>
          <cell r="E18" t="str">
            <v>Barrow-in-Furness</v>
          </cell>
          <cell r="F18">
            <v>277524</v>
          </cell>
          <cell r="G18">
            <v>0</v>
          </cell>
          <cell r="H18">
            <v>0</v>
          </cell>
          <cell r="I18">
            <v>277524</v>
          </cell>
          <cell r="J18">
            <v>-51566</v>
          </cell>
          <cell r="K18">
            <v>0</v>
          </cell>
          <cell r="L18">
            <v>0</v>
          </cell>
          <cell r="M18">
            <v>-51566</v>
          </cell>
          <cell r="N18">
            <v>15764</v>
          </cell>
          <cell r="O18">
            <v>0</v>
          </cell>
          <cell r="P18">
            <v>0</v>
          </cell>
          <cell r="Q18">
            <v>15764</v>
          </cell>
          <cell r="R18">
            <v>102668</v>
          </cell>
          <cell r="S18">
            <v>0</v>
          </cell>
          <cell r="T18">
            <v>0</v>
          </cell>
          <cell r="U18">
            <v>102668</v>
          </cell>
          <cell r="V18">
            <v>1273843</v>
          </cell>
          <cell r="W18">
            <v>0</v>
          </cell>
          <cell r="X18">
            <v>0</v>
          </cell>
          <cell r="Y18">
            <v>1273843</v>
          </cell>
          <cell r="Z18">
            <v>73904</v>
          </cell>
          <cell r="AA18">
            <v>0</v>
          </cell>
          <cell r="AB18">
            <v>0</v>
          </cell>
          <cell r="AC18">
            <v>73904</v>
          </cell>
          <cell r="AD18">
            <v>456342</v>
          </cell>
          <cell r="AE18">
            <v>0</v>
          </cell>
          <cell r="AF18">
            <v>0</v>
          </cell>
          <cell r="AG18">
            <v>456342</v>
          </cell>
          <cell r="AH18">
            <v>10042</v>
          </cell>
          <cell r="AI18">
            <v>0</v>
          </cell>
          <cell r="AJ18">
            <v>0</v>
          </cell>
          <cell r="AK18">
            <v>10042</v>
          </cell>
          <cell r="AL18">
            <v>1259511</v>
          </cell>
          <cell r="AM18">
            <v>0</v>
          </cell>
          <cell r="AN18">
            <v>0</v>
          </cell>
          <cell r="AO18">
            <v>1259511</v>
          </cell>
          <cell r="AP18">
            <v>8085</v>
          </cell>
          <cell r="AQ18">
            <v>0</v>
          </cell>
          <cell r="AR18">
            <v>0</v>
          </cell>
          <cell r="AS18">
            <v>8085</v>
          </cell>
          <cell r="AT18">
            <v>88467</v>
          </cell>
          <cell r="AU18">
            <v>0</v>
          </cell>
          <cell r="AV18">
            <v>0</v>
          </cell>
          <cell r="AW18">
            <v>88467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199</v>
          </cell>
          <cell r="BC18">
            <v>0</v>
          </cell>
          <cell r="BD18">
            <v>0</v>
          </cell>
          <cell r="BE18">
            <v>199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13227</v>
          </cell>
          <cell r="BK18">
            <v>0</v>
          </cell>
          <cell r="BL18">
            <v>0</v>
          </cell>
          <cell r="BM18">
            <v>13227</v>
          </cell>
          <cell r="BN18">
            <v>27070</v>
          </cell>
          <cell r="BO18">
            <v>0</v>
          </cell>
          <cell r="BP18">
            <v>0</v>
          </cell>
          <cell r="BQ18">
            <v>27070</v>
          </cell>
          <cell r="BR18">
            <v>626891</v>
          </cell>
          <cell r="BS18">
            <v>0</v>
          </cell>
          <cell r="BT18">
            <v>0</v>
          </cell>
          <cell r="BU18">
            <v>626891</v>
          </cell>
          <cell r="BV18">
            <v>-61297</v>
          </cell>
          <cell r="BW18">
            <v>0</v>
          </cell>
          <cell r="BX18">
            <v>0</v>
          </cell>
          <cell r="BY18">
            <v>-61297</v>
          </cell>
          <cell r="BZ18">
            <v>30455</v>
          </cell>
          <cell r="CA18">
            <v>0</v>
          </cell>
          <cell r="CB18">
            <v>0</v>
          </cell>
          <cell r="CC18">
            <v>30455</v>
          </cell>
          <cell r="CD18">
            <v>-10</v>
          </cell>
          <cell r="CE18">
            <v>0</v>
          </cell>
          <cell r="CF18">
            <v>0</v>
          </cell>
          <cell r="CG18">
            <v>-10</v>
          </cell>
          <cell r="CH18">
            <v>69988</v>
          </cell>
          <cell r="CI18">
            <v>0</v>
          </cell>
          <cell r="CJ18">
            <v>0</v>
          </cell>
          <cell r="CK18">
            <v>69988</v>
          </cell>
          <cell r="CL18">
            <v>-1868</v>
          </cell>
          <cell r="CM18">
            <v>0</v>
          </cell>
          <cell r="CN18">
            <v>0</v>
          </cell>
          <cell r="CO18">
            <v>-1868</v>
          </cell>
          <cell r="CP18">
            <v>10493</v>
          </cell>
          <cell r="CQ18">
            <v>0</v>
          </cell>
          <cell r="CR18">
            <v>0</v>
          </cell>
          <cell r="CS18">
            <v>10493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199</v>
          </cell>
          <cell r="CY18">
            <v>0</v>
          </cell>
          <cell r="CZ18">
            <v>0</v>
          </cell>
          <cell r="DA18">
            <v>199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</row>
        <row r="19">
          <cell r="A19">
            <v>13</v>
          </cell>
          <cell r="B19" t="str">
            <v>E1531</v>
          </cell>
          <cell r="C19" t="str">
            <v>SD</v>
          </cell>
          <cell r="D19" t="str">
            <v>E</v>
          </cell>
          <cell r="E19" t="str">
            <v>Basildon</v>
          </cell>
          <cell r="F19">
            <v>98780</v>
          </cell>
          <cell r="G19">
            <v>0</v>
          </cell>
          <cell r="H19">
            <v>0</v>
          </cell>
          <cell r="I19">
            <v>98780</v>
          </cell>
          <cell r="J19">
            <v>-122648</v>
          </cell>
          <cell r="K19">
            <v>0</v>
          </cell>
          <cell r="L19">
            <v>0</v>
          </cell>
          <cell r="M19">
            <v>-122648</v>
          </cell>
          <cell r="N19">
            <v>340580</v>
          </cell>
          <cell r="O19">
            <v>0</v>
          </cell>
          <cell r="P19">
            <v>0</v>
          </cell>
          <cell r="Q19">
            <v>340580</v>
          </cell>
          <cell r="R19">
            <v>120219</v>
          </cell>
          <cell r="S19">
            <v>0</v>
          </cell>
          <cell r="T19">
            <v>0</v>
          </cell>
          <cell r="U19">
            <v>120219</v>
          </cell>
          <cell r="V19">
            <v>2222702</v>
          </cell>
          <cell r="W19">
            <v>0</v>
          </cell>
          <cell r="X19">
            <v>0</v>
          </cell>
          <cell r="Y19">
            <v>2222702</v>
          </cell>
          <cell r="Z19">
            <v>56662</v>
          </cell>
          <cell r="AA19">
            <v>0</v>
          </cell>
          <cell r="AB19">
            <v>0</v>
          </cell>
          <cell r="AC19">
            <v>56662</v>
          </cell>
          <cell r="AD19">
            <v>1525042</v>
          </cell>
          <cell r="AE19">
            <v>0</v>
          </cell>
          <cell r="AF19">
            <v>0</v>
          </cell>
          <cell r="AG19">
            <v>1525042</v>
          </cell>
          <cell r="AH19">
            <v>-22365</v>
          </cell>
          <cell r="AI19">
            <v>0</v>
          </cell>
          <cell r="AJ19">
            <v>0</v>
          </cell>
          <cell r="AK19">
            <v>-22365</v>
          </cell>
          <cell r="AL19">
            <v>3293429</v>
          </cell>
          <cell r="AM19">
            <v>0</v>
          </cell>
          <cell r="AN19">
            <v>0</v>
          </cell>
          <cell r="AO19">
            <v>3293429</v>
          </cell>
          <cell r="AP19">
            <v>-127423</v>
          </cell>
          <cell r="AQ19">
            <v>0</v>
          </cell>
          <cell r="AR19">
            <v>0</v>
          </cell>
          <cell r="AS19">
            <v>-127423</v>
          </cell>
          <cell r="AT19">
            <v>28825</v>
          </cell>
          <cell r="AU19">
            <v>0</v>
          </cell>
          <cell r="AV19">
            <v>0</v>
          </cell>
          <cell r="AW19">
            <v>28825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3321</v>
          </cell>
          <cell r="BC19">
            <v>0</v>
          </cell>
          <cell r="BD19">
            <v>0</v>
          </cell>
          <cell r="BE19">
            <v>3321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57642</v>
          </cell>
          <cell r="BK19">
            <v>0</v>
          </cell>
          <cell r="BL19">
            <v>0</v>
          </cell>
          <cell r="BM19">
            <v>57642</v>
          </cell>
          <cell r="BN19">
            <v>4825</v>
          </cell>
          <cell r="BO19">
            <v>0</v>
          </cell>
          <cell r="BP19">
            <v>0</v>
          </cell>
          <cell r="BQ19">
            <v>4825</v>
          </cell>
          <cell r="BR19">
            <v>2653572</v>
          </cell>
          <cell r="BS19">
            <v>0</v>
          </cell>
          <cell r="BT19">
            <v>0</v>
          </cell>
          <cell r="BU19">
            <v>2653572</v>
          </cell>
          <cell r="BV19">
            <v>-155139</v>
          </cell>
          <cell r="BW19">
            <v>0</v>
          </cell>
          <cell r="BX19">
            <v>0</v>
          </cell>
          <cell r="BY19">
            <v>-155139</v>
          </cell>
          <cell r="BZ19">
            <v>7443</v>
          </cell>
          <cell r="CA19">
            <v>0</v>
          </cell>
          <cell r="CB19">
            <v>0</v>
          </cell>
          <cell r="CC19">
            <v>7443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42789</v>
          </cell>
          <cell r="CI19">
            <v>0</v>
          </cell>
          <cell r="CJ19">
            <v>0</v>
          </cell>
          <cell r="CK19">
            <v>42789</v>
          </cell>
          <cell r="CL19">
            <v>4938</v>
          </cell>
          <cell r="CM19">
            <v>0</v>
          </cell>
          <cell r="CN19">
            <v>0</v>
          </cell>
          <cell r="CO19">
            <v>4938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</row>
        <row r="20">
          <cell r="A20">
            <v>14</v>
          </cell>
          <cell r="B20" t="str">
            <v>E1731</v>
          </cell>
          <cell r="C20" t="str">
            <v>SD</v>
          </cell>
          <cell r="D20" t="str">
            <v>SE</v>
          </cell>
          <cell r="E20" t="str">
            <v>Basingstoke &amp; Deane</v>
          </cell>
          <cell r="F20">
            <v>888334</v>
          </cell>
          <cell r="G20">
            <v>0</v>
          </cell>
          <cell r="H20">
            <v>0</v>
          </cell>
          <cell r="I20">
            <v>888334</v>
          </cell>
          <cell r="J20">
            <v>-109176.07</v>
          </cell>
          <cell r="K20">
            <v>0</v>
          </cell>
          <cell r="L20">
            <v>0</v>
          </cell>
          <cell r="M20">
            <v>-109176.07</v>
          </cell>
          <cell r="N20">
            <v>100335.02</v>
          </cell>
          <cell r="O20">
            <v>0</v>
          </cell>
          <cell r="P20">
            <v>0</v>
          </cell>
          <cell r="Q20">
            <v>100335.02</v>
          </cell>
          <cell r="R20">
            <v>446496.59</v>
          </cell>
          <cell r="S20">
            <v>0</v>
          </cell>
          <cell r="T20">
            <v>0</v>
          </cell>
          <cell r="U20">
            <v>446496.59</v>
          </cell>
          <cell r="V20">
            <v>1521704.75</v>
          </cell>
          <cell r="W20">
            <v>0</v>
          </cell>
          <cell r="X20">
            <v>0</v>
          </cell>
          <cell r="Y20">
            <v>1521704.75</v>
          </cell>
          <cell r="Z20">
            <v>53563.29</v>
          </cell>
          <cell r="AA20">
            <v>0</v>
          </cell>
          <cell r="AB20">
            <v>0</v>
          </cell>
          <cell r="AC20">
            <v>53563.29</v>
          </cell>
          <cell r="AD20">
            <v>1465079</v>
          </cell>
          <cell r="AE20">
            <v>0</v>
          </cell>
          <cell r="AF20">
            <v>0</v>
          </cell>
          <cell r="AG20">
            <v>1465079</v>
          </cell>
          <cell r="AH20">
            <v>45912</v>
          </cell>
          <cell r="AI20">
            <v>0</v>
          </cell>
          <cell r="AJ20">
            <v>0</v>
          </cell>
          <cell r="AK20">
            <v>45912</v>
          </cell>
          <cell r="AL20">
            <v>2752240.99</v>
          </cell>
          <cell r="AM20">
            <v>0</v>
          </cell>
          <cell r="AN20">
            <v>0</v>
          </cell>
          <cell r="AO20">
            <v>2752240.99</v>
          </cell>
          <cell r="AP20">
            <v>-41786</v>
          </cell>
          <cell r="AQ20">
            <v>0</v>
          </cell>
          <cell r="AR20">
            <v>0</v>
          </cell>
          <cell r="AS20">
            <v>-41786</v>
          </cell>
          <cell r="AT20">
            <v>10719.96</v>
          </cell>
          <cell r="AU20">
            <v>0</v>
          </cell>
          <cell r="AV20">
            <v>0</v>
          </cell>
          <cell r="AW20">
            <v>10719.96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35078.120000000003</v>
          </cell>
          <cell r="BC20">
            <v>0</v>
          </cell>
          <cell r="BD20">
            <v>0</v>
          </cell>
          <cell r="BE20">
            <v>35078.120000000003</v>
          </cell>
          <cell r="BF20">
            <v>-4417.55</v>
          </cell>
          <cell r="BG20">
            <v>0</v>
          </cell>
          <cell r="BH20">
            <v>0</v>
          </cell>
          <cell r="BI20">
            <v>-4417.55</v>
          </cell>
          <cell r="BJ20">
            <v>380381.68</v>
          </cell>
          <cell r="BK20">
            <v>0</v>
          </cell>
          <cell r="BL20">
            <v>0</v>
          </cell>
          <cell r="BM20">
            <v>380381.68</v>
          </cell>
          <cell r="BN20">
            <v>172901.49</v>
          </cell>
          <cell r="BO20">
            <v>0</v>
          </cell>
          <cell r="BP20">
            <v>0</v>
          </cell>
          <cell r="BQ20">
            <v>172901.49</v>
          </cell>
          <cell r="BR20">
            <v>4204186.7</v>
          </cell>
          <cell r="BS20">
            <v>0</v>
          </cell>
          <cell r="BT20">
            <v>0</v>
          </cell>
          <cell r="BU20">
            <v>4204186.7</v>
          </cell>
          <cell r="BV20">
            <v>105703.03999999999</v>
          </cell>
          <cell r="BW20">
            <v>0</v>
          </cell>
          <cell r="BX20">
            <v>0</v>
          </cell>
          <cell r="BY20">
            <v>105703.03999999999</v>
          </cell>
          <cell r="BZ20">
            <v>346598.23</v>
          </cell>
          <cell r="CA20">
            <v>0</v>
          </cell>
          <cell r="CB20">
            <v>0</v>
          </cell>
          <cell r="CC20">
            <v>346598.23</v>
          </cell>
          <cell r="CD20">
            <v>765.56</v>
          </cell>
          <cell r="CE20">
            <v>0</v>
          </cell>
          <cell r="CF20">
            <v>0</v>
          </cell>
          <cell r="CG20">
            <v>765.56</v>
          </cell>
          <cell r="CH20">
            <v>147471.42000000001</v>
          </cell>
          <cell r="CI20">
            <v>0</v>
          </cell>
          <cell r="CJ20">
            <v>0</v>
          </cell>
          <cell r="CK20">
            <v>147471.42000000001</v>
          </cell>
          <cell r="CL20">
            <v>8527.8799999999992</v>
          </cell>
          <cell r="CM20">
            <v>0</v>
          </cell>
          <cell r="CN20">
            <v>0</v>
          </cell>
          <cell r="CO20">
            <v>8527.8799999999992</v>
          </cell>
          <cell r="CP20">
            <v>2679.99</v>
          </cell>
          <cell r="CQ20">
            <v>0</v>
          </cell>
          <cell r="CR20">
            <v>0</v>
          </cell>
          <cell r="CS20">
            <v>2679.99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34619.83</v>
          </cell>
          <cell r="CY20">
            <v>0</v>
          </cell>
          <cell r="CZ20">
            <v>0</v>
          </cell>
          <cell r="DA20">
            <v>34619.83</v>
          </cell>
          <cell r="DB20">
            <v>-4746.6499999999996</v>
          </cell>
          <cell r="DC20">
            <v>0</v>
          </cell>
          <cell r="DD20">
            <v>0</v>
          </cell>
          <cell r="DE20">
            <v>-4746.6499999999996</v>
          </cell>
          <cell r="DF20">
            <v>51281</v>
          </cell>
          <cell r="DG20">
            <v>0</v>
          </cell>
          <cell r="DH20">
            <v>0</v>
          </cell>
          <cell r="DI20">
            <v>51281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7213</v>
          </cell>
          <cell r="EC20">
            <v>0</v>
          </cell>
          <cell r="ED20">
            <v>0</v>
          </cell>
          <cell r="EE20">
            <v>7213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</row>
        <row r="21">
          <cell r="A21">
            <v>15</v>
          </cell>
          <cell r="B21" t="str">
            <v>E3032</v>
          </cell>
          <cell r="C21" t="str">
            <v>SD</v>
          </cell>
          <cell r="D21" t="str">
            <v>EM</v>
          </cell>
          <cell r="E21" t="str">
            <v>Bassetlaw</v>
          </cell>
          <cell r="F21">
            <v>1811982</v>
          </cell>
          <cell r="G21">
            <v>0</v>
          </cell>
          <cell r="H21">
            <v>0</v>
          </cell>
          <cell r="I21">
            <v>1811982</v>
          </cell>
          <cell r="J21">
            <v>-29012</v>
          </cell>
          <cell r="K21">
            <v>0</v>
          </cell>
          <cell r="L21">
            <v>0</v>
          </cell>
          <cell r="M21">
            <v>-29012</v>
          </cell>
          <cell r="N21">
            <v>101191</v>
          </cell>
          <cell r="O21">
            <v>0</v>
          </cell>
          <cell r="P21">
            <v>0</v>
          </cell>
          <cell r="Q21">
            <v>101191</v>
          </cell>
          <cell r="R21">
            <v>73543</v>
          </cell>
          <cell r="S21">
            <v>0</v>
          </cell>
          <cell r="T21">
            <v>0</v>
          </cell>
          <cell r="U21">
            <v>73543</v>
          </cell>
          <cell r="V21">
            <v>2199455</v>
          </cell>
          <cell r="W21">
            <v>0</v>
          </cell>
          <cell r="X21">
            <v>0</v>
          </cell>
          <cell r="Y21">
            <v>2199455</v>
          </cell>
          <cell r="Z21">
            <v>38889</v>
          </cell>
          <cell r="AA21">
            <v>0</v>
          </cell>
          <cell r="AB21">
            <v>0</v>
          </cell>
          <cell r="AC21">
            <v>38889</v>
          </cell>
          <cell r="AD21">
            <v>880280</v>
          </cell>
          <cell r="AE21">
            <v>0</v>
          </cell>
          <cell r="AF21">
            <v>0</v>
          </cell>
          <cell r="AG21">
            <v>880280</v>
          </cell>
          <cell r="AH21">
            <v>513</v>
          </cell>
          <cell r="AI21">
            <v>0</v>
          </cell>
          <cell r="AJ21">
            <v>0</v>
          </cell>
          <cell r="AK21">
            <v>513</v>
          </cell>
          <cell r="AL21">
            <v>2933476</v>
          </cell>
          <cell r="AM21">
            <v>0</v>
          </cell>
          <cell r="AN21">
            <v>0</v>
          </cell>
          <cell r="AO21">
            <v>2933476</v>
          </cell>
          <cell r="AP21">
            <v>-20066</v>
          </cell>
          <cell r="AQ21">
            <v>0</v>
          </cell>
          <cell r="AR21">
            <v>0</v>
          </cell>
          <cell r="AS21">
            <v>-20066</v>
          </cell>
          <cell r="AT21">
            <v>10790</v>
          </cell>
          <cell r="AU21">
            <v>0</v>
          </cell>
          <cell r="AV21">
            <v>0</v>
          </cell>
          <cell r="AW21">
            <v>10790</v>
          </cell>
          <cell r="AX21">
            <v>4508</v>
          </cell>
          <cell r="AY21">
            <v>0</v>
          </cell>
          <cell r="AZ21">
            <v>0</v>
          </cell>
          <cell r="BA21">
            <v>4508</v>
          </cell>
          <cell r="BB21">
            <v>33708</v>
          </cell>
          <cell r="BC21">
            <v>0</v>
          </cell>
          <cell r="BD21">
            <v>0</v>
          </cell>
          <cell r="BE21">
            <v>33708</v>
          </cell>
          <cell r="BF21">
            <v>-852</v>
          </cell>
          <cell r="BG21">
            <v>0</v>
          </cell>
          <cell r="BH21">
            <v>0</v>
          </cell>
          <cell r="BI21">
            <v>-852</v>
          </cell>
          <cell r="BJ21">
            <v>1892785</v>
          </cell>
          <cell r="BK21">
            <v>0</v>
          </cell>
          <cell r="BL21">
            <v>0</v>
          </cell>
          <cell r="BM21">
            <v>1892785</v>
          </cell>
          <cell r="BN21">
            <v>128777</v>
          </cell>
          <cell r="BO21">
            <v>0</v>
          </cell>
          <cell r="BP21">
            <v>0</v>
          </cell>
          <cell r="BQ21">
            <v>128777</v>
          </cell>
          <cell r="BR21">
            <v>1199665</v>
          </cell>
          <cell r="BS21">
            <v>0</v>
          </cell>
          <cell r="BT21">
            <v>0</v>
          </cell>
          <cell r="BU21">
            <v>1199665</v>
          </cell>
          <cell r="BV21">
            <v>36009</v>
          </cell>
          <cell r="BW21">
            <v>0</v>
          </cell>
          <cell r="BX21">
            <v>0</v>
          </cell>
          <cell r="BY21">
            <v>36009</v>
          </cell>
          <cell r="BZ21">
            <v>111168</v>
          </cell>
          <cell r="CA21">
            <v>0</v>
          </cell>
          <cell r="CB21">
            <v>0</v>
          </cell>
          <cell r="CC21">
            <v>111168</v>
          </cell>
          <cell r="CD21">
            <v>3059</v>
          </cell>
          <cell r="CE21">
            <v>0</v>
          </cell>
          <cell r="CF21">
            <v>0</v>
          </cell>
          <cell r="CG21">
            <v>3059</v>
          </cell>
          <cell r="CH21">
            <v>106188</v>
          </cell>
          <cell r="CI21">
            <v>0</v>
          </cell>
          <cell r="CJ21">
            <v>0</v>
          </cell>
          <cell r="CK21">
            <v>106188</v>
          </cell>
          <cell r="CL21">
            <v>231</v>
          </cell>
          <cell r="CM21">
            <v>0</v>
          </cell>
          <cell r="CN21">
            <v>0</v>
          </cell>
          <cell r="CO21">
            <v>231</v>
          </cell>
          <cell r="CP21">
            <v>1729</v>
          </cell>
          <cell r="CQ21">
            <v>0</v>
          </cell>
          <cell r="CR21">
            <v>0</v>
          </cell>
          <cell r="CS21">
            <v>1729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33708</v>
          </cell>
          <cell r="CY21">
            <v>0</v>
          </cell>
          <cell r="CZ21">
            <v>0</v>
          </cell>
          <cell r="DA21">
            <v>33708</v>
          </cell>
          <cell r="DB21">
            <v>-852</v>
          </cell>
          <cell r="DC21">
            <v>0</v>
          </cell>
          <cell r="DD21">
            <v>0</v>
          </cell>
          <cell r="DE21">
            <v>-852</v>
          </cell>
          <cell r="DF21">
            <v>10557</v>
          </cell>
          <cell r="DG21">
            <v>0</v>
          </cell>
          <cell r="DH21">
            <v>0</v>
          </cell>
          <cell r="DI21">
            <v>10557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</row>
        <row r="22">
          <cell r="A22">
            <v>16</v>
          </cell>
          <cell r="B22" t="str">
            <v>E0101</v>
          </cell>
          <cell r="C22" t="str">
            <v>UA</v>
          </cell>
          <cell r="D22" t="str">
            <v>SW</v>
          </cell>
          <cell r="E22" t="str">
            <v>Bath &amp; North East Somerset</v>
          </cell>
          <cell r="F22">
            <v>286261</v>
          </cell>
          <cell r="G22">
            <v>0</v>
          </cell>
          <cell r="H22">
            <v>0</v>
          </cell>
          <cell r="I22">
            <v>286261</v>
          </cell>
          <cell r="J22">
            <v>-204372</v>
          </cell>
          <cell r="K22">
            <v>0</v>
          </cell>
          <cell r="L22">
            <v>0</v>
          </cell>
          <cell r="M22">
            <v>-204372</v>
          </cell>
          <cell r="N22">
            <v>11946</v>
          </cell>
          <cell r="O22">
            <v>0</v>
          </cell>
          <cell r="P22">
            <v>0</v>
          </cell>
          <cell r="Q22">
            <v>11946</v>
          </cell>
          <cell r="R22">
            <v>12658</v>
          </cell>
          <cell r="S22">
            <v>0</v>
          </cell>
          <cell r="T22">
            <v>0</v>
          </cell>
          <cell r="U22">
            <v>12658</v>
          </cell>
          <cell r="V22">
            <v>3512711</v>
          </cell>
          <cell r="W22">
            <v>0</v>
          </cell>
          <cell r="X22">
            <v>0</v>
          </cell>
          <cell r="Y22">
            <v>3512711</v>
          </cell>
          <cell r="Z22">
            <v>186681</v>
          </cell>
          <cell r="AA22">
            <v>0</v>
          </cell>
          <cell r="AB22">
            <v>0</v>
          </cell>
          <cell r="AC22">
            <v>186681</v>
          </cell>
          <cell r="AD22">
            <v>1282104</v>
          </cell>
          <cell r="AE22">
            <v>0</v>
          </cell>
          <cell r="AF22">
            <v>0</v>
          </cell>
          <cell r="AG22">
            <v>1282104</v>
          </cell>
          <cell r="AH22">
            <v>10902</v>
          </cell>
          <cell r="AI22">
            <v>0</v>
          </cell>
          <cell r="AJ22">
            <v>0</v>
          </cell>
          <cell r="AK22">
            <v>10902</v>
          </cell>
          <cell r="AL22">
            <v>6269986</v>
          </cell>
          <cell r="AM22">
            <v>0</v>
          </cell>
          <cell r="AN22">
            <v>0</v>
          </cell>
          <cell r="AO22">
            <v>6269986</v>
          </cell>
          <cell r="AP22">
            <v>19535</v>
          </cell>
          <cell r="AQ22">
            <v>0</v>
          </cell>
          <cell r="AR22">
            <v>0</v>
          </cell>
          <cell r="AS22">
            <v>19535</v>
          </cell>
          <cell r="AT22">
            <v>145997</v>
          </cell>
          <cell r="AU22">
            <v>0</v>
          </cell>
          <cell r="AV22">
            <v>0</v>
          </cell>
          <cell r="AW22">
            <v>145997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22968</v>
          </cell>
          <cell r="BC22">
            <v>0</v>
          </cell>
          <cell r="BD22">
            <v>0</v>
          </cell>
          <cell r="BE22">
            <v>22968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6724</v>
          </cell>
          <cell r="BK22">
            <v>0</v>
          </cell>
          <cell r="BL22">
            <v>0</v>
          </cell>
          <cell r="BM22">
            <v>6724</v>
          </cell>
          <cell r="BN22">
            <v>8303</v>
          </cell>
          <cell r="BO22">
            <v>0</v>
          </cell>
          <cell r="BP22">
            <v>0</v>
          </cell>
          <cell r="BQ22">
            <v>8303</v>
          </cell>
          <cell r="BR22">
            <v>3001115</v>
          </cell>
          <cell r="BS22">
            <v>0</v>
          </cell>
          <cell r="BT22">
            <v>0</v>
          </cell>
          <cell r="BU22">
            <v>3001115</v>
          </cell>
          <cell r="BV22">
            <v>29527</v>
          </cell>
          <cell r="BW22">
            <v>0</v>
          </cell>
          <cell r="BX22">
            <v>0</v>
          </cell>
          <cell r="BY22">
            <v>29527</v>
          </cell>
          <cell r="BZ22">
            <v>55783</v>
          </cell>
          <cell r="CA22">
            <v>0</v>
          </cell>
          <cell r="CB22">
            <v>0</v>
          </cell>
          <cell r="CC22">
            <v>55783</v>
          </cell>
          <cell r="CD22">
            <v>1144</v>
          </cell>
          <cell r="CE22">
            <v>0</v>
          </cell>
          <cell r="CF22">
            <v>0</v>
          </cell>
          <cell r="CG22">
            <v>1144</v>
          </cell>
          <cell r="CH22">
            <v>25343</v>
          </cell>
          <cell r="CI22">
            <v>0</v>
          </cell>
          <cell r="CJ22">
            <v>0</v>
          </cell>
          <cell r="CK22">
            <v>25343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19421</v>
          </cell>
          <cell r="CQ22">
            <v>0</v>
          </cell>
          <cell r="CR22">
            <v>0</v>
          </cell>
          <cell r="CS22">
            <v>19421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10069</v>
          </cell>
          <cell r="CY22">
            <v>0</v>
          </cell>
          <cell r="CZ22">
            <v>0</v>
          </cell>
          <cell r="DA22">
            <v>10069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35431</v>
          </cell>
          <cell r="DG22">
            <v>0</v>
          </cell>
          <cell r="DH22">
            <v>0</v>
          </cell>
          <cell r="DI22">
            <v>35431</v>
          </cell>
          <cell r="DJ22">
            <v>1278</v>
          </cell>
          <cell r="DK22">
            <v>0</v>
          </cell>
          <cell r="DL22">
            <v>0</v>
          </cell>
          <cell r="DM22">
            <v>1278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</row>
        <row r="23">
          <cell r="A23">
            <v>17</v>
          </cell>
          <cell r="B23" t="str">
            <v>E0202</v>
          </cell>
          <cell r="C23" t="str">
            <v>UA</v>
          </cell>
          <cell r="D23" t="str">
            <v>E</v>
          </cell>
          <cell r="E23" t="str">
            <v>Bedford UA</v>
          </cell>
          <cell r="F23">
            <v>895727</v>
          </cell>
          <cell r="G23">
            <v>0</v>
          </cell>
          <cell r="H23">
            <v>0</v>
          </cell>
          <cell r="I23">
            <v>895727</v>
          </cell>
          <cell r="J23">
            <v>-58241</v>
          </cell>
          <cell r="K23">
            <v>0</v>
          </cell>
          <cell r="L23">
            <v>0</v>
          </cell>
          <cell r="M23">
            <v>-58241</v>
          </cell>
          <cell r="N23">
            <v>155829</v>
          </cell>
          <cell r="O23">
            <v>0</v>
          </cell>
          <cell r="P23">
            <v>0</v>
          </cell>
          <cell r="Q23">
            <v>155829</v>
          </cell>
          <cell r="R23">
            <v>180636</v>
          </cell>
          <cell r="S23">
            <v>0</v>
          </cell>
          <cell r="T23">
            <v>0</v>
          </cell>
          <cell r="U23">
            <v>180636</v>
          </cell>
          <cell r="V23">
            <v>2845891</v>
          </cell>
          <cell r="W23">
            <v>0</v>
          </cell>
          <cell r="X23">
            <v>0</v>
          </cell>
          <cell r="Y23">
            <v>2845891</v>
          </cell>
          <cell r="Z23">
            <v>123065</v>
          </cell>
          <cell r="AA23">
            <v>0</v>
          </cell>
          <cell r="AB23">
            <v>0</v>
          </cell>
          <cell r="AC23">
            <v>123065</v>
          </cell>
          <cell r="AD23">
            <v>1283117</v>
          </cell>
          <cell r="AE23">
            <v>0</v>
          </cell>
          <cell r="AF23">
            <v>0</v>
          </cell>
          <cell r="AG23">
            <v>1283117</v>
          </cell>
          <cell r="AH23">
            <v>-10738</v>
          </cell>
          <cell r="AI23">
            <v>0</v>
          </cell>
          <cell r="AJ23">
            <v>0</v>
          </cell>
          <cell r="AK23">
            <v>-10738</v>
          </cell>
          <cell r="AL23">
            <v>4736187</v>
          </cell>
          <cell r="AM23">
            <v>0</v>
          </cell>
          <cell r="AN23">
            <v>0</v>
          </cell>
          <cell r="AO23">
            <v>4736187</v>
          </cell>
          <cell r="AP23">
            <v>63058</v>
          </cell>
          <cell r="AQ23">
            <v>0</v>
          </cell>
          <cell r="AR23">
            <v>0</v>
          </cell>
          <cell r="AS23">
            <v>63058</v>
          </cell>
          <cell r="AT23">
            <v>149993</v>
          </cell>
          <cell r="AU23">
            <v>0</v>
          </cell>
          <cell r="AV23">
            <v>0</v>
          </cell>
          <cell r="AW23">
            <v>149993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40465</v>
          </cell>
          <cell r="BC23">
            <v>0</v>
          </cell>
          <cell r="BD23">
            <v>0</v>
          </cell>
          <cell r="BE23">
            <v>40465</v>
          </cell>
          <cell r="BF23">
            <v>6472</v>
          </cell>
          <cell r="BG23">
            <v>0</v>
          </cell>
          <cell r="BH23">
            <v>0</v>
          </cell>
          <cell r="BI23">
            <v>6472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-2543</v>
          </cell>
          <cell r="BO23">
            <v>0</v>
          </cell>
          <cell r="BP23">
            <v>0</v>
          </cell>
          <cell r="BQ23">
            <v>-2543</v>
          </cell>
          <cell r="BR23">
            <v>2586501</v>
          </cell>
          <cell r="BS23">
            <v>0</v>
          </cell>
          <cell r="BT23">
            <v>0</v>
          </cell>
          <cell r="BU23">
            <v>2586501</v>
          </cell>
          <cell r="BV23">
            <v>-161861</v>
          </cell>
          <cell r="BW23">
            <v>0</v>
          </cell>
          <cell r="BX23">
            <v>0</v>
          </cell>
          <cell r="BY23">
            <v>-161861</v>
          </cell>
          <cell r="BZ23">
            <v>114291</v>
          </cell>
          <cell r="CA23">
            <v>0</v>
          </cell>
          <cell r="CB23">
            <v>0</v>
          </cell>
          <cell r="CC23">
            <v>114291</v>
          </cell>
          <cell r="CD23">
            <v>4165</v>
          </cell>
          <cell r="CE23">
            <v>0</v>
          </cell>
          <cell r="CF23">
            <v>0</v>
          </cell>
          <cell r="CG23">
            <v>4165</v>
          </cell>
          <cell r="CH23">
            <v>25697</v>
          </cell>
          <cell r="CI23">
            <v>0</v>
          </cell>
          <cell r="CJ23">
            <v>0</v>
          </cell>
          <cell r="CK23">
            <v>25697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1162</v>
          </cell>
          <cell r="CQ23">
            <v>0</v>
          </cell>
          <cell r="CR23">
            <v>0</v>
          </cell>
          <cell r="CS23">
            <v>1162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33059</v>
          </cell>
          <cell r="CY23">
            <v>0</v>
          </cell>
          <cell r="CZ23">
            <v>0</v>
          </cell>
          <cell r="DA23">
            <v>33059</v>
          </cell>
          <cell r="DB23">
            <v>3242.4</v>
          </cell>
          <cell r="DC23">
            <v>0</v>
          </cell>
          <cell r="DD23">
            <v>0</v>
          </cell>
          <cell r="DE23">
            <v>3242.4</v>
          </cell>
          <cell r="DF23">
            <v>27188</v>
          </cell>
          <cell r="DG23">
            <v>0</v>
          </cell>
          <cell r="DH23">
            <v>0</v>
          </cell>
          <cell r="DI23">
            <v>27188</v>
          </cell>
          <cell r="DJ23">
            <v>-50.3</v>
          </cell>
          <cell r="DK23">
            <v>0</v>
          </cell>
          <cell r="DL23">
            <v>0</v>
          </cell>
          <cell r="DM23">
            <v>-50.3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16485</v>
          </cell>
          <cell r="EG23">
            <v>0</v>
          </cell>
          <cell r="EH23">
            <v>0</v>
          </cell>
          <cell r="EI23">
            <v>16485</v>
          </cell>
          <cell r="EJ23">
            <v>2247</v>
          </cell>
          <cell r="EK23">
            <v>0</v>
          </cell>
          <cell r="EL23">
            <v>0</v>
          </cell>
          <cell r="EM23">
            <v>2247</v>
          </cell>
        </row>
        <row r="24">
          <cell r="A24">
            <v>18</v>
          </cell>
          <cell r="B24" t="str">
            <v>E5032</v>
          </cell>
          <cell r="C24" t="str">
            <v>OLB</v>
          </cell>
          <cell r="D24" t="str">
            <v>L</v>
          </cell>
          <cell r="E24" t="str">
            <v>Bexley</v>
          </cell>
          <cell r="F24">
            <v>129601</v>
          </cell>
          <cell r="G24">
            <v>0</v>
          </cell>
          <cell r="H24">
            <v>0</v>
          </cell>
          <cell r="I24">
            <v>129601</v>
          </cell>
          <cell r="J24">
            <v>-233517</v>
          </cell>
          <cell r="K24">
            <v>0</v>
          </cell>
          <cell r="L24">
            <v>0</v>
          </cell>
          <cell r="M24">
            <v>-233517</v>
          </cell>
          <cell r="N24">
            <v>139768</v>
          </cell>
          <cell r="O24">
            <v>0</v>
          </cell>
          <cell r="P24">
            <v>0</v>
          </cell>
          <cell r="Q24">
            <v>139768</v>
          </cell>
          <cell r="R24">
            <v>147883</v>
          </cell>
          <cell r="S24">
            <v>0</v>
          </cell>
          <cell r="T24">
            <v>0</v>
          </cell>
          <cell r="U24">
            <v>147883</v>
          </cell>
          <cell r="V24">
            <v>3780401</v>
          </cell>
          <cell r="W24">
            <v>0</v>
          </cell>
          <cell r="X24">
            <v>0</v>
          </cell>
          <cell r="Y24">
            <v>3780401</v>
          </cell>
          <cell r="Z24">
            <v>162267</v>
          </cell>
          <cell r="AA24">
            <v>0</v>
          </cell>
          <cell r="AB24">
            <v>0</v>
          </cell>
          <cell r="AC24">
            <v>162267</v>
          </cell>
          <cell r="AD24">
            <v>1302403</v>
          </cell>
          <cell r="AE24">
            <v>0</v>
          </cell>
          <cell r="AF24">
            <v>0</v>
          </cell>
          <cell r="AG24">
            <v>1302403</v>
          </cell>
          <cell r="AH24">
            <v>-26703</v>
          </cell>
          <cell r="AI24">
            <v>0</v>
          </cell>
          <cell r="AJ24">
            <v>0</v>
          </cell>
          <cell r="AK24">
            <v>-26703</v>
          </cell>
          <cell r="AL24">
            <v>5768444</v>
          </cell>
          <cell r="AM24">
            <v>0</v>
          </cell>
          <cell r="AN24">
            <v>0</v>
          </cell>
          <cell r="AO24">
            <v>5768444</v>
          </cell>
          <cell r="AP24">
            <v>31276</v>
          </cell>
          <cell r="AQ24">
            <v>0</v>
          </cell>
          <cell r="AR24">
            <v>0</v>
          </cell>
          <cell r="AS24">
            <v>31276</v>
          </cell>
          <cell r="AT24">
            <v>96310</v>
          </cell>
          <cell r="AU24">
            <v>0</v>
          </cell>
          <cell r="AV24">
            <v>0</v>
          </cell>
          <cell r="AW24">
            <v>96310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324798</v>
          </cell>
          <cell r="BK24">
            <v>0</v>
          </cell>
          <cell r="BL24">
            <v>0</v>
          </cell>
          <cell r="BM24">
            <v>324798</v>
          </cell>
          <cell r="BN24">
            <v>-74741</v>
          </cell>
          <cell r="BO24">
            <v>0</v>
          </cell>
          <cell r="BP24">
            <v>0</v>
          </cell>
          <cell r="BQ24">
            <v>-74741</v>
          </cell>
          <cell r="BR24">
            <v>2365396</v>
          </cell>
          <cell r="BS24">
            <v>0</v>
          </cell>
          <cell r="BT24">
            <v>0</v>
          </cell>
          <cell r="BU24">
            <v>2365396</v>
          </cell>
          <cell r="BV24">
            <v>-39564</v>
          </cell>
          <cell r="BW24">
            <v>0</v>
          </cell>
          <cell r="BX24">
            <v>0</v>
          </cell>
          <cell r="BY24">
            <v>-39564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</row>
        <row r="25">
          <cell r="A25">
            <v>19</v>
          </cell>
          <cell r="B25" t="str">
            <v>E4601</v>
          </cell>
          <cell r="C25" t="str">
            <v>Met</v>
          </cell>
          <cell r="D25" t="str">
            <v>WM</v>
          </cell>
          <cell r="E25" t="str">
            <v>Birmingham</v>
          </cell>
          <cell r="F25">
            <v>969053</v>
          </cell>
          <cell r="G25">
            <v>0</v>
          </cell>
          <cell r="H25">
            <v>8195</v>
          </cell>
          <cell r="I25">
            <v>977248</v>
          </cell>
          <cell r="J25">
            <v>577911</v>
          </cell>
          <cell r="K25">
            <v>0</v>
          </cell>
          <cell r="L25">
            <v>0</v>
          </cell>
          <cell r="M25">
            <v>577911</v>
          </cell>
          <cell r="N25">
            <v>1455316</v>
          </cell>
          <cell r="O25">
            <v>0</v>
          </cell>
          <cell r="P25">
            <v>7020</v>
          </cell>
          <cell r="Q25">
            <v>1462336</v>
          </cell>
          <cell r="R25">
            <v>547566</v>
          </cell>
          <cell r="S25">
            <v>0</v>
          </cell>
          <cell r="T25">
            <v>0</v>
          </cell>
          <cell r="U25">
            <v>547566</v>
          </cell>
          <cell r="V25">
            <v>19763743.800000001</v>
          </cell>
          <cell r="W25">
            <v>0</v>
          </cell>
          <cell r="X25">
            <v>184382.9</v>
          </cell>
          <cell r="Y25">
            <v>19948126.699999999</v>
          </cell>
          <cell r="Z25">
            <v>1322344.1499999999</v>
          </cell>
          <cell r="AA25">
            <v>0</v>
          </cell>
          <cell r="AB25">
            <v>0</v>
          </cell>
          <cell r="AC25">
            <v>1322344.1499999999</v>
          </cell>
          <cell r="AD25">
            <v>8286943</v>
          </cell>
          <cell r="AE25">
            <v>0</v>
          </cell>
          <cell r="AF25">
            <v>0</v>
          </cell>
          <cell r="AG25">
            <v>8286943</v>
          </cell>
          <cell r="AH25">
            <v>211872</v>
          </cell>
          <cell r="AI25">
            <v>0</v>
          </cell>
          <cell r="AJ25">
            <v>0</v>
          </cell>
          <cell r="AK25">
            <v>211872</v>
          </cell>
          <cell r="AL25">
            <v>25504659</v>
          </cell>
          <cell r="AM25">
            <v>0</v>
          </cell>
          <cell r="AN25">
            <v>353717</v>
          </cell>
          <cell r="AO25">
            <v>25858376</v>
          </cell>
          <cell r="AP25">
            <v>1242095</v>
          </cell>
          <cell r="AQ25">
            <v>0</v>
          </cell>
          <cell r="AR25">
            <v>0</v>
          </cell>
          <cell r="AS25">
            <v>1242095</v>
          </cell>
          <cell r="AT25">
            <v>129337</v>
          </cell>
          <cell r="AU25">
            <v>0</v>
          </cell>
          <cell r="AV25">
            <v>0</v>
          </cell>
          <cell r="AW25">
            <v>129337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306109</v>
          </cell>
          <cell r="BK25">
            <v>0</v>
          </cell>
          <cell r="BL25">
            <v>0</v>
          </cell>
          <cell r="BM25">
            <v>306109</v>
          </cell>
          <cell r="BN25">
            <v>227293</v>
          </cell>
          <cell r="BO25">
            <v>0</v>
          </cell>
          <cell r="BP25">
            <v>0</v>
          </cell>
          <cell r="BQ25">
            <v>227293</v>
          </cell>
          <cell r="BR25">
            <v>25906312</v>
          </cell>
          <cell r="BS25">
            <v>0</v>
          </cell>
          <cell r="BT25">
            <v>435643</v>
          </cell>
          <cell r="BU25">
            <v>26341955</v>
          </cell>
          <cell r="BV25">
            <v>1440840</v>
          </cell>
          <cell r="BW25">
            <v>0</v>
          </cell>
          <cell r="BX25">
            <v>0</v>
          </cell>
          <cell r="BY25">
            <v>1440840</v>
          </cell>
          <cell r="BZ25">
            <v>64786</v>
          </cell>
          <cell r="CA25">
            <v>0</v>
          </cell>
          <cell r="CB25">
            <v>0</v>
          </cell>
          <cell r="CC25">
            <v>64786</v>
          </cell>
          <cell r="CD25">
            <v>2763</v>
          </cell>
          <cell r="CE25">
            <v>0</v>
          </cell>
          <cell r="CF25">
            <v>0</v>
          </cell>
          <cell r="CG25">
            <v>2763</v>
          </cell>
          <cell r="CH25">
            <v>584263</v>
          </cell>
          <cell r="CI25">
            <v>0</v>
          </cell>
          <cell r="CJ25">
            <v>0</v>
          </cell>
          <cell r="CK25">
            <v>584263</v>
          </cell>
          <cell r="CL25">
            <v>67840</v>
          </cell>
          <cell r="CM25">
            <v>0</v>
          </cell>
          <cell r="CN25">
            <v>0</v>
          </cell>
          <cell r="CO25">
            <v>67840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252605</v>
          </cell>
          <cell r="DQ25">
            <v>252605</v>
          </cell>
          <cell r="DR25">
            <v>0</v>
          </cell>
          <cell r="DS25">
            <v>0</v>
          </cell>
          <cell r="DT25">
            <v>5951</v>
          </cell>
          <cell r="DU25">
            <v>5951</v>
          </cell>
          <cell r="DV25">
            <v>258556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7281</v>
          </cell>
          <cell r="EK25">
            <v>0</v>
          </cell>
          <cell r="EL25">
            <v>0</v>
          </cell>
          <cell r="EM25">
            <v>7281</v>
          </cell>
        </row>
        <row r="26">
          <cell r="A26">
            <v>20</v>
          </cell>
          <cell r="B26" t="str">
            <v>E2431</v>
          </cell>
          <cell r="C26" t="str">
            <v>SD</v>
          </cell>
          <cell r="D26" t="str">
            <v>EM</v>
          </cell>
          <cell r="E26" t="str">
            <v>Blaby</v>
          </cell>
          <cell r="F26">
            <v>23661.98</v>
          </cell>
          <cell r="G26">
            <v>0</v>
          </cell>
          <cell r="H26">
            <v>0</v>
          </cell>
          <cell r="I26">
            <v>23661.98</v>
          </cell>
          <cell r="J26">
            <v>128616.84</v>
          </cell>
          <cell r="K26">
            <v>0</v>
          </cell>
          <cell r="L26">
            <v>0</v>
          </cell>
          <cell r="M26">
            <v>128616.84</v>
          </cell>
          <cell r="N26">
            <v>36176.71</v>
          </cell>
          <cell r="O26">
            <v>0</v>
          </cell>
          <cell r="P26">
            <v>0</v>
          </cell>
          <cell r="Q26">
            <v>36176.71</v>
          </cell>
          <cell r="R26">
            <v>-11485.26</v>
          </cell>
          <cell r="S26">
            <v>0</v>
          </cell>
          <cell r="T26">
            <v>0</v>
          </cell>
          <cell r="U26">
            <v>-11485.26</v>
          </cell>
          <cell r="V26">
            <v>1102981.3799999999</v>
          </cell>
          <cell r="W26">
            <v>0</v>
          </cell>
          <cell r="X26">
            <v>0</v>
          </cell>
          <cell r="Y26">
            <v>1102981.3799999999</v>
          </cell>
          <cell r="Z26">
            <v>35900.51</v>
          </cell>
          <cell r="AA26">
            <v>0</v>
          </cell>
          <cell r="AB26">
            <v>0</v>
          </cell>
          <cell r="AC26">
            <v>35900.51</v>
          </cell>
          <cell r="AD26">
            <v>779955.06</v>
          </cell>
          <cell r="AE26">
            <v>0</v>
          </cell>
          <cell r="AF26">
            <v>0</v>
          </cell>
          <cell r="AG26">
            <v>779955.06</v>
          </cell>
          <cell r="AH26">
            <v>-5658.64</v>
          </cell>
          <cell r="AI26">
            <v>0</v>
          </cell>
          <cell r="AJ26">
            <v>0</v>
          </cell>
          <cell r="AK26">
            <v>-5658.64</v>
          </cell>
          <cell r="AL26">
            <v>819454.94</v>
          </cell>
          <cell r="AM26">
            <v>0</v>
          </cell>
          <cell r="AN26">
            <v>0</v>
          </cell>
          <cell r="AO26">
            <v>819454.94</v>
          </cell>
          <cell r="AP26">
            <v>-5166.57</v>
          </cell>
          <cell r="AQ26">
            <v>0</v>
          </cell>
          <cell r="AR26">
            <v>0</v>
          </cell>
          <cell r="AS26">
            <v>-5166.57</v>
          </cell>
          <cell r="AT26">
            <v>39337.800000000003</v>
          </cell>
          <cell r="AU26">
            <v>0</v>
          </cell>
          <cell r="AV26">
            <v>0</v>
          </cell>
          <cell r="AW26">
            <v>39337.800000000003</v>
          </cell>
          <cell r="AX26">
            <v>9314.49</v>
          </cell>
          <cell r="AY26">
            <v>0</v>
          </cell>
          <cell r="AZ26">
            <v>0</v>
          </cell>
          <cell r="BA26">
            <v>9314.49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254077.26</v>
          </cell>
          <cell r="BK26">
            <v>0</v>
          </cell>
          <cell r="BL26">
            <v>0</v>
          </cell>
          <cell r="BM26">
            <v>254077.26</v>
          </cell>
          <cell r="BN26">
            <v>150515.97</v>
          </cell>
          <cell r="BO26">
            <v>0</v>
          </cell>
          <cell r="BP26">
            <v>0</v>
          </cell>
          <cell r="BQ26">
            <v>150515.97</v>
          </cell>
          <cell r="BR26">
            <v>520843.69</v>
          </cell>
          <cell r="BS26">
            <v>0</v>
          </cell>
          <cell r="BT26">
            <v>0</v>
          </cell>
          <cell r="BU26">
            <v>520843.69</v>
          </cell>
          <cell r="BV26">
            <v>57833.49</v>
          </cell>
          <cell r="BW26">
            <v>0</v>
          </cell>
          <cell r="BX26">
            <v>0</v>
          </cell>
          <cell r="BY26">
            <v>57833.49</v>
          </cell>
          <cell r="BZ26">
            <v>48167.09</v>
          </cell>
          <cell r="CA26">
            <v>0</v>
          </cell>
          <cell r="CB26">
            <v>0</v>
          </cell>
          <cell r="CC26">
            <v>48167.09</v>
          </cell>
          <cell r="CD26">
            <v>32.74</v>
          </cell>
          <cell r="CE26">
            <v>0</v>
          </cell>
          <cell r="CF26">
            <v>0</v>
          </cell>
          <cell r="CG26">
            <v>32.74</v>
          </cell>
          <cell r="CH26">
            <v>3988.71</v>
          </cell>
          <cell r="CI26">
            <v>0</v>
          </cell>
          <cell r="CJ26">
            <v>0</v>
          </cell>
          <cell r="CK26">
            <v>3988.71</v>
          </cell>
          <cell r="CL26">
            <v>-4474.71</v>
          </cell>
          <cell r="CM26">
            <v>0</v>
          </cell>
          <cell r="CN26">
            <v>0</v>
          </cell>
          <cell r="CO26">
            <v>-4474.71</v>
          </cell>
          <cell r="CP26">
            <v>4562.09</v>
          </cell>
          <cell r="CQ26">
            <v>0</v>
          </cell>
          <cell r="CR26">
            <v>0</v>
          </cell>
          <cell r="CS26">
            <v>4562.09</v>
          </cell>
          <cell r="CT26">
            <v>877.78</v>
          </cell>
          <cell r="CU26">
            <v>0</v>
          </cell>
          <cell r="CV26">
            <v>0</v>
          </cell>
          <cell r="CW26">
            <v>877.78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</row>
        <row r="27">
          <cell r="A27">
            <v>21</v>
          </cell>
          <cell r="B27" t="str">
            <v>E2301</v>
          </cell>
          <cell r="C27" t="str">
            <v>UA</v>
          </cell>
          <cell r="D27" t="str">
            <v>NW</v>
          </cell>
          <cell r="E27" t="str">
            <v>Blackburn with Darwen UA</v>
          </cell>
          <cell r="F27">
            <v>207909</v>
          </cell>
          <cell r="G27">
            <v>0</v>
          </cell>
          <cell r="H27">
            <v>0</v>
          </cell>
          <cell r="I27">
            <v>207909</v>
          </cell>
          <cell r="J27">
            <v>-110204</v>
          </cell>
          <cell r="K27">
            <v>0</v>
          </cell>
          <cell r="L27">
            <v>0</v>
          </cell>
          <cell r="M27">
            <v>-110204</v>
          </cell>
          <cell r="N27">
            <v>7805</v>
          </cell>
          <cell r="O27">
            <v>0</v>
          </cell>
          <cell r="P27">
            <v>0</v>
          </cell>
          <cell r="Q27">
            <v>7805</v>
          </cell>
          <cell r="R27">
            <v>211538</v>
          </cell>
          <cell r="S27">
            <v>0</v>
          </cell>
          <cell r="T27">
            <v>0</v>
          </cell>
          <cell r="U27">
            <v>211538</v>
          </cell>
          <cell r="V27">
            <v>4599901</v>
          </cell>
          <cell r="W27">
            <v>0</v>
          </cell>
          <cell r="X27">
            <v>0</v>
          </cell>
          <cell r="Y27">
            <v>4599901</v>
          </cell>
          <cell r="Z27">
            <v>84695</v>
          </cell>
          <cell r="AA27">
            <v>0</v>
          </cell>
          <cell r="AB27">
            <v>0</v>
          </cell>
          <cell r="AC27">
            <v>84695</v>
          </cell>
          <cell r="AD27">
            <v>950775</v>
          </cell>
          <cell r="AE27">
            <v>0</v>
          </cell>
          <cell r="AF27">
            <v>0</v>
          </cell>
          <cell r="AG27">
            <v>950775</v>
          </cell>
          <cell r="AH27">
            <v>6716</v>
          </cell>
          <cell r="AI27">
            <v>0</v>
          </cell>
          <cell r="AJ27">
            <v>0</v>
          </cell>
          <cell r="AK27">
            <v>6716</v>
          </cell>
          <cell r="AL27">
            <v>3282622</v>
          </cell>
          <cell r="AM27">
            <v>0</v>
          </cell>
          <cell r="AN27">
            <v>0</v>
          </cell>
          <cell r="AO27">
            <v>3282622</v>
          </cell>
          <cell r="AP27">
            <v>118492</v>
          </cell>
          <cell r="AQ27">
            <v>0</v>
          </cell>
          <cell r="AR27">
            <v>0</v>
          </cell>
          <cell r="AS27">
            <v>118492</v>
          </cell>
          <cell r="AT27">
            <v>75174</v>
          </cell>
          <cell r="AU27">
            <v>0</v>
          </cell>
          <cell r="AV27">
            <v>0</v>
          </cell>
          <cell r="AW27">
            <v>75174</v>
          </cell>
          <cell r="AX27">
            <v>900</v>
          </cell>
          <cell r="AY27">
            <v>0</v>
          </cell>
          <cell r="AZ27">
            <v>0</v>
          </cell>
          <cell r="BA27">
            <v>900</v>
          </cell>
          <cell r="BB27">
            <v>2673</v>
          </cell>
          <cell r="BC27">
            <v>0</v>
          </cell>
          <cell r="BD27">
            <v>0</v>
          </cell>
          <cell r="BE27">
            <v>2673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123680</v>
          </cell>
          <cell r="BK27">
            <v>0</v>
          </cell>
          <cell r="BL27">
            <v>0</v>
          </cell>
          <cell r="BM27">
            <v>123680</v>
          </cell>
          <cell r="BN27">
            <v>-66456</v>
          </cell>
          <cell r="BO27">
            <v>0</v>
          </cell>
          <cell r="BP27">
            <v>0</v>
          </cell>
          <cell r="BQ27">
            <v>-66456</v>
          </cell>
          <cell r="BR27">
            <v>2893675</v>
          </cell>
          <cell r="BS27">
            <v>0</v>
          </cell>
          <cell r="BT27">
            <v>0</v>
          </cell>
          <cell r="BU27">
            <v>2893675</v>
          </cell>
          <cell r="BV27">
            <v>-375354</v>
          </cell>
          <cell r="BW27">
            <v>0</v>
          </cell>
          <cell r="BX27">
            <v>0</v>
          </cell>
          <cell r="BY27">
            <v>-375354</v>
          </cell>
          <cell r="BZ27">
            <v>53128</v>
          </cell>
          <cell r="CA27">
            <v>0</v>
          </cell>
          <cell r="CB27">
            <v>0</v>
          </cell>
          <cell r="CC27">
            <v>53128</v>
          </cell>
          <cell r="CD27">
            <v>16708</v>
          </cell>
          <cell r="CE27">
            <v>0</v>
          </cell>
          <cell r="CF27">
            <v>0</v>
          </cell>
          <cell r="CG27">
            <v>16708</v>
          </cell>
          <cell r="CH27">
            <v>11556</v>
          </cell>
          <cell r="CI27">
            <v>0</v>
          </cell>
          <cell r="CJ27">
            <v>0</v>
          </cell>
          <cell r="CK27">
            <v>11556</v>
          </cell>
          <cell r="CL27">
            <v>129</v>
          </cell>
          <cell r="CM27">
            <v>0</v>
          </cell>
          <cell r="CN27">
            <v>0</v>
          </cell>
          <cell r="CO27">
            <v>129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1336</v>
          </cell>
          <cell r="CY27">
            <v>0</v>
          </cell>
          <cell r="CZ27">
            <v>0</v>
          </cell>
          <cell r="DA27">
            <v>1336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</row>
        <row r="28">
          <cell r="A28">
            <v>22</v>
          </cell>
          <cell r="B28" t="str">
            <v>E2302</v>
          </cell>
          <cell r="C28" t="str">
            <v>UA</v>
          </cell>
          <cell r="D28" t="str">
            <v>NW</v>
          </cell>
          <cell r="E28" t="str">
            <v>Blackpool UA</v>
          </cell>
          <cell r="F28">
            <v>363809</v>
          </cell>
          <cell r="G28">
            <v>0</v>
          </cell>
          <cell r="H28">
            <v>0</v>
          </cell>
          <cell r="I28">
            <v>363809</v>
          </cell>
          <cell r="J28">
            <v>-60216</v>
          </cell>
          <cell r="K28">
            <v>0</v>
          </cell>
          <cell r="L28">
            <v>0</v>
          </cell>
          <cell r="M28">
            <v>-60216</v>
          </cell>
          <cell r="N28">
            <v>51230</v>
          </cell>
          <cell r="O28">
            <v>0</v>
          </cell>
          <cell r="P28">
            <v>0</v>
          </cell>
          <cell r="Q28">
            <v>51230</v>
          </cell>
          <cell r="R28">
            <v>155288</v>
          </cell>
          <cell r="S28">
            <v>0</v>
          </cell>
          <cell r="T28">
            <v>0</v>
          </cell>
          <cell r="U28">
            <v>155288</v>
          </cell>
          <cell r="V28">
            <v>5794451</v>
          </cell>
          <cell r="W28">
            <v>0</v>
          </cell>
          <cell r="X28">
            <v>0</v>
          </cell>
          <cell r="Y28">
            <v>5794451</v>
          </cell>
          <cell r="Z28">
            <v>168468</v>
          </cell>
          <cell r="AA28">
            <v>0</v>
          </cell>
          <cell r="AB28">
            <v>0</v>
          </cell>
          <cell r="AC28">
            <v>168468</v>
          </cell>
          <cell r="AD28">
            <v>951996</v>
          </cell>
          <cell r="AE28">
            <v>0</v>
          </cell>
          <cell r="AF28">
            <v>0</v>
          </cell>
          <cell r="AG28">
            <v>951996</v>
          </cell>
          <cell r="AH28">
            <v>-3797</v>
          </cell>
          <cell r="AI28">
            <v>0</v>
          </cell>
          <cell r="AJ28">
            <v>0</v>
          </cell>
          <cell r="AK28">
            <v>-3797</v>
          </cell>
          <cell r="AL28">
            <v>2324013</v>
          </cell>
          <cell r="AM28">
            <v>0</v>
          </cell>
          <cell r="AN28">
            <v>0</v>
          </cell>
          <cell r="AO28">
            <v>2324013</v>
          </cell>
          <cell r="AP28">
            <v>-6183</v>
          </cell>
          <cell r="AQ28">
            <v>0</v>
          </cell>
          <cell r="AR28">
            <v>0</v>
          </cell>
          <cell r="AS28">
            <v>-6183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5964</v>
          </cell>
          <cell r="BK28">
            <v>0</v>
          </cell>
          <cell r="BL28">
            <v>0</v>
          </cell>
          <cell r="BM28">
            <v>5964</v>
          </cell>
          <cell r="BN28">
            <v>1176</v>
          </cell>
          <cell r="BO28">
            <v>0</v>
          </cell>
          <cell r="BP28">
            <v>0</v>
          </cell>
          <cell r="BQ28">
            <v>1176</v>
          </cell>
          <cell r="BR28">
            <v>2111215</v>
          </cell>
          <cell r="BS28">
            <v>0</v>
          </cell>
          <cell r="BT28">
            <v>0</v>
          </cell>
          <cell r="BU28">
            <v>2111215</v>
          </cell>
          <cell r="BV28">
            <v>-85202</v>
          </cell>
          <cell r="BW28">
            <v>0</v>
          </cell>
          <cell r="BX28">
            <v>0</v>
          </cell>
          <cell r="BY28">
            <v>-85202</v>
          </cell>
          <cell r="BZ28">
            <v>6189</v>
          </cell>
          <cell r="CA28">
            <v>0</v>
          </cell>
          <cell r="CB28">
            <v>0</v>
          </cell>
          <cell r="CC28">
            <v>6189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32676</v>
          </cell>
          <cell r="CI28">
            <v>0</v>
          </cell>
          <cell r="CJ28">
            <v>0</v>
          </cell>
          <cell r="CK28">
            <v>32676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</row>
        <row r="29">
          <cell r="A29">
            <v>23</v>
          </cell>
          <cell r="B29" t="str">
            <v>E1032</v>
          </cell>
          <cell r="C29" t="str">
            <v>SD</v>
          </cell>
          <cell r="D29" t="str">
            <v>EM</v>
          </cell>
          <cell r="E29" t="str">
            <v>Bolsover</v>
          </cell>
          <cell r="F29">
            <v>64213</v>
          </cell>
          <cell r="G29">
            <v>0</v>
          </cell>
          <cell r="H29">
            <v>0</v>
          </cell>
          <cell r="I29">
            <v>64213</v>
          </cell>
          <cell r="J29">
            <v>-90287</v>
          </cell>
          <cell r="K29">
            <v>0</v>
          </cell>
          <cell r="L29">
            <v>0</v>
          </cell>
          <cell r="M29">
            <v>-90287</v>
          </cell>
          <cell r="N29">
            <v>65634</v>
          </cell>
          <cell r="O29">
            <v>0</v>
          </cell>
          <cell r="P29">
            <v>0</v>
          </cell>
          <cell r="Q29">
            <v>65634</v>
          </cell>
          <cell r="R29">
            <v>-6367</v>
          </cell>
          <cell r="S29">
            <v>0</v>
          </cell>
          <cell r="T29">
            <v>0</v>
          </cell>
          <cell r="U29">
            <v>-6367</v>
          </cell>
          <cell r="V29">
            <v>1162151</v>
          </cell>
          <cell r="W29">
            <v>0</v>
          </cell>
          <cell r="X29">
            <v>0</v>
          </cell>
          <cell r="Y29">
            <v>1162151</v>
          </cell>
          <cell r="Z29">
            <v>28363</v>
          </cell>
          <cell r="AA29">
            <v>0</v>
          </cell>
          <cell r="AB29">
            <v>0</v>
          </cell>
          <cell r="AC29">
            <v>28363</v>
          </cell>
          <cell r="AD29">
            <v>403684</v>
          </cell>
          <cell r="AE29">
            <v>0</v>
          </cell>
          <cell r="AF29">
            <v>0</v>
          </cell>
          <cell r="AG29">
            <v>403684</v>
          </cell>
          <cell r="AH29">
            <v>-8916</v>
          </cell>
          <cell r="AI29">
            <v>0</v>
          </cell>
          <cell r="AJ29">
            <v>0</v>
          </cell>
          <cell r="AK29">
            <v>-8916</v>
          </cell>
          <cell r="AL29">
            <v>467111</v>
          </cell>
          <cell r="AM29">
            <v>0</v>
          </cell>
          <cell r="AN29">
            <v>0</v>
          </cell>
          <cell r="AO29">
            <v>467111</v>
          </cell>
          <cell r="AP29">
            <v>63585</v>
          </cell>
          <cell r="AQ29">
            <v>0</v>
          </cell>
          <cell r="AR29">
            <v>0</v>
          </cell>
          <cell r="AS29">
            <v>63585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13290</v>
          </cell>
          <cell r="BC29">
            <v>0</v>
          </cell>
          <cell r="BD29">
            <v>0</v>
          </cell>
          <cell r="BE29">
            <v>13290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419838</v>
          </cell>
          <cell r="BK29">
            <v>0</v>
          </cell>
          <cell r="BL29">
            <v>0</v>
          </cell>
          <cell r="BM29">
            <v>419838</v>
          </cell>
          <cell r="BN29">
            <v>37507</v>
          </cell>
          <cell r="BO29">
            <v>0</v>
          </cell>
          <cell r="BP29">
            <v>0</v>
          </cell>
          <cell r="BQ29">
            <v>37507</v>
          </cell>
          <cell r="BR29">
            <v>510755</v>
          </cell>
          <cell r="BS29">
            <v>0</v>
          </cell>
          <cell r="BT29">
            <v>0</v>
          </cell>
          <cell r="BU29">
            <v>510755</v>
          </cell>
          <cell r="BV29">
            <v>-75938</v>
          </cell>
          <cell r="BW29">
            <v>0</v>
          </cell>
          <cell r="BX29">
            <v>0</v>
          </cell>
          <cell r="BY29">
            <v>-75938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20</v>
          </cell>
          <cell r="CE29">
            <v>0</v>
          </cell>
          <cell r="CF29">
            <v>0</v>
          </cell>
          <cell r="CG29">
            <v>20</v>
          </cell>
          <cell r="CH29">
            <v>26549</v>
          </cell>
          <cell r="CI29">
            <v>0</v>
          </cell>
          <cell r="CJ29">
            <v>0</v>
          </cell>
          <cell r="CK29">
            <v>26549</v>
          </cell>
          <cell r="CL29">
            <v>-3153</v>
          </cell>
          <cell r="CM29">
            <v>0</v>
          </cell>
          <cell r="CN29">
            <v>0</v>
          </cell>
          <cell r="CO29">
            <v>-3153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</row>
        <row r="30">
          <cell r="A30">
            <v>24</v>
          </cell>
          <cell r="B30" t="str">
            <v>E4201</v>
          </cell>
          <cell r="C30" t="str">
            <v>Met</v>
          </cell>
          <cell r="D30" t="str">
            <v>NW</v>
          </cell>
          <cell r="E30" t="str">
            <v>Bolton</v>
          </cell>
          <cell r="F30">
            <v>457222</v>
          </cell>
          <cell r="G30">
            <v>0</v>
          </cell>
          <cell r="H30">
            <v>0</v>
          </cell>
          <cell r="I30">
            <v>457222</v>
          </cell>
          <cell r="J30">
            <v>-338867</v>
          </cell>
          <cell r="K30">
            <v>0</v>
          </cell>
          <cell r="L30">
            <v>0</v>
          </cell>
          <cell r="M30">
            <v>-338867</v>
          </cell>
          <cell r="N30">
            <v>96634</v>
          </cell>
          <cell r="O30">
            <v>0</v>
          </cell>
          <cell r="P30">
            <v>0</v>
          </cell>
          <cell r="Q30">
            <v>96634</v>
          </cell>
          <cell r="R30">
            <v>523729</v>
          </cell>
          <cell r="S30">
            <v>0</v>
          </cell>
          <cell r="T30">
            <v>0</v>
          </cell>
          <cell r="U30">
            <v>523729</v>
          </cell>
          <cell r="V30">
            <v>7038978</v>
          </cell>
          <cell r="W30">
            <v>0</v>
          </cell>
          <cell r="X30">
            <v>0</v>
          </cell>
          <cell r="Y30">
            <v>7038978</v>
          </cell>
          <cell r="Z30">
            <v>196676</v>
          </cell>
          <cell r="AA30">
            <v>0</v>
          </cell>
          <cell r="AB30">
            <v>0</v>
          </cell>
          <cell r="AC30">
            <v>196676</v>
          </cell>
          <cell r="AD30">
            <v>1768079</v>
          </cell>
          <cell r="AE30">
            <v>0</v>
          </cell>
          <cell r="AF30">
            <v>0</v>
          </cell>
          <cell r="AG30">
            <v>1768079</v>
          </cell>
          <cell r="AH30">
            <v>70187</v>
          </cell>
          <cell r="AI30">
            <v>0</v>
          </cell>
          <cell r="AJ30">
            <v>0</v>
          </cell>
          <cell r="AK30">
            <v>70187</v>
          </cell>
          <cell r="AL30">
            <v>5597850</v>
          </cell>
          <cell r="AM30">
            <v>0</v>
          </cell>
          <cell r="AN30">
            <v>0</v>
          </cell>
          <cell r="AO30">
            <v>5597850</v>
          </cell>
          <cell r="AP30">
            <v>-124740</v>
          </cell>
          <cell r="AQ30">
            <v>0</v>
          </cell>
          <cell r="AR30">
            <v>0</v>
          </cell>
          <cell r="AS30">
            <v>-124740</v>
          </cell>
          <cell r="AT30">
            <v>99909</v>
          </cell>
          <cell r="AU30">
            <v>0</v>
          </cell>
          <cell r="AV30">
            <v>0</v>
          </cell>
          <cell r="AW30">
            <v>99909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246402</v>
          </cell>
          <cell r="BK30">
            <v>0</v>
          </cell>
          <cell r="BL30">
            <v>0</v>
          </cell>
          <cell r="BM30">
            <v>246402</v>
          </cell>
          <cell r="BN30">
            <v>85515</v>
          </cell>
          <cell r="BO30">
            <v>0</v>
          </cell>
          <cell r="BP30">
            <v>0</v>
          </cell>
          <cell r="BQ30">
            <v>85515</v>
          </cell>
          <cell r="BR30">
            <v>5274560</v>
          </cell>
          <cell r="BS30">
            <v>0</v>
          </cell>
          <cell r="BT30">
            <v>0</v>
          </cell>
          <cell r="BU30">
            <v>5274560</v>
          </cell>
          <cell r="BV30">
            <v>-141490</v>
          </cell>
          <cell r="BW30">
            <v>0</v>
          </cell>
          <cell r="BX30">
            <v>0</v>
          </cell>
          <cell r="BY30">
            <v>-141490</v>
          </cell>
          <cell r="BZ30">
            <v>703100</v>
          </cell>
          <cell r="CA30">
            <v>0</v>
          </cell>
          <cell r="CB30">
            <v>0</v>
          </cell>
          <cell r="CC30">
            <v>703100</v>
          </cell>
          <cell r="CD30">
            <v>-27241</v>
          </cell>
          <cell r="CE30">
            <v>0</v>
          </cell>
          <cell r="CF30">
            <v>0</v>
          </cell>
          <cell r="CG30">
            <v>-27241</v>
          </cell>
          <cell r="CH30">
            <v>258183</v>
          </cell>
          <cell r="CI30">
            <v>0</v>
          </cell>
          <cell r="CJ30">
            <v>0</v>
          </cell>
          <cell r="CK30">
            <v>258183</v>
          </cell>
          <cell r="CL30">
            <v>-6601</v>
          </cell>
          <cell r="CM30">
            <v>0</v>
          </cell>
          <cell r="CN30">
            <v>0</v>
          </cell>
          <cell r="CO30">
            <v>-6601</v>
          </cell>
          <cell r="CP30">
            <v>4277</v>
          </cell>
          <cell r="CQ30">
            <v>0</v>
          </cell>
          <cell r="CR30">
            <v>0</v>
          </cell>
          <cell r="CS30">
            <v>4277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</row>
        <row r="31">
          <cell r="A31">
            <v>25</v>
          </cell>
          <cell r="B31" t="str">
            <v>E2531</v>
          </cell>
          <cell r="C31" t="str">
            <v>SD</v>
          </cell>
          <cell r="D31" t="str">
            <v>EM</v>
          </cell>
          <cell r="E31" t="str">
            <v>Boston</v>
          </cell>
          <cell r="F31">
            <v>14671</v>
          </cell>
          <cell r="G31">
            <v>0</v>
          </cell>
          <cell r="H31">
            <v>0</v>
          </cell>
          <cell r="I31">
            <v>14671</v>
          </cell>
          <cell r="J31">
            <v>-8509</v>
          </cell>
          <cell r="K31">
            <v>0</v>
          </cell>
          <cell r="L31">
            <v>0</v>
          </cell>
          <cell r="M31">
            <v>-8509</v>
          </cell>
          <cell r="N31">
            <v>2231</v>
          </cell>
          <cell r="O31">
            <v>0</v>
          </cell>
          <cell r="P31">
            <v>0</v>
          </cell>
          <cell r="Q31">
            <v>2231</v>
          </cell>
          <cell r="R31">
            <v>35963</v>
          </cell>
          <cell r="S31">
            <v>0</v>
          </cell>
          <cell r="T31">
            <v>0</v>
          </cell>
          <cell r="U31">
            <v>35963</v>
          </cell>
          <cell r="V31">
            <v>1296309</v>
          </cell>
          <cell r="W31">
            <v>0</v>
          </cell>
          <cell r="X31">
            <v>0</v>
          </cell>
          <cell r="Y31">
            <v>1296309</v>
          </cell>
          <cell r="Z31">
            <v>33273</v>
          </cell>
          <cell r="AA31">
            <v>0</v>
          </cell>
          <cell r="AB31">
            <v>0</v>
          </cell>
          <cell r="AC31">
            <v>33273</v>
          </cell>
          <cell r="AD31">
            <v>368483</v>
          </cell>
          <cell r="AE31">
            <v>0</v>
          </cell>
          <cell r="AF31">
            <v>0</v>
          </cell>
          <cell r="AG31">
            <v>368483</v>
          </cell>
          <cell r="AH31">
            <v>-7973</v>
          </cell>
          <cell r="AI31">
            <v>0</v>
          </cell>
          <cell r="AJ31">
            <v>0</v>
          </cell>
          <cell r="AK31">
            <v>-7973</v>
          </cell>
          <cell r="AL31">
            <v>1304697</v>
          </cell>
          <cell r="AM31">
            <v>0</v>
          </cell>
          <cell r="AN31">
            <v>0</v>
          </cell>
          <cell r="AO31">
            <v>1304697</v>
          </cell>
          <cell r="AP31">
            <v>-10907</v>
          </cell>
          <cell r="AQ31">
            <v>0</v>
          </cell>
          <cell r="AR31">
            <v>0</v>
          </cell>
          <cell r="AS31">
            <v>-10907</v>
          </cell>
          <cell r="AT31">
            <v>54730</v>
          </cell>
          <cell r="AU31">
            <v>0</v>
          </cell>
          <cell r="AV31">
            <v>0</v>
          </cell>
          <cell r="AW31">
            <v>54730</v>
          </cell>
          <cell r="AX31">
            <v>30586</v>
          </cell>
          <cell r="AY31">
            <v>0</v>
          </cell>
          <cell r="AZ31">
            <v>0</v>
          </cell>
          <cell r="BA31">
            <v>30586</v>
          </cell>
          <cell r="BB31">
            <v>22241</v>
          </cell>
          <cell r="BC31">
            <v>0</v>
          </cell>
          <cell r="BD31">
            <v>0</v>
          </cell>
          <cell r="BE31">
            <v>22241</v>
          </cell>
          <cell r="BF31">
            <v>-142</v>
          </cell>
          <cell r="BG31">
            <v>0</v>
          </cell>
          <cell r="BH31">
            <v>0</v>
          </cell>
          <cell r="BI31">
            <v>-142</v>
          </cell>
          <cell r="BJ31">
            <v>4603</v>
          </cell>
          <cell r="BK31">
            <v>0</v>
          </cell>
          <cell r="BL31">
            <v>0</v>
          </cell>
          <cell r="BM31">
            <v>4603</v>
          </cell>
          <cell r="BN31">
            <v>3504</v>
          </cell>
          <cell r="BO31">
            <v>0</v>
          </cell>
          <cell r="BP31">
            <v>0</v>
          </cell>
          <cell r="BQ31">
            <v>3504</v>
          </cell>
          <cell r="BR31">
            <v>930838</v>
          </cell>
          <cell r="BS31">
            <v>0</v>
          </cell>
          <cell r="BT31">
            <v>0</v>
          </cell>
          <cell r="BU31">
            <v>930838</v>
          </cell>
          <cell r="BV31">
            <v>56546</v>
          </cell>
          <cell r="BW31">
            <v>0</v>
          </cell>
          <cell r="BX31">
            <v>0</v>
          </cell>
          <cell r="BY31">
            <v>56546</v>
          </cell>
          <cell r="BZ31">
            <v>61639</v>
          </cell>
          <cell r="CA31">
            <v>0</v>
          </cell>
          <cell r="CB31">
            <v>0</v>
          </cell>
          <cell r="CC31">
            <v>61639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42009</v>
          </cell>
          <cell r="CI31">
            <v>0</v>
          </cell>
          <cell r="CJ31">
            <v>0</v>
          </cell>
          <cell r="CK31">
            <v>42009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10951</v>
          </cell>
          <cell r="CQ31">
            <v>0</v>
          </cell>
          <cell r="CR31">
            <v>0</v>
          </cell>
          <cell r="CS31">
            <v>10951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1280</v>
          </cell>
          <cell r="CY31">
            <v>0</v>
          </cell>
          <cell r="CZ31">
            <v>0</v>
          </cell>
          <cell r="DA31">
            <v>1280</v>
          </cell>
          <cell r="DB31">
            <v>-142</v>
          </cell>
          <cell r="DC31">
            <v>0</v>
          </cell>
          <cell r="DD31">
            <v>0</v>
          </cell>
          <cell r="DE31">
            <v>-142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68797</v>
          </cell>
          <cell r="EC31">
            <v>0</v>
          </cell>
          <cell r="ED31">
            <v>0</v>
          </cell>
          <cell r="EE31">
            <v>68797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</row>
        <row r="32">
          <cell r="A32">
            <v>26</v>
          </cell>
          <cell r="B32" t="str">
            <v>E1202</v>
          </cell>
          <cell r="C32" t="str">
            <v>UA</v>
          </cell>
          <cell r="D32" t="str">
            <v>SW</v>
          </cell>
          <cell r="E32" t="str">
            <v>Bournemouth UA</v>
          </cell>
          <cell r="F32">
            <v>131079</v>
          </cell>
          <cell r="G32">
            <v>0</v>
          </cell>
          <cell r="H32">
            <v>0</v>
          </cell>
          <cell r="I32">
            <v>131079</v>
          </cell>
          <cell r="J32">
            <v>-585421</v>
          </cell>
          <cell r="K32">
            <v>0</v>
          </cell>
          <cell r="L32">
            <v>0</v>
          </cell>
          <cell r="M32">
            <v>-585421</v>
          </cell>
          <cell r="N32">
            <v>211118</v>
          </cell>
          <cell r="O32">
            <v>0</v>
          </cell>
          <cell r="P32">
            <v>0</v>
          </cell>
          <cell r="Q32">
            <v>211118</v>
          </cell>
          <cell r="R32">
            <v>479859</v>
          </cell>
          <cell r="S32">
            <v>0</v>
          </cell>
          <cell r="T32">
            <v>0</v>
          </cell>
          <cell r="U32">
            <v>479859</v>
          </cell>
          <cell r="V32">
            <v>4284855</v>
          </cell>
          <cell r="W32">
            <v>0</v>
          </cell>
          <cell r="X32">
            <v>0</v>
          </cell>
          <cell r="Y32">
            <v>4284855</v>
          </cell>
          <cell r="Z32">
            <v>101598</v>
          </cell>
          <cell r="AA32">
            <v>0</v>
          </cell>
          <cell r="AB32">
            <v>0</v>
          </cell>
          <cell r="AC32">
            <v>101598</v>
          </cell>
          <cell r="AD32">
            <v>1272360</v>
          </cell>
          <cell r="AE32">
            <v>0</v>
          </cell>
          <cell r="AF32">
            <v>0</v>
          </cell>
          <cell r="AG32">
            <v>1272360</v>
          </cell>
          <cell r="AH32">
            <v>-62661</v>
          </cell>
          <cell r="AI32">
            <v>0</v>
          </cell>
          <cell r="AJ32">
            <v>0</v>
          </cell>
          <cell r="AK32">
            <v>-62661</v>
          </cell>
          <cell r="AL32">
            <v>4766906</v>
          </cell>
          <cell r="AM32">
            <v>0</v>
          </cell>
          <cell r="AN32">
            <v>0</v>
          </cell>
          <cell r="AO32">
            <v>4766906</v>
          </cell>
          <cell r="AP32">
            <v>-81532</v>
          </cell>
          <cell r="AQ32">
            <v>0</v>
          </cell>
          <cell r="AR32">
            <v>0</v>
          </cell>
          <cell r="AS32">
            <v>-81532</v>
          </cell>
          <cell r="AT32">
            <v>109272</v>
          </cell>
          <cell r="AU32">
            <v>0</v>
          </cell>
          <cell r="AV32">
            <v>0</v>
          </cell>
          <cell r="AW32">
            <v>109272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-899</v>
          </cell>
          <cell r="BO32">
            <v>0</v>
          </cell>
          <cell r="BP32">
            <v>0</v>
          </cell>
          <cell r="BQ32">
            <v>-899</v>
          </cell>
          <cell r="BR32">
            <v>2337109</v>
          </cell>
          <cell r="BS32">
            <v>0</v>
          </cell>
          <cell r="BT32">
            <v>0</v>
          </cell>
          <cell r="BU32">
            <v>2337109</v>
          </cell>
          <cell r="BV32">
            <v>-378576</v>
          </cell>
          <cell r="BW32">
            <v>0</v>
          </cell>
          <cell r="BX32">
            <v>0</v>
          </cell>
          <cell r="BY32">
            <v>-378576</v>
          </cell>
          <cell r="BZ32">
            <v>167199</v>
          </cell>
          <cell r="CA32">
            <v>0</v>
          </cell>
          <cell r="CB32">
            <v>0</v>
          </cell>
          <cell r="CC32">
            <v>167199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37682</v>
          </cell>
          <cell r="CI32">
            <v>0</v>
          </cell>
          <cell r="CJ32">
            <v>0</v>
          </cell>
          <cell r="CK32">
            <v>37682</v>
          </cell>
          <cell r="CL32">
            <v>2314</v>
          </cell>
          <cell r="CM32">
            <v>0</v>
          </cell>
          <cell r="CN32">
            <v>0</v>
          </cell>
          <cell r="CO32">
            <v>2314</v>
          </cell>
          <cell r="CP32">
            <v>16391</v>
          </cell>
          <cell r="CQ32">
            <v>0</v>
          </cell>
          <cell r="CR32">
            <v>0</v>
          </cell>
          <cell r="CS32">
            <v>16391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</row>
        <row r="33">
          <cell r="A33">
            <v>27</v>
          </cell>
          <cell r="B33" t="str">
            <v>E0301</v>
          </cell>
          <cell r="C33" t="str">
            <v>UA</v>
          </cell>
          <cell r="D33" t="str">
            <v>SE</v>
          </cell>
          <cell r="E33" t="str">
            <v>Bracknell Forest UA</v>
          </cell>
          <cell r="F33">
            <v>88077</v>
          </cell>
          <cell r="G33">
            <v>0</v>
          </cell>
          <cell r="H33">
            <v>0</v>
          </cell>
          <cell r="I33">
            <v>88077</v>
          </cell>
          <cell r="J33">
            <v>-48764</v>
          </cell>
          <cell r="K33">
            <v>0</v>
          </cell>
          <cell r="L33">
            <v>0</v>
          </cell>
          <cell r="M33">
            <v>-48764</v>
          </cell>
          <cell r="N33">
            <v>31670</v>
          </cell>
          <cell r="O33">
            <v>0</v>
          </cell>
          <cell r="P33">
            <v>0</v>
          </cell>
          <cell r="Q33">
            <v>31670</v>
          </cell>
          <cell r="R33">
            <v>879409</v>
          </cell>
          <cell r="S33">
            <v>0</v>
          </cell>
          <cell r="T33">
            <v>0</v>
          </cell>
          <cell r="U33">
            <v>879409</v>
          </cell>
          <cell r="V33">
            <v>769966</v>
          </cell>
          <cell r="W33">
            <v>0</v>
          </cell>
          <cell r="X33">
            <v>0</v>
          </cell>
          <cell r="Y33">
            <v>769966</v>
          </cell>
          <cell r="Z33">
            <v>77946</v>
          </cell>
          <cell r="AA33">
            <v>0</v>
          </cell>
          <cell r="AB33">
            <v>0</v>
          </cell>
          <cell r="AC33">
            <v>77946</v>
          </cell>
          <cell r="AD33">
            <v>1458022</v>
          </cell>
          <cell r="AE33">
            <v>0</v>
          </cell>
          <cell r="AF33">
            <v>0</v>
          </cell>
          <cell r="AG33">
            <v>1458022</v>
          </cell>
          <cell r="AH33">
            <v>-41679</v>
          </cell>
          <cell r="AI33">
            <v>0</v>
          </cell>
          <cell r="AJ33">
            <v>0</v>
          </cell>
          <cell r="AK33">
            <v>-41679</v>
          </cell>
          <cell r="AL33">
            <v>1834793</v>
          </cell>
          <cell r="AM33">
            <v>0</v>
          </cell>
          <cell r="AN33">
            <v>0</v>
          </cell>
          <cell r="AO33">
            <v>1834793</v>
          </cell>
          <cell r="AP33">
            <v>-35254</v>
          </cell>
          <cell r="AQ33">
            <v>0</v>
          </cell>
          <cell r="AR33">
            <v>0</v>
          </cell>
          <cell r="AS33">
            <v>-35254</v>
          </cell>
          <cell r="AT33">
            <v>3354</v>
          </cell>
          <cell r="AU33">
            <v>0</v>
          </cell>
          <cell r="AV33">
            <v>0</v>
          </cell>
          <cell r="AW33">
            <v>3354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75869</v>
          </cell>
          <cell r="BK33">
            <v>0</v>
          </cell>
          <cell r="BL33">
            <v>0</v>
          </cell>
          <cell r="BM33">
            <v>75869</v>
          </cell>
          <cell r="BN33">
            <v>-24966</v>
          </cell>
          <cell r="BO33">
            <v>0</v>
          </cell>
          <cell r="BP33">
            <v>0</v>
          </cell>
          <cell r="BQ33">
            <v>-24966</v>
          </cell>
          <cell r="BR33">
            <v>2591939</v>
          </cell>
          <cell r="BS33">
            <v>0</v>
          </cell>
          <cell r="BT33">
            <v>0</v>
          </cell>
          <cell r="BU33">
            <v>2591939</v>
          </cell>
          <cell r="BV33">
            <v>148235</v>
          </cell>
          <cell r="BW33">
            <v>0</v>
          </cell>
          <cell r="BX33">
            <v>0</v>
          </cell>
          <cell r="BY33">
            <v>148235</v>
          </cell>
          <cell r="BZ33">
            <v>71632</v>
          </cell>
          <cell r="CA33">
            <v>0</v>
          </cell>
          <cell r="CB33">
            <v>0</v>
          </cell>
          <cell r="CC33">
            <v>71632</v>
          </cell>
          <cell r="CD33">
            <v>1404</v>
          </cell>
          <cell r="CE33">
            <v>0</v>
          </cell>
          <cell r="CF33">
            <v>0</v>
          </cell>
          <cell r="CG33">
            <v>1404</v>
          </cell>
          <cell r="CH33">
            <v>49072</v>
          </cell>
          <cell r="CI33">
            <v>0</v>
          </cell>
          <cell r="CJ33">
            <v>0</v>
          </cell>
          <cell r="CK33">
            <v>49072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</row>
        <row r="34">
          <cell r="A34">
            <v>28</v>
          </cell>
          <cell r="B34" t="str">
            <v>E4701</v>
          </cell>
          <cell r="C34" t="str">
            <v>Met</v>
          </cell>
          <cell r="D34" t="str">
            <v>YH</v>
          </cell>
          <cell r="E34" t="str">
            <v>Bradford</v>
          </cell>
          <cell r="F34">
            <v>496430.88</v>
          </cell>
          <cell r="G34">
            <v>0</v>
          </cell>
          <cell r="H34">
            <v>0</v>
          </cell>
          <cell r="I34">
            <v>496430.88</v>
          </cell>
          <cell r="J34">
            <v>-661880.68000000005</v>
          </cell>
          <cell r="K34">
            <v>0</v>
          </cell>
          <cell r="L34">
            <v>0</v>
          </cell>
          <cell r="M34">
            <v>-661880.68000000005</v>
          </cell>
          <cell r="N34">
            <v>133413.42000000001</v>
          </cell>
          <cell r="O34">
            <v>0</v>
          </cell>
          <cell r="P34">
            <v>0</v>
          </cell>
          <cell r="Q34">
            <v>133413.42000000001</v>
          </cell>
          <cell r="R34">
            <v>710315.3</v>
          </cell>
          <cell r="S34">
            <v>0</v>
          </cell>
          <cell r="T34">
            <v>0</v>
          </cell>
          <cell r="U34">
            <v>710315.3</v>
          </cell>
          <cell r="V34">
            <v>13692295</v>
          </cell>
          <cell r="W34">
            <v>0</v>
          </cell>
          <cell r="X34">
            <v>0</v>
          </cell>
          <cell r="Y34">
            <v>13692295</v>
          </cell>
          <cell r="Z34">
            <v>417257.5</v>
          </cell>
          <cell r="AA34">
            <v>0</v>
          </cell>
          <cell r="AB34">
            <v>0</v>
          </cell>
          <cell r="AC34">
            <v>417257.5</v>
          </cell>
          <cell r="AD34">
            <v>2796219.19</v>
          </cell>
          <cell r="AE34">
            <v>0</v>
          </cell>
          <cell r="AF34">
            <v>0</v>
          </cell>
          <cell r="AG34">
            <v>2796219.19</v>
          </cell>
          <cell r="AH34">
            <v>-21441.040000000001</v>
          </cell>
          <cell r="AI34">
            <v>0</v>
          </cell>
          <cell r="AJ34">
            <v>0</v>
          </cell>
          <cell r="AK34">
            <v>-21441.040000000001</v>
          </cell>
          <cell r="AL34">
            <v>11205065.4</v>
          </cell>
          <cell r="AM34">
            <v>0</v>
          </cell>
          <cell r="AN34">
            <v>0</v>
          </cell>
          <cell r="AO34">
            <v>11205065.4</v>
          </cell>
          <cell r="AP34">
            <v>307750.27</v>
          </cell>
          <cell r="AQ34">
            <v>0</v>
          </cell>
          <cell r="AR34">
            <v>0</v>
          </cell>
          <cell r="AS34">
            <v>307750.27</v>
          </cell>
          <cell r="AT34">
            <v>131561.37</v>
          </cell>
          <cell r="AU34">
            <v>0</v>
          </cell>
          <cell r="AV34">
            <v>0</v>
          </cell>
          <cell r="AW34">
            <v>131561.37</v>
          </cell>
          <cell r="AX34">
            <v>-19930.849999999999</v>
          </cell>
          <cell r="AY34">
            <v>0</v>
          </cell>
          <cell r="AZ34">
            <v>0</v>
          </cell>
          <cell r="BA34">
            <v>-19930.849999999999</v>
          </cell>
          <cell r="BB34">
            <v>10300.1</v>
          </cell>
          <cell r="BC34">
            <v>0</v>
          </cell>
          <cell r="BD34">
            <v>0</v>
          </cell>
          <cell r="BE34">
            <v>10300.1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202070.66</v>
          </cell>
          <cell r="BK34">
            <v>0</v>
          </cell>
          <cell r="BL34">
            <v>0</v>
          </cell>
          <cell r="BM34">
            <v>202070.66</v>
          </cell>
          <cell r="BN34">
            <v>17974.68</v>
          </cell>
          <cell r="BO34">
            <v>0</v>
          </cell>
          <cell r="BP34">
            <v>0</v>
          </cell>
          <cell r="BQ34">
            <v>17974.68</v>
          </cell>
          <cell r="BR34">
            <v>8272116.7400000002</v>
          </cell>
          <cell r="BS34">
            <v>0</v>
          </cell>
          <cell r="BT34">
            <v>0</v>
          </cell>
          <cell r="BU34">
            <v>8272116.7400000002</v>
          </cell>
          <cell r="BV34">
            <v>-55239.09</v>
          </cell>
          <cell r="BW34">
            <v>0</v>
          </cell>
          <cell r="BX34">
            <v>0</v>
          </cell>
          <cell r="BY34">
            <v>-55239.09</v>
          </cell>
          <cell r="BZ34">
            <v>8425</v>
          </cell>
          <cell r="CA34">
            <v>0</v>
          </cell>
          <cell r="CB34">
            <v>0</v>
          </cell>
          <cell r="CC34">
            <v>8425</v>
          </cell>
          <cell r="CD34">
            <v>-4394.87</v>
          </cell>
          <cell r="CE34">
            <v>0</v>
          </cell>
          <cell r="CF34">
            <v>0</v>
          </cell>
          <cell r="CG34">
            <v>-4394.87</v>
          </cell>
          <cell r="CH34">
            <v>404534.59</v>
          </cell>
          <cell r="CI34">
            <v>0</v>
          </cell>
          <cell r="CJ34">
            <v>0</v>
          </cell>
          <cell r="CK34">
            <v>404534.59</v>
          </cell>
          <cell r="CL34">
            <v>-31241.75</v>
          </cell>
          <cell r="CM34">
            <v>0</v>
          </cell>
          <cell r="CN34">
            <v>0</v>
          </cell>
          <cell r="CO34">
            <v>-31241.75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7868.19</v>
          </cell>
          <cell r="CY34">
            <v>0</v>
          </cell>
          <cell r="CZ34">
            <v>0</v>
          </cell>
          <cell r="DA34">
            <v>7868.19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23645.15</v>
          </cell>
          <cell r="EG34">
            <v>0</v>
          </cell>
          <cell r="EH34">
            <v>0</v>
          </cell>
          <cell r="EI34">
            <v>23645.15</v>
          </cell>
          <cell r="EJ34">
            <v>52148.01</v>
          </cell>
          <cell r="EK34">
            <v>0</v>
          </cell>
          <cell r="EL34">
            <v>0</v>
          </cell>
          <cell r="EM34">
            <v>52148.01</v>
          </cell>
        </row>
        <row r="35">
          <cell r="A35">
            <v>29</v>
          </cell>
          <cell r="B35" t="str">
            <v>E1532</v>
          </cell>
          <cell r="C35" t="str">
            <v>SD</v>
          </cell>
          <cell r="D35" t="str">
            <v>E</v>
          </cell>
          <cell r="E35" t="str">
            <v>Braintree</v>
          </cell>
          <cell r="F35">
            <v>125020</v>
          </cell>
          <cell r="G35">
            <v>0</v>
          </cell>
          <cell r="H35">
            <v>0</v>
          </cell>
          <cell r="I35">
            <v>125020</v>
          </cell>
          <cell r="J35">
            <v>-78867</v>
          </cell>
          <cell r="K35">
            <v>0</v>
          </cell>
          <cell r="L35">
            <v>0</v>
          </cell>
          <cell r="M35">
            <v>-78867</v>
          </cell>
          <cell r="N35">
            <v>11612</v>
          </cell>
          <cell r="O35">
            <v>0</v>
          </cell>
          <cell r="P35">
            <v>0</v>
          </cell>
          <cell r="Q35">
            <v>11612</v>
          </cell>
          <cell r="R35">
            <v>31902</v>
          </cell>
          <cell r="S35">
            <v>0</v>
          </cell>
          <cell r="T35">
            <v>0</v>
          </cell>
          <cell r="U35">
            <v>31902</v>
          </cell>
          <cell r="V35">
            <v>2790475</v>
          </cell>
          <cell r="W35">
            <v>0</v>
          </cell>
          <cell r="X35">
            <v>0</v>
          </cell>
          <cell r="Y35">
            <v>2790475</v>
          </cell>
          <cell r="Z35">
            <v>97121</v>
          </cell>
          <cell r="AA35">
            <v>0</v>
          </cell>
          <cell r="AB35">
            <v>0</v>
          </cell>
          <cell r="AC35">
            <v>97121</v>
          </cell>
          <cell r="AD35">
            <v>762550</v>
          </cell>
          <cell r="AE35">
            <v>0</v>
          </cell>
          <cell r="AF35">
            <v>0</v>
          </cell>
          <cell r="AG35">
            <v>762550</v>
          </cell>
          <cell r="AH35">
            <v>-10370</v>
          </cell>
          <cell r="AI35">
            <v>0</v>
          </cell>
          <cell r="AJ35">
            <v>0</v>
          </cell>
          <cell r="AK35">
            <v>-10370</v>
          </cell>
          <cell r="AL35">
            <v>2522361</v>
          </cell>
          <cell r="AM35">
            <v>0</v>
          </cell>
          <cell r="AN35">
            <v>0</v>
          </cell>
          <cell r="AO35">
            <v>2522361</v>
          </cell>
          <cell r="AP35">
            <v>25137</v>
          </cell>
          <cell r="AQ35">
            <v>0</v>
          </cell>
          <cell r="AR35">
            <v>0</v>
          </cell>
          <cell r="AS35">
            <v>25137</v>
          </cell>
          <cell r="AT35">
            <v>99331</v>
          </cell>
          <cell r="AU35">
            <v>0</v>
          </cell>
          <cell r="AV35">
            <v>0</v>
          </cell>
          <cell r="AW35">
            <v>99331</v>
          </cell>
          <cell r="AX35">
            <v>10486</v>
          </cell>
          <cell r="AY35">
            <v>0</v>
          </cell>
          <cell r="AZ35">
            <v>0</v>
          </cell>
          <cell r="BA35">
            <v>10486</v>
          </cell>
          <cell r="BB35">
            <v>14173</v>
          </cell>
          <cell r="BC35">
            <v>0</v>
          </cell>
          <cell r="BD35">
            <v>0</v>
          </cell>
          <cell r="BE35">
            <v>14173</v>
          </cell>
          <cell r="BF35">
            <v>1962</v>
          </cell>
          <cell r="BG35">
            <v>0</v>
          </cell>
          <cell r="BH35">
            <v>0</v>
          </cell>
          <cell r="BI35">
            <v>1962</v>
          </cell>
          <cell r="BJ35">
            <v>2240</v>
          </cell>
          <cell r="BK35">
            <v>0</v>
          </cell>
          <cell r="BL35">
            <v>0</v>
          </cell>
          <cell r="BM35">
            <v>2240</v>
          </cell>
          <cell r="BN35">
            <v>40588</v>
          </cell>
          <cell r="BO35">
            <v>0</v>
          </cell>
          <cell r="BP35">
            <v>0</v>
          </cell>
          <cell r="BQ35">
            <v>40588</v>
          </cell>
          <cell r="BR35">
            <v>1484573</v>
          </cell>
          <cell r="BS35">
            <v>0</v>
          </cell>
          <cell r="BT35">
            <v>0</v>
          </cell>
          <cell r="BU35">
            <v>1484573</v>
          </cell>
          <cell r="BV35">
            <v>-461</v>
          </cell>
          <cell r="BW35">
            <v>0</v>
          </cell>
          <cell r="BX35">
            <v>0</v>
          </cell>
          <cell r="BY35">
            <v>-461</v>
          </cell>
          <cell r="BZ35">
            <v>72017</v>
          </cell>
          <cell r="CA35">
            <v>0</v>
          </cell>
          <cell r="CB35">
            <v>0</v>
          </cell>
          <cell r="CC35">
            <v>72017</v>
          </cell>
          <cell r="CD35">
            <v>-2592</v>
          </cell>
          <cell r="CE35">
            <v>0</v>
          </cell>
          <cell r="CF35">
            <v>0</v>
          </cell>
          <cell r="CG35">
            <v>-2592</v>
          </cell>
          <cell r="CH35">
            <v>162111</v>
          </cell>
          <cell r="CI35">
            <v>0</v>
          </cell>
          <cell r="CJ35">
            <v>0</v>
          </cell>
          <cell r="CK35">
            <v>162111</v>
          </cell>
          <cell r="CL35">
            <v>4851</v>
          </cell>
          <cell r="CM35">
            <v>0</v>
          </cell>
          <cell r="CN35">
            <v>0</v>
          </cell>
          <cell r="CO35">
            <v>4851</v>
          </cell>
          <cell r="CP35">
            <v>610</v>
          </cell>
          <cell r="CQ35">
            <v>0</v>
          </cell>
          <cell r="CR35">
            <v>0</v>
          </cell>
          <cell r="CS35">
            <v>610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3303</v>
          </cell>
          <cell r="CY35">
            <v>0</v>
          </cell>
          <cell r="CZ35">
            <v>0</v>
          </cell>
          <cell r="DA35">
            <v>3303</v>
          </cell>
          <cell r="DB35">
            <v>740</v>
          </cell>
          <cell r="DC35">
            <v>0</v>
          </cell>
          <cell r="DD35">
            <v>0</v>
          </cell>
          <cell r="DE35">
            <v>740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</row>
        <row r="36">
          <cell r="A36">
            <v>30</v>
          </cell>
          <cell r="B36" t="str">
            <v>E2631</v>
          </cell>
          <cell r="C36" t="str">
            <v>SD</v>
          </cell>
          <cell r="D36" t="str">
            <v>E</v>
          </cell>
          <cell r="E36" t="str">
            <v>Breckland</v>
          </cell>
          <cell r="F36">
            <v>416357</v>
          </cell>
          <cell r="G36">
            <v>0</v>
          </cell>
          <cell r="H36">
            <v>0</v>
          </cell>
          <cell r="I36">
            <v>416357</v>
          </cell>
          <cell r="J36">
            <v>-57417</v>
          </cell>
          <cell r="K36">
            <v>0</v>
          </cell>
          <cell r="L36">
            <v>0</v>
          </cell>
          <cell r="M36">
            <v>-57417</v>
          </cell>
          <cell r="N36">
            <v>60749.04</v>
          </cell>
          <cell r="O36">
            <v>0</v>
          </cell>
          <cell r="P36">
            <v>0</v>
          </cell>
          <cell r="Q36">
            <v>60749.04</v>
          </cell>
          <cell r="R36">
            <v>-24174.1</v>
          </cell>
          <cell r="S36">
            <v>0</v>
          </cell>
          <cell r="T36">
            <v>0</v>
          </cell>
          <cell r="U36">
            <v>-24174.1</v>
          </cell>
          <cell r="V36">
            <v>2696601.54</v>
          </cell>
          <cell r="W36">
            <v>0</v>
          </cell>
          <cell r="X36">
            <v>0</v>
          </cell>
          <cell r="Y36">
            <v>2696601.54</v>
          </cell>
          <cell r="Z36">
            <v>51831.62</v>
          </cell>
          <cell r="AA36">
            <v>0</v>
          </cell>
          <cell r="AB36">
            <v>0</v>
          </cell>
          <cell r="AC36">
            <v>51831.62</v>
          </cell>
          <cell r="AD36">
            <v>539067.68000000005</v>
          </cell>
          <cell r="AE36">
            <v>0</v>
          </cell>
          <cell r="AF36">
            <v>0</v>
          </cell>
          <cell r="AG36">
            <v>539067.68000000005</v>
          </cell>
          <cell r="AH36">
            <v>-4203.45</v>
          </cell>
          <cell r="AI36">
            <v>0</v>
          </cell>
          <cell r="AJ36">
            <v>0</v>
          </cell>
          <cell r="AK36">
            <v>-4203.45</v>
          </cell>
          <cell r="AL36">
            <v>1499720.86</v>
          </cell>
          <cell r="AM36">
            <v>0</v>
          </cell>
          <cell r="AN36">
            <v>0</v>
          </cell>
          <cell r="AO36">
            <v>1499720.86</v>
          </cell>
          <cell r="AP36">
            <v>52282.55</v>
          </cell>
          <cell r="AQ36">
            <v>0</v>
          </cell>
          <cell r="AR36">
            <v>0</v>
          </cell>
          <cell r="AS36">
            <v>52282.55</v>
          </cell>
          <cell r="AT36">
            <v>26632.61</v>
          </cell>
          <cell r="AU36">
            <v>0</v>
          </cell>
          <cell r="AV36">
            <v>0</v>
          </cell>
          <cell r="AW36">
            <v>26632.61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79222.97</v>
          </cell>
          <cell r="BC36">
            <v>0</v>
          </cell>
          <cell r="BD36">
            <v>0</v>
          </cell>
          <cell r="BE36">
            <v>79222.97</v>
          </cell>
          <cell r="BF36">
            <v>5796.33</v>
          </cell>
          <cell r="BG36">
            <v>0</v>
          </cell>
          <cell r="BH36">
            <v>0</v>
          </cell>
          <cell r="BI36">
            <v>5796.33</v>
          </cell>
          <cell r="BJ36">
            <v>66337.509999999995</v>
          </cell>
          <cell r="BK36">
            <v>0</v>
          </cell>
          <cell r="BL36">
            <v>0</v>
          </cell>
          <cell r="BM36">
            <v>66337.509999999995</v>
          </cell>
          <cell r="BN36">
            <v>3993.93</v>
          </cell>
          <cell r="BO36">
            <v>0</v>
          </cell>
          <cell r="BP36">
            <v>0</v>
          </cell>
          <cell r="BQ36">
            <v>3993.93</v>
          </cell>
          <cell r="BR36">
            <v>1132572.4099999999</v>
          </cell>
          <cell r="BS36">
            <v>0</v>
          </cell>
          <cell r="BT36">
            <v>0</v>
          </cell>
          <cell r="BU36">
            <v>1132572.4099999999</v>
          </cell>
          <cell r="BV36">
            <v>-4960.82</v>
          </cell>
          <cell r="BW36">
            <v>0</v>
          </cell>
          <cell r="BX36">
            <v>0</v>
          </cell>
          <cell r="BY36">
            <v>-4960.82</v>
          </cell>
          <cell r="BZ36">
            <v>61549.64</v>
          </cell>
          <cell r="CA36">
            <v>0</v>
          </cell>
          <cell r="CB36">
            <v>0</v>
          </cell>
          <cell r="CC36">
            <v>61549.64</v>
          </cell>
          <cell r="CD36">
            <v>-47.56</v>
          </cell>
          <cell r="CE36">
            <v>0</v>
          </cell>
          <cell r="CF36">
            <v>0</v>
          </cell>
          <cell r="CG36">
            <v>-47.56</v>
          </cell>
          <cell r="CH36">
            <v>6743.36</v>
          </cell>
          <cell r="CI36">
            <v>0</v>
          </cell>
          <cell r="CJ36">
            <v>0</v>
          </cell>
          <cell r="CK36">
            <v>6743.36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942.63</v>
          </cell>
          <cell r="CQ36">
            <v>0</v>
          </cell>
          <cell r="CR36">
            <v>0</v>
          </cell>
          <cell r="CS36">
            <v>942.63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10606.4</v>
          </cell>
          <cell r="CY36">
            <v>0</v>
          </cell>
          <cell r="CZ36">
            <v>0</v>
          </cell>
          <cell r="DA36">
            <v>10606.4</v>
          </cell>
          <cell r="DB36">
            <v>8.3699999999999992</v>
          </cell>
          <cell r="DC36">
            <v>0</v>
          </cell>
          <cell r="DD36">
            <v>0</v>
          </cell>
          <cell r="DE36">
            <v>8.3699999999999992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-0.02</v>
          </cell>
          <cell r="DK36">
            <v>0</v>
          </cell>
          <cell r="DL36">
            <v>0</v>
          </cell>
          <cell r="DM36">
            <v>-0.02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</row>
        <row r="37">
          <cell r="A37">
            <v>31</v>
          </cell>
          <cell r="B37" t="str">
            <v>E5033</v>
          </cell>
          <cell r="C37" t="str">
            <v>OLB</v>
          </cell>
          <cell r="D37" t="str">
            <v>L</v>
          </cell>
          <cell r="E37" t="str">
            <v>Brent</v>
          </cell>
          <cell r="F37">
            <v>425600</v>
          </cell>
          <cell r="G37">
            <v>0</v>
          </cell>
          <cell r="H37">
            <v>0</v>
          </cell>
          <cell r="I37">
            <v>425600</v>
          </cell>
          <cell r="J37">
            <v>-186897</v>
          </cell>
          <cell r="K37">
            <v>0</v>
          </cell>
          <cell r="L37">
            <v>0</v>
          </cell>
          <cell r="M37">
            <v>-186897</v>
          </cell>
          <cell r="N37">
            <v>147313</v>
          </cell>
          <cell r="O37">
            <v>0</v>
          </cell>
          <cell r="P37">
            <v>0</v>
          </cell>
          <cell r="Q37">
            <v>147313</v>
          </cell>
          <cell r="R37">
            <v>19344</v>
          </cell>
          <cell r="S37">
            <v>0</v>
          </cell>
          <cell r="T37">
            <v>0</v>
          </cell>
          <cell r="U37">
            <v>19344</v>
          </cell>
          <cell r="V37">
            <v>4003563</v>
          </cell>
          <cell r="W37">
            <v>0</v>
          </cell>
          <cell r="X37">
            <v>0</v>
          </cell>
          <cell r="Y37">
            <v>4003563</v>
          </cell>
          <cell r="Z37">
            <v>147245</v>
          </cell>
          <cell r="AA37">
            <v>0</v>
          </cell>
          <cell r="AB37">
            <v>0</v>
          </cell>
          <cell r="AC37">
            <v>147245</v>
          </cell>
          <cell r="AD37">
            <v>2001538</v>
          </cell>
          <cell r="AE37">
            <v>0</v>
          </cell>
          <cell r="AF37">
            <v>0</v>
          </cell>
          <cell r="AG37">
            <v>2001538</v>
          </cell>
          <cell r="AH37">
            <v>-52874</v>
          </cell>
          <cell r="AI37">
            <v>0</v>
          </cell>
          <cell r="AJ37">
            <v>0</v>
          </cell>
          <cell r="AK37">
            <v>-52874</v>
          </cell>
          <cell r="AL37">
            <v>6720418</v>
          </cell>
          <cell r="AM37">
            <v>0</v>
          </cell>
          <cell r="AN37">
            <v>0</v>
          </cell>
          <cell r="AO37">
            <v>6720418</v>
          </cell>
          <cell r="AP37">
            <v>-22383</v>
          </cell>
          <cell r="AQ37">
            <v>0</v>
          </cell>
          <cell r="AR37">
            <v>0</v>
          </cell>
          <cell r="AS37">
            <v>-22383</v>
          </cell>
          <cell r="AT37">
            <v>24360</v>
          </cell>
          <cell r="AU37">
            <v>0</v>
          </cell>
          <cell r="AV37">
            <v>0</v>
          </cell>
          <cell r="AW37">
            <v>24360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37392</v>
          </cell>
          <cell r="BK37">
            <v>0</v>
          </cell>
          <cell r="BL37">
            <v>0</v>
          </cell>
          <cell r="BM37">
            <v>37392</v>
          </cell>
          <cell r="BN37">
            <v>9246</v>
          </cell>
          <cell r="BO37">
            <v>0</v>
          </cell>
          <cell r="BP37">
            <v>0</v>
          </cell>
          <cell r="BQ37">
            <v>9246</v>
          </cell>
          <cell r="BR37">
            <v>5698972</v>
          </cell>
          <cell r="BS37">
            <v>0</v>
          </cell>
          <cell r="BT37">
            <v>0</v>
          </cell>
          <cell r="BU37">
            <v>5698972</v>
          </cell>
          <cell r="BV37">
            <v>-667544</v>
          </cell>
          <cell r="BW37">
            <v>0</v>
          </cell>
          <cell r="BX37">
            <v>0</v>
          </cell>
          <cell r="BY37">
            <v>-667544</v>
          </cell>
          <cell r="BZ37">
            <v>406073</v>
          </cell>
          <cell r="CA37">
            <v>0</v>
          </cell>
          <cell r="CB37">
            <v>0</v>
          </cell>
          <cell r="CC37">
            <v>406073</v>
          </cell>
          <cell r="CD37">
            <v>-989</v>
          </cell>
          <cell r="CE37">
            <v>0</v>
          </cell>
          <cell r="CF37">
            <v>0</v>
          </cell>
          <cell r="CG37">
            <v>-989</v>
          </cell>
          <cell r="CH37">
            <v>108566</v>
          </cell>
          <cell r="CI37">
            <v>0</v>
          </cell>
          <cell r="CJ37">
            <v>0</v>
          </cell>
          <cell r="CK37">
            <v>108566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2407</v>
          </cell>
          <cell r="CQ37">
            <v>0</v>
          </cell>
          <cell r="CR37">
            <v>0</v>
          </cell>
          <cell r="CS37">
            <v>2407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-26</v>
          </cell>
          <cell r="EK37">
            <v>0</v>
          </cell>
          <cell r="EL37">
            <v>0</v>
          </cell>
          <cell r="EM37">
            <v>-26</v>
          </cell>
        </row>
        <row r="38">
          <cell r="A38">
            <v>32</v>
          </cell>
          <cell r="B38" t="str">
            <v>E1533</v>
          </cell>
          <cell r="C38" t="str">
            <v>SD</v>
          </cell>
          <cell r="D38" t="str">
            <v>E</v>
          </cell>
          <cell r="E38" t="str">
            <v>Brentwood</v>
          </cell>
          <cell r="F38">
            <v>48694.01</v>
          </cell>
          <cell r="G38">
            <v>0</v>
          </cell>
          <cell r="H38">
            <v>0</v>
          </cell>
          <cell r="I38">
            <v>48694.01</v>
          </cell>
          <cell r="J38">
            <v>34899</v>
          </cell>
          <cell r="K38">
            <v>0</v>
          </cell>
          <cell r="L38">
            <v>0</v>
          </cell>
          <cell r="M38">
            <v>34899</v>
          </cell>
          <cell r="N38">
            <v>8043</v>
          </cell>
          <cell r="O38">
            <v>0</v>
          </cell>
          <cell r="P38">
            <v>0</v>
          </cell>
          <cell r="Q38">
            <v>8043</v>
          </cell>
          <cell r="R38">
            <v>184114</v>
          </cell>
          <cell r="S38">
            <v>0</v>
          </cell>
          <cell r="T38">
            <v>0</v>
          </cell>
          <cell r="U38">
            <v>184114</v>
          </cell>
          <cell r="V38">
            <v>1033559</v>
          </cell>
          <cell r="W38">
            <v>0</v>
          </cell>
          <cell r="X38">
            <v>0</v>
          </cell>
          <cell r="Y38">
            <v>1033559</v>
          </cell>
          <cell r="Z38">
            <v>84634</v>
          </cell>
          <cell r="AA38">
            <v>0</v>
          </cell>
          <cell r="AB38">
            <v>0</v>
          </cell>
          <cell r="AC38">
            <v>84634</v>
          </cell>
          <cell r="AD38">
            <v>590890</v>
          </cell>
          <cell r="AE38">
            <v>0</v>
          </cell>
          <cell r="AF38">
            <v>0</v>
          </cell>
          <cell r="AG38">
            <v>590890</v>
          </cell>
          <cell r="AH38">
            <v>6759</v>
          </cell>
          <cell r="AI38">
            <v>0</v>
          </cell>
          <cell r="AJ38">
            <v>0</v>
          </cell>
          <cell r="AK38">
            <v>6759</v>
          </cell>
          <cell r="AL38">
            <v>2114094</v>
          </cell>
          <cell r="AM38">
            <v>0</v>
          </cell>
          <cell r="AN38">
            <v>0</v>
          </cell>
          <cell r="AO38">
            <v>2114094</v>
          </cell>
          <cell r="AP38">
            <v>150939</v>
          </cell>
          <cell r="AQ38">
            <v>0</v>
          </cell>
          <cell r="AR38">
            <v>0</v>
          </cell>
          <cell r="AS38">
            <v>150939</v>
          </cell>
          <cell r="AT38">
            <v>41731</v>
          </cell>
          <cell r="AU38">
            <v>0</v>
          </cell>
          <cell r="AV38">
            <v>0</v>
          </cell>
          <cell r="AW38">
            <v>41731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4054</v>
          </cell>
          <cell r="BC38">
            <v>0</v>
          </cell>
          <cell r="BD38">
            <v>0</v>
          </cell>
          <cell r="BE38">
            <v>4054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35121</v>
          </cell>
          <cell r="BK38">
            <v>0</v>
          </cell>
          <cell r="BL38">
            <v>0</v>
          </cell>
          <cell r="BM38">
            <v>35121</v>
          </cell>
          <cell r="BN38">
            <v>7362</v>
          </cell>
          <cell r="BO38">
            <v>0</v>
          </cell>
          <cell r="BP38">
            <v>0</v>
          </cell>
          <cell r="BQ38">
            <v>7362</v>
          </cell>
          <cell r="BR38">
            <v>1465166</v>
          </cell>
          <cell r="BS38">
            <v>0</v>
          </cell>
          <cell r="BT38">
            <v>0</v>
          </cell>
          <cell r="BU38">
            <v>1465166</v>
          </cell>
          <cell r="BV38">
            <v>125185</v>
          </cell>
          <cell r="BW38">
            <v>0</v>
          </cell>
          <cell r="BX38">
            <v>0</v>
          </cell>
          <cell r="BY38">
            <v>125185</v>
          </cell>
          <cell r="BZ38">
            <v>120280</v>
          </cell>
          <cell r="CA38">
            <v>0</v>
          </cell>
          <cell r="CB38">
            <v>0</v>
          </cell>
          <cell r="CC38">
            <v>120280</v>
          </cell>
          <cell r="CD38">
            <v>1022</v>
          </cell>
          <cell r="CE38">
            <v>0</v>
          </cell>
          <cell r="CF38">
            <v>0</v>
          </cell>
          <cell r="CG38">
            <v>1022</v>
          </cell>
          <cell r="CH38">
            <v>50403</v>
          </cell>
          <cell r="CI38">
            <v>0</v>
          </cell>
          <cell r="CJ38">
            <v>0</v>
          </cell>
          <cell r="CK38">
            <v>50403</v>
          </cell>
          <cell r="CL38">
            <v>4149</v>
          </cell>
          <cell r="CM38">
            <v>0</v>
          </cell>
          <cell r="CN38">
            <v>0</v>
          </cell>
          <cell r="CO38">
            <v>4149</v>
          </cell>
          <cell r="CP38">
            <v>5216</v>
          </cell>
          <cell r="CQ38">
            <v>0</v>
          </cell>
          <cell r="CR38">
            <v>0</v>
          </cell>
          <cell r="CS38">
            <v>5216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5371</v>
          </cell>
          <cell r="CY38">
            <v>0</v>
          </cell>
          <cell r="CZ38">
            <v>0</v>
          </cell>
          <cell r="DA38">
            <v>5371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10389</v>
          </cell>
          <cell r="DG38">
            <v>0</v>
          </cell>
          <cell r="DH38">
            <v>0</v>
          </cell>
          <cell r="DI38">
            <v>10389</v>
          </cell>
          <cell r="DJ38">
            <v>246</v>
          </cell>
          <cell r="DK38">
            <v>0</v>
          </cell>
          <cell r="DL38">
            <v>0</v>
          </cell>
          <cell r="DM38">
            <v>246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</row>
        <row r="39">
          <cell r="A39">
            <v>33</v>
          </cell>
          <cell r="B39" t="str">
            <v>E1401</v>
          </cell>
          <cell r="C39" t="str">
            <v>UA</v>
          </cell>
          <cell r="D39" t="str">
            <v>SE</v>
          </cell>
          <cell r="E39" t="str">
            <v>Brighton and Hove</v>
          </cell>
          <cell r="F39">
            <v>267997</v>
          </cell>
          <cell r="G39">
            <v>0</v>
          </cell>
          <cell r="H39">
            <v>0</v>
          </cell>
          <cell r="I39">
            <v>267997</v>
          </cell>
          <cell r="J39">
            <v>-332791</v>
          </cell>
          <cell r="K39">
            <v>0</v>
          </cell>
          <cell r="L39">
            <v>0</v>
          </cell>
          <cell r="M39">
            <v>-332791</v>
          </cell>
          <cell r="N39">
            <v>103103</v>
          </cell>
          <cell r="O39">
            <v>0</v>
          </cell>
          <cell r="P39">
            <v>0</v>
          </cell>
          <cell r="Q39">
            <v>103103</v>
          </cell>
          <cell r="R39">
            <v>133137</v>
          </cell>
          <cell r="S39">
            <v>0</v>
          </cell>
          <cell r="T39">
            <v>0</v>
          </cell>
          <cell r="U39">
            <v>133137</v>
          </cell>
          <cell r="V39">
            <v>5779175</v>
          </cell>
          <cell r="W39">
            <v>0</v>
          </cell>
          <cell r="X39">
            <v>0</v>
          </cell>
          <cell r="Y39">
            <v>5779175</v>
          </cell>
          <cell r="Z39">
            <v>193772</v>
          </cell>
          <cell r="AA39">
            <v>0</v>
          </cell>
          <cell r="AB39">
            <v>0</v>
          </cell>
          <cell r="AC39">
            <v>193772</v>
          </cell>
          <cell r="AD39">
            <v>2038806</v>
          </cell>
          <cell r="AE39">
            <v>0</v>
          </cell>
          <cell r="AF39">
            <v>0</v>
          </cell>
          <cell r="AG39">
            <v>2038806</v>
          </cell>
          <cell r="AH39">
            <v>-19987</v>
          </cell>
          <cell r="AI39">
            <v>0</v>
          </cell>
          <cell r="AJ39">
            <v>0</v>
          </cell>
          <cell r="AK39">
            <v>-19987</v>
          </cell>
          <cell r="AL39">
            <v>7945253</v>
          </cell>
          <cell r="AM39">
            <v>0</v>
          </cell>
          <cell r="AN39">
            <v>0</v>
          </cell>
          <cell r="AO39">
            <v>7945253</v>
          </cell>
          <cell r="AP39">
            <v>358366</v>
          </cell>
          <cell r="AQ39">
            <v>0</v>
          </cell>
          <cell r="AR39">
            <v>0</v>
          </cell>
          <cell r="AS39">
            <v>358366</v>
          </cell>
          <cell r="AT39">
            <v>54588</v>
          </cell>
          <cell r="AU39">
            <v>0</v>
          </cell>
          <cell r="AV39">
            <v>0</v>
          </cell>
          <cell r="AW39">
            <v>54588</v>
          </cell>
          <cell r="AX39">
            <v>-54</v>
          </cell>
          <cell r="AY39">
            <v>0</v>
          </cell>
          <cell r="AZ39">
            <v>0</v>
          </cell>
          <cell r="BA39">
            <v>-54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27232</v>
          </cell>
          <cell r="BK39">
            <v>0</v>
          </cell>
          <cell r="BL39">
            <v>0</v>
          </cell>
          <cell r="BM39">
            <v>27232</v>
          </cell>
          <cell r="BN39">
            <v>6845</v>
          </cell>
          <cell r="BO39">
            <v>0</v>
          </cell>
          <cell r="BP39">
            <v>0</v>
          </cell>
          <cell r="BQ39">
            <v>6845</v>
          </cell>
          <cell r="BR39">
            <v>3706998</v>
          </cell>
          <cell r="BS39">
            <v>0</v>
          </cell>
          <cell r="BT39">
            <v>0</v>
          </cell>
          <cell r="BU39">
            <v>3706998</v>
          </cell>
          <cell r="BV39">
            <v>272341</v>
          </cell>
          <cell r="BW39">
            <v>0</v>
          </cell>
          <cell r="BX39">
            <v>0</v>
          </cell>
          <cell r="BY39">
            <v>272341</v>
          </cell>
          <cell r="BZ39">
            <v>89511</v>
          </cell>
          <cell r="CA39">
            <v>0</v>
          </cell>
          <cell r="CB39">
            <v>0</v>
          </cell>
          <cell r="CC39">
            <v>89511</v>
          </cell>
          <cell r="CD39">
            <v>-1112</v>
          </cell>
          <cell r="CE39">
            <v>0</v>
          </cell>
          <cell r="CF39">
            <v>0</v>
          </cell>
          <cell r="CG39">
            <v>-1112</v>
          </cell>
          <cell r="CH39">
            <v>64508</v>
          </cell>
          <cell r="CI39">
            <v>0</v>
          </cell>
          <cell r="CJ39">
            <v>0</v>
          </cell>
          <cell r="CK39">
            <v>64508</v>
          </cell>
          <cell r="CL39">
            <v>6019</v>
          </cell>
          <cell r="CM39">
            <v>0</v>
          </cell>
          <cell r="CN39">
            <v>0</v>
          </cell>
          <cell r="CO39">
            <v>6019</v>
          </cell>
          <cell r="CP39">
            <v>2265</v>
          </cell>
          <cell r="CQ39">
            <v>0</v>
          </cell>
          <cell r="CR39">
            <v>0</v>
          </cell>
          <cell r="CS39">
            <v>2265</v>
          </cell>
          <cell r="CT39">
            <v>-14</v>
          </cell>
          <cell r="CU39">
            <v>0</v>
          </cell>
          <cell r="CV39">
            <v>0</v>
          </cell>
          <cell r="CW39">
            <v>-14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51105</v>
          </cell>
          <cell r="DO39">
            <v>0</v>
          </cell>
          <cell r="DP39">
            <v>0</v>
          </cell>
          <cell r="DQ39">
            <v>51105</v>
          </cell>
          <cell r="DR39">
            <v>-2000</v>
          </cell>
          <cell r="DS39">
            <v>0</v>
          </cell>
          <cell r="DT39">
            <v>0</v>
          </cell>
          <cell r="DU39">
            <v>-2000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</row>
        <row r="40">
          <cell r="A40">
            <v>34</v>
          </cell>
          <cell r="B40" t="str">
            <v>E0102</v>
          </cell>
          <cell r="C40" t="str">
            <v>UA</v>
          </cell>
          <cell r="D40" t="str">
            <v>SW</v>
          </cell>
          <cell r="E40" t="str">
            <v>Bristol</v>
          </cell>
          <cell r="F40">
            <v>2836521</v>
          </cell>
          <cell r="G40">
            <v>0</v>
          </cell>
          <cell r="H40">
            <v>83504</v>
          </cell>
          <cell r="I40">
            <v>2920025</v>
          </cell>
          <cell r="J40">
            <v>-442799</v>
          </cell>
          <cell r="K40">
            <v>0</v>
          </cell>
          <cell r="L40">
            <v>0</v>
          </cell>
          <cell r="M40">
            <v>-442799</v>
          </cell>
          <cell r="N40">
            <v>89313</v>
          </cell>
          <cell r="O40">
            <v>0</v>
          </cell>
          <cell r="P40">
            <v>0</v>
          </cell>
          <cell r="Q40">
            <v>89313</v>
          </cell>
          <cell r="R40">
            <v>215168</v>
          </cell>
          <cell r="S40">
            <v>0</v>
          </cell>
          <cell r="T40">
            <v>0</v>
          </cell>
          <cell r="U40">
            <v>215168</v>
          </cell>
          <cell r="V40">
            <v>7694601</v>
          </cell>
          <cell r="W40">
            <v>0</v>
          </cell>
          <cell r="X40">
            <v>75096</v>
          </cell>
          <cell r="Y40">
            <v>7769697</v>
          </cell>
          <cell r="Z40">
            <v>363567</v>
          </cell>
          <cell r="AA40">
            <v>0</v>
          </cell>
          <cell r="AB40">
            <v>0</v>
          </cell>
          <cell r="AC40">
            <v>363567</v>
          </cell>
          <cell r="AD40">
            <v>4031045</v>
          </cell>
          <cell r="AE40">
            <v>0</v>
          </cell>
          <cell r="AF40">
            <v>207297</v>
          </cell>
          <cell r="AG40">
            <v>4238342</v>
          </cell>
          <cell r="AH40">
            <v>64654</v>
          </cell>
          <cell r="AI40">
            <v>0</v>
          </cell>
          <cell r="AJ40">
            <v>0</v>
          </cell>
          <cell r="AK40">
            <v>64654</v>
          </cell>
          <cell r="AL40">
            <v>15328041</v>
          </cell>
          <cell r="AM40">
            <v>0</v>
          </cell>
          <cell r="AN40">
            <v>28764</v>
          </cell>
          <cell r="AO40">
            <v>15356805</v>
          </cell>
          <cell r="AP40">
            <v>737635</v>
          </cell>
          <cell r="AQ40">
            <v>0</v>
          </cell>
          <cell r="AR40">
            <v>0</v>
          </cell>
          <cell r="AS40">
            <v>737635</v>
          </cell>
          <cell r="AT40">
            <v>143723</v>
          </cell>
          <cell r="AU40">
            <v>0</v>
          </cell>
          <cell r="AV40">
            <v>0</v>
          </cell>
          <cell r="AW40">
            <v>143723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444702</v>
          </cell>
          <cell r="BK40">
            <v>0</v>
          </cell>
          <cell r="BL40">
            <v>79467</v>
          </cell>
          <cell r="BM40">
            <v>524169</v>
          </cell>
          <cell r="BN40">
            <v>-34873</v>
          </cell>
          <cell r="BO40">
            <v>0</v>
          </cell>
          <cell r="BP40">
            <v>0</v>
          </cell>
          <cell r="BQ40">
            <v>-34873</v>
          </cell>
          <cell r="BR40">
            <v>12558052</v>
          </cell>
          <cell r="BS40">
            <v>0</v>
          </cell>
          <cell r="BT40">
            <v>297331</v>
          </cell>
          <cell r="BU40">
            <v>12855383</v>
          </cell>
          <cell r="BV40">
            <v>-404256</v>
          </cell>
          <cell r="BW40">
            <v>0</v>
          </cell>
          <cell r="BX40">
            <v>0</v>
          </cell>
          <cell r="BY40">
            <v>-404256</v>
          </cell>
          <cell r="BZ40">
            <v>307911</v>
          </cell>
          <cell r="CA40">
            <v>0</v>
          </cell>
          <cell r="CB40">
            <v>0</v>
          </cell>
          <cell r="CC40">
            <v>307911</v>
          </cell>
          <cell r="CD40">
            <v>-5962</v>
          </cell>
          <cell r="CE40">
            <v>0</v>
          </cell>
          <cell r="CF40">
            <v>0</v>
          </cell>
          <cell r="CG40">
            <v>-5962</v>
          </cell>
          <cell r="CH40">
            <v>447700</v>
          </cell>
          <cell r="CI40">
            <v>0</v>
          </cell>
          <cell r="CJ40">
            <v>15186</v>
          </cell>
          <cell r="CK40">
            <v>462886</v>
          </cell>
          <cell r="CL40">
            <v>-5755</v>
          </cell>
          <cell r="CM40">
            <v>0</v>
          </cell>
          <cell r="CN40">
            <v>0</v>
          </cell>
          <cell r="CO40">
            <v>-5755</v>
          </cell>
          <cell r="CP40">
            <v>5113</v>
          </cell>
          <cell r="CQ40">
            <v>0</v>
          </cell>
          <cell r="CR40">
            <v>0</v>
          </cell>
          <cell r="CS40">
            <v>5113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341768</v>
          </cell>
          <cell r="DQ40">
            <v>341768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341768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6811</v>
          </cell>
          <cell r="EK40">
            <v>0</v>
          </cell>
          <cell r="EL40">
            <v>0</v>
          </cell>
          <cell r="EM40">
            <v>6811</v>
          </cell>
        </row>
        <row r="41">
          <cell r="A41">
            <v>35</v>
          </cell>
          <cell r="B41" t="str">
            <v>E2632</v>
          </cell>
          <cell r="C41" t="str">
            <v>SD</v>
          </cell>
          <cell r="D41" t="str">
            <v>E</v>
          </cell>
          <cell r="E41" t="str">
            <v>Broadland</v>
          </cell>
          <cell r="F41">
            <v>98552</v>
          </cell>
          <cell r="G41">
            <v>0</v>
          </cell>
          <cell r="H41">
            <v>0</v>
          </cell>
          <cell r="I41">
            <v>98552</v>
          </cell>
          <cell r="J41">
            <v>-59187</v>
          </cell>
          <cell r="K41">
            <v>0</v>
          </cell>
          <cell r="L41">
            <v>0</v>
          </cell>
          <cell r="M41">
            <v>-59187</v>
          </cell>
          <cell r="N41">
            <v>119496</v>
          </cell>
          <cell r="O41">
            <v>0</v>
          </cell>
          <cell r="P41">
            <v>0</v>
          </cell>
          <cell r="Q41">
            <v>119496</v>
          </cell>
          <cell r="R41">
            <v>197153</v>
          </cell>
          <cell r="S41">
            <v>0</v>
          </cell>
          <cell r="T41">
            <v>0</v>
          </cell>
          <cell r="U41">
            <v>197153</v>
          </cell>
          <cell r="V41">
            <v>2363343</v>
          </cell>
          <cell r="W41">
            <v>0</v>
          </cell>
          <cell r="X41">
            <v>0</v>
          </cell>
          <cell r="Y41">
            <v>2363343</v>
          </cell>
          <cell r="Z41">
            <v>45211</v>
          </cell>
          <cell r="AA41">
            <v>0</v>
          </cell>
          <cell r="AB41">
            <v>0</v>
          </cell>
          <cell r="AC41">
            <v>45211</v>
          </cell>
          <cell r="AD41">
            <v>541974</v>
          </cell>
          <cell r="AE41">
            <v>0</v>
          </cell>
          <cell r="AF41">
            <v>0</v>
          </cell>
          <cell r="AG41">
            <v>541974</v>
          </cell>
          <cell r="AH41">
            <v>4043</v>
          </cell>
          <cell r="AI41">
            <v>0</v>
          </cell>
          <cell r="AJ41">
            <v>0</v>
          </cell>
          <cell r="AK41">
            <v>4043</v>
          </cell>
          <cell r="AL41">
            <v>1298930</v>
          </cell>
          <cell r="AM41">
            <v>0</v>
          </cell>
          <cell r="AN41">
            <v>0</v>
          </cell>
          <cell r="AO41">
            <v>1298930</v>
          </cell>
          <cell r="AP41">
            <v>14684</v>
          </cell>
          <cell r="AQ41">
            <v>0</v>
          </cell>
          <cell r="AR41">
            <v>0</v>
          </cell>
          <cell r="AS41">
            <v>14684</v>
          </cell>
          <cell r="AT41">
            <v>39036</v>
          </cell>
          <cell r="AU41">
            <v>0</v>
          </cell>
          <cell r="AV41">
            <v>0</v>
          </cell>
          <cell r="AW41">
            <v>39036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53315</v>
          </cell>
          <cell r="BC41">
            <v>0</v>
          </cell>
          <cell r="BD41">
            <v>0</v>
          </cell>
          <cell r="BE41">
            <v>53315</v>
          </cell>
          <cell r="BF41">
            <v>-101</v>
          </cell>
          <cell r="BG41">
            <v>0</v>
          </cell>
          <cell r="BH41">
            <v>0</v>
          </cell>
          <cell r="BI41">
            <v>-101</v>
          </cell>
          <cell r="BJ41">
            <v>3824</v>
          </cell>
          <cell r="BK41">
            <v>0</v>
          </cell>
          <cell r="BL41">
            <v>0</v>
          </cell>
          <cell r="BM41">
            <v>3824</v>
          </cell>
          <cell r="BN41">
            <v>13393</v>
          </cell>
          <cell r="BO41">
            <v>0</v>
          </cell>
          <cell r="BP41">
            <v>0</v>
          </cell>
          <cell r="BQ41">
            <v>13393</v>
          </cell>
          <cell r="BR41">
            <v>636239</v>
          </cell>
          <cell r="BS41">
            <v>0</v>
          </cell>
          <cell r="BT41">
            <v>0</v>
          </cell>
          <cell r="BU41">
            <v>636239</v>
          </cell>
          <cell r="BV41">
            <v>-19717</v>
          </cell>
          <cell r="BW41">
            <v>0</v>
          </cell>
          <cell r="BX41">
            <v>0</v>
          </cell>
          <cell r="BY41">
            <v>-19717</v>
          </cell>
          <cell r="BZ41">
            <v>13042</v>
          </cell>
          <cell r="CA41">
            <v>0</v>
          </cell>
          <cell r="CB41">
            <v>0</v>
          </cell>
          <cell r="CC41">
            <v>13042</v>
          </cell>
          <cell r="CD41">
            <v>3</v>
          </cell>
          <cell r="CE41">
            <v>0</v>
          </cell>
          <cell r="CF41">
            <v>0</v>
          </cell>
          <cell r="CG41">
            <v>3</v>
          </cell>
          <cell r="CH41">
            <v>53594</v>
          </cell>
          <cell r="CI41">
            <v>0</v>
          </cell>
          <cell r="CJ41">
            <v>0</v>
          </cell>
          <cell r="CK41">
            <v>53594</v>
          </cell>
          <cell r="CL41">
            <v>-1045</v>
          </cell>
          <cell r="CM41">
            <v>0</v>
          </cell>
          <cell r="CN41">
            <v>0</v>
          </cell>
          <cell r="CO41">
            <v>-1045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53315</v>
          </cell>
          <cell r="CY41">
            <v>0</v>
          </cell>
          <cell r="CZ41">
            <v>0</v>
          </cell>
          <cell r="DA41">
            <v>53315</v>
          </cell>
          <cell r="DB41">
            <v>-101</v>
          </cell>
          <cell r="DC41">
            <v>0</v>
          </cell>
          <cell r="DD41">
            <v>0</v>
          </cell>
          <cell r="DE41">
            <v>-101</v>
          </cell>
          <cell r="DF41">
            <v>9119</v>
          </cell>
          <cell r="DG41">
            <v>0</v>
          </cell>
          <cell r="DH41">
            <v>0</v>
          </cell>
          <cell r="DI41">
            <v>9119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317</v>
          </cell>
          <cell r="EK41">
            <v>0</v>
          </cell>
          <cell r="EL41">
            <v>0</v>
          </cell>
          <cell r="EM41">
            <v>317</v>
          </cell>
        </row>
        <row r="42">
          <cell r="A42">
            <v>36</v>
          </cell>
          <cell r="B42" t="str">
            <v>E5034</v>
          </cell>
          <cell r="C42" t="str">
            <v>OLB</v>
          </cell>
          <cell r="D42" t="str">
            <v>L</v>
          </cell>
          <cell r="E42" t="str">
            <v>Bromley</v>
          </cell>
          <cell r="F42">
            <v>104258.44</v>
          </cell>
          <cell r="G42">
            <v>0</v>
          </cell>
          <cell r="H42">
            <v>0</v>
          </cell>
          <cell r="I42">
            <v>104258.44</v>
          </cell>
          <cell r="J42">
            <v>-2230.6799999999998</v>
          </cell>
          <cell r="K42">
            <v>0</v>
          </cell>
          <cell r="L42">
            <v>0</v>
          </cell>
          <cell r="M42">
            <v>-2230.6799999999998</v>
          </cell>
          <cell r="N42">
            <v>270055.01</v>
          </cell>
          <cell r="O42">
            <v>0</v>
          </cell>
          <cell r="P42">
            <v>0</v>
          </cell>
          <cell r="Q42">
            <v>270055.01</v>
          </cell>
          <cell r="R42">
            <v>208017.04</v>
          </cell>
          <cell r="S42">
            <v>0</v>
          </cell>
          <cell r="T42">
            <v>0</v>
          </cell>
          <cell r="U42">
            <v>208017.04</v>
          </cell>
          <cell r="V42">
            <v>4230896.76</v>
          </cell>
          <cell r="W42">
            <v>0</v>
          </cell>
          <cell r="X42">
            <v>0</v>
          </cell>
          <cell r="Y42">
            <v>4230896.76</v>
          </cell>
          <cell r="Z42">
            <v>79857.740000000005</v>
          </cell>
          <cell r="AA42">
            <v>0</v>
          </cell>
          <cell r="AB42">
            <v>0</v>
          </cell>
          <cell r="AC42">
            <v>79857.740000000005</v>
          </cell>
          <cell r="AD42">
            <v>1562063.92</v>
          </cell>
          <cell r="AE42">
            <v>0</v>
          </cell>
          <cell r="AF42">
            <v>0</v>
          </cell>
          <cell r="AG42">
            <v>1562063.92</v>
          </cell>
          <cell r="AH42">
            <v>23735.06</v>
          </cell>
          <cell r="AI42">
            <v>0</v>
          </cell>
          <cell r="AJ42">
            <v>0</v>
          </cell>
          <cell r="AK42">
            <v>23735.06</v>
          </cell>
          <cell r="AL42">
            <v>7781310.4000000004</v>
          </cell>
          <cell r="AM42">
            <v>0</v>
          </cell>
          <cell r="AN42">
            <v>0</v>
          </cell>
          <cell r="AO42">
            <v>7781310.4000000004</v>
          </cell>
          <cell r="AP42">
            <v>85699.28</v>
          </cell>
          <cell r="AQ42">
            <v>0</v>
          </cell>
          <cell r="AR42">
            <v>0</v>
          </cell>
          <cell r="AS42">
            <v>85699.28</v>
          </cell>
          <cell r="AT42">
            <v>162223.70000000001</v>
          </cell>
          <cell r="AU42">
            <v>0</v>
          </cell>
          <cell r="AV42">
            <v>0</v>
          </cell>
          <cell r="AW42">
            <v>162223.70000000001</v>
          </cell>
          <cell r="AX42">
            <v>8363.1200000000008</v>
          </cell>
          <cell r="AY42">
            <v>0</v>
          </cell>
          <cell r="AZ42">
            <v>0</v>
          </cell>
          <cell r="BA42">
            <v>8363.1200000000008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8871.18</v>
          </cell>
          <cell r="BK42">
            <v>0</v>
          </cell>
          <cell r="BL42">
            <v>0</v>
          </cell>
          <cell r="BM42">
            <v>8871.18</v>
          </cell>
          <cell r="BN42">
            <v>-1157.4000000000001</v>
          </cell>
          <cell r="BO42">
            <v>0</v>
          </cell>
          <cell r="BP42">
            <v>0</v>
          </cell>
          <cell r="BQ42">
            <v>-1157.4000000000001</v>
          </cell>
          <cell r="BR42">
            <v>3350740.65</v>
          </cell>
          <cell r="BS42">
            <v>0</v>
          </cell>
          <cell r="BT42">
            <v>0</v>
          </cell>
          <cell r="BU42">
            <v>3350740.65</v>
          </cell>
          <cell r="BV42">
            <v>-393483.99</v>
          </cell>
          <cell r="BW42">
            <v>0</v>
          </cell>
          <cell r="BX42">
            <v>0</v>
          </cell>
          <cell r="BY42">
            <v>-393483.99</v>
          </cell>
          <cell r="BZ42">
            <v>208884.71</v>
          </cell>
          <cell r="CA42">
            <v>0</v>
          </cell>
          <cell r="CB42">
            <v>0</v>
          </cell>
          <cell r="CC42">
            <v>208884.71</v>
          </cell>
          <cell r="CD42">
            <v>-318.89</v>
          </cell>
          <cell r="CE42">
            <v>0</v>
          </cell>
          <cell r="CF42">
            <v>0</v>
          </cell>
          <cell r="CG42">
            <v>-318.89</v>
          </cell>
          <cell r="CH42">
            <v>193676.74</v>
          </cell>
          <cell r="CI42">
            <v>0</v>
          </cell>
          <cell r="CJ42">
            <v>0</v>
          </cell>
          <cell r="CK42">
            <v>193676.74</v>
          </cell>
          <cell r="CL42">
            <v>-6118.31</v>
          </cell>
          <cell r="CM42">
            <v>0</v>
          </cell>
          <cell r="CN42">
            <v>0</v>
          </cell>
          <cell r="CO42">
            <v>-6118.31</v>
          </cell>
          <cell r="CP42">
            <v>40555.919999999998</v>
          </cell>
          <cell r="CQ42">
            <v>0</v>
          </cell>
          <cell r="CR42">
            <v>0</v>
          </cell>
          <cell r="CS42">
            <v>40555.919999999998</v>
          </cell>
          <cell r="CT42">
            <v>2090.7800000000002</v>
          </cell>
          <cell r="CU42">
            <v>0</v>
          </cell>
          <cell r="CV42">
            <v>0</v>
          </cell>
          <cell r="CW42">
            <v>2090.7800000000002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</row>
        <row r="43">
          <cell r="A43">
            <v>37</v>
          </cell>
          <cell r="B43" t="str">
            <v>E1831</v>
          </cell>
          <cell r="C43" t="str">
            <v>SD</v>
          </cell>
          <cell r="D43" t="str">
            <v>WM</v>
          </cell>
          <cell r="E43" t="str">
            <v>Bromsgrove</v>
          </cell>
          <cell r="F43">
            <v>153560.32000000001</v>
          </cell>
          <cell r="G43">
            <v>0</v>
          </cell>
          <cell r="H43">
            <v>0</v>
          </cell>
          <cell r="I43">
            <v>153560.32000000001</v>
          </cell>
          <cell r="J43">
            <v>-37742.49</v>
          </cell>
          <cell r="K43">
            <v>0</v>
          </cell>
          <cell r="L43">
            <v>0</v>
          </cell>
          <cell r="M43">
            <v>-37742.49</v>
          </cell>
          <cell r="N43">
            <v>13498.93</v>
          </cell>
          <cell r="O43">
            <v>0</v>
          </cell>
          <cell r="P43">
            <v>0</v>
          </cell>
          <cell r="Q43">
            <v>13498.93</v>
          </cell>
          <cell r="R43">
            <v>321207.21999999997</v>
          </cell>
          <cell r="S43">
            <v>0</v>
          </cell>
          <cell r="T43">
            <v>0</v>
          </cell>
          <cell r="U43">
            <v>321207.21999999997</v>
          </cell>
          <cell r="V43">
            <v>1853565.74</v>
          </cell>
          <cell r="W43">
            <v>0</v>
          </cell>
          <cell r="X43">
            <v>0</v>
          </cell>
          <cell r="Y43">
            <v>1853565.74</v>
          </cell>
          <cell r="Z43">
            <v>124434.78</v>
          </cell>
          <cell r="AA43">
            <v>0</v>
          </cell>
          <cell r="AB43">
            <v>0</v>
          </cell>
          <cell r="AC43">
            <v>124434.78</v>
          </cell>
          <cell r="AD43">
            <v>498631.91</v>
          </cell>
          <cell r="AE43">
            <v>0</v>
          </cell>
          <cell r="AF43">
            <v>0</v>
          </cell>
          <cell r="AG43">
            <v>498631.91</v>
          </cell>
          <cell r="AH43">
            <v>17209.080000000002</v>
          </cell>
          <cell r="AI43">
            <v>0</v>
          </cell>
          <cell r="AJ43">
            <v>0</v>
          </cell>
          <cell r="AK43">
            <v>17209.080000000002</v>
          </cell>
          <cell r="AL43">
            <v>1831110.14</v>
          </cell>
          <cell r="AM43">
            <v>0</v>
          </cell>
          <cell r="AN43">
            <v>0</v>
          </cell>
          <cell r="AO43">
            <v>1831110.14</v>
          </cell>
          <cell r="AP43">
            <v>6895.53</v>
          </cell>
          <cell r="AQ43">
            <v>0</v>
          </cell>
          <cell r="AR43">
            <v>0</v>
          </cell>
          <cell r="AS43">
            <v>6895.53</v>
          </cell>
          <cell r="AT43">
            <v>15147.36</v>
          </cell>
          <cell r="AU43">
            <v>0</v>
          </cell>
          <cell r="AV43">
            <v>0</v>
          </cell>
          <cell r="AW43">
            <v>15147.36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2107.7199999999998</v>
          </cell>
          <cell r="BC43">
            <v>0</v>
          </cell>
          <cell r="BD43">
            <v>0</v>
          </cell>
          <cell r="BE43">
            <v>2107.7199999999998</v>
          </cell>
          <cell r="BF43">
            <v>-3327.75</v>
          </cell>
          <cell r="BG43">
            <v>0</v>
          </cell>
          <cell r="BH43">
            <v>0</v>
          </cell>
          <cell r="BI43">
            <v>-3327.75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-565.79</v>
          </cell>
          <cell r="BO43">
            <v>0</v>
          </cell>
          <cell r="BP43">
            <v>0</v>
          </cell>
          <cell r="BQ43">
            <v>-565.79</v>
          </cell>
          <cell r="BR43">
            <v>827738</v>
          </cell>
          <cell r="BS43">
            <v>0</v>
          </cell>
          <cell r="BT43">
            <v>0</v>
          </cell>
          <cell r="BU43">
            <v>827738</v>
          </cell>
          <cell r="BV43">
            <v>138656</v>
          </cell>
          <cell r="BW43">
            <v>0</v>
          </cell>
          <cell r="BX43">
            <v>0</v>
          </cell>
          <cell r="BY43">
            <v>138656</v>
          </cell>
          <cell r="BZ43">
            <v>122770.88</v>
          </cell>
          <cell r="CA43">
            <v>0</v>
          </cell>
          <cell r="CB43">
            <v>0</v>
          </cell>
          <cell r="CC43">
            <v>122770.88</v>
          </cell>
          <cell r="CD43">
            <v>86.39</v>
          </cell>
          <cell r="CE43">
            <v>0</v>
          </cell>
          <cell r="CF43">
            <v>0</v>
          </cell>
          <cell r="CG43">
            <v>86.39</v>
          </cell>
          <cell r="CH43">
            <v>131786.97</v>
          </cell>
          <cell r="CI43">
            <v>0</v>
          </cell>
          <cell r="CJ43">
            <v>0</v>
          </cell>
          <cell r="CK43">
            <v>131786.97</v>
          </cell>
          <cell r="CL43">
            <v>-237.27</v>
          </cell>
          <cell r="CM43">
            <v>0</v>
          </cell>
          <cell r="CN43">
            <v>0</v>
          </cell>
          <cell r="CO43">
            <v>-237.27</v>
          </cell>
          <cell r="CP43">
            <v>3424.17</v>
          </cell>
          <cell r="CQ43">
            <v>0</v>
          </cell>
          <cell r="CR43">
            <v>0</v>
          </cell>
          <cell r="CS43">
            <v>3424.17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1507.2</v>
          </cell>
          <cell r="CY43">
            <v>0</v>
          </cell>
          <cell r="CZ43">
            <v>0</v>
          </cell>
          <cell r="DA43">
            <v>1507.2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</row>
        <row r="44">
          <cell r="A44">
            <v>38</v>
          </cell>
          <cell r="B44" t="str">
            <v>E1931</v>
          </cell>
          <cell r="C44" t="str">
            <v>SD</v>
          </cell>
          <cell r="D44" t="str">
            <v>E</v>
          </cell>
          <cell r="E44" t="str">
            <v>Broxbourne</v>
          </cell>
          <cell r="F44">
            <v>1016277</v>
          </cell>
          <cell r="G44">
            <v>0</v>
          </cell>
          <cell r="H44">
            <v>0</v>
          </cell>
          <cell r="I44">
            <v>1016277</v>
          </cell>
          <cell r="J44">
            <v>29918</v>
          </cell>
          <cell r="K44">
            <v>0</v>
          </cell>
          <cell r="L44">
            <v>0</v>
          </cell>
          <cell r="M44">
            <v>29918</v>
          </cell>
          <cell r="N44">
            <v>68443</v>
          </cell>
          <cell r="O44">
            <v>0</v>
          </cell>
          <cell r="P44">
            <v>0</v>
          </cell>
          <cell r="Q44">
            <v>68443</v>
          </cell>
          <cell r="R44">
            <v>22277</v>
          </cell>
          <cell r="S44">
            <v>0</v>
          </cell>
          <cell r="T44">
            <v>0</v>
          </cell>
          <cell r="U44">
            <v>22277</v>
          </cell>
          <cell r="V44">
            <v>1274016</v>
          </cell>
          <cell r="W44">
            <v>0</v>
          </cell>
          <cell r="X44">
            <v>0</v>
          </cell>
          <cell r="Y44">
            <v>1274016</v>
          </cell>
          <cell r="Z44">
            <v>44273</v>
          </cell>
          <cell r="AA44">
            <v>0</v>
          </cell>
          <cell r="AB44">
            <v>0</v>
          </cell>
          <cell r="AC44">
            <v>44273</v>
          </cell>
          <cell r="AD44">
            <v>763006</v>
          </cell>
          <cell r="AE44">
            <v>0</v>
          </cell>
          <cell r="AF44">
            <v>0</v>
          </cell>
          <cell r="AG44">
            <v>763006</v>
          </cell>
          <cell r="AH44">
            <v>19083</v>
          </cell>
          <cell r="AI44">
            <v>0</v>
          </cell>
          <cell r="AJ44">
            <v>0</v>
          </cell>
          <cell r="AK44">
            <v>19083</v>
          </cell>
          <cell r="AL44">
            <v>1674359</v>
          </cell>
          <cell r="AM44">
            <v>0</v>
          </cell>
          <cell r="AN44">
            <v>0</v>
          </cell>
          <cell r="AO44">
            <v>1674359</v>
          </cell>
          <cell r="AP44">
            <v>-20443</v>
          </cell>
          <cell r="AQ44">
            <v>0</v>
          </cell>
          <cell r="AR44">
            <v>0</v>
          </cell>
          <cell r="AS44">
            <v>-20443</v>
          </cell>
          <cell r="AT44">
            <v>70518</v>
          </cell>
          <cell r="AU44">
            <v>0</v>
          </cell>
          <cell r="AV44">
            <v>0</v>
          </cell>
          <cell r="AW44">
            <v>70518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41009</v>
          </cell>
          <cell r="BK44">
            <v>0</v>
          </cell>
          <cell r="BL44">
            <v>0</v>
          </cell>
          <cell r="BM44">
            <v>41009</v>
          </cell>
          <cell r="BN44">
            <v>-1345</v>
          </cell>
          <cell r="BO44">
            <v>0</v>
          </cell>
          <cell r="BP44">
            <v>0</v>
          </cell>
          <cell r="BQ44">
            <v>-1345</v>
          </cell>
          <cell r="BR44">
            <v>683853</v>
          </cell>
          <cell r="BS44">
            <v>0</v>
          </cell>
          <cell r="BT44">
            <v>0</v>
          </cell>
          <cell r="BU44">
            <v>683853</v>
          </cell>
          <cell r="BV44">
            <v>-1345</v>
          </cell>
          <cell r="BW44">
            <v>0</v>
          </cell>
          <cell r="BX44">
            <v>0</v>
          </cell>
          <cell r="BY44">
            <v>-1345</v>
          </cell>
          <cell r="BZ44">
            <v>92961</v>
          </cell>
          <cell r="CA44">
            <v>0</v>
          </cell>
          <cell r="CB44">
            <v>0</v>
          </cell>
          <cell r="CC44">
            <v>92961</v>
          </cell>
          <cell r="CD44">
            <v>304</v>
          </cell>
          <cell r="CE44">
            <v>0</v>
          </cell>
          <cell r="CF44">
            <v>0</v>
          </cell>
          <cell r="CG44">
            <v>304</v>
          </cell>
          <cell r="CH44">
            <v>11336</v>
          </cell>
          <cell r="CI44">
            <v>0</v>
          </cell>
          <cell r="CJ44">
            <v>0</v>
          </cell>
          <cell r="CK44">
            <v>11336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3126</v>
          </cell>
          <cell r="EG44">
            <v>0</v>
          </cell>
          <cell r="EH44">
            <v>0</v>
          </cell>
          <cell r="EI44">
            <v>3126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</row>
        <row r="45">
          <cell r="A45">
            <v>39</v>
          </cell>
          <cell r="B45" t="str">
            <v>E3033</v>
          </cell>
          <cell r="C45" t="str">
            <v>SD</v>
          </cell>
          <cell r="D45" t="str">
            <v>EM</v>
          </cell>
          <cell r="E45" t="str">
            <v>Broxtowe</v>
          </cell>
          <cell r="F45">
            <v>19514</v>
          </cell>
          <cell r="G45">
            <v>0</v>
          </cell>
          <cell r="H45">
            <v>-256</v>
          </cell>
          <cell r="I45">
            <v>19258</v>
          </cell>
          <cell r="J45">
            <v>-12227</v>
          </cell>
          <cell r="K45">
            <v>0</v>
          </cell>
          <cell r="L45">
            <v>0</v>
          </cell>
          <cell r="M45">
            <v>-12227</v>
          </cell>
          <cell r="N45">
            <v>120401</v>
          </cell>
          <cell r="O45">
            <v>0</v>
          </cell>
          <cell r="P45">
            <v>148</v>
          </cell>
          <cell r="Q45">
            <v>120549</v>
          </cell>
          <cell r="R45">
            <v>-224813.16</v>
          </cell>
          <cell r="S45">
            <v>0</v>
          </cell>
          <cell r="T45">
            <v>0</v>
          </cell>
          <cell r="U45">
            <v>-224813.16</v>
          </cell>
          <cell r="V45">
            <v>1495672</v>
          </cell>
          <cell r="W45">
            <v>0</v>
          </cell>
          <cell r="X45">
            <v>5118</v>
          </cell>
          <cell r="Y45">
            <v>1500790</v>
          </cell>
          <cell r="Z45">
            <v>78570.69</v>
          </cell>
          <cell r="AA45">
            <v>0</v>
          </cell>
          <cell r="AB45">
            <v>0</v>
          </cell>
          <cell r="AC45">
            <v>78570.69</v>
          </cell>
          <cell r="AD45">
            <v>433165</v>
          </cell>
          <cell r="AE45">
            <v>0</v>
          </cell>
          <cell r="AF45">
            <v>27731</v>
          </cell>
          <cell r="AG45">
            <v>460896</v>
          </cell>
          <cell r="AH45">
            <v>-7830.73</v>
          </cell>
          <cell r="AI45">
            <v>0</v>
          </cell>
          <cell r="AJ45">
            <v>0</v>
          </cell>
          <cell r="AK45">
            <v>-7830.73</v>
          </cell>
          <cell r="AL45">
            <v>950089.8</v>
          </cell>
          <cell r="AM45">
            <v>0</v>
          </cell>
          <cell r="AN45">
            <v>0</v>
          </cell>
          <cell r="AO45">
            <v>950089.8</v>
          </cell>
          <cell r="AP45">
            <v>-46482.77</v>
          </cell>
          <cell r="AQ45">
            <v>0</v>
          </cell>
          <cell r="AR45">
            <v>0</v>
          </cell>
          <cell r="AS45">
            <v>-46482.77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2229.19</v>
          </cell>
          <cell r="BC45">
            <v>0</v>
          </cell>
          <cell r="BD45">
            <v>0</v>
          </cell>
          <cell r="BE45">
            <v>2229.19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1800.09</v>
          </cell>
          <cell r="BK45">
            <v>0</v>
          </cell>
          <cell r="BL45">
            <v>0</v>
          </cell>
          <cell r="BM45">
            <v>1800.09</v>
          </cell>
          <cell r="BN45">
            <v>2967.87</v>
          </cell>
          <cell r="BO45">
            <v>0</v>
          </cell>
          <cell r="BP45">
            <v>0</v>
          </cell>
          <cell r="BQ45">
            <v>2967.87</v>
          </cell>
          <cell r="BR45">
            <v>705969</v>
          </cell>
          <cell r="BS45">
            <v>0</v>
          </cell>
          <cell r="BT45">
            <v>150250</v>
          </cell>
          <cell r="BU45">
            <v>856219</v>
          </cell>
          <cell r="BV45">
            <v>47963.360000000001</v>
          </cell>
          <cell r="BW45">
            <v>0</v>
          </cell>
          <cell r="BX45">
            <v>0</v>
          </cell>
          <cell r="BY45">
            <v>47963.360000000001</v>
          </cell>
          <cell r="BZ45">
            <v>33394.629999999997</v>
          </cell>
          <cell r="CA45">
            <v>0</v>
          </cell>
          <cell r="CB45">
            <v>0</v>
          </cell>
          <cell r="CC45">
            <v>33394.629999999997</v>
          </cell>
          <cell r="CD45">
            <v>339.61</v>
          </cell>
          <cell r="CE45">
            <v>0</v>
          </cell>
          <cell r="CF45">
            <v>0</v>
          </cell>
          <cell r="CG45">
            <v>339.61</v>
          </cell>
          <cell r="CH45">
            <v>51063</v>
          </cell>
          <cell r="CI45">
            <v>0</v>
          </cell>
          <cell r="CJ45">
            <v>15072</v>
          </cell>
          <cell r="CK45">
            <v>66135</v>
          </cell>
          <cell r="CL45">
            <v>1948.99</v>
          </cell>
          <cell r="CM45">
            <v>0</v>
          </cell>
          <cell r="CN45">
            <v>0</v>
          </cell>
          <cell r="CO45">
            <v>1948.99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2229.16</v>
          </cell>
          <cell r="CY45">
            <v>0</v>
          </cell>
          <cell r="CZ45">
            <v>0</v>
          </cell>
          <cell r="DA45">
            <v>2229.16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6718.81</v>
          </cell>
          <cell r="EG45">
            <v>0</v>
          </cell>
          <cell r="EH45">
            <v>0</v>
          </cell>
          <cell r="EI45">
            <v>6718.81</v>
          </cell>
          <cell r="EJ45">
            <v>4785.37</v>
          </cell>
          <cell r="EK45">
            <v>0</v>
          </cell>
          <cell r="EL45">
            <v>0</v>
          </cell>
          <cell r="EM45">
            <v>4785.37</v>
          </cell>
        </row>
        <row r="46">
          <cell r="A46">
            <v>40</v>
          </cell>
          <cell r="B46" t="str">
            <v>E2333</v>
          </cell>
          <cell r="C46" t="str">
            <v>SD</v>
          </cell>
          <cell r="D46" t="str">
            <v>NW</v>
          </cell>
          <cell r="E46" t="str">
            <v>Burnley</v>
          </cell>
          <cell r="F46">
            <v>118564.05</v>
          </cell>
          <cell r="G46">
            <v>0</v>
          </cell>
          <cell r="H46">
            <v>0</v>
          </cell>
          <cell r="I46">
            <v>118564.05</v>
          </cell>
          <cell r="J46">
            <v>-2518.62</v>
          </cell>
          <cell r="K46">
            <v>0</v>
          </cell>
          <cell r="L46">
            <v>0</v>
          </cell>
          <cell r="M46">
            <v>-2518.62</v>
          </cell>
          <cell r="N46">
            <v>9802.49</v>
          </cell>
          <cell r="O46">
            <v>0</v>
          </cell>
          <cell r="P46">
            <v>0</v>
          </cell>
          <cell r="Q46">
            <v>9802.49</v>
          </cell>
          <cell r="R46">
            <v>66156.77</v>
          </cell>
          <cell r="S46">
            <v>0</v>
          </cell>
          <cell r="T46">
            <v>0</v>
          </cell>
          <cell r="U46">
            <v>66156.77</v>
          </cell>
          <cell r="V46">
            <v>2403067.96</v>
          </cell>
          <cell r="W46">
            <v>0</v>
          </cell>
          <cell r="X46">
            <v>0</v>
          </cell>
          <cell r="Y46">
            <v>2403067.96</v>
          </cell>
          <cell r="Z46">
            <v>53121.34</v>
          </cell>
          <cell r="AA46">
            <v>0</v>
          </cell>
          <cell r="AB46">
            <v>0</v>
          </cell>
          <cell r="AC46">
            <v>53121.34</v>
          </cell>
          <cell r="AD46">
            <v>526928.12</v>
          </cell>
          <cell r="AE46">
            <v>0</v>
          </cell>
          <cell r="AF46">
            <v>0</v>
          </cell>
          <cell r="AG46">
            <v>526928.12</v>
          </cell>
          <cell r="AH46">
            <v>-1197.55</v>
          </cell>
          <cell r="AI46">
            <v>0</v>
          </cell>
          <cell r="AJ46">
            <v>0</v>
          </cell>
          <cell r="AK46">
            <v>-1197.55</v>
          </cell>
          <cell r="AL46">
            <v>1798397.13</v>
          </cell>
          <cell r="AM46">
            <v>0</v>
          </cell>
          <cell r="AN46">
            <v>0</v>
          </cell>
          <cell r="AO46">
            <v>1798397.13</v>
          </cell>
          <cell r="AP46">
            <v>-119610.34</v>
          </cell>
          <cell r="AQ46">
            <v>0</v>
          </cell>
          <cell r="AR46">
            <v>0</v>
          </cell>
          <cell r="AS46">
            <v>-119610.34</v>
          </cell>
          <cell r="AT46">
            <v>21421.08</v>
          </cell>
          <cell r="AU46">
            <v>0</v>
          </cell>
          <cell r="AV46">
            <v>0</v>
          </cell>
          <cell r="AW46">
            <v>21421.08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3065.46</v>
          </cell>
          <cell r="BC46">
            <v>0</v>
          </cell>
          <cell r="BD46">
            <v>0</v>
          </cell>
          <cell r="BE46">
            <v>3065.46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63950</v>
          </cell>
          <cell r="BK46">
            <v>0</v>
          </cell>
          <cell r="BL46">
            <v>0</v>
          </cell>
          <cell r="BM46">
            <v>63950</v>
          </cell>
          <cell r="BN46">
            <v>-12300.8</v>
          </cell>
          <cell r="BO46">
            <v>0</v>
          </cell>
          <cell r="BP46">
            <v>0</v>
          </cell>
          <cell r="BQ46">
            <v>-12300.8</v>
          </cell>
          <cell r="BR46">
            <v>1184231.25</v>
          </cell>
          <cell r="BS46">
            <v>0</v>
          </cell>
          <cell r="BT46">
            <v>0</v>
          </cell>
          <cell r="BU46">
            <v>1184231.25</v>
          </cell>
          <cell r="BV46">
            <v>-90662.68</v>
          </cell>
          <cell r="BW46">
            <v>0</v>
          </cell>
          <cell r="BX46">
            <v>0</v>
          </cell>
          <cell r="BY46">
            <v>-90662.68</v>
          </cell>
          <cell r="BZ46">
            <v>40566.959999999999</v>
          </cell>
          <cell r="CA46">
            <v>0</v>
          </cell>
          <cell r="CB46">
            <v>0</v>
          </cell>
          <cell r="CC46">
            <v>40566.959999999999</v>
          </cell>
          <cell r="CD46">
            <v>1681.48</v>
          </cell>
          <cell r="CE46">
            <v>0</v>
          </cell>
          <cell r="CF46">
            <v>0</v>
          </cell>
          <cell r="CG46">
            <v>1681.48</v>
          </cell>
          <cell r="CH46">
            <v>62651.41</v>
          </cell>
          <cell r="CI46">
            <v>0</v>
          </cell>
          <cell r="CJ46">
            <v>0</v>
          </cell>
          <cell r="CK46">
            <v>62651.41</v>
          </cell>
          <cell r="CL46">
            <v>3627.23</v>
          </cell>
          <cell r="CM46">
            <v>0</v>
          </cell>
          <cell r="CN46">
            <v>0</v>
          </cell>
          <cell r="CO46">
            <v>3627.23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4417.72</v>
          </cell>
          <cell r="DO46">
            <v>0</v>
          </cell>
          <cell r="DP46">
            <v>0</v>
          </cell>
          <cell r="DQ46">
            <v>4417.72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</row>
        <row r="47">
          <cell r="A47">
            <v>41</v>
          </cell>
          <cell r="B47" t="str">
            <v>E4202</v>
          </cell>
          <cell r="C47" t="str">
            <v>Met</v>
          </cell>
          <cell r="D47" t="str">
            <v>NW</v>
          </cell>
          <cell r="E47" t="str">
            <v>Bury</v>
          </cell>
          <cell r="F47">
            <v>229960</v>
          </cell>
          <cell r="G47">
            <v>0</v>
          </cell>
          <cell r="H47">
            <v>0</v>
          </cell>
          <cell r="I47">
            <v>229960</v>
          </cell>
          <cell r="J47">
            <v>-111912</v>
          </cell>
          <cell r="K47">
            <v>0</v>
          </cell>
          <cell r="L47">
            <v>0</v>
          </cell>
          <cell r="M47">
            <v>-111912</v>
          </cell>
          <cell r="N47">
            <v>73706</v>
          </cell>
          <cell r="O47">
            <v>0</v>
          </cell>
          <cell r="P47">
            <v>0</v>
          </cell>
          <cell r="Q47">
            <v>73706</v>
          </cell>
          <cell r="R47">
            <v>37517</v>
          </cell>
          <cell r="S47">
            <v>0</v>
          </cell>
          <cell r="T47">
            <v>0</v>
          </cell>
          <cell r="U47">
            <v>37517</v>
          </cell>
          <cell r="V47">
            <v>4284209</v>
          </cell>
          <cell r="W47">
            <v>0</v>
          </cell>
          <cell r="X47">
            <v>0</v>
          </cell>
          <cell r="Y47">
            <v>4284209</v>
          </cell>
          <cell r="Z47">
            <v>312469</v>
          </cell>
          <cell r="AA47">
            <v>0</v>
          </cell>
          <cell r="AB47">
            <v>0</v>
          </cell>
          <cell r="AC47">
            <v>312469</v>
          </cell>
          <cell r="AD47">
            <v>941071</v>
          </cell>
          <cell r="AE47">
            <v>0</v>
          </cell>
          <cell r="AF47">
            <v>0</v>
          </cell>
          <cell r="AG47">
            <v>941071</v>
          </cell>
          <cell r="AH47">
            <v>-42295</v>
          </cell>
          <cell r="AI47">
            <v>0</v>
          </cell>
          <cell r="AJ47">
            <v>0</v>
          </cell>
          <cell r="AK47">
            <v>-42295</v>
          </cell>
          <cell r="AL47">
            <v>2031235</v>
          </cell>
          <cell r="AM47">
            <v>0</v>
          </cell>
          <cell r="AN47">
            <v>0</v>
          </cell>
          <cell r="AO47">
            <v>2031235</v>
          </cell>
          <cell r="AP47">
            <v>33158</v>
          </cell>
          <cell r="AQ47">
            <v>0</v>
          </cell>
          <cell r="AR47">
            <v>0</v>
          </cell>
          <cell r="AS47">
            <v>33158</v>
          </cell>
          <cell r="AT47">
            <v>87448</v>
          </cell>
          <cell r="AU47">
            <v>0</v>
          </cell>
          <cell r="AV47">
            <v>0</v>
          </cell>
          <cell r="AW47">
            <v>87448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1316</v>
          </cell>
          <cell r="BC47">
            <v>0</v>
          </cell>
          <cell r="BD47">
            <v>0</v>
          </cell>
          <cell r="BE47">
            <v>1316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2935</v>
          </cell>
          <cell r="BK47">
            <v>0</v>
          </cell>
          <cell r="BL47">
            <v>0</v>
          </cell>
          <cell r="BM47">
            <v>2935</v>
          </cell>
          <cell r="BN47">
            <v>-3255</v>
          </cell>
          <cell r="BO47">
            <v>0</v>
          </cell>
          <cell r="BP47">
            <v>0</v>
          </cell>
          <cell r="BQ47">
            <v>-3255</v>
          </cell>
          <cell r="BR47">
            <v>1338559</v>
          </cell>
          <cell r="BS47">
            <v>0</v>
          </cell>
          <cell r="BT47">
            <v>0</v>
          </cell>
          <cell r="BU47">
            <v>1338559</v>
          </cell>
          <cell r="BV47">
            <v>137174</v>
          </cell>
          <cell r="BW47">
            <v>0</v>
          </cell>
          <cell r="BX47">
            <v>0</v>
          </cell>
          <cell r="BY47">
            <v>137174</v>
          </cell>
          <cell r="BZ47">
            <v>278957</v>
          </cell>
          <cell r="CA47">
            <v>0</v>
          </cell>
          <cell r="CB47">
            <v>0</v>
          </cell>
          <cell r="CC47">
            <v>278957</v>
          </cell>
          <cell r="CD47">
            <v>7748</v>
          </cell>
          <cell r="CE47">
            <v>0</v>
          </cell>
          <cell r="CF47">
            <v>0</v>
          </cell>
          <cell r="CG47">
            <v>7748</v>
          </cell>
          <cell r="CH47">
            <v>41288</v>
          </cell>
          <cell r="CI47">
            <v>0</v>
          </cell>
          <cell r="CJ47">
            <v>0</v>
          </cell>
          <cell r="CK47">
            <v>41288</v>
          </cell>
          <cell r="CL47">
            <v>40</v>
          </cell>
          <cell r="CM47">
            <v>0</v>
          </cell>
          <cell r="CN47">
            <v>0</v>
          </cell>
          <cell r="CO47">
            <v>40</v>
          </cell>
          <cell r="CP47">
            <v>21862</v>
          </cell>
          <cell r="CQ47">
            <v>0</v>
          </cell>
          <cell r="CR47">
            <v>0</v>
          </cell>
          <cell r="CS47">
            <v>21862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1316</v>
          </cell>
          <cell r="CY47">
            <v>0</v>
          </cell>
          <cell r="CZ47">
            <v>0</v>
          </cell>
          <cell r="DA47">
            <v>1316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</row>
        <row r="48">
          <cell r="A48">
            <v>42</v>
          </cell>
          <cell r="B48" t="str">
            <v>E4702</v>
          </cell>
          <cell r="C48" t="str">
            <v>Met</v>
          </cell>
          <cell r="D48" t="str">
            <v>YH</v>
          </cell>
          <cell r="E48" t="str">
            <v>Calderdale</v>
          </cell>
          <cell r="F48">
            <v>123888</v>
          </cell>
          <cell r="G48">
            <v>0</v>
          </cell>
          <cell r="H48">
            <v>0</v>
          </cell>
          <cell r="I48">
            <v>123888</v>
          </cell>
          <cell r="J48">
            <v>-158623</v>
          </cell>
          <cell r="K48">
            <v>0</v>
          </cell>
          <cell r="L48">
            <v>0</v>
          </cell>
          <cell r="M48">
            <v>-158623</v>
          </cell>
          <cell r="N48">
            <v>49160</v>
          </cell>
          <cell r="O48">
            <v>0</v>
          </cell>
          <cell r="P48">
            <v>0</v>
          </cell>
          <cell r="Q48">
            <v>49160</v>
          </cell>
          <cell r="R48">
            <v>93092</v>
          </cell>
          <cell r="S48">
            <v>0</v>
          </cell>
          <cell r="T48">
            <v>0</v>
          </cell>
          <cell r="U48">
            <v>93092</v>
          </cell>
          <cell r="V48">
            <v>6060635</v>
          </cell>
          <cell r="W48">
            <v>0</v>
          </cell>
          <cell r="X48">
            <v>0</v>
          </cell>
          <cell r="Y48">
            <v>6060635</v>
          </cell>
          <cell r="Z48">
            <v>163160</v>
          </cell>
          <cell r="AA48">
            <v>0</v>
          </cell>
          <cell r="AB48">
            <v>0</v>
          </cell>
          <cell r="AC48">
            <v>163160</v>
          </cell>
          <cell r="AD48">
            <v>1043930</v>
          </cell>
          <cell r="AE48">
            <v>0</v>
          </cell>
          <cell r="AF48">
            <v>0</v>
          </cell>
          <cell r="AG48">
            <v>1043930</v>
          </cell>
          <cell r="AH48">
            <v>-23268</v>
          </cell>
          <cell r="AI48">
            <v>0</v>
          </cell>
          <cell r="AJ48">
            <v>0</v>
          </cell>
          <cell r="AK48">
            <v>-23268</v>
          </cell>
          <cell r="AL48">
            <v>3288131</v>
          </cell>
          <cell r="AM48">
            <v>0</v>
          </cell>
          <cell r="AN48">
            <v>0</v>
          </cell>
          <cell r="AO48">
            <v>3288131</v>
          </cell>
          <cell r="AP48">
            <v>65405</v>
          </cell>
          <cell r="AQ48">
            <v>0</v>
          </cell>
          <cell r="AR48">
            <v>0</v>
          </cell>
          <cell r="AS48">
            <v>65405</v>
          </cell>
          <cell r="AT48">
            <v>171297</v>
          </cell>
          <cell r="AU48">
            <v>0</v>
          </cell>
          <cell r="AV48">
            <v>0</v>
          </cell>
          <cell r="AW48">
            <v>171297</v>
          </cell>
          <cell r="AX48">
            <v>9068</v>
          </cell>
          <cell r="AY48">
            <v>0</v>
          </cell>
          <cell r="AZ48">
            <v>0</v>
          </cell>
          <cell r="BA48">
            <v>9068</v>
          </cell>
          <cell r="BB48">
            <v>9390</v>
          </cell>
          <cell r="BC48">
            <v>0</v>
          </cell>
          <cell r="BD48">
            <v>0</v>
          </cell>
          <cell r="BE48">
            <v>9390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30309</v>
          </cell>
          <cell r="BK48">
            <v>0</v>
          </cell>
          <cell r="BL48">
            <v>0</v>
          </cell>
          <cell r="BM48">
            <v>30309</v>
          </cell>
          <cell r="BN48">
            <v>133096</v>
          </cell>
          <cell r="BO48">
            <v>0</v>
          </cell>
          <cell r="BP48">
            <v>0</v>
          </cell>
          <cell r="BQ48">
            <v>133096</v>
          </cell>
          <cell r="BR48">
            <v>3106626.52</v>
          </cell>
          <cell r="BS48">
            <v>0</v>
          </cell>
          <cell r="BT48">
            <v>0</v>
          </cell>
          <cell r="BU48">
            <v>3106626.52</v>
          </cell>
          <cell r="BV48">
            <v>36589.589999999997</v>
          </cell>
          <cell r="BW48">
            <v>0</v>
          </cell>
          <cell r="BX48">
            <v>0</v>
          </cell>
          <cell r="BY48">
            <v>36589.589999999997</v>
          </cell>
          <cell r="BZ48">
            <v>251140</v>
          </cell>
          <cell r="CA48">
            <v>0</v>
          </cell>
          <cell r="CB48">
            <v>0</v>
          </cell>
          <cell r="CC48">
            <v>251140</v>
          </cell>
          <cell r="CD48">
            <v>9276</v>
          </cell>
          <cell r="CE48">
            <v>0</v>
          </cell>
          <cell r="CF48">
            <v>0</v>
          </cell>
          <cell r="CG48">
            <v>9276</v>
          </cell>
          <cell r="CH48">
            <v>257547</v>
          </cell>
          <cell r="CI48">
            <v>0</v>
          </cell>
          <cell r="CJ48">
            <v>0</v>
          </cell>
          <cell r="CK48">
            <v>257547</v>
          </cell>
          <cell r="CL48">
            <v>-27915</v>
          </cell>
          <cell r="CM48">
            <v>0</v>
          </cell>
          <cell r="CN48">
            <v>0</v>
          </cell>
          <cell r="CO48">
            <v>-27915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2767</v>
          </cell>
          <cell r="DG48">
            <v>0</v>
          </cell>
          <cell r="DH48">
            <v>0</v>
          </cell>
          <cell r="DI48">
            <v>2767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</row>
        <row r="49">
          <cell r="A49">
            <v>43</v>
          </cell>
          <cell r="B49" t="str">
            <v>E0531</v>
          </cell>
          <cell r="C49" t="str">
            <v>SD</v>
          </cell>
          <cell r="D49" t="str">
            <v>E</v>
          </cell>
          <cell r="E49" t="str">
            <v>Cambridge</v>
          </cell>
          <cell r="F49">
            <v>116193</v>
          </cell>
          <cell r="G49">
            <v>0</v>
          </cell>
          <cell r="H49">
            <v>0</v>
          </cell>
          <cell r="I49">
            <v>116193</v>
          </cell>
          <cell r="J49">
            <v>-415938</v>
          </cell>
          <cell r="K49">
            <v>0</v>
          </cell>
          <cell r="L49">
            <v>0</v>
          </cell>
          <cell r="M49">
            <v>-415938</v>
          </cell>
          <cell r="N49">
            <v>118963</v>
          </cell>
          <cell r="O49">
            <v>0</v>
          </cell>
          <cell r="P49">
            <v>0</v>
          </cell>
          <cell r="Q49">
            <v>118963</v>
          </cell>
          <cell r="R49">
            <v>35032</v>
          </cell>
          <cell r="S49">
            <v>0</v>
          </cell>
          <cell r="T49">
            <v>0</v>
          </cell>
          <cell r="U49">
            <v>35032</v>
          </cell>
          <cell r="V49">
            <v>1269149</v>
          </cell>
          <cell r="W49">
            <v>0</v>
          </cell>
          <cell r="X49">
            <v>0</v>
          </cell>
          <cell r="Y49">
            <v>1269149</v>
          </cell>
          <cell r="Z49">
            <v>47851</v>
          </cell>
          <cell r="AA49">
            <v>0</v>
          </cell>
          <cell r="AB49">
            <v>0</v>
          </cell>
          <cell r="AC49">
            <v>47851</v>
          </cell>
          <cell r="AD49">
            <v>2247080</v>
          </cell>
          <cell r="AE49">
            <v>0</v>
          </cell>
          <cell r="AF49">
            <v>0</v>
          </cell>
          <cell r="AG49">
            <v>2247080</v>
          </cell>
          <cell r="AH49">
            <v>-40397</v>
          </cell>
          <cell r="AI49">
            <v>0</v>
          </cell>
          <cell r="AJ49">
            <v>0</v>
          </cell>
          <cell r="AK49">
            <v>-40397</v>
          </cell>
          <cell r="AL49">
            <v>20933962</v>
          </cell>
          <cell r="AM49">
            <v>0</v>
          </cell>
          <cell r="AN49">
            <v>0</v>
          </cell>
          <cell r="AO49">
            <v>20933962</v>
          </cell>
          <cell r="AP49">
            <v>-299023</v>
          </cell>
          <cell r="AQ49">
            <v>0</v>
          </cell>
          <cell r="AR49">
            <v>0</v>
          </cell>
          <cell r="AS49">
            <v>-299023</v>
          </cell>
          <cell r="AT49">
            <v>13697</v>
          </cell>
          <cell r="AU49">
            <v>0</v>
          </cell>
          <cell r="AV49">
            <v>0</v>
          </cell>
          <cell r="AW49">
            <v>13697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12520</v>
          </cell>
          <cell r="BK49">
            <v>0</v>
          </cell>
          <cell r="BL49">
            <v>0</v>
          </cell>
          <cell r="BM49">
            <v>12520</v>
          </cell>
          <cell r="BN49">
            <v>13710</v>
          </cell>
          <cell r="BO49">
            <v>0</v>
          </cell>
          <cell r="BP49">
            <v>0</v>
          </cell>
          <cell r="BQ49">
            <v>13710</v>
          </cell>
          <cell r="BR49">
            <v>2800481</v>
          </cell>
          <cell r="BS49">
            <v>0</v>
          </cell>
          <cell r="BT49">
            <v>0</v>
          </cell>
          <cell r="BU49">
            <v>2800481</v>
          </cell>
          <cell r="BV49">
            <v>-191937</v>
          </cell>
          <cell r="BW49">
            <v>0</v>
          </cell>
          <cell r="BX49">
            <v>0</v>
          </cell>
          <cell r="BY49">
            <v>-191937</v>
          </cell>
          <cell r="BZ49">
            <v>164371</v>
          </cell>
          <cell r="CA49">
            <v>0</v>
          </cell>
          <cell r="CB49">
            <v>0</v>
          </cell>
          <cell r="CC49">
            <v>164371</v>
          </cell>
          <cell r="CD49">
            <v>-772</v>
          </cell>
          <cell r="CE49">
            <v>0</v>
          </cell>
          <cell r="CF49">
            <v>0</v>
          </cell>
          <cell r="CG49">
            <v>-772</v>
          </cell>
          <cell r="CH49">
            <v>7537</v>
          </cell>
          <cell r="CI49">
            <v>0</v>
          </cell>
          <cell r="CJ49">
            <v>0</v>
          </cell>
          <cell r="CK49">
            <v>7537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1460</v>
          </cell>
          <cell r="CQ49">
            <v>0</v>
          </cell>
          <cell r="CR49">
            <v>0</v>
          </cell>
          <cell r="CS49">
            <v>1460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23053</v>
          </cell>
          <cell r="DY49">
            <v>0</v>
          </cell>
          <cell r="DZ49">
            <v>0</v>
          </cell>
          <cell r="EA49">
            <v>23053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</row>
        <row r="50">
          <cell r="A50">
            <v>44</v>
          </cell>
          <cell r="B50" t="str">
            <v>E5011</v>
          </cell>
          <cell r="C50" t="str">
            <v>ILB</v>
          </cell>
          <cell r="D50" t="str">
            <v>L</v>
          </cell>
          <cell r="E50" t="str">
            <v>Camden</v>
          </cell>
          <cell r="F50">
            <v>2063772.94</v>
          </cell>
          <cell r="G50">
            <v>0</v>
          </cell>
          <cell r="H50">
            <v>0</v>
          </cell>
          <cell r="I50">
            <v>2063772.94</v>
          </cell>
          <cell r="J50">
            <v>-5117054.3</v>
          </cell>
          <cell r="K50">
            <v>0</v>
          </cell>
          <cell r="L50">
            <v>0</v>
          </cell>
          <cell r="M50">
            <v>-5117054.3</v>
          </cell>
          <cell r="N50">
            <v>68062.13</v>
          </cell>
          <cell r="O50">
            <v>0</v>
          </cell>
          <cell r="P50">
            <v>0</v>
          </cell>
          <cell r="Q50">
            <v>68062.13</v>
          </cell>
          <cell r="R50">
            <v>1514440.19</v>
          </cell>
          <cell r="S50">
            <v>0</v>
          </cell>
          <cell r="T50">
            <v>0</v>
          </cell>
          <cell r="U50">
            <v>1514440.19</v>
          </cell>
          <cell r="V50">
            <v>2728183.32</v>
          </cell>
          <cell r="W50">
            <v>0</v>
          </cell>
          <cell r="X50">
            <v>0</v>
          </cell>
          <cell r="Y50">
            <v>2728183.32</v>
          </cell>
          <cell r="Z50">
            <v>204916.62</v>
          </cell>
          <cell r="AA50">
            <v>0</v>
          </cell>
          <cell r="AB50">
            <v>0</v>
          </cell>
          <cell r="AC50">
            <v>204916.62</v>
          </cell>
          <cell r="AD50">
            <v>10394969.699999999</v>
          </cell>
          <cell r="AE50">
            <v>0</v>
          </cell>
          <cell r="AF50">
            <v>0</v>
          </cell>
          <cell r="AG50">
            <v>10394969.699999999</v>
          </cell>
          <cell r="AH50">
            <v>-389743.16</v>
          </cell>
          <cell r="AI50">
            <v>0</v>
          </cell>
          <cell r="AJ50">
            <v>0</v>
          </cell>
          <cell r="AK50">
            <v>-389743.16</v>
          </cell>
          <cell r="AL50">
            <v>54694365.200000003</v>
          </cell>
          <cell r="AM50">
            <v>0</v>
          </cell>
          <cell r="AN50">
            <v>0</v>
          </cell>
          <cell r="AO50">
            <v>54694365.200000003</v>
          </cell>
          <cell r="AP50">
            <v>-549370.86</v>
          </cell>
          <cell r="AQ50">
            <v>0</v>
          </cell>
          <cell r="AR50">
            <v>0</v>
          </cell>
          <cell r="AS50">
            <v>-549370.86</v>
          </cell>
          <cell r="AT50">
            <v>13470.6</v>
          </cell>
          <cell r="AU50">
            <v>0</v>
          </cell>
          <cell r="AV50">
            <v>0</v>
          </cell>
          <cell r="AW50">
            <v>13470.6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389754.22</v>
          </cell>
          <cell r="BK50">
            <v>0</v>
          </cell>
          <cell r="BL50">
            <v>0</v>
          </cell>
          <cell r="BM50">
            <v>389754.22</v>
          </cell>
          <cell r="BN50">
            <v>551853.80000000005</v>
          </cell>
          <cell r="BO50">
            <v>0</v>
          </cell>
          <cell r="BP50">
            <v>0</v>
          </cell>
          <cell r="BQ50">
            <v>551853.80000000005</v>
          </cell>
          <cell r="BR50">
            <v>17309236.5</v>
          </cell>
          <cell r="BS50">
            <v>0</v>
          </cell>
          <cell r="BT50">
            <v>0</v>
          </cell>
          <cell r="BU50">
            <v>17309236.5</v>
          </cell>
          <cell r="BV50">
            <v>-18932</v>
          </cell>
          <cell r="BW50">
            <v>0</v>
          </cell>
          <cell r="BX50">
            <v>0</v>
          </cell>
          <cell r="BY50">
            <v>-18932</v>
          </cell>
          <cell r="BZ50">
            <v>176839.69</v>
          </cell>
          <cell r="CA50">
            <v>0</v>
          </cell>
          <cell r="CB50">
            <v>0</v>
          </cell>
          <cell r="CC50">
            <v>176839.69</v>
          </cell>
          <cell r="CD50">
            <v>-7444.55</v>
          </cell>
          <cell r="CE50">
            <v>0</v>
          </cell>
          <cell r="CF50">
            <v>0</v>
          </cell>
          <cell r="CG50">
            <v>-7444.55</v>
          </cell>
          <cell r="CH50">
            <v>-1257.1500000000001</v>
          </cell>
          <cell r="CI50">
            <v>0</v>
          </cell>
          <cell r="CJ50">
            <v>0</v>
          </cell>
          <cell r="CK50">
            <v>-1257.1500000000001</v>
          </cell>
          <cell r="CL50">
            <v>-17.5</v>
          </cell>
          <cell r="CM50">
            <v>0</v>
          </cell>
          <cell r="CN50">
            <v>0</v>
          </cell>
          <cell r="CO50">
            <v>-17.5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</row>
        <row r="51">
          <cell r="A51">
            <v>45</v>
          </cell>
          <cell r="B51" t="str">
            <v>E3431</v>
          </cell>
          <cell r="C51" t="str">
            <v>SD</v>
          </cell>
          <cell r="D51" t="str">
            <v>WM</v>
          </cell>
          <cell r="E51" t="str">
            <v>Cannock Chase</v>
          </cell>
          <cell r="F51">
            <v>1031552.83</v>
          </cell>
          <cell r="G51">
            <v>0</v>
          </cell>
          <cell r="H51">
            <v>0</v>
          </cell>
          <cell r="I51">
            <v>1031552.83</v>
          </cell>
          <cell r="J51">
            <v>-32676.799999999999</v>
          </cell>
          <cell r="K51">
            <v>0</v>
          </cell>
          <cell r="L51">
            <v>0</v>
          </cell>
          <cell r="M51">
            <v>-32676.799999999999</v>
          </cell>
          <cell r="N51">
            <v>14156.96</v>
          </cell>
          <cell r="O51">
            <v>0</v>
          </cell>
          <cell r="P51">
            <v>0</v>
          </cell>
          <cell r="Q51">
            <v>14156.96</v>
          </cell>
          <cell r="R51">
            <v>75747.039999999994</v>
          </cell>
          <cell r="S51">
            <v>0</v>
          </cell>
          <cell r="T51">
            <v>0</v>
          </cell>
          <cell r="U51">
            <v>75747.039999999994</v>
          </cell>
          <cell r="V51">
            <v>2205033.39</v>
          </cell>
          <cell r="W51">
            <v>0</v>
          </cell>
          <cell r="X51">
            <v>0</v>
          </cell>
          <cell r="Y51">
            <v>2205033.39</v>
          </cell>
          <cell r="Z51">
            <v>96950.77</v>
          </cell>
          <cell r="AA51">
            <v>0</v>
          </cell>
          <cell r="AB51">
            <v>0</v>
          </cell>
          <cell r="AC51">
            <v>96950.77</v>
          </cell>
          <cell r="AD51">
            <v>652425.29</v>
          </cell>
          <cell r="AE51">
            <v>0</v>
          </cell>
          <cell r="AF51">
            <v>0</v>
          </cell>
          <cell r="AG51">
            <v>652425.29</v>
          </cell>
          <cell r="AH51">
            <v>-6408.13</v>
          </cell>
          <cell r="AI51">
            <v>0</v>
          </cell>
          <cell r="AJ51">
            <v>0</v>
          </cell>
          <cell r="AK51">
            <v>-6408.13</v>
          </cell>
          <cell r="AL51">
            <v>1338115.69</v>
          </cell>
          <cell r="AM51">
            <v>0</v>
          </cell>
          <cell r="AN51">
            <v>0</v>
          </cell>
          <cell r="AO51">
            <v>1338115.69</v>
          </cell>
          <cell r="AP51">
            <v>23627.98</v>
          </cell>
          <cell r="AQ51">
            <v>0</v>
          </cell>
          <cell r="AR51">
            <v>0</v>
          </cell>
          <cell r="AS51">
            <v>23627.98</v>
          </cell>
          <cell r="AT51">
            <v>1413</v>
          </cell>
          <cell r="AU51">
            <v>0</v>
          </cell>
          <cell r="AV51">
            <v>0</v>
          </cell>
          <cell r="AW51">
            <v>1413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2007.07</v>
          </cell>
          <cell r="BK51">
            <v>0</v>
          </cell>
          <cell r="BL51">
            <v>0</v>
          </cell>
          <cell r="BM51">
            <v>2007.07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1231442.55</v>
          </cell>
          <cell r="BS51">
            <v>0</v>
          </cell>
          <cell r="BT51">
            <v>0</v>
          </cell>
          <cell r="BU51">
            <v>1231442.55</v>
          </cell>
          <cell r="BV51">
            <v>-75325.960000000006</v>
          </cell>
          <cell r="BW51">
            <v>0</v>
          </cell>
          <cell r="BX51">
            <v>0</v>
          </cell>
          <cell r="BY51">
            <v>-75325.960000000006</v>
          </cell>
          <cell r="BZ51">
            <v>46243.040000000001</v>
          </cell>
          <cell r="CA51">
            <v>0</v>
          </cell>
          <cell r="CB51">
            <v>0</v>
          </cell>
          <cell r="CC51">
            <v>46243.040000000001</v>
          </cell>
          <cell r="CD51">
            <v>271.08999999999997</v>
          </cell>
          <cell r="CE51">
            <v>0</v>
          </cell>
          <cell r="CF51">
            <v>0</v>
          </cell>
          <cell r="CG51">
            <v>271.08999999999997</v>
          </cell>
          <cell r="CH51">
            <v>10297.65</v>
          </cell>
          <cell r="CI51">
            <v>0</v>
          </cell>
          <cell r="CJ51">
            <v>0</v>
          </cell>
          <cell r="CK51">
            <v>10297.65</v>
          </cell>
          <cell r="CL51">
            <v>-19.54</v>
          </cell>
          <cell r="CM51">
            <v>0</v>
          </cell>
          <cell r="CN51">
            <v>0</v>
          </cell>
          <cell r="CO51">
            <v>-19.54</v>
          </cell>
          <cell r="CP51">
            <v>88.31</v>
          </cell>
          <cell r="CQ51">
            <v>0</v>
          </cell>
          <cell r="CR51">
            <v>0</v>
          </cell>
          <cell r="CS51">
            <v>88.31</v>
          </cell>
          <cell r="CT51">
            <v>21.28</v>
          </cell>
          <cell r="CU51">
            <v>0</v>
          </cell>
          <cell r="CV51">
            <v>0</v>
          </cell>
          <cell r="CW51">
            <v>21.28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</row>
        <row r="52">
          <cell r="A52">
            <v>46</v>
          </cell>
          <cell r="B52" t="str">
            <v>E2232</v>
          </cell>
          <cell r="C52" t="str">
            <v>SD</v>
          </cell>
          <cell r="D52" t="str">
            <v>SE</v>
          </cell>
          <cell r="E52" t="str">
            <v>Canterbury</v>
          </cell>
          <cell r="F52">
            <v>35383</v>
          </cell>
          <cell r="G52">
            <v>0</v>
          </cell>
          <cell r="H52">
            <v>0</v>
          </cell>
          <cell r="I52">
            <v>35383</v>
          </cell>
          <cell r="J52">
            <v>105425</v>
          </cell>
          <cell r="K52">
            <v>0</v>
          </cell>
          <cell r="L52">
            <v>0</v>
          </cell>
          <cell r="M52">
            <v>105425</v>
          </cell>
          <cell r="N52">
            <v>147269</v>
          </cell>
          <cell r="O52">
            <v>0</v>
          </cell>
          <cell r="P52">
            <v>0</v>
          </cell>
          <cell r="Q52">
            <v>147269</v>
          </cell>
          <cell r="R52">
            <v>-110927</v>
          </cell>
          <cell r="S52">
            <v>0</v>
          </cell>
          <cell r="T52">
            <v>0</v>
          </cell>
          <cell r="U52">
            <v>-110927</v>
          </cell>
          <cell r="V52">
            <v>3049280</v>
          </cell>
          <cell r="W52">
            <v>0</v>
          </cell>
          <cell r="X52">
            <v>0</v>
          </cell>
          <cell r="Y52">
            <v>3049280</v>
          </cell>
          <cell r="Z52">
            <v>173718</v>
          </cell>
          <cell r="AA52">
            <v>0</v>
          </cell>
          <cell r="AB52">
            <v>0</v>
          </cell>
          <cell r="AC52">
            <v>173718</v>
          </cell>
          <cell r="AD52">
            <v>1053818</v>
          </cell>
          <cell r="AE52">
            <v>0</v>
          </cell>
          <cell r="AF52">
            <v>0</v>
          </cell>
          <cell r="AG52">
            <v>1053818</v>
          </cell>
          <cell r="AH52">
            <v>-13796</v>
          </cell>
          <cell r="AI52">
            <v>0</v>
          </cell>
          <cell r="AJ52">
            <v>0</v>
          </cell>
          <cell r="AK52">
            <v>-13796</v>
          </cell>
          <cell r="AL52">
            <v>6543909</v>
          </cell>
          <cell r="AM52">
            <v>0</v>
          </cell>
          <cell r="AN52">
            <v>0</v>
          </cell>
          <cell r="AO52">
            <v>6543909</v>
          </cell>
          <cell r="AP52">
            <v>-2834</v>
          </cell>
          <cell r="AQ52">
            <v>0</v>
          </cell>
          <cell r="AR52">
            <v>0</v>
          </cell>
          <cell r="AS52">
            <v>-2834</v>
          </cell>
          <cell r="AT52">
            <v>98060</v>
          </cell>
          <cell r="AU52">
            <v>0</v>
          </cell>
          <cell r="AV52">
            <v>0</v>
          </cell>
          <cell r="AW52">
            <v>98060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16367</v>
          </cell>
          <cell r="BC52">
            <v>0</v>
          </cell>
          <cell r="BD52">
            <v>0</v>
          </cell>
          <cell r="BE52">
            <v>16367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152</v>
          </cell>
          <cell r="BK52">
            <v>0</v>
          </cell>
          <cell r="BL52">
            <v>0</v>
          </cell>
          <cell r="BM52">
            <v>152</v>
          </cell>
          <cell r="BN52">
            <v>-629</v>
          </cell>
          <cell r="BO52">
            <v>0</v>
          </cell>
          <cell r="BP52">
            <v>0</v>
          </cell>
          <cell r="BQ52">
            <v>-629</v>
          </cell>
          <cell r="BR52">
            <v>1469096</v>
          </cell>
          <cell r="BS52">
            <v>0</v>
          </cell>
          <cell r="BT52">
            <v>0</v>
          </cell>
          <cell r="BU52">
            <v>1469096</v>
          </cell>
          <cell r="BV52">
            <v>43058</v>
          </cell>
          <cell r="BW52">
            <v>0</v>
          </cell>
          <cell r="BX52">
            <v>0</v>
          </cell>
          <cell r="BY52">
            <v>43058</v>
          </cell>
          <cell r="BZ52">
            <v>244807</v>
          </cell>
          <cell r="CA52">
            <v>0</v>
          </cell>
          <cell r="CB52">
            <v>0</v>
          </cell>
          <cell r="CC52">
            <v>244807</v>
          </cell>
          <cell r="CD52">
            <v>-4248</v>
          </cell>
          <cell r="CE52">
            <v>0</v>
          </cell>
          <cell r="CF52">
            <v>0</v>
          </cell>
          <cell r="CG52">
            <v>-4248</v>
          </cell>
          <cell r="CH52">
            <v>66850</v>
          </cell>
          <cell r="CI52">
            <v>0</v>
          </cell>
          <cell r="CJ52">
            <v>0</v>
          </cell>
          <cell r="CK52">
            <v>66850</v>
          </cell>
          <cell r="CL52">
            <v>-490</v>
          </cell>
          <cell r="CM52">
            <v>0</v>
          </cell>
          <cell r="CN52">
            <v>0</v>
          </cell>
          <cell r="CO52">
            <v>-490</v>
          </cell>
          <cell r="CP52">
            <v>4442</v>
          </cell>
          <cell r="CQ52">
            <v>0</v>
          </cell>
          <cell r="CR52">
            <v>0</v>
          </cell>
          <cell r="CS52">
            <v>4442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10800</v>
          </cell>
          <cell r="DG52">
            <v>0</v>
          </cell>
          <cell r="DH52">
            <v>0</v>
          </cell>
          <cell r="DI52">
            <v>10800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5639</v>
          </cell>
          <cell r="EC52">
            <v>0</v>
          </cell>
          <cell r="ED52">
            <v>0</v>
          </cell>
          <cell r="EE52">
            <v>5639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-249</v>
          </cell>
          <cell r="EK52">
            <v>0</v>
          </cell>
          <cell r="EL52">
            <v>0</v>
          </cell>
          <cell r="EM52">
            <v>-249</v>
          </cell>
        </row>
        <row r="53">
          <cell r="A53">
            <v>47</v>
          </cell>
          <cell r="B53" t="str">
            <v>E0933</v>
          </cell>
          <cell r="C53" t="str">
            <v>SD</v>
          </cell>
          <cell r="D53" t="str">
            <v>NW</v>
          </cell>
          <cell r="E53" t="str">
            <v>Carlisle</v>
          </cell>
          <cell r="F53">
            <v>118609</v>
          </cell>
          <cell r="G53">
            <v>0</v>
          </cell>
          <cell r="H53">
            <v>0</v>
          </cell>
          <cell r="I53">
            <v>118609</v>
          </cell>
          <cell r="J53">
            <v>-161326</v>
          </cell>
          <cell r="K53">
            <v>0</v>
          </cell>
          <cell r="L53">
            <v>0</v>
          </cell>
          <cell r="M53">
            <v>-161326</v>
          </cell>
          <cell r="N53">
            <v>20590</v>
          </cell>
          <cell r="O53">
            <v>0</v>
          </cell>
          <cell r="P53">
            <v>0</v>
          </cell>
          <cell r="Q53">
            <v>20590</v>
          </cell>
          <cell r="R53">
            <v>74832</v>
          </cell>
          <cell r="S53">
            <v>0</v>
          </cell>
          <cell r="T53">
            <v>0</v>
          </cell>
          <cell r="U53">
            <v>74832</v>
          </cell>
          <cell r="V53">
            <v>2320663</v>
          </cell>
          <cell r="W53">
            <v>0</v>
          </cell>
          <cell r="X53">
            <v>0</v>
          </cell>
          <cell r="Y53">
            <v>2320663</v>
          </cell>
          <cell r="Z53">
            <v>116685</v>
          </cell>
          <cell r="AA53">
            <v>0</v>
          </cell>
          <cell r="AB53">
            <v>0</v>
          </cell>
          <cell r="AC53">
            <v>116685</v>
          </cell>
          <cell r="AD53">
            <v>813450</v>
          </cell>
          <cell r="AE53">
            <v>0</v>
          </cell>
          <cell r="AF53">
            <v>0</v>
          </cell>
          <cell r="AG53">
            <v>813450</v>
          </cell>
          <cell r="AH53">
            <v>-20642</v>
          </cell>
          <cell r="AI53">
            <v>0</v>
          </cell>
          <cell r="AJ53">
            <v>0</v>
          </cell>
          <cell r="AK53">
            <v>-20642</v>
          </cell>
          <cell r="AL53">
            <v>3015430</v>
          </cell>
          <cell r="AM53">
            <v>0</v>
          </cell>
          <cell r="AN53">
            <v>0</v>
          </cell>
          <cell r="AO53">
            <v>3015430</v>
          </cell>
          <cell r="AP53">
            <v>-231345</v>
          </cell>
          <cell r="AQ53">
            <v>0</v>
          </cell>
          <cell r="AR53">
            <v>0</v>
          </cell>
          <cell r="AS53">
            <v>-231345</v>
          </cell>
          <cell r="AT53">
            <v>85326</v>
          </cell>
          <cell r="AU53">
            <v>0</v>
          </cell>
          <cell r="AV53">
            <v>0</v>
          </cell>
          <cell r="AW53">
            <v>85326</v>
          </cell>
          <cell r="AX53">
            <v>-4542</v>
          </cell>
          <cell r="AY53">
            <v>0</v>
          </cell>
          <cell r="AZ53">
            <v>0</v>
          </cell>
          <cell r="BA53">
            <v>-4542</v>
          </cell>
          <cell r="BB53">
            <v>32423</v>
          </cell>
          <cell r="BC53">
            <v>0</v>
          </cell>
          <cell r="BD53">
            <v>0</v>
          </cell>
          <cell r="BE53">
            <v>32423</v>
          </cell>
          <cell r="BF53">
            <v>-336</v>
          </cell>
          <cell r="BG53">
            <v>0</v>
          </cell>
          <cell r="BH53">
            <v>0</v>
          </cell>
          <cell r="BI53">
            <v>-336</v>
          </cell>
          <cell r="BJ53">
            <v>1239</v>
          </cell>
          <cell r="BK53">
            <v>0</v>
          </cell>
          <cell r="BL53">
            <v>0</v>
          </cell>
          <cell r="BM53">
            <v>1239</v>
          </cell>
          <cell r="BN53">
            <v>24125</v>
          </cell>
          <cell r="BO53">
            <v>0</v>
          </cell>
          <cell r="BP53">
            <v>0</v>
          </cell>
          <cell r="BQ53">
            <v>24125</v>
          </cell>
          <cell r="BR53">
            <v>1897654</v>
          </cell>
          <cell r="BS53">
            <v>0</v>
          </cell>
          <cell r="BT53">
            <v>0</v>
          </cell>
          <cell r="BU53">
            <v>1897654</v>
          </cell>
          <cell r="BV53">
            <v>5291</v>
          </cell>
          <cell r="BW53">
            <v>0</v>
          </cell>
          <cell r="BX53">
            <v>0</v>
          </cell>
          <cell r="BY53">
            <v>5291</v>
          </cell>
          <cell r="BZ53">
            <v>56881</v>
          </cell>
          <cell r="CA53">
            <v>0</v>
          </cell>
          <cell r="CB53">
            <v>0</v>
          </cell>
          <cell r="CC53">
            <v>56881</v>
          </cell>
          <cell r="CD53">
            <v>260</v>
          </cell>
          <cell r="CE53">
            <v>0</v>
          </cell>
          <cell r="CF53">
            <v>0</v>
          </cell>
          <cell r="CG53">
            <v>260</v>
          </cell>
          <cell r="CH53">
            <v>42221</v>
          </cell>
          <cell r="CI53">
            <v>0</v>
          </cell>
          <cell r="CJ53">
            <v>0</v>
          </cell>
          <cell r="CK53">
            <v>42221</v>
          </cell>
          <cell r="CL53">
            <v>-13074</v>
          </cell>
          <cell r="CM53">
            <v>0</v>
          </cell>
          <cell r="CN53">
            <v>0</v>
          </cell>
          <cell r="CO53">
            <v>-13074</v>
          </cell>
          <cell r="CP53">
            <v>2751</v>
          </cell>
          <cell r="CQ53">
            <v>0</v>
          </cell>
          <cell r="CR53">
            <v>0</v>
          </cell>
          <cell r="CS53">
            <v>2751</v>
          </cell>
          <cell r="CT53">
            <v>118</v>
          </cell>
          <cell r="CU53">
            <v>0</v>
          </cell>
          <cell r="CV53">
            <v>0</v>
          </cell>
          <cell r="CW53">
            <v>118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3612</v>
          </cell>
          <cell r="DG53">
            <v>0</v>
          </cell>
          <cell r="DH53">
            <v>0</v>
          </cell>
          <cell r="DI53">
            <v>3612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</row>
        <row r="54">
          <cell r="A54">
            <v>48</v>
          </cell>
          <cell r="B54" t="str">
            <v>E1534</v>
          </cell>
          <cell r="C54" t="str">
            <v>SD</v>
          </cell>
          <cell r="D54" t="str">
            <v>E</v>
          </cell>
          <cell r="E54" t="str">
            <v>Castle Point</v>
          </cell>
          <cell r="F54">
            <v>152832</v>
          </cell>
          <cell r="G54">
            <v>0</v>
          </cell>
          <cell r="H54">
            <v>0</v>
          </cell>
          <cell r="I54">
            <v>152832</v>
          </cell>
          <cell r="J54">
            <v>-2008</v>
          </cell>
          <cell r="K54">
            <v>0</v>
          </cell>
          <cell r="L54">
            <v>0</v>
          </cell>
          <cell r="M54">
            <v>-2008</v>
          </cell>
          <cell r="N54">
            <v>25791</v>
          </cell>
          <cell r="O54">
            <v>0</v>
          </cell>
          <cell r="P54">
            <v>0</v>
          </cell>
          <cell r="Q54">
            <v>25791</v>
          </cell>
          <cell r="R54">
            <v>11175</v>
          </cell>
          <cell r="S54">
            <v>0</v>
          </cell>
          <cell r="T54">
            <v>0</v>
          </cell>
          <cell r="U54">
            <v>11175</v>
          </cell>
          <cell r="V54">
            <v>1657265</v>
          </cell>
          <cell r="W54">
            <v>0</v>
          </cell>
          <cell r="X54">
            <v>0</v>
          </cell>
          <cell r="Y54">
            <v>1657265</v>
          </cell>
          <cell r="Z54">
            <v>42673</v>
          </cell>
          <cell r="AA54">
            <v>0</v>
          </cell>
          <cell r="AB54">
            <v>0</v>
          </cell>
          <cell r="AC54">
            <v>42673</v>
          </cell>
          <cell r="AD54">
            <v>272443</v>
          </cell>
          <cell r="AE54">
            <v>0</v>
          </cell>
          <cell r="AF54">
            <v>0</v>
          </cell>
          <cell r="AG54">
            <v>272443</v>
          </cell>
          <cell r="AH54">
            <v>-3230</v>
          </cell>
          <cell r="AI54">
            <v>0</v>
          </cell>
          <cell r="AJ54">
            <v>0</v>
          </cell>
          <cell r="AK54">
            <v>-3230</v>
          </cell>
          <cell r="AL54">
            <v>1280543</v>
          </cell>
          <cell r="AM54">
            <v>0</v>
          </cell>
          <cell r="AN54">
            <v>0</v>
          </cell>
          <cell r="AO54">
            <v>1280543</v>
          </cell>
          <cell r="AP54">
            <v>7326</v>
          </cell>
          <cell r="AQ54">
            <v>0</v>
          </cell>
          <cell r="AR54">
            <v>0</v>
          </cell>
          <cell r="AS54">
            <v>7326</v>
          </cell>
          <cell r="AT54">
            <v>8930</v>
          </cell>
          <cell r="AU54">
            <v>0</v>
          </cell>
          <cell r="AV54">
            <v>0</v>
          </cell>
          <cell r="AW54">
            <v>8930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212</v>
          </cell>
          <cell r="BO54">
            <v>0</v>
          </cell>
          <cell r="BP54">
            <v>0</v>
          </cell>
          <cell r="BQ54">
            <v>212</v>
          </cell>
          <cell r="BR54">
            <v>276992</v>
          </cell>
          <cell r="BS54">
            <v>0</v>
          </cell>
          <cell r="BT54">
            <v>0</v>
          </cell>
          <cell r="BU54">
            <v>276992</v>
          </cell>
          <cell r="BV54">
            <v>-32842</v>
          </cell>
          <cell r="BW54">
            <v>0</v>
          </cell>
          <cell r="BX54">
            <v>0</v>
          </cell>
          <cell r="BY54">
            <v>-32842</v>
          </cell>
          <cell r="BZ54">
            <v>57538</v>
          </cell>
          <cell r="CA54">
            <v>0</v>
          </cell>
          <cell r="CB54">
            <v>0</v>
          </cell>
          <cell r="CC54">
            <v>57538</v>
          </cell>
          <cell r="CD54">
            <v>1162</v>
          </cell>
          <cell r="CE54">
            <v>0</v>
          </cell>
          <cell r="CF54">
            <v>0</v>
          </cell>
          <cell r="CG54">
            <v>1162</v>
          </cell>
          <cell r="CH54">
            <v>35061</v>
          </cell>
          <cell r="CI54">
            <v>0</v>
          </cell>
          <cell r="CJ54">
            <v>0</v>
          </cell>
          <cell r="CK54">
            <v>35061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2233</v>
          </cell>
          <cell r="CQ54">
            <v>0</v>
          </cell>
          <cell r="CR54">
            <v>0</v>
          </cell>
          <cell r="CS54">
            <v>2233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</row>
        <row r="55">
          <cell r="A55">
            <v>49</v>
          </cell>
          <cell r="B55" t="str">
            <v>E0203</v>
          </cell>
          <cell r="C55" t="str">
            <v>UA</v>
          </cell>
          <cell r="D55" t="str">
            <v>E</v>
          </cell>
          <cell r="E55" t="str">
            <v>Central Bedfordshire UA</v>
          </cell>
          <cell r="F55">
            <v>396763.81</v>
          </cell>
          <cell r="G55">
            <v>0</v>
          </cell>
          <cell r="H55">
            <v>0</v>
          </cell>
          <cell r="I55">
            <v>396763.81</v>
          </cell>
          <cell r="J55">
            <v>-103449.03</v>
          </cell>
          <cell r="K55">
            <v>0</v>
          </cell>
          <cell r="L55">
            <v>0</v>
          </cell>
          <cell r="M55">
            <v>-103449.03</v>
          </cell>
          <cell r="N55">
            <v>74667.7</v>
          </cell>
          <cell r="O55">
            <v>0</v>
          </cell>
          <cell r="P55">
            <v>0</v>
          </cell>
          <cell r="Q55">
            <v>74667.7</v>
          </cell>
          <cell r="R55">
            <v>24608.34</v>
          </cell>
          <cell r="S55">
            <v>0</v>
          </cell>
          <cell r="T55">
            <v>0</v>
          </cell>
          <cell r="U55">
            <v>24608.34</v>
          </cell>
          <cell r="V55">
            <v>4158017</v>
          </cell>
          <cell r="W55">
            <v>0</v>
          </cell>
          <cell r="X55">
            <v>0</v>
          </cell>
          <cell r="Y55">
            <v>4158017</v>
          </cell>
          <cell r="Z55">
            <v>198487.85</v>
          </cell>
          <cell r="AA55">
            <v>0</v>
          </cell>
          <cell r="AB55">
            <v>0</v>
          </cell>
          <cell r="AC55">
            <v>198487.85</v>
          </cell>
          <cell r="AD55">
            <v>1495240.9</v>
          </cell>
          <cell r="AE55">
            <v>0</v>
          </cell>
          <cell r="AF55">
            <v>0</v>
          </cell>
          <cell r="AG55">
            <v>1495240.9</v>
          </cell>
          <cell r="AH55">
            <v>-19665.29</v>
          </cell>
          <cell r="AI55">
            <v>0</v>
          </cell>
          <cell r="AJ55">
            <v>0</v>
          </cell>
          <cell r="AK55">
            <v>-19665.29</v>
          </cell>
          <cell r="AL55">
            <v>5767228.0899999999</v>
          </cell>
          <cell r="AM55">
            <v>0</v>
          </cell>
          <cell r="AN55">
            <v>0</v>
          </cell>
          <cell r="AO55">
            <v>5767228.0899999999</v>
          </cell>
          <cell r="AP55">
            <v>140213</v>
          </cell>
          <cell r="AQ55">
            <v>0</v>
          </cell>
          <cell r="AR55">
            <v>0</v>
          </cell>
          <cell r="AS55">
            <v>140213</v>
          </cell>
          <cell r="AT55">
            <v>109328.52</v>
          </cell>
          <cell r="AU55">
            <v>0</v>
          </cell>
          <cell r="AV55">
            <v>0</v>
          </cell>
          <cell r="AW55">
            <v>109328.52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48907.6</v>
          </cell>
          <cell r="BC55">
            <v>0</v>
          </cell>
          <cell r="BD55">
            <v>0</v>
          </cell>
          <cell r="BE55">
            <v>48907.6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384031.1</v>
          </cell>
          <cell r="BK55">
            <v>0</v>
          </cell>
          <cell r="BL55">
            <v>0</v>
          </cell>
          <cell r="BM55">
            <v>384031.1</v>
          </cell>
          <cell r="BN55">
            <v>-16845.61</v>
          </cell>
          <cell r="BO55">
            <v>0</v>
          </cell>
          <cell r="BP55">
            <v>0</v>
          </cell>
          <cell r="BQ55">
            <v>-16845.61</v>
          </cell>
          <cell r="BR55">
            <v>3199649.48</v>
          </cell>
          <cell r="BS55">
            <v>0</v>
          </cell>
          <cell r="BT55">
            <v>0</v>
          </cell>
          <cell r="BU55">
            <v>3199649.48</v>
          </cell>
          <cell r="BV55">
            <v>122048.11</v>
          </cell>
          <cell r="BW55">
            <v>0</v>
          </cell>
          <cell r="BX55">
            <v>0</v>
          </cell>
          <cell r="BY55">
            <v>122048.11</v>
          </cell>
          <cell r="BZ55">
            <v>325435.52000000002</v>
          </cell>
          <cell r="CA55">
            <v>0</v>
          </cell>
          <cell r="CB55">
            <v>0</v>
          </cell>
          <cell r="CC55">
            <v>325435.52000000002</v>
          </cell>
          <cell r="CD55">
            <v>434.14</v>
          </cell>
          <cell r="CE55">
            <v>0</v>
          </cell>
          <cell r="CF55">
            <v>0</v>
          </cell>
          <cell r="CG55">
            <v>434.14</v>
          </cell>
          <cell r="CH55">
            <v>236377.44</v>
          </cell>
          <cell r="CI55">
            <v>0</v>
          </cell>
          <cell r="CJ55">
            <v>0</v>
          </cell>
          <cell r="CK55">
            <v>236377.44</v>
          </cell>
          <cell r="CL55">
            <v>22562.03</v>
          </cell>
          <cell r="CM55">
            <v>0</v>
          </cell>
          <cell r="CN55">
            <v>0</v>
          </cell>
          <cell r="CO55">
            <v>22562.03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29658.69</v>
          </cell>
          <cell r="CY55">
            <v>0</v>
          </cell>
          <cell r="CZ55">
            <v>0</v>
          </cell>
          <cell r="DA55">
            <v>29658.69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12936</v>
          </cell>
          <cell r="DG55">
            <v>0</v>
          </cell>
          <cell r="DH55">
            <v>0</v>
          </cell>
          <cell r="DI55">
            <v>12936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2465.4299999999998</v>
          </cell>
          <cell r="EK55">
            <v>0</v>
          </cell>
          <cell r="EL55">
            <v>0</v>
          </cell>
          <cell r="EM55">
            <v>2465.4299999999998</v>
          </cell>
        </row>
        <row r="56">
          <cell r="A56">
            <v>50</v>
          </cell>
          <cell r="B56" t="str">
            <v>E2432</v>
          </cell>
          <cell r="C56" t="str">
            <v>SD</v>
          </cell>
          <cell r="D56" t="str">
            <v>EM</v>
          </cell>
          <cell r="E56" t="str">
            <v>Charnwood</v>
          </cell>
          <cell r="F56">
            <v>90503</v>
          </cell>
          <cell r="G56">
            <v>0</v>
          </cell>
          <cell r="H56">
            <v>0</v>
          </cell>
          <cell r="I56">
            <v>90503</v>
          </cell>
          <cell r="J56">
            <v>-22668</v>
          </cell>
          <cell r="K56">
            <v>0</v>
          </cell>
          <cell r="L56">
            <v>0</v>
          </cell>
          <cell r="M56">
            <v>-22668</v>
          </cell>
          <cell r="N56">
            <v>27190</v>
          </cell>
          <cell r="O56">
            <v>0</v>
          </cell>
          <cell r="P56">
            <v>0</v>
          </cell>
          <cell r="Q56">
            <v>27190</v>
          </cell>
          <cell r="R56">
            <v>32329</v>
          </cell>
          <cell r="S56">
            <v>0</v>
          </cell>
          <cell r="T56">
            <v>0</v>
          </cell>
          <cell r="U56">
            <v>32329</v>
          </cell>
          <cell r="V56">
            <v>2941617</v>
          </cell>
          <cell r="W56">
            <v>0</v>
          </cell>
          <cell r="X56">
            <v>0</v>
          </cell>
          <cell r="Y56">
            <v>2941617</v>
          </cell>
          <cell r="Z56">
            <v>73504</v>
          </cell>
          <cell r="AA56">
            <v>0</v>
          </cell>
          <cell r="AB56">
            <v>0</v>
          </cell>
          <cell r="AC56">
            <v>73504</v>
          </cell>
          <cell r="AD56">
            <v>854087</v>
          </cell>
          <cell r="AE56">
            <v>0</v>
          </cell>
          <cell r="AF56">
            <v>0</v>
          </cell>
          <cell r="AG56">
            <v>854087</v>
          </cell>
          <cell r="AH56">
            <v>-24083</v>
          </cell>
          <cell r="AI56">
            <v>0</v>
          </cell>
          <cell r="AJ56">
            <v>0</v>
          </cell>
          <cell r="AK56">
            <v>-24083</v>
          </cell>
          <cell r="AL56">
            <v>5208799</v>
          </cell>
          <cell r="AM56">
            <v>0</v>
          </cell>
          <cell r="AN56">
            <v>0</v>
          </cell>
          <cell r="AO56">
            <v>5208799</v>
          </cell>
          <cell r="AP56">
            <v>6917</v>
          </cell>
          <cell r="AQ56">
            <v>0</v>
          </cell>
          <cell r="AR56">
            <v>0</v>
          </cell>
          <cell r="AS56">
            <v>6917</v>
          </cell>
          <cell r="AT56">
            <v>14369</v>
          </cell>
          <cell r="AU56">
            <v>0</v>
          </cell>
          <cell r="AV56">
            <v>0</v>
          </cell>
          <cell r="AW56">
            <v>14369</v>
          </cell>
          <cell r="AX56">
            <v>-658</v>
          </cell>
          <cell r="AY56">
            <v>0</v>
          </cell>
          <cell r="AZ56">
            <v>0</v>
          </cell>
          <cell r="BA56">
            <v>-658</v>
          </cell>
          <cell r="BB56">
            <v>1309</v>
          </cell>
          <cell r="BC56">
            <v>0</v>
          </cell>
          <cell r="BD56">
            <v>0</v>
          </cell>
          <cell r="BE56">
            <v>1309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57727</v>
          </cell>
          <cell r="BK56">
            <v>0</v>
          </cell>
          <cell r="BL56">
            <v>0</v>
          </cell>
          <cell r="BM56">
            <v>57727</v>
          </cell>
          <cell r="BN56">
            <v>-782610</v>
          </cell>
          <cell r="BO56">
            <v>0</v>
          </cell>
          <cell r="BP56">
            <v>0</v>
          </cell>
          <cell r="BQ56">
            <v>-782610</v>
          </cell>
          <cell r="BR56">
            <v>1609517</v>
          </cell>
          <cell r="BS56">
            <v>0</v>
          </cell>
          <cell r="BT56">
            <v>0</v>
          </cell>
          <cell r="BU56">
            <v>1609517</v>
          </cell>
          <cell r="BV56">
            <v>60335</v>
          </cell>
          <cell r="BW56">
            <v>0</v>
          </cell>
          <cell r="BX56">
            <v>0</v>
          </cell>
          <cell r="BY56">
            <v>60335</v>
          </cell>
          <cell r="BZ56">
            <v>63008</v>
          </cell>
          <cell r="CA56">
            <v>0</v>
          </cell>
          <cell r="CB56">
            <v>0</v>
          </cell>
          <cell r="CC56">
            <v>63008</v>
          </cell>
          <cell r="CD56">
            <v>-22</v>
          </cell>
          <cell r="CE56">
            <v>0</v>
          </cell>
          <cell r="CF56">
            <v>0</v>
          </cell>
          <cell r="CG56">
            <v>-22</v>
          </cell>
          <cell r="CH56">
            <v>175516</v>
          </cell>
          <cell r="CI56">
            <v>0</v>
          </cell>
          <cell r="CJ56">
            <v>0</v>
          </cell>
          <cell r="CK56">
            <v>175516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403</v>
          </cell>
          <cell r="CQ56">
            <v>0</v>
          </cell>
          <cell r="CR56">
            <v>0</v>
          </cell>
          <cell r="CS56">
            <v>403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399</v>
          </cell>
          <cell r="CY56">
            <v>0</v>
          </cell>
          <cell r="CZ56">
            <v>0</v>
          </cell>
          <cell r="DA56">
            <v>399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12125</v>
          </cell>
          <cell r="DO56">
            <v>0</v>
          </cell>
          <cell r="DP56">
            <v>0</v>
          </cell>
          <cell r="DQ56">
            <v>12125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</row>
        <row r="57">
          <cell r="A57">
            <v>51</v>
          </cell>
          <cell r="B57" t="str">
            <v>E1535</v>
          </cell>
          <cell r="C57" t="str">
            <v>SD</v>
          </cell>
          <cell r="D57" t="str">
            <v>E</v>
          </cell>
          <cell r="E57" t="str">
            <v>Chelmsford</v>
          </cell>
          <cell r="F57">
            <v>165348.99</v>
          </cell>
          <cell r="G57">
            <v>0</v>
          </cell>
          <cell r="H57">
            <v>0</v>
          </cell>
          <cell r="I57">
            <v>165348.99</v>
          </cell>
          <cell r="J57">
            <v>-229551.02</v>
          </cell>
          <cell r="K57">
            <v>0</v>
          </cell>
          <cell r="L57">
            <v>0</v>
          </cell>
          <cell r="M57">
            <v>-229551.02</v>
          </cell>
          <cell r="N57">
            <v>69563.320000000007</v>
          </cell>
          <cell r="O57">
            <v>0</v>
          </cell>
          <cell r="P57">
            <v>0</v>
          </cell>
          <cell r="Q57">
            <v>69563.320000000007</v>
          </cell>
          <cell r="R57">
            <v>100148.25</v>
          </cell>
          <cell r="S57">
            <v>0</v>
          </cell>
          <cell r="T57">
            <v>0</v>
          </cell>
          <cell r="U57">
            <v>100148.25</v>
          </cell>
          <cell r="V57">
            <v>2325502.04</v>
          </cell>
          <cell r="W57">
            <v>0</v>
          </cell>
          <cell r="X57">
            <v>0</v>
          </cell>
          <cell r="Y57">
            <v>2325502.04</v>
          </cell>
          <cell r="Z57">
            <v>112119.48</v>
          </cell>
          <cell r="AA57">
            <v>0</v>
          </cell>
          <cell r="AB57">
            <v>0</v>
          </cell>
          <cell r="AC57">
            <v>112119.48</v>
          </cell>
          <cell r="AD57">
            <v>1517005.86</v>
          </cell>
          <cell r="AE57">
            <v>0</v>
          </cell>
          <cell r="AF57">
            <v>0</v>
          </cell>
          <cell r="AG57">
            <v>1517005.86</v>
          </cell>
          <cell r="AH57">
            <v>-30675.83</v>
          </cell>
          <cell r="AI57">
            <v>0</v>
          </cell>
          <cell r="AJ57">
            <v>0</v>
          </cell>
          <cell r="AK57">
            <v>-30675.83</v>
          </cell>
          <cell r="AL57">
            <v>4291931.26</v>
          </cell>
          <cell r="AM57">
            <v>0</v>
          </cell>
          <cell r="AN57">
            <v>0</v>
          </cell>
          <cell r="AO57">
            <v>4291931.26</v>
          </cell>
          <cell r="AP57">
            <v>2602.9299999999998</v>
          </cell>
          <cell r="AQ57">
            <v>0</v>
          </cell>
          <cell r="AR57">
            <v>0</v>
          </cell>
          <cell r="AS57">
            <v>2602.9299999999998</v>
          </cell>
          <cell r="AT57">
            <v>31745.4</v>
          </cell>
          <cell r="AU57">
            <v>0</v>
          </cell>
          <cell r="AV57">
            <v>0</v>
          </cell>
          <cell r="AW57">
            <v>31745.4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8083.16</v>
          </cell>
          <cell r="BC57">
            <v>0</v>
          </cell>
          <cell r="BD57">
            <v>0</v>
          </cell>
          <cell r="BE57">
            <v>8083.16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10849.13</v>
          </cell>
          <cell r="BK57">
            <v>0</v>
          </cell>
          <cell r="BL57">
            <v>0</v>
          </cell>
          <cell r="BM57">
            <v>10849.13</v>
          </cell>
          <cell r="BN57">
            <v>102.08</v>
          </cell>
          <cell r="BO57">
            <v>0</v>
          </cell>
          <cell r="BP57">
            <v>0</v>
          </cell>
          <cell r="BQ57">
            <v>102.08</v>
          </cell>
          <cell r="BR57">
            <v>3207264.2</v>
          </cell>
          <cell r="BS57">
            <v>0</v>
          </cell>
          <cell r="BT57">
            <v>0</v>
          </cell>
          <cell r="BU57">
            <v>3207264.2</v>
          </cell>
          <cell r="BV57">
            <v>176338.66</v>
          </cell>
          <cell r="BW57">
            <v>0</v>
          </cell>
          <cell r="BX57">
            <v>0</v>
          </cell>
          <cell r="BY57">
            <v>176338.66</v>
          </cell>
          <cell r="BZ57">
            <v>7353.22</v>
          </cell>
          <cell r="CA57">
            <v>0</v>
          </cell>
          <cell r="CB57">
            <v>0</v>
          </cell>
          <cell r="CC57">
            <v>7353.22</v>
          </cell>
          <cell r="CD57">
            <v>665.04</v>
          </cell>
          <cell r="CE57">
            <v>0</v>
          </cell>
          <cell r="CF57">
            <v>0</v>
          </cell>
          <cell r="CG57">
            <v>665.04</v>
          </cell>
          <cell r="CH57">
            <v>100922.73</v>
          </cell>
          <cell r="CI57">
            <v>0</v>
          </cell>
          <cell r="CJ57">
            <v>0</v>
          </cell>
          <cell r="CK57">
            <v>100922.73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1504.84</v>
          </cell>
          <cell r="CY57">
            <v>0</v>
          </cell>
          <cell r="CZ57">
            <v>0</v>
          </cell>
          <cell r="DA57">
            <v>1504.84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7930.3</v>
          </cell>
          <cell r="DG57">
            <v>0</v>
          </cell>
          <cell r="DH57">
            <v>0</v>
          </cell>
          <cell r="DI57">
            <v>7930.3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-7443.09</v>
          </cell>
          <cell r="EK57">
            <v>0</v>
          </cell>
          <cell r="EL57">
            <v>0</v>
          </cell>
          <cell r="EM57">
            <v>-7443.09</v>
          </cell>
        </row>
        <row r="58">
          <cell r="A58">
            <v>52</v>
          </cell>
          <cell r="B58" t="str">
            <v>E1631</v>
          </cell>
          <cell r="C58" t="str">
            <v>SD</v>
          </cell>
          <cell r="D58" t="str">
            <v>SW</v>
          </cell>
          <cell r="E58" t="str">
            <v>Cheltenham</v>
          </cell>
          <cell r="F58">
            <v>45700</v>
          </cell>
          <cell r="G58">
            <v>0</v>
          </cell>
          <cell r="H58">
            <v>0</v>
          </cell>
          <cell r="I58">
            <v>45700</v>
          </cell>
          <cell r="J58">
            <v>-130487</v>
          </cell>
          <cell r="K58">
            <v>0</v>
          </cell>
          <cell r="L58">
            <v>0</v>
          </cell>
          <cell r="M58">
            <v>-130487</v>
          </cell>
          <cell r="N58">
            <v>46559</v>
          </cell>
          <cell r="O58">
            <v>0</v>
          </cell>
          <cell r="P58">
            <v>0</v>
          </cell>
          <cell r="Q58">
            <v>46559</v>
          </cell>
          <cell r="R58">
            <v>12494</v>
          </cell>
          <cell r="S58">
            <v>0</v>
          </cell>
          <cell r="T58">
            <v>0</v>
          </cell>
          <cell r="U58">
            <v>12494</v>
          </cell>
          <cell r="V58">
            <v>2132035</v>
          </cell>
          <cell r="W58">
            <v>0</v>
          </cell>
          <cell r="X58">
            <v>0</v>
          </cell>
          <cell r="Y58">
            <v>2132035</v>
          </cell>
          <cell r="Z58">
            <v>60617</v>
          </cell>
          <cell r="AA58">
            <v>0</v>
          </cell>
          <cell r="AB58">
            <v>0</v>
          </cell>
          <cell r="AC58">
            <v>60617</v>
          </cell>
          <cell r="AD58">
            <v>1072740</v>
          </cell>
          <cell r="AE58">
            <v>0</v>
          </cell>
          <cell r="AF58">
            <v>0</v>
          </cell>
          <cell r="AG58">
            <v>1072740</v>
          </cell>
          <cell r="AH58">
            <v>-10174</v>
          </cell>
          <cell r="AI58">
            <v>0</v>
          </cell>
          <cell r="AJ58">
            <v>0</v>
          </cell>
          <cell r="AK58">
            <v>-10174</v>
          </cell>
          <cell r="AL58">
            <v>3497636</v>
          </cell>
          <cell r="AM58">
            <v>0</v>
          </cell>
          <cell r="AN58">
            <v>0</v>
          </cell>
          <cell r="AO58">
            <v>3497636</v>
          </cell>
          <cell r="AP58">
            <v>-43200</v>
          </cell>
          <cell r="AQ58">
            <v>0</v>
          </cell>
          <cell r="AR58">
            <v>0</v>
          </cell>
          <cell r="AS58">
            <v>-43200</v>
          </cell>
          <cell r="AT58">
            <v>26895</v>
          </cell>
          <cell r="AU58">
            <v>0</v>
          </cell>
          <cell r="AV58">
            <v>0</v>
          </cell>
          <cell r="AW58">
            <v>26895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24217</v>
          </cell>
          <cell r="BK58">
            <v>0</v>
          </cell>
          <cell r="BL58">
            <v>0</v>
          </cell>
          <cell r="BM58">
            <v>24217</v>
          </cell>
          <cell r="BN58">
            <v>11672</v>
          </cell>
          <cell r="BO58">
            <v>0</v>
          </cell>
          <cell r="BP58">
            <v>0</v>
          </cell>
          <cell r="BQ58">
            <v>11672</v>
          </cell>
          <cell r="BR58">
            <v>2443380</v>
          </cell>
          <cell r="BS58">
            <v>0</v>
          </cell>
          <cell r="BT58">
            <v>0</v>
          </cell>
          <cell r="BU58">
            <v>2443380</v>
          </cell>
          <cell r="BV58">
            <v>-204293</v>
          </cell>
          <cell r="BW58">
            <v>0</v>
          </cell>
          <cell r="BX58">
            <v>0</v>
          </cell>
          <cell r="BY58">
            <v>-204293</v>
          </cell>
          <cell r="BZ58">
            <v>14368</v>
          </cell>
          <cell r="CA58">
            <v>0</v>
          </cell>
          <cell r="CB58">
            <v>0</v>
          </cell>
          <cell r="CC58">
            <v>14368</v>
          </cell>
          <cell r="CD58">
            <v>-401</v>
          </cell>
          <cell r="CE58">
            <v>0</v>
          </cell>
          <cell r="CF58">
            <v>0</v>
          </cell>
          <cell r="CG58">
            <v>-401</v>
          </cell>
          <cell r="CH58">
            <v>14525</v>
          </cell>
          <cell r="CI58">
            <v>0</v>
          </cell>
          <cell r="CJ58">
            <v>0</v>
          </cell>
          <cell r="CK58">
            <v>14525</v>
          </cell>
          <cell r="CL58">
            <v>518</v>
          </cell>
          <cell r="CM58">
            <v>0</v>
          </cell>
          <cell r="CN58">
            <v>0</v>
          </cell>
          <cell r="CO58">
            <v>518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-28</v>
          </cell>
          <cell r="DS58">
            <v>0</v>
          </cell>
          <cell r="DT58">
            <v>0</v>
          </cell>
          <cell r="DU58">
            <v>-28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</row>
        <row r="59">
          <cell r="A59">
            <v>53</v>
          </cell>
          <cell r="B59" t="str">
            <v>E3131</v>
          </cell>
          <cell r="C59" t="str">
            <v>SD</v>
          </cell>
          <cell r="D59" t="str">
            <v>SE</v>
          </cell>
          <cell r="E59" t="str">
            <v>Cherwell</v>
          </cell>
          <cell r="F59">
            <v>132299</v>
          </cell>
          <cell r="G59">
            <v>0</v>
          </cell>
          <cell r="H59">
            <v>0</v>
          </cell>
          <cell r="I59">
            <v>132299</v>
          </cell>
          <cell r="J59">
            <v>-353013</v>
          </cell>
          <cell r="K59">
            <v>0</v>
          </cell>
          <cell r="L59">
            <v>0</v>
          </cell>
          <cell r="M59">
            <v>-353013</v>
          </cell>
          <cell r="N59">
            <v>39609</v>
          </cell>
          <cell r="O59">
            <v>0</v>
          </cell>
          <cell r="P59">
            <v>0</v>
          </cell>
          <cell r="Q59">
            <v>39609</v>
          </cell>
          <cell r="R59">
            <v>161072</v>
          </cell>
          <cell r="S59">
            <v>0</v>
          </cell>
          <cell r="T59">
            <v>0</v>
          </cell>
          <cell r="U59">
            <v>161072</v>
          </cell>
          <cell r="V59">
            <v>1924365</v>
          </cell>
          <cell r="W59">
            <v>0</v>
          </cell>
          <cell r="X59">
            <v>0</v>
          </cell>
          <cell r="Y59">
            <v>1924365</v>
          </cell>
          <cell r="Z59">
            <v>283930</v>
          </cell>
          <cell r="AA59">
            <v>0</v>
          </cell>
          <cell r="AB59">
            <v>0</v>
          </cell>
          <cell r="AC59">
            <v>283930</v>
          </cell>
          <cell r="AD59">
            <v>1319736</v>
          </cell>
          <cell r="AE59">
            <v>0</v>
          </cell>
          <cell r="AF59">
            <v>0</v>
          </cell>
          <cell r="AG59">
            <v>1319736</v>
          </cell>
          <cell r="AH59">
            <v>25062</v>
          </cell>
          <cell r="AI59">
            <v>0</v>
          </cell>
          <cell r="AJ59">
            <v>0</v>
          </cell>
          <cell r="AK59">
            <v>25062</v>
          </cell>
          <cell r="AL59">
            <v>2361966</v>
          </cell>
          <cell r="AM59">
            <v>0</v>
          </cell>
          <cell r="AN59">
            <v>0</v>
          </cell>
          <cell r="AO59">
            <v>2361966</v>
          </cell>
          <cell r="AP59">
            <v>-32717</v>
          </cell>
          <cell r="AQ59">
            <v>0</v>
          </cell>
          <cell r="AR59">
            <v>0</v>
          </cell>
          <cell r="AS59">
            <v>-32717</v>
          </cell>
          <cell r="AT59">
            <v>50873</v>
          </cell>
          <cell r="AU59">
            <v>0</v>
          </cell>
          <cell r="AV59">
            <v>0</v>
          </cell>
          <cell r="AW59">
            <v>50873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52919</v>
          </cell>
          <cell r="BC59">
            <v>0</v>
          </cell>
          <cell r="BD59">
            <v>0</v>
          </cell>
          <cell r="BE59">
            <v>52919</v>
          </cell>
          <cell r="BF59">
            <v>4735</v>
          </cell>
          <cell r="BG59">
            <v>0</v>
          </cell>
          <cell r="BH59">
            <v>0</v>
          </cell>
          <cell r="BI59">
            <v>4735</v>
          </cell>
          <cell r="BJ59">
            <v>245939</v>
          </cell>
          <cell r="BK59">
            <v>0</v>
          </cell>
          <cell r="BL59">
            <v>0</v>
          </cell>
          <cell r="BM59">
            <v>245939</v>
          </cell>
          <cell r="BN59">
            <v>42078</v>
          </cell>
          <cell r="BO59">
            <v>0</v>
          </cell>
          <cell r="BP59">
            <v>0</v>
          </cell>
          <cell r="BQ59">
            <v>42078</v>
          </cell>
          <cell r="BR59">
            <v>2480526</v>
          </cell>
          <cell r="BS59">
            <v>0</v>
          </cell>
          <cell r="BT59">
            <v>0</v>
          </cell>
          <cell r="BU59">
            <v>2480526</v>
          </cell>
          <cell r="BV59">
            <v>254633</v>
          </cell>
          <cell r="BW59">
            <v>0</v>
          </cell>
          <cell r="BX59">
            <v>0</v>
          </cell>
          <cell r="BY59">
            <v>254633</v>
          </cell>
          <cell r="BZ59">
            <v>59837</v>
          </cell>
          <cell r="CA59">
            <v>0</v>
          </cell>
          <cell r="CB59">
            <v>0</v>
          </cell>
          <cell r="CC59">
            <v>59837</v>
          </cell>
          <cell r="CD59">
            <v>-5368</v>
          </cell>
          <cell r="CE59">
            <v>0</v>
          </cell>
          <cell r="CF59">
            <v>0</v>
          </cell>
          <cell r="CG59">
            <v>-5368</v>
          </cell>
          <cell r="CH59">
            <v>309659</v>
          </cell>
          <cell r="CI59">
            <v>0</v>
          </cell>
          <cell r="CJ59">
            <v>0</v>
          </cell>
          <cell r="CK59">
            <v>309659</v>
          </cell>
          <cell r="CL59">
            <v>3410</v>
          </cell>
          <cell r="CM59">
            <v>0</v>
          </cell>
          <cell r="CN59">
            <v>0</v>
          </cell>
          <cell r="CO59">
            <v>3410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45205</v>
          </cell>
          <cell r="CY59">
            <v>0</v>
          </cell>
          <cell r="CZ59">
            <v>0</v>
          </cell>
          <cell r="DA59">
            <v>45205</v>
          </cell>
          <cell r="DB59">
            <v>3275</v>
          </cell>
          <cell r="DC59">
            <v>0</v>
          </cell>
          <cell r="DD59">
            <v>0</v>
          </cell>
          <cell r="DE59">
            <v>3275</v>
          </cell>
          <cell r="DF59">
            <v>17995</v>
          </cell>
          <cell r="DG59">
            <v>0</v>
          </cell>
          <cell r="DH59">
            <v>0</v>
          </cell>
          <cell r="DI59">
            <v>17995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</row>
        <row r="60">
          <cell r="A60">
            <v>54</v>
          </cell>
          <cell r="B60" t="str">
            <v>E0603</v>
          </cell>
          <cell r="C60" t="str">
            <v>UA</v>
          </cell>
          <cell r="D60" t="str">
            <v>NW</v>
          </cell>
          <cell r="E60" t="str">
            <v>Cheshire East UA</v>
          </cell>
          <cell r="F60">
            <v>325903</v>
          </cell>
          <cell r="G60">
            <v>0</v>
          </cell>
          <cell r="H60">
            <v>0</v>
          </cell>
          <cell r="I60">
            <v>325903</v>
          </cell>
          <cell r="J60">
            <v>-412081</v>
          </cell>
          <cell r="K60">
            <v>0</v>
          </cell>
          <cell r="L60">
            <v>0</v>
          </cell>
          <cell r="M60">
            <v>-412081</v>
          </cell>
          <cell r="N60">
            <v>151305</v>
          </cell>
          <cell r="O60">
            <v>0</v>
          </cell>
          <cell r="P60">
            <v>0</v>
          </cell>
          <cell r="Q60">
            <v>151305</v>
          </cell>
          <cell r="R60">
            <v>546213</v>
          </cell>
          <cell r="S60">
            <v>0</v>
          </cell>
          <cell r="T60">
            <v>0</v>
          </cell>
          <cell r="U60">
            <v>546213</v>
          </cell>
          <cell r="V60">
            <v>7670131</v>
          </cell>
          <cell r="W60">
            <v>0</v>
          </cell>
          <cell r="X60">
            <v>0</v>
          </cell>
          <cell r="Y60">
            <v>7670131</v>
          </cell>
          <cell r="Z60">
            <v>552906</v>
          </cell>
          <cell r="AA60">
            <v>0</v>
          </cell>
          <cell r="AB60">
            <v>0</v>
          </cell>
          <cell r="AC60">
            <v>552906</v>
          </cell>
          <cell r="AD60">
            <v>2593444</v>
          </cell>
          <cell r="AE60">
            <v>0</v>
          </cell>
          <cell r="AF60">
            <v>0</v>
          </cell>
          <cell r="AG60">
            <v>2593444</v>
          </cell>
          <cell r="AH60">
            <v>12434</v>
          </cell>
          <cell r="AI60">
            <v>0</v>
          </cell>
          <cell r="AJ60">
            <v>0</v>
          </cell>
          <cell r="AK60">
            <v>12434</v>
          </cell>
          <cell r="AL60">
            <v>5811172</v>
          </cell>
          <cell r="AM60">
            <v>0</v>
          </cell>
          <cell r="AN60">
            <v>0</v>
          </cell>
          <cell r="AO60">
            <v>5811172</v>
          </cell>
          <cell r="AP60">
            <v>-58274</v>
          </cell>
          <cell r="AQ60">
            <v>0</v>
          </cell>
          <cell r="AR60">
            <v>0</v>
          </cell>
          <cell r="AS60">
            <v>-58274</v>
          </cell>
          <cell r="AT60">
            <v>85395</v>
          </cell>
          <cell r="AU60">
            <v>0</v>
          </cell>
          <cell r="AV60">
            <v>0</v>
          </cell>
          <cell r="AW60">
            <v>85395</v>
          </cell>
          <cell r="AX60">
            <v>-2265</v>
          </cell>
          <cell r="AY60">
            <v>0</v>
          </cell>
          <cell r="AZ60">
            <v>0</v>
          </cell>
          <cell r="BA60">
            <v>-2265</v>
          </cell>
          <cell r="BB60">
            <v>23973</v>
          </cell>
          <cell r="BC60">
            <v>0</v>
          </cell>
          <cell r="BD60">
            <v>0</v>
          </cell>
          <cell r="BE60">
            <v>23973</v>
          </cell>
          <cell r="BF60">
            <v>-1056</v>
          </cell>
          <cell r="BG60">
            <v>0</v>
          </cell>
          <cell r="BH60">
            <v>0</v>
          </cell>
          <cell r="BI60">
            <v>-1056</v>
          </cell>
          <cell r="BJ60">
            <v>422701</v>
          </cell>
          <cell r="BK60">
            <v>0</v>
          </cell>
          <cell r="BL60">
            <v>0</v>
          </cell>
          <cell r="BM60">
            <v>422701</v>
          </cell>
          <cell r="BN60">
            <v>3987</v>
          </cell>
          <cell r="BO60">
            <v>0</v>
          </cell>
          <cell r="BP60">
            <v>0</v>
          </cell>
          <cell r="BQ60">
            <v>3987</v>
          </cell>
          <cell r="BR60">
            <v>5247607</v>
          </cell>
          <cell r="BS60">
            <v>0</v>
          </cell>
          <cell r="BT60">
            <v>0</v>
          </cell>
          <cell r="BU60">
            <v>5247607</v>
          </cell>
          <cell r="BV60">
            <v>19102</v>
          </cell>
          <cell r="BW60">
            <v>0</v>
          </cell>
          <cell r="BX60">
            <v>0</v>
          </cell>
          <cell r="BY60">
            <v>19102</v>
          </cell>
          <cell r="BZ60">
            <v>184613</v>
          </cell>
          <cell r="CA60">
            <v>0</v>
          </cell>
          <cell r="CB60">
            <v>0</v>
          </cell>
          <cell r="CC60">
            <v>184613</v>
          </cell>
          <cell r="CD60">
            <v>-6412</v>
          </cell>
          <cell r="CE60">
            <v>0</v>
          </cell>
          <cell r="CF60">
            <v>0</v>
          </cell>
          <cell r="CG60">
            <v>-6412</v>
          </cell>
          <cell r="CH60">
            <v>48123</v>
          </cell>
          <cell r="CI60">
            <v>0</v>
          </cell>
          <cell r="CJ60">
            <v>0</v>
          </cell>
          <cell r="CK60">
            <v>48123</v>
          </cell>
          <cell r="CL60">
            <v>-99.7</v>
          </cell>
          <cell r="CM60">
            <v>0</v>
          </cell>
          <cell r="CN60">
            <v>0</v>
          </cell>
          <cell r="CO60">
            <v>-99.7</v>
          </cell>
          <cell r="CP60">
            <v>7985</v>
          </cell>
          <cell r="CQ60">
            <v>0</v>
          </cell>
          <cell r="CR60">
            <v>0</v>
          </cell>
          <cell r="CS60">
            <v>7985</v>
          </cell>
          <cell r="CT60">
            <v>360</v>
          </cell>
          <cell r="CU60">
            <v>0</v>
          </cell>
          <cell r="CV60">
            <v>0</v>
          </cell>
          <cell r="CW60">
            <v>360</v>
          </cell>
          <cell r="CX60">
            <v>23973</v>
          </cell>
          <cell r="CY60">
            <v>0</v>
          </cell>
          <cell r="CZ60">
            <v>0</v>
          </cell>
          <cell r="DA60">
            <v>23973</v>
          </cell>
          <cell r="DB60">
            <v>-1056</v>
          </cell>
          <cell r="DC60">
            <v>0</v>
          </cell>
          <cell r="DD60">
            <v>0</v>
          </cell>
          <cell r="DE60">
            <v>-1056</v>
          </cell>
          <cell r="DF60">
            <v>10535</v>
          </cell>
          <cell r="DG60">
            <v>0</v>
          </cell>
          <cell r="DH60">
            <v>0</v>
          </cell>
          <cell r="DI60">
            <v>10535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21055</v>
          </cell>
          <cell r="EG60">
            <v>0</v>
          </cell>
          <cell r="EH60">
            <v>0</v>
          </cell>
          <cell r="EI60">
            <v>21055</v>
          </cell>
          <cell r="EJ60">
            <v>18238</v>
          </cell>
          <cell r="EK60">
            <v>0</v>
          </cell>
          <cell r="EL60">
            <v>0</v>
          </cell>
          <cell r="EM60">
            <v>18238</v>
          </cell>
        </row>
        <row r="61">
          <cell r="A61">
            <v>55</v>
          </cell>
          <cell r="B61" t="str">
            <v>E0604</v>
          </cell>
          <cell r="C61" t="str">
            <v>UA</v>
          </cell>
          <cell r="D61" t="str">
            <v>NW</v>
          </cell>
          <cell r="E61" t="str">
            <v>Cheshire West and Chester UA</v>
          </cell>
          <cell r="F61">
            <v>324419</v>
          </cell>
          <cell r="G61">
            <v>0</v>
          </cell>
          <cell r="H61">
            <v>0</v>
          </cell>
          <cell r="I61">
            <v>324419</v>
          </cell>
          <cell r="J61">
            <v>-609706</v>
          </cell>
          <cell r="K61">
            <v>0</v>
          </cell>
          <cell r="L61">
            <v>0</v>
          </cell>
          <cell r="M61">
            <v>-609706</v>
          </cell>
          <cell r="N61">
            <v>257185</v>
          </cell>
          <cell r="O61">
            <v>0</v>
          </cell>
          <cell r="P61">
            <v>0</v>
          </cell>
          <cell r="Q61">
            <v>257185</v>
          </cell>
          <cell r="R61">
            <v>1817445</v>
          </cell>
          <cell r="S61">
            <v>0</v>
          </cell>
          <cell r="T61">
            <v>0</v>
          </cell>
          <cell r="U61">
            <v>1817445</v>
          </cell>
          <cell r="V61">
            <v>5788225</v>
          </cell>
          <cell r="W61">
            <v>0</v>
          </cell>
          <cell r="X61">
            <v>0</v>
          </cell>
          <cell r="Y61">
            <v>5788225</v>
          </cell>
          <cell r="Z61">
            <v>227935</v>
          </cell>
          <cell r="AA61">
            <v>0</v>
          </cell>
          <cell r="AB61">
            <v>0</v>
          </cell>
          <cell r="AC61">
            <v>227935</v>
          </cell>
          <cell r="AD61">
            <v>3059322</v>
          </cell>
          <cell r="AE61">
            <v>0</v>
          </cell>
          <cell r="AF61">
            <v>0</v>
          </cell>
          <cell r="AG61">
            <v>3059322</v>
          </cell>
          <cell r="AH61">
            <v>-80666</v>
          </cell>
          <cell r="AI61">
            <v>0</v>
          </cell>
          <cell r="AJ61">
            <v>0</v>
          </cell>
          <cell r="AK61">
            <v>-80666</v>
          </cell>
          <cell r="AL61">
            <v>7101327</v>
          </cell>
          <cell r="AM61">
            <v>0</v>
          </cell>
          <cell r="AN61">
            <v>0</v>
          </cell>
          <cell r="AO61">
            <v>7101327</v>
          </cell>
          <cell r="AP61">
            <v>-790241</v>
          </cell>
          <cell r="AQ61">
            <v>0</v>
          </cell>
          <cell r="AR61">
            <v>0</v>
          </cell>
          <cell r="AS61">
            <v>-790241</v>
          </cell>
          <cell r="AT61">
            <v>52723</v>
          </cell>
          <cell r="AU61">
            <v>0</v>
          </cell>
          <cell r="AV61">
            <v>0</v>
          </cell>
          <cell r="AW61">
            <v>52723</v>
          </cell>
          <cell r="AX61">
            <v>136</v>
          </cell>
          <cell r="AY61">
            <v>0</v>
          </cell>
          <cell r="AZ61">
            <v>0</v>
          </cell>
          <cell r="BA61">
            <v>136</v>
          </cell>
          <cell r="BB61">
            <v>61707</v>
          </cell>
          <cell r="BC61">
            <v>0</v>
          </cell>
          <cell r="BD61">
            <v>0</v>
          </cell>
          <cell r="BE61">
            <v>61707</v>
          </cell>
          <cell r="BF61">
            <v>1265</v>
          </cell>
          <cell r="BG61">
            <v>0</v>
          </cell>
          <cell r="BH61">
            <v>0</v>
          </cell>
          <cell r="BI61">
            <v>1265</v>
          </cell>
          <cell r="BJ61">
            <v>100070</v>
          </cell>
          <cell r="BK61">
            <v>0</v>
          </cell>
          <cell r="BL61">
            <v>0</v>
          </cell>
          <cell r="BM61">
            <v>100070</v>
          </cell>
          <cell r="BN61">
            <v>74202</v>
          </cell>
          <cell r="BO61">
            <v>0</v>
          </cell>
          <cell r="BP61">
            <v>0</v>
          </cell>
          <cell r="BQ61">
            <v>74202</v>
          </cell>
          <cell r="BR61">
            <v>6987226</v>
          </cell>
          <cell r="BS61">
            <v>0</v>
          </cell>
          <cell r="BT61">
            <v>0</v>
          </cell>
          <cell r="BU61">
            <v>6987226</v>
          </cell>
          <cell r="BV61">
            <v>207510</v>
          </cell>
          <cell r="BW61">
            <v>0</v>
          </cell>
          <cell r="BX61">
            <v>0</v>
          </cell>
          <cell r="BY61">
            <v>207510</v>
          </cell>
          <cell r="BZ61">
            <v>742616</v>
          </cell>
          <cell r="CA61">
            <v>0</v>
          </cell>
          <cell r="CB61">
            <v>0</v>
          </cell>
          <cell r="CC61">
            <v>742616</v>
          </cell>
          <cell r="CD61">
            <v>1896</v>
          </cell>
          <cell r="CE61">
            <v>0</v>
          </cell>
          <cell r="CF61">
            <v>0</v>
          </cell>
          <cell r="CG61">
            <v>1896</v>
          </cell>
          <cell r="CH61">
            <v>853757</v>
          </cell>
          <cell r="CI61">
            <v>0</v>
          </cell>
          <cell r="CJ61">
            <v>0</v>
          </cell>
          <cell r="CK61">
            <v>853757</v>
          </cell>
          <cell r="CL61">
            <v>490</v>
          </cell>
          <cell r="CM61">
            <v>0</v>
          </cell>
          <cell r="CN61">
            <v>0</v>
          </cell>
          <cell r="CO61">
            <v>490</v>
          </cell>
          <cell r="CP61">
            <v>10327</v>
          </cell>
          <cell r="CQ61">
            <v>0</v>
          </cell>
          <cell r="CR61">
            <v>0</v>
          </cell>
          <cell r="CS61">
            <v>10327</v>
          </cell>
          <cell r="CT61">
            <v>34</v>
          </cell>
          <cell r="CU61">
            <v>0</v>
          </cell>
          <cell r="CV61">
            <v>0</v>
          </cell>
          <cell r="CW61">
            <v>34</v>
          </cell>
          <cell r="CX61">
            <v>61707</v>
          </cell>
          <cell r="CY61">
            <v>0</v>
          </cell>
          <cell r="CZ61">
            <v>0</v>
          </cell>
          <cell r="DA61">
            <v>61707</v>
          </cell>
          <cell r="DB61">
            <v>1265</v>
          </cell>
          <cell r="DC61">
            <v>0</v>
          </cell>
          <cell r="DD61">
            <v>0</v>
          </cell>
          <cell r="DE61">
            <v>1265</v>
          </cell>
          <cell r="DF61">
            <v>23990</v>
          </cell>
          <cell r="DG61">
            <v>0</v>
          </cell>
          <cell r="DH61">
            <v>0</v>
          </cell>
          <cell r="DI61">
            <v>23990</v>
          </cell>
          <cell r="DJ61">
            <v>-3388</v>
          </cell>
          <cell r="DK61">
            <v>0</v>
          </cell>
          <cell r="DL61">
            <v>0</v>
          </cell>
          <cell r="DM61">
            <v>-3388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240</v>
          </cell>
          <cell r="DY61">
            <v>0</v>
          </cell>
          <cell r="DZ61">
            <v>0</v>
          </cell>
          <cell r="EA61">
            <v>240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</row>
        <row r="62">
          <cell r="A62">
            <v>56</v>
          </cell>
          <cell r="B62" t="str">
            <v>E1033</v>
          </cell>
          <cell r="C62" t="str">
            <v>SD</v>
          </cell>
          <cell r="D62" t="str">
            <v>EM</v>
          </cell>
          <cell r="E62" t="str">
            <v>Chesterfield</v>
          </cell>
          <cell r="F62">
            <v>80118</v>
          </cell>
          <cell r="G62">
            <v>0</v>
          </cell>
          <cell r="H62">
            <v>0</v>
          </cell>
          <cell r="I62">
            <v>80118</v>
          </cell>
          <cell r="J62">
            <v>-35477</v>
          </cell>
          <cell r="K62">
            <v>0</v>
          </cell>
          <cell r="L62">
            <v>0</v>
          </cell>
          <cell r="M62">
            <v>-35477</v>
          </cell>
          <cell r="N62">
            <v>164678</v>
          </cell>
          <cell r="O62">
            <v>0</v>
          </cell>
          <cell r="P62">
            <v>0</v>
          </cell>
          <cell r="Q62">
            <v>164678</v>
          </cell>
          <cell r="R62">
            <v>86946</v>
          </cell>
          <cell r="S62">
            <v>0</v>
          </cell>
          <cell r="T62">
            <v>0</v>
          </cell>
          <cell r="U62">
            <v>86946</v>
          </cell>
          <cell r="V62">
            <v>2516759</v>
          </cell>
          <cell r="W62">
            <v>0</v>
          </cell>
          <cell r="X62">
            <v>0</v>
          </cell>
          <cell r="Y62">
            <v>2516759</v>
          </cell>
          <cell r="Z62">
            <v>115444</v>
          </cell>
          <cell r="AA62">
            <v>0</v>
          </cell>
          <cell r="AB62">
            <v>0</v>
          </cell>
          <cell r="AC62">
            <v>115444</v>
          </cell>
          <cell r="AD62">
            <v>651228</v>
          </cell>
          <cell r="AE62">
            <v>0</v>
          </cell>
          <cell r="AF62">
            <v>0</v>
          </cell>
          <cell r="AG62">
            <v>651228</v>
          </cell>
          <cell r="AH62">
            <v>-13682</v>
          </cell>
          <cell r="AI62">
            <v>0</v>
          </cell>
          <cell r="AJ62">
            <v>0</v>
          </cell>
          <cell r="AK62">
            <v>-13682</v>
          </cell>
          <cell r="AL62">
            <v>1278393</v>
          </cell>
          <cell r="AM62">
            <v>0</v>
          </cell>
          <cell r="AN62">
            <v>0</v>
          </cell>
          <cell r="AO62">
            <v>1278393</v>
          </cell>
          <cell r="AP62">
            <v>-15930</v>
          </cell>
          <cell r="AQ62">
            <v>0</v>
          </cell>
          <cell r="AR62">
            <v>0</v>
          </cell>
          <cell r="AS62">
            <v>-15930</v>
          </cell>
          <cell r="AT62">
            <v>21428</v>
          </cell>
          <cell r="AU62">
            <v>0</v>
          </cell>
          <cell r="AV62">
            <v>0</v>
          </cell>
          <cell r="AW62">
            <v>21428</v>
          </cell>
          <cell r="AX62">
            <v>30</v>
          </cell>
          <cell r="AY62">
            <v>0</v>
          </cell>
          <cell r="AZ62">
            <v>0</v>
          </cell>
          <cell r="BA62">
            <v>30</v>
          </cell>
          <cell r="BB62">
            <v>3156</v>
          </cell>
          <cell r="BC62">
            <v>0</v>
          </cell>
          <cell r="BD62">
            <v>0</v>
          </cell>
          <cell r="BE62">
            <v>3156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9929</v>
          </cell>
          <cell r="BK62">
            <v>0</v>
          </cell>
          <cell r="BL62">
            <v>0</v>
          </cell>
          <cell r="BM62">
            <v>9929</v>
          </cell>
          <cell r="BN62">
            <v>17739</v>
          </cell>
          <cell r="BO62">
            <v>0</v>
          </cell>
          <cell r="BP62">
            <v>0</v>
          </cell>
          <cell r="BQ62">
            <v>17739</v>
          </cell>
          <cell r="BR62">
            <v>1385605</v>
          </cell>
          <cell r="BS62">
            <v>0</v>
          </cell>
          <cell r="BT62">
            <v>0</v>
          </cell>
          <cell r="BU62">
            <v>1385605</v>
          </cell>
          <cell r="BV62">
            <v>-239879</v>
          </cell>
          <cell r="BW62">
            <v>0</v>
          </cell>
          <cell r="BX62">
            <v>0</v>
          </cell>
          <cell r="BY62">
            <v>-239879</v>
          </cell>
          <cell r="BZ62">
            <v>30857</v>
          </cell>
          <cell r="CA62">
            <v>0</v>
          </cell>
          <cell r="CB62">
            <v>0</v>
          </cell>
          <cell r="CC62">
            <v>30857</v>
          </cell>
          <cell r="CD62">
            <v>226</v>
          </cell>
          <cell r="CE62">
            <v>0</v>
          </cell>
          <cell r="CF62">
            <v>0</v>
          </cell>
          <cell r="CG62">
            <v>226</v>
          </cell>
          <cell r="CH62">
            <v>20952</v>
          </cell>
          <cell r="CI62">
            <v>0</v>
          </cell>
          <cell r="CJ62">
            <v>0</v>
          </cell>
          <cell r="CK62">
            <v>20952</v>
          </cell>
          <cell r="CL62">
            <v>-641</v>
          </cell>
          <cell r="CM62">
            <v>0</v>
          </cell>
          <cell r="CN62">
            <v>0</v>
          </cell>
          <cell r="CO62">
            <v>-641</v>
          </cell>
          <cell r="CP62">
            <v>935</v>
          </cell>
          <cell r="CQ62">
            <v>0</v>
          </cell>
          <cell r="CR62">
            <v>0</v>
          </cell>
          <cell r="CS62">
            <v>935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</row>
        <row r="63">
          <cell r="A63">
            <v>57</v>
          </cell>
          <cell r="B63" t="str">
            <v>E3833</v>
          </cell>
          <cell r="C63" t="str">
            <v>SD</v>
          </cell>
          <cell r="D63" t="str">
            <v>SE</v>
          </cell>
          <cell r="E63" t="str">
            <v>Chichester</v>
          </cell>
          <cell r="F63">
            <v>81609</v>
          </cell>
          <cell r="G63">
            <v>0</v>
          </cell>
          <cell r="H63">
            <v>0</v>
          </cell>
          <cell r="I63">
            <v>81609</v>
          </cell>
          <cell r="J63">
            <v>-96758</v>
          </cell>
          <cell r="K63">
            <v>0</v>
          </cell>
          <cell r="L63">
            <v>0</v>
          </cell>
          <cell r="M63">
            <v>-96758</v>
          </cell>
          <cell r="N63">
            <v>20189</v>
          </cell>
          <cell r="O63">
            <v>0</v>
          </cell>
          <cell r="P63">
            <v>0</v>
          </cell>
          <cell r="Q63">
            <v>20189</v>
          </cell>
          <cell r="R63">
            <v>62982</v>
          </cell>
          <cell r="S63">
            <v>0</v>
          </cell>
          <cell r="T63">
            <v>0</v>
          </cell>
          <cell r="U63">
            <v>62982</v>
          </cell>
          <cell r="V63">
            <v>2799326</v>
          </cell>
          <cell r="W63">
            <v>0</v>
          </cell>
          <cell r="X63">
            <v>0</v>
          </cell>
          <cell r="Y63">
            <v>2799326</v>
          </cell>
          <cell r="Z63">
            <v>85603</v>
          </cell>
          <cell r="AA63">
            <v>0</v>
          </cell>
          <cell r="AB63">
            <v>0</v>
          </cell>
          <cell r="AC63">
            <v>85603</v>
          </cell>
          <cell r="AD63">
            <v>819393</v>
          </cell>
          <cell r="AE63">
            <v>0</v>
          </cell>
          <cell r="AF63">
            <v>0</v>
          </cell>
          <cell r="AG63">
            <v>819393</v>
          </cell>
          <cell r="AH63">
            <v>-3118</v>
          </cell>
          <cell r="AI63">
            <v>0</v>
          </cell>
          <cell r="AJ63">
            <v>0</v>
          </cell>
          <cell r="AK63">
            <v>-3118</v>
          </cell>
          <cell r="AL63">
            <v>3133954</v>
          </cell>
          <cell r="AM63">
            <v>0</v>
          </cell>
          <cell r="AN63">
            <v>0</v>
          </cell>
          <cell r="AO63">
            <v>3133954</v>
          </cell>
          <cell r="AP63">
            <v>4911</v>
          </cell>
          <cell r="AQ63">
            <v>0</v>
          </cell>
          <cell r="AR63">
            <v>0</v>
          </cell>
          <cell r="AS63">
            <v>4911</v>
          </cell>
          <cell r="AT63">
            <v>30425</v>
          </cell>
          <cell r="AU63">
            <v>0</v>
          </cell>
          <cell r="AV63">
            <v>0</v>
          </cell>
          <cell r="AW63">
            <v>30425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44843</v>
          </cell>
          <cell r="BC63">
            <v>0</v>
          </cell>
          <cell r="BD63">
            <v>0</v>
          </cell>
          <cell r="BE63">
            <v>44843</v>
          </cell>
          <cell r="BF63">
            <v>1003</v>
          </cell>
          <cell r="BG63">
            <v>0</v>
          </cell>
          <cell r="BH63">
            <v>0</v>
          </cell>
          <cell r="BI63">
            <v>1003</v>
          </cell>
          <cell r="BJ63">
            <v>41590</v>
          </cell>
          <cell r="BK63">
            <v>0</v>
          </cell>
          <cell r="BL63">
            <v>0</v>
          </cell>
          <cell r="BM63">
            <v>41590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929330</v>
          </cell>
          <cell r="BS63">
            <v>0</v>
          </cell>
          <cell r="BT63">
            <v>0</v>
          </cell>
          <cell r="BU63">
            <v>929330</v>
          </cell>
          <cell r="BV63">
            <v>49788</v>
          </cell>
          <cell r="BW63">
            <v>0</v>
          </cell>
          <cell r="BX63">
            <v>0</v>
          </cell>
          <cell r="BY63">
            <v>49788</v>
          </cell>
          <cell r="BZ63">
            <v>10156</v>
          </cell>
          <cell r="CA63">
            <v>0</v>
          </cell>
          <cell r="CB63">
            <v>0</v>
          </cell>
          <cell r="CC63">
            <v>10156</v>
          </cell>
          <cell r="CD63">
            <v>643</v>
          </cell>
          <cell r="CE63">
            <v>0</v>
          </cell>
          <cell r="CF63">
            <v>0</v>
          </cell>
          <cell r="CG63">
            <v>643</v>
          </cell>
          <cell r="CH63">
            <v>5634</v>
          </cell>
          <cell r="CI63">
            <v>0</v>
          </cell>
          <cell r="CJ63">
            <v>0</v>
          </cell>
          <cell r="CK63">
            <v>5634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42894</v>
          </cell>
          <cell r="CY63">
            <v>0</v>
          </cell>
          <cell r="CZ63">
            <v>0</v>
          </cell>
          <cell r="DA63">
            <v>42894</v>
          </cell>
          <cell r="DB63">
            <v>245</v>
          </cell>
          <cell r="DC63">
            <v>0</v>
          </cell>
          <cell r="DD63">
            <v>0</v>
          </cell>
          <cell r="DE63">
            <v>245</v>
          </cell>
          <cell r="DF63">
            <v>8112</v>
          </cell>
          <cell r="DG63">
            <v>0</v>
          </cell>
          <cell r="DH63">
            <v>0</v>
          </cell>
          <cell r="DI63">
            <v>8112</v>
          </cell>
          <cell r="DJ63">
            <v>17</v>
          </cell>
          <cell r="DK63">
            <v>0</v>
          </cell>
          <cell r="DL63">
            <v>0</v>
          </cell>
          <cell r="DM63">
            <v>17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</row>
        <row r="64">
          <cell r="A64">
            <v>58</v>
          </cell>
          <cell r="B64" t="str">
            <v>E0432</v>
          </cell>
          <cell r="C64" t="str">
            <v>SD</v>
          </cell>
          <cell r="D64" t="str">
            <v>SE</v>
          </cell>
          <cell r="E64" t="str">
            <v>Chiltern</v>
          </cell>
          <cell r="F64">
            <v>86213.95</v>
          </cell>
          <cell r="G64">
            <v>0</v>
          </cell>
          <cell r="H64">
            <v>0</v>
          </cell>
          <cell r="I64">
            <v>86213.95</v>
          </cell>
          <cell r="J64">
            <v>-15300.82</v>
          </cell>
          <cell r="K64">
            <v>0</v>
          </cell>
          <cell r="L64">
            <v>0</v>
          </cell>
          <cell r="M64">
            <v>-15300.82</v>
          </cell>
          <cell r="N64">
            <v>60958.63</v>
          </cell>
          <cell r="O64">
            <v>0</v>
          </cell>
          <cell r="P64">
            <v>0</v>
          </cell>
          <cell r="Q64">
            <v>60958.63</v>
          </cell>
          <cell r="R64">
            <v>48819.48</v>
          </cell>
          <cell r="S64">
            <v>0</v>
          </cell>
          <cell r="T64">
            <v>0</v>
          </cell>
          <cell r="U64">
            <v>48819.48</v>
          </cell>
          <cell r="V64">
            <v>1338159.8</v>
          </cell>
          <cell r="W64">
            <v>0</v>
          </cell>
          <cell r="X64">
            <v>0</v>
          </cell>
          <cell r="Y64">
            <v>1338159.8</v>
          </cell>
          <cell r="Z64">
            <v>144417.32999999999</v>
          </cell>
          <cell r="AA64">
            <v>0</v>
          </cell>
          <cell r="AB64">
            <v>0</v>
          </cell>
          <cell r="AC64">
            <v>144417.32999999999</v>
          </cell>
          <cell r="AD64">
            <v>383632.37</v>
          </cell>
          <cell r="AE64">
            <v>0</v>
          </cell>
          <cell r="AF64">
            <v>0</v>
          </cell>
          <cell r="AG64">
            <v>383632.37</v>
          </cell>
          <cell r="AH64">
            <v>-8490.36</v>
          </cell>
          <cell r="AI64">
            <v>0</v>
          </cell>
          <cell r="AJ64">
            <v>0</v>
          </cell>
          <cell r="AK64">
            <v>-8490.36</v>
          </cell>
          <cell r="AL64">
            <v>2218812.58</v>
          </cell>
          <cell r="AM64">
            <v>0</v>
          </cell>
          <cell r="AN64">
            <v>0</v>
          </cell>
          <cell r="AO64">
            <v>2218812.58</v>
          </cell>
          <cell r="AP64">
            <v>-2537.3200000000002</v>
          </cell>
          <cell r="AQ64">
            <v>0</v>
          </cell>
          <cell r="AR64">
            <v>0</v>
          </cell>
          <cell r="AS64">
            <v>-2537.3200000000002</v>
          </cell>
          <cell r="AT64">
            <v>32922.9</v>
          </cell>
          <cell r="AU64">
            <v>0</v>
          </cell>
          <cell r="AV64">
            <v>0</v>
          </cell>
          <cell r="AW64">
            <v>32922.9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19009.900000000001</v>
          </cell>
          <cell r="BC64">
            <v>0</v>
          </cell>
          <cell r="BD64">
            <v>0</v>
          </cell>
          <cell r="BE64">
            <v>19009.900000000001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130.06</v>
          </cell>
          <cell r="BK64">
            <v>0</v>
          </cell>
          <cell r="BL64">
            <v>0</v>
          </cell>
          <cell r="BM64">
            <v>130.06</v>
          </cell>
          <cell r="BN64">
            <v>-3625.93</v>
          </cell>
          <cell r="BO64">
            <v>0</v>
          </cell>
          <cell r="BP64">
            <v>0</v>
          </cell>
          <cell r="BQ64">
            <v>-3625.93</v>
          </cell>
          <cell r="BR64">
            <v>788523.35</v>
          </cell>
          <cell r="BS64">
            <v>0</v>
          </cell>
          <cell r="BT64">
            <v>0</v>
          </cell>
          <cell r="BU64">
            <v>788523.35</v>
          </cell>
          <cell r="BV64">
            <v>8574.17</v>
          </cell>
          <cell r="BW64">
            <v>0</v>
          </cell>
          <cell r="BX64">
            <v>0</v>
          </cell>
          <cell r="BY64">
            <v>8574.17</v>
          </cell>
          <cell r="BZ64">
            <v>103917.44</v>
          </cell>
          <cell r="CA64">
            <v>0</v>
          </cell>
          <cell r="CB64">
            <v>0</v>
          </cell>
          <cell r="CC64">
            <v>103917.44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42412.87</v>
          </cell>
          <cell r="CI64">
            <v>0</v>
          </cell>
          <cell r="CJ64">
            <v>0</v>
          </cell>
          <cell r="CK64">
            <v>42412.87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4735.91</v>
          </cell>
          <cell r="CQ64">
            <v>0</v>
          </cell>
          <cell r="CR64">
            <v>0</v>
          </cell>
          <cell r="CS64">
            <v>4735.91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6391.76</v>
          </cell>
          <cell r="CY64">
            <v>0</v>
          </cell>
          <cell r="CZ64">
            <v>0</v>
          </cell>
          <cell r="DA64">
            <v>6391.76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24531.919999999998</v>
          </cell>
          <cell r="EC64">
            <v>0</v>
          </cell>
          <cell r="ED64">
            <v>0</v>
          </cell>
          <cell r="EE64">
            <v>24531.919999999998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</row>
        <row r="65">
          <cell r="A65">
            <v>59</v>
          </cell>
          <cell r="B65" t="str">
            <v>E2334</v>
          </cell>
          <cell r="C65" t="str">
            <v>SD</v>
          </cell>
          <cell r="D65" t="str">
            <v>NW</v>
          </cell>
          <cell r="E65" t="str">
            <v>Chorley</v>
          </cell>
          <cell r="F65">
            <v>107863</v>
          </cell>
          <cell r="G65">
            <v>0</v>
          </cell>
          <cell r="H65">
            <v>0</v>
          </cell>
          <cell r="I65">
            <v>107863</v>
          </cell>
          <cell r="J65">
            <v>-6981</v>
          </cell>
          <cell r="K65">
            <v>0</v>
          </cell>
          <cell r="L65">
            <v>0</v>
          </cell>
          <cell r="M65">
            <v>-6981</v>
          </cell>
          <cell r="N65">
            <v>27734</v>
          </cell>
          <cell r="O65">
            <v>0</v>
          </cell>
          <cell r="P65">
            <v>0</v>
          </cell>
          <cell r="Q65">
            <v>27734</v>
          </cell>
          <cell r="R65">
            <v>33803</v>
          </cell>
          <cell r="S65">
            <v>0</v>
          </cell>
          <cell r="T65">
            <v>0</v>
          </cell>
          <cell r="U65">
            <v>33803</v>
          </cell>
          <cell r="V65">
            <v>2236040</v>
          </cell>
          <cell r="W65">
            <v>0</v>
          </cell>
          <cell r="X65">
            <v>0</v>
          </cell>
          <cell r="Y65">
            <v>2236040</v>
          </cell>
          <cell r="Z65">
            <v>64109</v>
          </cell>
          <cell r="AA65">
            <v>0</v>
          </cell>
          <cell r="AB65">
            <v>0</v>
          </cell>
          <cell r="AC65">
            <v>64109</v>
          </cell>
          <cell r="AD65">
            <v>508572</v>
          </cell>
          <cell r="AE65">
            <v>0</v>
          </cell>
          <cell r="AF65">
            <v>0</v>
          </cell>
          <cell r="AG65">
            <v>508572</v>
          </cell>
          <cell r="AH65">
            <v>12974</v>
          </cell>
          <cell r="AI65">
            <v>0</v>
          </cell>
          <cell r="AJ65">
            <v>0</v>
          </cell>
          <cell r="AK65">
            <v>12974</v>
          </cell>
          <cell r="AL65">
            <v>1914588</v>
          </cell>
          <cell r="AM65">
            <v>0</v>
          </cell>
          <cell r="AN65">
            <v>0</v>
          </cell>
          <cell r="AO65">
            <v>1914588</v>
          </cell>
          <cell r="AP65">
            <v>-35807</v>
          </cell>
          <cell r="AQ65">
            <v>0</v>
          </cell>
          <cell r="AR65">
            <v>0</v>
          </cell>
          <cell r="AS65">
            <v>-35807</v>
          </cell>
          <cell r="AT65">
            <v>26622</v>
          </cell>
          <cell r="AU65">
            <v>0</v>
          </cell>
          <cell r="AV65">
            <v>0</v>
          </cell>
          <cell r="AW65">
            <v>26622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6341</v>
          </cell>
          <cell r="BC65">
            <v>0</v>
          </cell>
          <cell r="BD65">
            <v>0</v>
          </cell>
          <cell r="BE65">
            <v>6341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516</v>
          </cell>
          <cell r="BK65">
            <v>0</v>
          </cell>
          <cell r="BL65">
            <v>0</v>
          </cell>
          <cell r="BM65">
            <v>516</v>
          </cell>
          <cell r="BN65">
            <v>2543</v>
          </cell>
          <cell r="BO65">
            <v>0</v>
          </cell>
          <cell r="BP65">
            <v>0</v>
          </cell>
          <cell r="BQ65">
            <v>2543</v>
          </cell>
          <cell r="BR65">
            <v>713298</v>
          </cell>
          <cell r="BS65">
            <v>0</v>
          </cell>
          <cell r="BT65">
            <v>0</v>
          </cell>
          <cell r="BU65">
            <v>713298</v>
          </cell>
          <cell r="BV65">
            <v>-79560</v>
          </cell>
          <cell r="BW65">
            <v>0</v>
          </cell>
          <cell r="BX65">
            <v>0</v>
          </cell>
          <cell r="BY65">
            <v>-79560</v>
          </cell>
          <cell r="BZ65">
            <v>8205</v>
          </cell>
          <cell r="CA65">
            <v>0</v>
          </cell>
          <cell r="CB65">
            <v>0</v>
          </cell>
          <cell r="CC65">
            <v>8205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3792</v>
          </cell>
          <cell r="CI65">
            <v>0</v>
          </cell>
          <cell r="CJ65">
            <v>0</v>
          </cell>
          <cell r="CK65">
            <v>3792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</row>
        <row r="66">
          <cell r="A66">
            <v>60</v>
          </cell>
          <cell r="B66" t="str">
            <v>E1232</v>
          </cell>
          <cell r="C66" t="str">
            <v>SD</v>
          </cell>
          <cell r="D66" t="str">
            <v>SW</v>
          </cell>
          <cell r="E66" t="str">
            <v>Christchurch</v>
          </cell>
          <cell r="F66">
            <v>33102.83</v>
          </cell>
          <cell r="G66">
            <v>0</v>
          </cell>
          <cell r="H66">
            <v>0</v>
          </cell>
          <cell r="I66">
            <v>33102.83</v>
          </cell>
          <cell r="J66">
            <v>-89722</v>
          </cell>
          <cell r="K66">
            <v>0</v>
          </cell>
          <cell r="L66">
            <v>0</v>
          </cell>
          <cell r="M66">
            <v>-89722</v>
          </cell>
          <cell r="N66">
            <v>21902</v>
          </cell>
          <cell r="O66">
            <v>0</v>
          </cell>
          <cell r="P66">
            <v>0</v>
          </cell>
          <cell r="Q66">
            <v>21902</v>
          </cell>
          <cell r="R66">
            <v>78789</v>
          </cell>
          <cell r="S66">
            <v>0</v>
          </cell>
          <cell r="T66">
            <v>0</v>
          </cell>
          <cell r="U66">
            <v>78789</v>
          </cell>
          <cell r="V66">
            <v>1103276</v>
          </cell>
          <cell r="W66">
            <v>0</v>
          </cell>
          <cell r="X66">
            <v>0</v>
          </cell>
          <cell r="Y66">
            <v>1103276</v>
          </cell>
          <cell r="Z66">
            <v>35490</v>
          </cell>
          <cell r="AA66">
            <v>0</v>
          </cell>
          <cell r="AB66">
            <v>0</v>
          </cell>
          <cell r="AC66">
            <v>35490</v>
          </cell>
          <cell r="AD66">
            <v>331733</v>
          </cell>
          <cell r="AE66">
            <v>0</v>
          </cell>
          <cell r="AF66">
            <v>0</v>
          </cell>
          <cell r="AG66">
            <v>331733</v>
          </cell>
          <cell r="AH66">
            <v>18506</v>
          </cell>
          <cell r="AI66">
            <v>0</v>
          </cell>
          <cell r="AJ66">
            <v>0</v>
          </cell>
          <cell r="AK66">
            <v>18506</v>
          </cell>
          <cell r="AL66">
            <v>601401</v>
          </cell>
          <cell r="AM66">
            <v>0</v>
          </cell>
          <cell r="AN66">
            <v>0</v>
          </cell>
          <cell r="AO66">
            <v>601401</v>
          </cell>
          <cell r="AP66">
            <v>-106788</v>
          </cell>
          <cell r="AQ66">
            <v>0</v>
          </cell>
          <cell r="AR66">
            <v>0</v>
          </cell>
          <cell r="AS66">
            <v>-106788</v>
          </cell>
          <cell r="AT66">
            <v>35626</v>
          </cell>
          <cell r="AU66">
            <v>0</v>
          </cell>
          <cell r="AV66">
            <v>0</v>
          </cell>
          <cell r="AW66">
            <v>35626</v>
          </cell>
          <cell r="AX66">
            <v>1897</v>
          </cell>
          <cell r="AY66">
            <v>0</v>
          </cell>
          <cell r="AZ66">
            <v>0</v>
          </cell>
          <cell r="BA66">
            <v>1897</v>
          </cell>
          <cell r="BB66">
            <v>1672</v>
          </cell>
          <cell r="BC66">
            <v>0</v>
          </cell>
          <cell r="BD66">
            <v>0</v>
          </cell>
          <cell r="BE66">
            <v>1672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632</v>
          </cell>
          <cell r="BK66">
            <v>0</v>
          </cell>
          <cell r="BL66">
            <v>0</v>
          </cell>
          <cell r="BM66">
            <v>632</v>
          </cell>
          <cell r="BN66">
            <v>8358</v>
          </cell>
          <cell r="BO66">
            <v>0</v>
          </cell>
          <cell r="BP66">
            <v>0</v>
          </cell>
          <cell r="BQ66">
            <v>8358</v>
          </cell>
          <cell r="BR66">
            <v>671773</v>
          </cell>
          <cell r="BS66">
            <v>0</v>
          </cell>
          <cell r="BT66">
            <v>0</v>
          </cell>
          <cell r="BU66">
            <v>671773</v>
          </cell>
          <cell r="BV66">
            <v>23331</v>
          </cell>
          <cell r="BW66">
            <v>0</v>
          </cell>
          <cell r="BX66">
            <v>0</v>
          </cell>
          <cell r="BY66">
            <v>23331</v>
          </cell>
          <cell r="BZ66">
            <v>4186</v>
          </cell>
          <cell r="CA66">
            <v>0</v>
          </cell>
          <cell r="CB66">
            <v>0</v>
          </cell>
          <cell r="CC66">
            <v>4186</v>
          </cell>
          <cell r="CD66">
            <v>-1511</v>
          </cell>
          <cell r="CE66">
            <v>0</v>
          </cell>
          <cell r="CF66">
            <v>0</v>
          </cell>
          <cell r="CG66">
            <v>-1511</v>
          </cell>
          <cell r="CH66">
            <v>39782</v>
          </cell>
          <cell r="CI66">
            <v>0</v>
          </cell>
          <cell r="CJ66">
            <v>0</v>
          </cell>
          <cell r="CK66">
            <v>39782</v>
          </cell>
          <cell r="CL66">
            <v>-225</v>
          </cell>
          <cell r="CM66">
            <v>0</v>
          </cell>
          <cell r="CN66">
            <v>0</v>
          </cell>
          <cell r="CO66">
            <v>-225</v>
          </cell>
          <cell r="CP66">
            <v>1507</v>
          </cell>
          <cell r="CQ66">
            <v>0</v>
          </cell>
          <cell r="CR66">
            <v>0</v>
          </cell>
          <cell r="CS66">
            <v>1507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</row>
        <row r="67">
          <cell r="A67">
            <v>61</v>
          </cell>
          <cell r="B67" t="str">
            <v>E5010</v>
          </cell>
          <cell r="C67" t="str">
            <v>ILB</v>
          </cell>
          <cell r="D67" t="str">
            <v>L</v>
          </cell>
          <cell r="E67" t="str">
            <v>City of London</v>
          </cell>
          <cell r="F67">
            <v>365489</v>
          </cell>
          <cell r="G67">
            <v>0</v>
          </cell>
          <cell r="H67">
            <v>0</v>
          </cell>
          <cell r="I67">
            <v>365489</v>
          </cell>
          <cell r="J67">
            <v>446641</v>
          </cell>
          <cell r="K67">
            <v>0</v>
          </cell>
          <cell r="L67">
            <v>0</v>
          </cell>
          <cell r="M67">
            <v>446641</v>
          </cell>
          <cell r="N67">
            <v>117489</v>
          </cell>
          <cell r="O67">
            <v>0</v>
          </cell>
          <cell r="P67">
            <v>0</v>
          </cell>
          <cell r="Q67">
            <v>117489</v>
          </cell>
          <cell r="R67">
            <v>-817921</v>
          </cell>
          <cell r="S67">
            <v>0</v>
          </cell>
          <cell r="T67">
            <v>0</v>
          </cell>
          <cell r="U67">
            <v>-817921</v>
          </cell>
          <cell r="V67">
            <v>368413</v>
          </cell>
          <cell r="W67">
            <v>0</v>
          </cell>
          <cell r="X67">
            <v>0</v>
          </cell>
          <cell r="Y67">
            <v>368413</v>
          </cell>
          <cell r="Z67">
            <v>25745</v>
          </cell>
          <cell r="AA67">
            <v>0</v>
          </cell>
          <cell r="AB67">
            <v>0</v>
          </cell>
          <cell r="AC67">
            <v>25745</v>
          </cell>
          <cell r="AD67">
            <v>16035196</v>
          </cell>
          <cell r="AE67">
            <v>0</v>
          </cell>
          <cell r="AF67">
            <v>0</v>
          </cell>
          <cell r="AG67">
            <v>16035196</v>
          </cell>
          <cell r="AH67">
            <v>527754</v>
          </cell>
          <cell r="AI67">
            <v>0</v>
          </cell>
          <cell r="AJ67">
            <v>0</v>
          </cell>
          <cell r="AK67">
            <v>527754</v>
          </cell>
          <cell r="AL67">
            <v>10168511</v>
          </cell>
          <cell r="AM67">
            <v>0</v>
          </cell>
          <cell r="AN67">
            <v>0</v>
          </cell>
          <cell r="AO67">
            <v>10168511</v>
          </cell>
          <cell r="AP67">
            <v>30217</v>
          </cell>
          <cell r="AQ67">
            <v>0</v>
          </cell>
          <cell r="AR67">
            <v>0</v>
          </cell>
          <cell r="AS67">
            <v>30217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811742</v>
          </cell>
          <cell r="BK67">
            <v>0</v>
          </cell>
          <cell r="BL67">
            <v>0</v>
          </cell>
          <cell r="BM67">
            <v>811742</v>
          </cell>
          <cell r="BN67">
            <v>3875370</v>
          </cell>
          <cell r="BO67">
            <v>0</v>
          </cell>
          <cell r="BP67">
            <v>0</v>
          </cell>
          <cell r="BQ67">
            <v>3875370</v>
          </cell>
          <cell r="BR67">
            <v>34285468</v>
          </cell>
          <cell r="BS67">
            <v>0</v>
          </cell>
          <cell r="BT67">
            <v>0</v>
          </cell>
          <cell r="BU67">
            <v>34285468</v>
          </cell>
          <cell r="BV67">
            <v>472411</v>
          </cell>
          <cell r="BW67">
            <v>0</v>
          </cell>
          <cell r="BX67">
            <v>0</v>
          </cell>
          <cell r="BY67">
            <v>472411</v>
          </cell>
          <cell r="BZ67">
            <v>132990</v>
          </cell>
          <cell r="CA67">
            <v>0</v>
          </cell>
          <cell r="CB67">
            <v>0</v>
          </cell>
          <cell r="CC67">
            <v>132990</v>
          </cell>
          <cell r="CD67">
            <v>4182</v>
          </cell>
          <cell r="CE67">
            <v>0</v>
          </cell>
          <cell r="CF67">
            <v>0</v>
          </cell>
          <cell r="CG67">
            <v>4182</v>
          </cell>
          <cell r="CH67">
            <v>480625</v>
          </cell>
          <cell r="CI67">
            <v>0</v>
          </cell>
          <cell r="CJ67">
            <v>0</v>
          </cell>
          <cell r="CK67">
            <v>480625</v>
          </cell>
          <cell r="CL67">
            <v>-4181</v>
          </cell>
          <cell r="CM67">
            <v>0</v>
          </cell>
          <cell r="CN67">
            <v>0</v>
          </cell>
          <cell r="CO67">
            <v>-4181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42626</v>
          </cell>
          <cell r="EG67">
            <v>0</v>
          </cell>
          <cell r="EH67">
            <v>0</v>
          </cell>
          <cell r="EI67">
            <v>42626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</row>
        <row r="68">
          <cell r="A68">
            <v>62</v>
          </cell>
          <cell r="B68" t="str">
            <v>E1536</v>
          </cell>
          <cell r="C68" t="str">
            <v>SD</v>
          </cell>
          <cell r="D68" t="str">
            <v>E</v>
          </cell>
          <cell r="E68" t="str">
            <v>Colchester</v>
          </cell>
          <cell r="F68">
            <v>110938</v>
          </cell>
          <cell r="G68">
            <v>0</v>
          </cell>
          <cell r="H68">
            <v>0</v>
          </cell>
          <cell r="I68">
            <v>110938</v>
          </cell>
          <cell r="J68">
            <v>-53587</v>
          </cell>
          <cell r="K68">
            <v>0</v>
          </cell>
          <cell r="L68">
            <v>0</v>
          </cell>
          <cell r="M68">
            <v>-53587</v>
          </cell>
          <cell r="N68">
            <v>160112</v>
          </cell>
          <cell r="O68">
            <v>0</v>
          </cell>
          <cell r="P68">
            <v>0</v>
          </cell>
          <cell r="Q68">
            <v>160112</v>
          </cell>
          <cell r="R68">
            <v>211311</v>
          </cell>
          <cell r="S68">
            <v>0</v>
          </cell>
          <cell r="T68">
            <v>0</v>
          </cell>
          <cell r="U68">
            <v>211311</v>
          </cell>
          <cell r="V68">
            <v>2725345</v>
          </cell>
          <cell r="W68">
            <v>0</v>
          </cell>
          <cell r="X68">
            <v>0</v>
          </cell>
          <cell r="Y68">
            <v>2725345</v>
          </cell>
          <cell r="Z68">
            <v>82272</v>
          </cell>
          <cell r="AA68">
            <v>0</v>
          </cell>
          <cell r="AB68">
            <v>0</v>
          </cell>
          <cell r="AC68">
            <v>82272</v>
          </cell>
          <cell r="AD68">
            <v>1211424</v>
          </cell>
          <cell r="AE68">
            <v>0</v>
          </cell>
          <cell r="AF68">
            <v>0</v>
          </cell>
          <cell r="AG68">
            <v>1211424</v>
          </cell>
          <cell r="AH68">
            <v>-13922</v>
          </cell>
          <cell r="AI68">
            <v>0</v>
          </cell>
          <cell r="AJ68">
            <v>0</v>
          </cell>
          <cell r="AK68">
            <v>-13922</v>
          </cell>
          <cell r="AL68">
            <v>4334327</v>
          </cell>
          <cell r="AM68">
            <v>0</v>
          </cell>
          <cell r="AN68">
            <v>0</v>
          </cell>
          <cell r="AO68">
            <v>4334327</v>
          </cell>
          <cell r="AP68">
            <v>231</v>
          </cell>
          <cell r="AQ68">
            <v>0</v>
          </cell>
          <cell r="AR68">
            <v>0</v>
          </cell>
          <cell r="AS68">
            <v>231</v>
          </cell>
          <cell r="AT68">
            <v>57744</v>
          </cell>
          <cell r="AU68">
            <v>0</v>
          </cell>
          <cell r="AV68">
            <v>0</v>
          </cell>
          <cell r="AW68">
            <v>57744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16869</v>
          </cell>
          <cell r="BC68">
            <v>0</v>
          </cell>
          <cell r="BD68">
            <v>0</v>
          </cell>
          <cell r="BE68">
            <v>16869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18210</v>
          </cell>
          <cell r="BK68">
            <v>0</v>
          </cell>
          <cell r="BL68">
            <v>0</v>
          </cell>
          <cell r="BM68">
            <v>18210</v>
          </cell>
          <cell r="BN68">
            <v>2989</v>
          </cell>
          <cell r="BO68">
            <v>0</v>
          </cell>
          <cell r="BP68">
            <v>0</v>
          </cell>
          <cell r="BQ68">
            <v>2989</v>
          </cell>
          <cell r="BR68">
            <v>2967155</v>
          </cell>
          <cell r="BS68">
            <v>0</v>
          </cell>
          <cell r="BT68">
            <v>0</v>
          </cell>
          <cell r="BU68">
            <v>2967155</v>
          </cell>
          <cell r="BV68">
            <v>165417</v>
          </cell>
          <cell r="BW68">
            <v>0</v>
          </cell>
          <cell r="BX68">
            <v>0</v>
          </cell>
          <cell r="BY68">
            <v>165417</v>
          </cell>
          <cell r="BZ68">
            <v>147352</v>
          </cell>
          <cell r="CA68">
            <v>0</v>
          </cell>
          <cell r="CB68">
            <v>0</v>
          </cell>
          <cell r="CC68">
            <v>147352</v>
          </cell>
          <cell r="CD68">
            <v>926</v>
          </cell>
          <cell r="CE68">
            <v>0</v>
          </cell>
          <cell r="CF68">
            <v>0</v>
          </cell>
          <cell r="CG68">
            <v>926</v>
          </cell>
          <cell r="CH68">
            <v>37828</v>
          </cell>
          <cell r="CI68">
            <v>0</v>
          </cell>
          <cell r="CJ68">
            <v>0</v>
          </cell>
          <cell r="CK68">
            <v>37828</v>
          </cell>
          <cell r="CL68">
            <v>2108</v>
          </cell>
          <cell r="CM68">
            <v>0</v>
          </cell>
          <cell r="CN68">
            <v>0</v>
          </cell>
          <cell r="CO68">
            <v>2108</v>
          </cell>
          <cell r="CP68">
            <v>14097</v>
          </cell>
          <cell r="CQ68">
            <v>0</v>
          </cell>
          <cell r="CR68">
            <v>0</v>
          </cell>
          <cell r="CS68">
            <v>14097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16869</v>
          </cell>
          <cell r="CY68">
            <v>0</v>
          </cell>
          <cell r="CZ68">
            <v>0</v>
          </cell>
          <cell r="DA68">
            <v>16869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</row>
        <row r="69">
          <cell r="A69">
            <v>63</v>
          </cell>
          <cell r="B69" t="str">
            <v>E0934</v>
          </cell>
          <cell r="C69" t="str">
            <v>SD</v>
          </cell>
          <cell r="D69" t="str">
            <v>NW</v>
          </cell>
          <cell r="E69" t="str">
            <v>Copeland</v>
          </cell>
          <cell r="F69">
            <v>99021</v>
          </cell>
          <cell r="G69">
            <v>0</v>
          </cell>
          <cell r="H69">
            <v>0</v>
          </cell>
          <cell r="I69">
            <v>99021</v>
          </cell>
          <cell r="J69">
            <v>-77055</v>
          </cell>
          <cell r="K69">
            <v>0</v>
          </cell>
          <cell r="L69">
            <v>0</v>
          </cell>
          <cell r="M69">
            <v>-77055</v>
          </cell>
          <cell r="N69">
            <v>18403</v>
          </cell>
          <cell r="O69">
            <v>0</v>
          </cell>
          <cell r="P69">
            <v>0</v>
          </cell>
          <cell r="Q69">
            <v>18403</v>
          </cell>
          <cell r="R69">
            <v>36408</v>
          </cell>
          <cell r="S69">
            <v>0</v>
          </cell>
          <cell r="T69">
            <v>0</v>
          </cell>
          <cell r="U69">
            <v>36408</v>
          </cell>
          <cell r="V69">
            <v>1292276</v>
          </cell>
          <cell r="W69">
            <v>0</v>
          </cell>
          <cell r="X69">
            <v>0</v>
          </cell>
          <cell r="Y69">
            <v>1292276</v>
          </cell>
          <cell r="Z69">
            <v>61083</v>
          </cell>
          <cell r="AA69">
            <v>0</v>
          </cell>
          <cell r="AB69">
            <v>0</v>
          </cell>
          <cell r="AC69">
            <v>61083</v>
          </cell>
          <cell r="AD69">
            <v>794635</v>
          </cell>
          <cell r="AE69">
            <v>0</v>
          </cell>
          <cell r="AF69">
            <v>0</v>
          </cell>
          <cell r="AG69">
            <v>794635</v>
          </cell>
          <cell r="AH69">
            <v>-4706</v>
          </cell>
          <cell r="AI69">
            <v>0</v>
          </cell>
          <cell r="AJ69">
            <v>0</v>
          </cell>
          <cell r="AK69">
            <v>-4706</v>
          </cell>
          <cell r="AL69">
            <v>1138397</v>
          </cell>
          <cell r="AM69">
            <v>0</v>
          </cell>
          <cell r="AN69">
            <v>0</v>
          </cell>
          <cell r="AO69">
            <v>1138397</v>
          </cell>
          <cell r="AP69">
            <v>19433</v>
          </cell>
          <cell r="AQ69">
            <v>0</v>
          </cell>
          <cell r="AR69">
            <v>0</v>
          </cell>
          <cell r="AS69">
            <v>19433</v>
          </cell>
          <cell r="AT69">
            <v>61039</v>
          </cell>
          <cell r="AU69">
            <v>0</v>
          </cell>
          <cell r="AV69">
            <v>0</v>
          </cell>
          <cell r="AW69">
            <v>61039</v>
          </cell>
          <cell r="AX69">
            <v>-9260</v>
          </cell>
          <cell r="AY69">
            <v>0</v>
          </cell>
          <cell r="AZ69">
            <v>0</v>
          </cell>
          <cell r="BA69">
            <v>-9260</v>
          </cell>
          <cell r="BB69">
            <v>23253</v>
          </cell>
          <cell r="BC69">
            <v>0</v>
          </cell>
          <cell r="BD69">
            <v>0</v>
          </cell>
          <cell r="BE69">
            <v>23253</v>
          </cell>
          <cell r="BF69">
            <v>-10</v>
          </cell>
          <cell r="BG69">
            <v>0</v>
          </cell>
          <cell r="BH69">
            <v>0</v>
          </cell>
          <cell r="BI69">
            <v>-10</v>
          </cell>
          <cell r="BJ69">
            <v>958</v>
          </cell>
          <cell r="BK69">
            <v>0</v>
          </cell>
          <cell r="BL69">
            <v>0</v>
          </cell>
          <cell r="BM69">
            <v>958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291941</v>
          </cell>
          <cell r="BS69">
            <v>0</v>
          </cell>
          <cell r="BT69">
            <v>0</v>
          </cell>
          <cell r="BU69">
            <v>291941</v>
          </cell>
          <cell r="BV69">
            <v>-22402</v>
          </cell>
          <cell r="BW69">
            <v>0</v>
          </cell>
          <cell r="BX69">
            <v>0</v>
          </cell>
          <cell r="BY69">
            <v>-22402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109</v>
          </cell>
          <cell r="CY69">
            <v>0</v>
          </cell>
          <cell r="CZ69">
            <v>0</v>
          </cell>
          <cell r="DA69">
            <v>109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</row>
        <row r="70">
          <cell r="A70">
            <v>64</v>
          </cell>
          <cell r="B70" t="str">
            <v>E2831</v>
          </cell>
          <cell r="C70" t="str">
            <v>SD</v>
          </cell>
          <cell r="D70" t="str">
            <v>EM</v>
          </cell>
          <cell r="E70" t="str">
            <v>Corby</v>
          </cell>
          <cell r="F70">
            <v>525588</v>
          </cell>
          <cell r="G70">
            <v>0</v>
          </cell>
          <cell r="H70">
            <v>0</v>
          </cell>
          <cell r="I70">
            <v>525588</v>
          </cell>
          <cell r="J70">
            <v>51244</v>
          </cell>
          <cell r="K70">
            <v>0</v>
          </cell>
          <cell r="L70">
            <v>0</v>
          </cell>
          <cell r="M70">
            <v>51244</v>
          </cell>
          <cell r="N70">
            <v>1864</v>
          </cell>
          <cell r="O70">
            <v>0</v>
          </cell>
          <cell r="P70">
            <v>0</v>
          </cell>
          <cell r="Q70">
            <v>1864</v>
          </cell>
          <cell r="R70">
            <v>169755</v>
          </cell>
          <cell r="S70">
            <v>0</v>
          </cell>
          <cell r="T70">
            <v>0</v>
          </cell>
          <cell r="U70">
            <v>169755</v>
          </cell>
          <cell r="V70">
            <v>1002738</v>
          </cell>
          <cell r="W70">
            <v>0</v>
          </cell>
          <cell r="X70">
            <v>0</v>
          </cell>
          <cell r="Y70">
            <v>1002738</v>
          </cell>
          <cell r="Z70">
            <v>35705</v>
          </cell>
          <cell r="AA70">
            <v>0</v>
          </cell>
          <cell r="AB70">
            <v>0</v>
          </cell>
          <cell r="AC70">
            <v>35705</v>
          </cell>
          <cell r="AD70">
            <v>679614</v>
          </cell>
          <cell r="AE70">
            <v>0</v>
          </cell>
          <cell r="AF70">
            <v>0</v>
          </cell>
          <cell r="AG70">
            <v>679614</v>
          </cell>
          <cell r="AH70">
            <v>13369</v>
          </cell>
          <cell r="AI70">
            <v>0</v>
          </cell>
          <cell r="AJ70">
            <v>0</v>
          </cell>
          <cell r="AK70">
            <v>13369</v>
          </cell>
          <cell r="AL70">
            <v>1721514</v>
          </cell>
          <cell r="AM70">
            <v>0</v>
          </cell>
          <cell r="AN70">
            <v>0</v>
          </cell>
          <cell r="AO70">
            <v>1721514</v>
          </cell>
          <cell r="AP70">
            <v>35505</v>
          </cell>
          <cell r="AQ70">
            <v>0</v>
          </cell>
          <cell r="AR70">
            <v>0</v>
          </cell>
          <cell r="AS70">
            <v>35505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518</v>
          </cell>
          <cell r="BC70">
            <v>0</v>
          </cell>
          <cell r="BD70">
            <v>0</v>
          </cell>
          <cell r="BE70">
            <v>518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141523</v>
          </cell>
          <cell r="BK70">
            <v>0</v>
          </cell>
          <cell r="BL70">
            <v>0</v>
          </cell>
          <cell r="BM70">
            <v>141523</v>
          </cell>
          <cell r="BN70">
            <v>7492.81</v>
          </cell>
          <cell r="BO70">
            <v>0</v>
          </cell>
          <cell r="BP70">
            <v>0</v>
          </cell>
          <cell r="BQ70">
            <v>7492.81</v>
          </cell>
          <cell r="BR70">
            <v>1769143.85</v>
          </cell>
          <cell r="BS70">
            <v>0</v>
          </cell>
          <cell r="BT70">
            <v>0</v>
          </cell>
          <cell r="BU70">
            <v>1769143.85</v>
          </cell>
          <cell r="BV70">
            <v>266558</v>
          </cell>
          <cell r="BW70">
            <v>0</v>
          </cell>
          <cell r="BX70">
            <v>0</v>
          </cell>
          <cell r="BY70">
            <v>266558</v>
          </cell>
          <cell r="BZ70">
            <v>31701</v>
          </cell>
          <cell r="CA70">
            <v>0</v>
          </cell>
          <cell r="CB70">
            <v>0</v>
          </cell>
          <cell r="CC70">
            <v>31701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42482</v>
          </cell>
          <cell r="CI70">
            <v>0</v>
          </cell>
          <cell r="CJ70">
            <v>0</v>
          </cell>
          <cell r="CK70">
            <v>42482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</row>
        <row r="71">
          <cell r="A71">
            <v>65</v>
          </cell>
          <cell r="B71" t="str">
            <v>E0801</v>
          </cell>
          <cell r="C71" t="str">
            <v>UA</v>
          </cell>
          <cell r="D71" t="str">
            <v>SW</v>
          </cell>
          <cell r="E71" t="str">
            <v>Cornwall UA</v>
          </cell>
          <cell r="F71">
            <v>1984624</v>
          </cell>
          <cell r="G71">
            <v>0</v>
          </cell>
          <cell r="H71">
            <v>0</v>
          </cell>
          <cell r="I71">
            <v>1984624</v>
          </cell>
          <cell r="J71">
            <v>-612354</v>
          </cell>
          <cell r="K71">
            <v>0</v>
          </cell>
          <cell r="L71">
            <v>6</v>
          </cell>
          <cell r="M71">
            <v>-612348</v>
          </cell>
          <cell r="N71">
            <v>171800</v>
          </cell>
          <cell r="O71">
            <v>0</v>
          </cell>
          <cell r="P71">
            <v>0</v>
          </cell>
          <cell r="Q71">
            <v>171800</v>
          </cell>
          <cell r="R71">
            <v>190952</v>
          </cell>
          <cell r="S71">
            <v>0</v>
          </cell>
          <cell r="T71">
            <v>0</v>
          </cell>
          <cell r="U71">
            <v>190952</v>
          </cell>
          <cell r="V71">
            <v>20566382</v>
          </cell>
          <cell r="W71">
            <v>0</v>
          </cell>
          <cell r="X71">
            <v>0</v>
          </cell>
          <cell r="Y71">
            <v>20566382</v>
          </cell>
          <cell r="Z71">
            <v>1258539</v>
          </cell>
          <cell r="AA71">
            <v>0</v>
          </cell>
          <cell r="AB71">
            <v>0</v>
          </cell>
          <cell r="AC71">
            <v>1258539</v>
          </cell>
          <cell r="AD71">
            <v>2786893</v>
          </cell>
          <cell r="AE71">
            <v>0</v>
          </cell>
          <cell r="AF71">
            <v>10355</v>
          </cell>
          <cell r="AG71">
            <v>2797248</v>
          </cell>
          <cell r="AH71">
            <v>-26635</v>
          </cell>
          <cell r="AI71">
            <v>0</v>
          </cell>
          <cell r="AJ71">
            <v>-7954</v>
          </cell>
          <cell r="AK71">
            <v>-34589</v>
          </cell>
          <cell r="AL71">
            <v>14685960</v>
          </cell>
          <cell r="AM71">
            <v>0</v>
          </cell>
          <cell r="AN71">
            <v>77969</v>
          </cell>
          <cell r="AO71">
            <v>14763929</v>
          </cell>
          <cell r="AP71">
            <v>1419073</v>
          </cell>
          <cell r="AQ71">
            <v>0</v>
          </cell>
          <cell r="AR71">
            <v>22652</v>
          </cell>
          <cell r="AS71">
            <v>1441725</v>
          </cell>
          <cell r="AT71">
            <v>192844</v>
          </cell>
          <cell r="AU71">
            <v>0</v>
          </cell>
          <cell r="AV71">
            <v>0</v>
          </cell>
          <cell r="AW71">
            <v>192844</v>
          </cell>
          <cell r="AX71">
            <v>5476</v>
          </cell>
          <cell r="AY71">
            <v>0</v>
          </cell>
          <cell r="AZ71">
            <v>0</v>
          </cell>
          <cell r="BA71">
            <v>5476</v>
          </cell>
          <cell r="BB71">
            <v>248611</v>
          </cell>
          <cell r="BC71">
            <v>0</v>
          </cell>
          <cell r="BD71">
            <v>0</v>
          </cell>
          <cell r="BE71">
            <v>248611</v>
          </cell>
          <cell r="BF71">
            <v>530</v>
          </cell>
          <cell r="BG71">
            <v>0</v>
          </cell>
          <cell r="BH71">
            <v>0</v>
          </cell>
          <cell r="BI71">
            <v>530</v>
          </cell>
          <cell r="BJ71">
            <v>67797</v>
          </cell>
          <cell r="BK71">
            <v>0</v>
          </cell>
          <cell r="BL71">
            <v>0</v>
          </cell>
          <cell r="BM71">
            <v>67797</v>
          </cell>
          <cell r="BN71">
            <v>5327</v>
          </cell>
          <cell r="BO71">
            <v>0</v>
          </cell>
          <cell r="BP71">
            <v>0</v>
          </cell>
          <cell r="BQ71">
            <v>5327</v>
          </cell>
          <cell r="BR71">
            <v>3757412</v>
          </cell>
          <cell r="BS71">
            <v>0</v>
          </cell>
          <cell r="BT71">
            <v>0</v>
          </cell>
          <cell r="BU71">
            <v>3757412</v>
          </cell>
          <cell r="BV71">
            <v>273059</v>
          </cell>
          <cell r="BW71">
            <v>0</v>
          </cell>
          <cell r="BX71">
            <v>0</v>
          </cell>
          <cell r="BY71">
            <v>273059</v>
          </cell>
          <cell r="BZ71">
            <v>1005239</v>
          </cell>
          <cell r="CA71">
            <v>0</v>
          </cell>
          <cell r="CB71">
            <v>0</v>
          </cell>
          <cell r="CC71">
            <v>1005239</v>
          </cell>
          <cell r="CD71">
            <v>606</v>
          </cell>
          <cell r="CE71">
            <v>0</v>
          </cell>
          <cell r="CF71">
            <v>0</v>
          </cell>
          <cell r="CG71">
            <v>606</v>
          </cell>
          <cell r="CH71">
            <v>476857</v>
          </cell>
          <cell r="CI71">
            <v>0</v>
          </cell>
          <cell r="CJ71">
            <v>0</v>
          </cell>
          <cell r="CK71">
            <v>476857</v>
          </cell>
          <cell r="CL71">
            <v>-19631</v>
          </cell>
          <cell r="CM71">
            <v>0</v>
          </cell>
          <cell r="CN71">
            <v>0</v>
          </cell>
          <cell r="CO71">
            <v>-19631</v>
          </cell>
          <cell r="CP71">
            <v>6560</v>
          </cell>
          <cell r="CQ71">
            <v>0</v>
          </cell>
          <cell r="CR71">
            <v>0</v>
          </cell>
          <cell r="CS71">
            <v>6560</v>
          </cell>
          <cell r="CT71">
            <v>1369</v>
          </cell>
          <cell r="CU71">
            <v>0</v>
          </cell>
          <cell r="CV71">
            <v>0</v>
          </cell>
          <cell r="CW71">
            <v>1369</v>
          </cell>
          <cell r="CX71">
            <v>123886</v>
          </cell>
          <cell r="CY71">
            <v>0</v>
          </cell>
          <cell r="CZ71">
            <v>0</v>
          </cell>
          <cell r="DA71">
            <v>123886</v>
          </cell>
          <cell r="DB71">
            <v>-1845</v>
          </cell>
          <cell r="DC71">
            <v>0</v>
          </cell>
          <cell r="DD71">
            <v>0</v>
          </cell>
          <cell r="DE71">
            <v>-1845</v>
          </cell>
          <cell r="DF71">
            <v>41702</v>
          </cell>
          <cell r="DG71">
            <v>0</v>
          </cell>
          <cell r="DH71">
            <v>0</v>
          </cell>
          <cell r="DI71">
            <v>41702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139268</v>
          </cell>
          <cell r="DQ71">
            <v>139268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139268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1021</v>
          </cell>
          <cell r="EC71">
            <v>0</v>
          </cell>
          <cell r="ED71">
            <v>0</v>
          </cell>
          <cell r="EE71">
            <v>1021</v>
          </cell>
          <cell r="EF71">
            <v>8186</v>
          </cell>
          <cell r="EG71">
            <v>0</v>
          </cell>
          <cell r="EH71">
            <v>0</v>
          </cell>
          <cell r="EI71">
            <v>8186</v>
          </cell>
          <cell r="EJ71">
            <v>8352</v>
          </cell>
          <cell r="EK71">
            <v>0</v>
          </cell>
          <cell r="EL71">
            <v>0</v>
          </cell>
          <cell r="EM71">
            <v>8352</v>
          </cell>
        </row>
        <row r="72">
          <cell r="A72">
            <v>66</v>
          </cell>
          <cell r="B72" t="str">
            <v>E1632</v>
          </cell>
          <cell r="C72" t="str">
            <v>SD</v>
          </cell>
          <cell r="D72" t="str">
            <v>SW</v>
          </cell>
          <cell r="E72" t="str">
            <v>Cotswold</v>
          </cell>
          <cell r="F72">
            <v>335109</v>
          </cell>
          <cell r="G72">
            <v>0</v>
          </cell>
          <cell r="H72">
            <v>0</v>
          </cell>
          <cell r="I72">
            <v>335109</v>
          </cell>
          <cell r="J72">
            <v>-137538</v>
          </cell>
          <cell r="K72">
            <v>0</v>
          </cell>
          <cell r="L72">
            <v>0</v>
          </cell>
          <cell r="M72">
            <v>-137538</v>
          </cell>
          <cell r="N72">
            <v>13105</v>
          </cell>
          <cell r="O72">
            <v>0</v>
          </cell>
          <cell r="P72">
            <v>0</v>
          </cell>
          <cell r="Q72">
            <v>13105</v>
          </cell>
          <cell r="R72">
            <v>18880</v>
          </cell>
          <cell r="S72">
            <v>0</v>
          </cell>
          <cell r="T72">
            <v>0</v>
          </cell>
          <cell r="U72">
            <v>18880</v>
          </cell>
          <cell r="V72">
            <v>2507343</v>
          </cell>
          <cell r="W72">
            <v>0</v>
          </cell>
          <cell r="X72">
            <v>0</v>
          </cell>
          <cell r="Y72">
            <v>2507343</v>
          </cell>
          <cell r="Z72">
            <v>158081</v>
          </cell>
          <cell r="AA72">
            <v>0</v>
          </cell>
          <cell r="AB72">
            <v>0</v>
          </cell>
          <cell r="AC72">
            <v>158081</v>
          </cell>
          <cell r="AD72">
            <v>502571</v>
          </cell>
          <cell r="AE72">
            <v>0</v>
          </cell>
          <cell r="AF72">
            <v>0</v>
          </cell>
          <cell r="AG72">
            <v>502571</v>
          </cell>
          <cell r="AH72">
            <v>-3965</v>
          </cell>
          <cell r="AI72">
            <v>0</v>
          </cell>
          <cell r="AJ72">
            <v>0</v>
          </cell>
          <cell r="AK72">
            <v>-3965</v>
          </cell>
          <cell r="AL72">
            <v>1862803</v>
          </cell>
          <cell r="AM72">
            <v>0</v>
          </cell>
          <cell r="AN72">
            <v>0</v>
          </cell>
          <cell r="AO72">
            <v>1862803</v>
          </cell>
          <cell r="AP72">
            <v>-23334</v>
          </cell>
          <cell r="AQ72">
            <v>0</v>
          </cell>
          <cell r="AR72">
            <v>0</v>
          </cell>
          <cell r="AS72">
            <v>-23334</v>
          </cell>
          <cell r="AT72">
            <v>110201</v>
          </cell>
          <cell r="AU72">
            <v>0</v>
          </cell>
          <cell r="AV72">
            <v>0</v>
          </cell>
          <cell r="AW72">
            <v>110201</v>
          </cell>
          <cell r="AX72">
            <v>358</v>
          </cell>
          <cell r="AY72">
            <v>0</v>
          </cell>
          <cell r="AZ72">
            <v>0</v>
          </cell>
          <cell r="BA72">
            <v>358</v>
          </cell>
          <cell r="BB72">
            <v>34998</v>
          </cell>
          <cell r="BC72">
            <v>0</v>
          </cell>
          <cell r="BD72">
            <v>0</v>
          </cell>
          <cell r="BE72">
            <v>34998</v>
          </cell>
          <cell r="BF72">
            <v>-1393</v>
          </cell>
          <cell r="BG72">
            <v>0</v>
          </cell>
          <cell r="BH72">
            <v>0</v>
          </cell>
          <cell r="BI72">
            <v>-1393</v>
          </cell>
          <cell r="BJ72">
            <v>19720</v>
          </cell>
          <cell r="BK72">
            <v>0</v>
          </cell>
          <cell r="BL72">
            <v>0</v>
          </cell>
          <cell r="BM72">
            <v>19720</v>
          </cell>
          <cell r="BN72">
            <v>19640</v>
          </cell>
          <cell r="BO72">
            <v>0</v>
          </cell>
          <cell r="BP72">
            <v>0</v>
          </cell>
          <cell r="BQ72">
            <v>19640</v>
          </cell>
          <cell r="BR72">
            <v>1174154</v>
          </cell>
          <cell r="BS72">
            <v>0</v>
          </cell>
          <cell r="BT72">
            <v>0</v>
          </cell>
          <cell r="BU72">
            <v>1174154</v>
          </cell>
          <cell r="BV72">
            <v>-13493</v>
          </cell>
          <cell r="BW72">
            <v>0</v>
          </cell>
          <cell r="BX72">
            <v>0</v>
          </cell>
          <cell r="BY72">
            <v>-13493</v>
          </cell>
          <cell r="BZ72">
            <v>58605</v>
          </cell>
          <cell r="CA72">
            <v>0</v>
          </cell>
          <cell r="CB72">
            <v>0</v>
          </cell>
          <cell r="CC72">
            <v>58605</v>
          </cell>
          <cell r="CD72">
            <v>-2882</v>
          </cell>
          <cell r="CE72">
            <v>0</v>
          </cell>
          <cell r="CF72">
            <v>0</v>
          </cell>
          <cell r="CG72">
            <v>-2882</v>
          </cell>
          <cell r="CH72">
            <v>8250</v>
          </cell>
          <cell r="CI72">
            <v>0</v>
          </cell>
          <cell r="CJ72">
            <v>0</v>
          </cell>
          <cell r="CK72">
            <v>8250</v>
          </cell>
          <cell r="CL72">
            <v>-145</v>
          </cell>
          <cell r="CM72">
            <v>0</v>
          </cell>
          <cell r="CN72">
            <v>0</v>
          </cell>
          <cell r="CO72">
            <v>-145</v>
          </cell>
          <cell r="CP72">
            <v>74</v>
          </cell>
          <cell r="CQ72">
            <v>0</v>
          </cell>
          <cell r="CR72">
            <v>0</v>
          </cell>
          <cell r="CS72">
            <v>74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8089</v>
          </cell>
          <cell r="CY72">
            <v>0</v>
          </cell>
          <cell r="CZ72">
            <v>0</v>
          </cell>
          <cell r="DA72">
            <v>8089</v>
          </cell>
          <cell r="DB72">
            <v>-3169</v>
          </cell>
          <cell r="DC72">
            <v>0</v>
          </cell>
          <cell r="DD72">
            <v>0</v>
          </cell>
          <cell r="DE72">
            <v>-3169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33187</v>
          </cell>
          <cell r="EC72">
            <v>0</v>
          </cell>
          <cell r="ED72">
            <v>0</v>
          </cell>
          <cell r="EE72">
            <v>33187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</row>
        <row r="73">
          <cell r="A73">
            <v>67</v>
          </cell>
          <cell r="B73" t="str">
            <v>E4602</v>
          </cell>
          <cell r="C73" t="str">
            <v>Met</v>
          </cell>
          <cell r="D73" t="str">
            <v>WM</v>
          </cell>
          <cell r="E73" t="str">
            <v>Coventry</v>
          </cell>
          <cell r="F73">
            <v>67243</v>
          </cell>
          <cell r="G73">
            <v>0</v>
          </cell>
          <cell r="H73">
            <v>0</v>
          </cell>
          <cell r="I73">
            <v>67243</v>
          </cell>
          <cell r="J73">
            <v>-187603</v>
          </cell>
          <cell r="K73">
            <v>0</v>
          </cell>
          <cell r="L73">
            <v>0</v>
          </cell>
          <cell r="M73">
            <v>-187603</v>
          </cell>
          <cell r="N73">
            <v>67437</v>
          </cell>
          <cell r="O73">
            <v>0</v>
          </cell>
          <cell r="P73">
            <v>0</v>
          </cell>
          <cell r="Q73">
            <v>67437</v>
          </cell>
          <cell r="R73">
            <v>429972</v>
          </cell>
          <cell r="S73">
            <v>0</v>
          </cell>
          <cell r="T73">
            <v>0</v>
          </cell>
          <cell r="U73">
            <v>429972</v>
          </cell>
          <cell r="V73">
            <v>4879669</v>
          </cell>
          <cell r="W73">
            <v>0</v>
          </cell>
          <cell r="X73">
            <v>0</v>
          </cell>
          <cell r="Y73">
            <v>4879669</v>
          </cell>
          <cell r="Z73">
            <v>240285</v>
          </cell>
          <cell r="AA73">
            <v>0</v>
          </cell>
          <cell r="AB73">
            <v>0</v>
          </cell>
          <cell r="AC73">
            <v>240285</v>
          </cell>
          <cell r="AD73">
            <v>2425870</v>
          </cell>
          <cell r="AE73">
            <v>0</v>
          </cell>
          <cell r="AF73">
            <v>0</v>
          </cell>
          <cell r="AG73">
            <v>2425870</v>
          </cell>
          <cell r="AH73">
            <v>-42476</v>
          </cell>
          <cell r="AI73">
            <v>0</v>
          </cell>
          <cell r="AJ73">
            <v>0</v>
          </cell>
          <cell r="AK73">
            <v>-42476</v>
          </cell>
          <cell r="AL73">
            <v>11162457</v>
          </cell>
          <cell r="AM73">
            <v>0</v>
          </cell>
          <cell r="AN73">
            <v>0</v>
          </cell>
          <cell r="AO73">
            <v>11162457</v>
          </cell>
          <cell r="AP73">
            <v>-176174</v>
          </cell>
          <cell r="AQ73">
            <v>0</v>
          </cell>
          <cell r="AR73">
            <v>0</v>
          </cell>
          <cell r="AS73">
            <v>-176174</v>
          </cell>
          <cell r="AT73">
            <v>42107</v>
          </cell>
          <cell r="AU73">
            <v>0</v>
          </cell>
          <cell r="AV73">
            <v>0</v>
          </cell>
          <cell r="AW73">
            <v>42107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539891</v>
          </cell>
          <cell r="BK73">
            <v>0</v>
          </cell>
          <cell r="BL73">
            <v>0</v>
          </cell>
          <cell r="BM73">
            <v>539891</v>
          </cell>
          <cell r="BN73">
            <v>168302</v>
          </cell>
          <cell r="BO73">
            <v>0</v>
          </cell>
          <cell r="BP73">
            <v>0</v>
          </cell>
          <cell r="BQ73">
            <v>168302</v>
          </cell>
          <cell r="BR73">
            <v>3174252</v>
          </cell>
          <cell r="BS73">
            <v>0</v>
          </cell>
          <cell r="BT73">
            <v>0</v>
          </cell>
          <cell r="BU73">
            <v>3174252</v>
          </cell>
          <cell r="BV73">
            <v>493619</v>
          </cell>
          <cell r="BW73">
            <v>0</v>
          </cell>
          <cell r="BX73">
            <v>0</v>
          </cell>
          <cell r="BY73">
            <v>493619</v>
          </cell>
          <cell r="BZ73">
            <v>730024</v>
          </cell>
          <cell r="CA73">
            <v>0</v>
          </cell>
          <cell r="CB73">
            <v>0</v>
          </cell>
          <cell r="CC73">
            <v>730024</v>
          </cell>
          <cell r="CD73">
            <v>7078</v>
          </cell>
          <cell r="CE73">
            <v>0</v>
          </cell>
          <cell r="CF73">
            <v>0</v>
          </cell>
          <cell r="CG73">
            <v>7078</v>
          </cell>
          <cell r="CH73">
            <v>302696</v>
          </cell>
          <cell r="CI73">
            <v>0</v>
          </cell>
          <cell r="CJ73">
            <v>0</v>
          </cell>
          <cell r="CK73">
            <v>302696</v>
          </cell>
          <cell r="CL73">
            <v>5025</v>
          </cell>
          <cell r="CM73">
            <v>0</v>
          </cell>
          <cell r="CN73">
            <v>0</v>
          </cell>
          <cell r="CO73">
            <v>5025</v>
          </cell>
          <cell r="CP73">
            <v>10527</v>
          </cell>
          <cell r="CQ73">
            <v>0</v>
          </cell>
          <cell r="CR73">
            <v>0</v>
          </cell>
          <cell r="CS73">
            <v>10527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395</v>
          </cell>
          <cell r="EK73">
            <v>0</v>
          </cell>
          <cell r="EL73">
            <v>0</v>
          </cell>
          <cell r="EM73">
            <v>395</v>
          </cell>
        </row>
        <row r="74">
          <cell r="A74">
            <v>68</v>
          </cell>
          <cell r="B74" t="str">
            <v>E2731</v>
          </cell>
          <cell r="C74" t="str">
            <v>SD</v>
          </cell>
          <cell r="D74" t="str">
            <v>YH</v>
          </cell>
          <cell r="E74" t="str">
            <v>Craven</v>
          </cell>
          <cell r="F74">
            <v>44475</v>
          </cell>
          <cell r="G74">
            <v>0</v>
          </cell>
          <cell r="H74">
            <v>0</v>
          </cell>
          <cell r="I74">
            <v>44475</v>
          </cell>
          <cell r="J74">
            <v>-22473</v>
          </cell>
          <cell r="K74">
            <v>0</v>
          </cell>
          <cell r="L74">
            <v>0</v>
          </cell>
          <cell r="M74">
            <v>-22473</v>
          </cell>
          <cell r="N74">
            <v>8073</v>
          </cell>
          <cell r="O74">
            <v>0</v>
          </cell>
          <cell r="P74">
            <v>0</v>
          </cell>
          <cell r="Q74">
            <v>8073</v>
          </cell>
          <cell r="R74">
            <v>31858</v>
          </cell>
          <cell r="S74">
            <v>0</v>
          </cell>
          <cell r="T74">
            <v>0</v>
          </cell>
          <cell r="U74">
            <v>31858</v>
          </cell>
          <cell r="V74">
            <v>2057290</v>
          </cell>
          <cell r="W74">
            <v>0</v>
          </cell>
          <cell r="X74">
            <v>0</v>
          </cell>
          <cell r="Y74">
            <v>2057290</v>
          </cell>
          <cell r="Z74">
            <v>109149</v>
          </cell>
          <cell r="AA74">
            <v>0</v>
          </cell>
          <cell r="AB74">
            <v>0</v>
          </cell>
          <cell r="AC74">
            <v>109149</v>
          </cell>
          <cell r="AD74">
            <v>314713</v>
          </cell>
          <cell r="AE74">
            <v>0</v>
          </cell>
          <cell r="AF74">
            <v>0</v>
          </cell>
          <cell r="AG74">
            <v>314713</v>
          </cell>
          <cell r="AH74">
            <v>4832</v>
          </cell>
          <cell r="AI74">
            <v>0</v>
          </cell>
          <cell r="AJ74">
            <v>0</v>
          </cell>
          <cell r="AK74">
            <v>4832</v>
          </cell>
          <cell r="AL74">
            <v>1092454</v>
          </cell>
          <cell r="AM74">
            <v>0</v>
          </cell>
          <cell r="AN74">
            <v>0</v>
          </cell>
          <cell r="AO74">
            <v>1092454</v>
          </cell>
          <cell r="AP74">
            <v>-6157</v>
          </cell>
          <cell r="AQ74">
            <v>0</v>
          </cell>
          <cell r="AR74">
            <v>0</v>
          </cell>
          <cell r="AS74">
            <v>-6157</v>
          </cell>
          <cell r="AT74">
            <v>27101</v>
          </cell>
          <cell r="AU74">
            <v>0</v>
          </cell>
          <cell r="AV74">
            <v>0</v>
          </cell>
          <cell r="AW74">
            <v>27101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36095</v>
          </cell>
          <cell r="BC74">
            <v>0</v>
          </cell>
          <cell r="BD74">
            <v>0</v>
          </cell>
          <cell r="BE74">
            <v>36095</v>
          </cell>
          <cell r="BF74">
            <v>-3</v>
          </cell>
          <cell r="BG74">
            <v>0</v>
          </cell>
          <cell r="BH74">
            <v>0</v>
          </cell>
          <cell r="BI74">
            <v>-3</v>
          </cell>
          <cell r="BJ74">
            <v>25441</v>
          </cell>
          <cell r="BK74">
            <v>0</v>
          </cell>
          <cell r="BL74">
            <v>0</v>
          </cell>
          <cell r="BM74">
            <v>25441</v>
          </cell>
          <cell r="BN74">
            <v>2033</v>
          </cell>
          <cell r="BO74">
            <v>0</v>
          </cell>
          <cell r="BP74">
            <v>0</v>
          </cell>
          <cell r="BQ74">
            <v>2033</v>
          </cell>
          <cell r="BR74">
            <v>677833</v>
          </cell>
          <cell r="BS74">
            <v>0</v>
          </cell>
          <cell r="BT74">
            <v>0</v>
          </cell>
          <cell r="BU74">
            <v>677833</v>
          </cell>
          <cell r="BV74">
            <v>-66447</v>
          </cell>
          <cell r="BW74">
            <v>0</v>
          </cell>
          <cell r="BX74">
            <v>0</v>
          </cell>
          <cell r="BY74">
            <v>-66447</v>
          </cell>
          <cell r="BZ74">
            <v>21506</v>
          </cell>
          <cell r="CA74">
            <v>0</v>
          </cell>
          <cell r="CB74">
            <v>0</v>
          </cell>
          <cell r="CC74">
            <v>21506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3761</v>
          </cell>
          <cell r="CI74">
            <v>0</v>
          </cell>
          <cell r="CJ74">
            <v>0</v>
          </cell>
          <cell r="CK74">
            <v>3761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30184</v>
          </cell>
          <cell r="CY74">
            <v>0</v>
          </cell>
          <cell r="CZ74">
            <v>0</v>
          </cell>
          <cell r="DA74">
            <v>30184</v>
          </cell>
          <cell r="DB74">
            <v>-3</v>
          </cell>
          <cell r="DC74">
            <v>0</v>
          </cell>
          <cell r="DD74">
            <v>0</v>
          </cell>
          <cell r="DE74">
            <v>-3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</row>
        <row r="75">
          <cell r="A75">
            <v>69</v>
          </cell>
          <cell r="B75" t="str">
            <v>E3834</v>
          </cell>
          <cell r="C75" t="str">
            <v>SD</v>
          </cell>
          <cell r="D75" t="str">
            <v>SE</v>
          </cell>
          <cell r="E75" t="str">
            <v>Crawley</v>
          </cell>
          <cell r="F75">
            <v>45378</v>
          </cell>
          <cell r="G75">
            <v>0</v>
          </cell>
          <cell r="H75">
            <v>0</v>
          </cell>
          <cell r="I75">
            <v>45378</v>
          </cell>
          <cell r="J75">
            <v>-450457</v>
          </cell>
          <cell r="K75">
            <v>0</v>
          </cell>
          <cell r="L75">
            <v>0</v>
          </cell>
          <cell r="M75">
            <v>-450457</v>
          </cell>
          <cell r="N75">
            <v>70488</v>
          </cell>
          <cell r="O75">
            <v>0</v>
          </cell>
          <cell r="P75">
            <v>0</v>
          </cell>
          <cell r="Q75">
            <v>70488</v>
          </cell>
          <cell r="R75">
            <v>128260</v>
          </cell>
          <cell r="S75">
            <v>0</v>
          </cell>
          <cell r="T75">
            <v>0</v>
          </cell>
          <cell r="U75">
            <v>128260</v>
          </cell>
          <cell r="V75">
            <v>718970</v>
          </cell>
          <cell r="W75">
            <v>0</v>
          </cell>
          <cell r="X75">
            <v>0</v>
          </cell>
          <cell r="Y75">
            <v>718970</v>
          </cell>
          <cell r="Z75">
            <v>17704</v>
          </cell>
          <cell r="AA75">
            <v>0</v>
          </cell>
          <cell r="AB75">
            <v>0</v>
          </cell>
          <cell r="AC75">
            <v>17704</v>
          </cell>
          <cell r="AD75">
            <v>2236186</v>
          </cell>
          <cell r="AE75">
            <v>0</v>
          </cell>
          <cell r="AF75">
            <v>0</v>
          </cell>
          <cell r="AG75">
            <v>2236186</v>
          </cell>
          <cell r="AH75">
            <v>-25818</v>
          </cell>
          <cell r="AI75">
            <v>0</v>
          </cell>
          <cell r="AJ75">
            <v>0</v>
          </cell>
          <cell r="AK75">
            <v>-25818</v>
          </cell>
          <cell r="AL75">
            <v>2583247</v>
          </cell>
          <cell r="AM75">
            <v>0</v>
          </cell>
          <cell r="AN75">
            <v>0</v>
          </cell>
          <cell r="AO75">
            <v>2583247</v>
          </cell>
          <cell r="AP75">
            <v>-56850</v>
          </cell>
          <cell r="AQ75">
            <v>0</v>
          </cell>
          <cell r="AR75">
            <v>0</v>
          </cell>
          <cell r="AS75">
            <v>-56850</v>
          </cell>
          <cell r="AT75">
            <v>27729</v>
          </cell>
          <cell r="AU75">
            <v>0</v>
          </cell>
          <cell r="AV75">
            <v>0</v>
          </cell>
          <cell r="AW75">
            <v>27729</v>
          </cell>
          <cell r="AX75">
            <v>355</v>
          </cell>
          <cell r="AY75">
            <v>0</v>
          </cell>
          <cell r="AZ75">
            <v>0</v>
          </cell>
          <cell r="BA75">
            <v>355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9202</v>
          </cell>
          <cell r="BK75">
            <v>0</v>
          </cell>
          <cell r="BL75">
            <v>0</v>
          </cell>
          <cell r="BM75">
            <v>9202</v>
          </cell>
          <cell r="BN75">
            <v>128496</v>
          </cell>
          <cell r="BO75">
            <v>0</v>
          </cell>
          <cell r="BP75">
            <v>0</v>
          </cell>
          <cell r="BQ75">
            <v>128496</v>
          </cell>
          <cell r="BR75">
            <v>3950952</v>
          </cell>
          <cell r="BS75">
            <v>0</v>
          </cell>
          <cell r="BT75">
            <v>0</v>
          </cell>
          <cell r="BU75">
            <v>3950952</v>
          </cell>
          <cell r="BV75">
            <v>8537</v>
          </cell>
          <cell r="BW75">
            <v>0</v>
          </cell>
          <cell r="BX75">
            <v>0</v>
          </cell>
          <cell r="BY75">
            <v>8537</v>
          </cell>
          <cell r="BZ75">
            <v>274493</v>
          </cell>
          <cell r="CA75">
            <v>0</v>
          </cell>
          <cell r="CB75">
            <v>0</v>
          </cell>
          <cell r="CC75">
            <v>274493</v>
          </cell>
          <cell r="CD75">
            <v>-437</v>
          </cell>
          <cell r="CE75">
            <v>0</v>
          </cell>
          <cell r="CF75">
            <v>0</v>
          </cell>
          <cell r="CG75">
            <v>-437</v>
          </cell>
          <cell r="CH75">
            <v>97696</v>
          </cell>
          <cell r="CI75">
            <v>0</v>
          </cell>
          <cell r="CJ75">
            <v>0</v>
          </cell>
          <cell r="CK75">
            <v>97696</v>
          </cell>
          <cell r="CL75">
            <v>4417</v>
          </cell>
          <cell r="CM75">
            <v>0</v>
          </cell>
          <cell r="CN75">
            <v>0</v>
          </cell>
          <cell r="CO75">
            <v>4417</v>
          </cell>
          <cell r="CP75">
            <v>1607</v>
          </cell>
          <cell r="CQ75">
            <v>0</v>
          </cell>
          <cell r="CR75">
            <v>0</v>
          </cell>
          <cell r="CS75">
            <v>1607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6442</v>
          </cell>
          <cell r="EC75">
            <v>0</v>
          </cell>
          <cell r="ED75">
            <v>0</v>
          </cell>
          <cell r="EE75">
            <v>6442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</row>
        <row r="76">
          <cell r="A76">
            <v>70</v>
          </cell>
          <cell r="B76" t="str">
            <v>E5035</v>
          </cell>
          <cell r="C76" t="str">
            <v>OLB</v>
          </cell>
          <cell r="D76" t="str">
            <v>L</v>
          </cell>
          <cell r="E76" t="str">
            <v>Croydon</v>
          </cell>
          <cell r="F76">
            <v>423650</v>
          </cell>
          <cell r="G76">
            <v>0</v>
          </cell>
          <cell r="H76">
            <v>0</v>
          </cell>
          <cell r="I76">
            <v>423650</v>
          </cell>
          <cell r="J76">
            <v>-674549</v>
          </cell>
          <cell r="K76">
            <v>0</v>
          </cell>
          <cell r="L76">
            <v>0</v>
          </cell>
          <cell r="M76">
            <v>-674549</v>
          </cell>
          <cell r="N76">
            <v>225426</v>
          </cell>
          <cell r="O76">
            <v>0</v>
          </cell>
          <cell r="P76">
            <v>0</v>
          </cell>
          <cell r="Q76">
            <v>225426</v>
          </cell>
          <cell r="R76">
            <v>-32386</v>
          </cell>
          <cell r="S76">
            <v>0</v>
          </cell>
          <cell r="T76">
            <v>0</v>
          </cell>
          <cell r="U76">
            <v>-32386</v>
          </cell>
          <cell r="V76">
            <v>5413081</v>
          </cell>
          <cell r="W76">
            <v>0</v>
          </cell>
          <cell r="X76">
            <v>0</v>
          </cell>
          <cell r="Y76">
            <v>5413081</v>
          </cell>
          <cell r="Z76">
            <v>399293</v>
          </cell>
          <cell r="AA76">
            <v>0</v>
          </cell>
          <cell r="AB76">
            <v>0</v>
          </cell>
          <cell r="AC76">
            <v>399293</v>
          </cell>
          <cell r="AD76">
            <v>28367</v>
          </cell>
          <cell r="AE76">
            <v>0</v>
          </cell>
          <cell r="AF76">
            <v>0</v>
          </cell>
          <cell r="AG76">
            <v>28367</v>
          </cell>
          <cell r="AH76">
            <v>-3047</v>
          </cell>
          <cell r="AI76">
            <v>0</v>
          </cell>
          <cell r="AJ76">
            <v>0</v>
          </cell>
          <cell r="AK76">
            <v>-3047</v>
          </cell>
          <cell r="AL76">
            <v>7872517</v>
          </cell>
          <cell r="AM76">
            <v>0</v>
          </cell>
          <cell r="AN76">
            <v>0</v>
          </cell>
          <cell r="AO76">
            <v>7872517</v>
          </cell>
          <cell r="AP76">
            <v>-91545</v>
          </cell>
          <cell r="AQ76">
            <v>0</v>
          </cell>
          <cell r="AR76">
            <v>0</v>
          </cell>
          <cell r="AS76">
            <v>-91545</v>
          </cell>
          <cell r="AT76">
            <v>119318</v>
          </cell>
          <cell r="AU76">
            <v>0</v>
          </cell>
          <cell r="AV76">
            <v>0</v>
          </cell>
          <cell r="AW76">
            <v>119318</v>
          </cell>
          <cell r="AX76">
            <v>-16101</v>
          </cell>
          <cell r="AY76">
            <v>0</v>
          </cell>
          <cell r="AZ76">
            <v>0</v>
          </cell>
          <cell r="BA76">
            <v>-16101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197105</v>
          </cell>
          <cell r="BK76">
            <v>0</v>
          </cell>
          <cell r="BL76">
            <v>0</v>
          </cell>
          <cell r="BM76">
            <v>197105</v>
          </cell>
          <cell r="BN76">
            <v>430593</v>
          </cell>
          <cell r="BO76">
            <v>0</v>
          </cell>
          <cell r="BP76">
            <v>0</v>
          </cell>
          <cell r="BQ76">
            <v>430593</v>
          </cell>
          <cell r="BR76">
            <v>8657713</v>
          </cell>
          <cell r="BS76">
            <v>0</v>
          </cell>
          <cell r="BT76">
            <v>0</v>
          </cell>
          <cell r="BU76">
            <v>8657713</v>
          </cell>
          <cell r="BV76">
            <v>-610310</v>
          </cell>
          <cell r="BW76">
            <v>0</v>
          </cell>
          <cell r="BX76">
            <v>0</v>
          </cell>
          <cell r="BY76">
            <v>-610310</v>
          </cell>
          <cell r="BZ76">
            <v>26563</v>
          </cell>
          <cell r="CA76">
            <v>0</v>
          </cell>
          <cell r="CB76">
            <v>0</v>
          </cell>
          <cell r="CC76">
            <v>26563</v>
          </cell>
          <cell r="CD76">
            <v>346</v>
          </cell>
          <cell r="CE76">
            <v>0</v>
          </cell>
          <cell r="CF76">
            <v>0</v>
          </cell>
          <cell r="CG76">
            <v>346</v>
          </cell>
          <cell r="CH76">
            <v>48444</v>
          </cell>
          <cell r="CI76">
            <v>0</v>
          </cell>
          <cell r="CJ76">
            <v>0</v>
          </cell>
          <cell r="CK76">
            <v>48444</v>
          </cell>
          <cell r="CL76">
            <v>936</v>
          </cell>
          <cell r="CM76">
            <v>0</v>
          </cell>
          <cell r="CN76">
            <v>0</v>
          </cell>
          <cell r="CO76">
            <v>936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135870</v>
          </cell>
          <cell r="DO76">
            <v>0</v>
          </cell>
          <cell r="DP76">
            <v>0</v>
          </cell>
          <cell r="DQ76">
            <v>135870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144</v>
          </cell>
          <cell r="EK76">
            <v>0</v>
          </cell>
          <cell r="EL76">
            <v>0</v>
          </cell>
          <cell r="EM76">
            <v>144</v>
          </cell>
        </row>
        <row r="77">
          <cell r="A77">
            <v>71</v>
          </cell>
          <cell r="B77" t="str">
            <v>E1932</v>
          </cell>
          <cell r="C77" t="str">
            <v>SD</v>
          </cell>
          <cell r="D77" t="str">
            <v>E</v>
          </cell>
          <cell r="E77" t="str">
            <v>Dacorum</v>
          </cell>
          <cell r="F77">
            <v>35763.64</v>
          </cell>
          <cell r="G77">
            <v>0</v>
          </cell>
          <cell r="H77">
            <v>0</v>
          </cell>
          <cell r="I77">
            <v>35763.64</v>
          </cell>
          <cell r="J77">
            <v>7534.7</v>
          </cell>
          <cell r="K77">
            <v>0</v>
          </cell>
          <cell r="L77">
            <v>0</v>
          </cell>
          <cell r="M77">
            <v>7534.7</v>
          </cell>
          <cell r="N77">
            <v>261531.69</v>
          </cell>
          <cell r="O77">
            <v>0</v>
          </cell>
          <cell r="P77">
            <v>0</v>
          </cell>
          <cell r="Q77">
            <v>261531.69</v>
          </cell>
          <cell r="R77">
            <v>725762.01</v>
          </cell>
          <cell r="S77">
            <v>0</v>
          </cell>
          <cell r="T77">
            <v>0</v>
          </cell>
          <cell r="U77">
            <v>725762.01</v>
          </cell>
          <cell r="V77">
            <v>2036043.51</v>
          </cell>
          <cell r="W77">
            <v>0</v>
          </cell>
          <cell r="X77">
            <v>0</v>
          </cell>
          <cell r="Y77">
            <v>2036043.51</v>
          </cell>
          <cell r="Z77">
            <v>151583.42000000001</v>
          </cell>
          <cell r="AA77">
            <v>0</v>
          </cell>
          <cell r="AB77">
            <v>0</v>
          </cell>
          <cell r="AC77">
            <v>151583.42000000001</v>
          </cell>
          <cell r="AD77">
            <v>1213460.97</v>
          </cell>
          <cell r="AE77">
            <v>0</v>
          </cell>
          <cell r="AF77">
            <v>0</v>
          </cell>
          <cell r="AG77">
            <v>1213460.97</v>
          </cell>
          <cell r="AH77">
            <v>6678.87</v>
          </cell>
          <cell r="AI77">
            <v>0</v>
          </cell>
          <cell r="AJ77">
            <v>0</v>
          </cell>
          <cell r="AK77">
            <v>6678.87</v>
          </cell>
          <cell r="AL77">
            <v>3755160.65</v>
          </cell>
          <cell r="AM77">
            <v>0</v>
          </cell>
          <cell r="AN77">
            <v>0</v>
          </cell>
          <cell r="AO77">
            <v>3755160.65</v>
          </cell>
          <cell r="AP77">
            <v>-75701.06</v>
          </cell>
          <cell r="AQ77">
            <v>0</v>
          </cell>
          <cell r="AR77">
            <v>0</v>
          </cell>
          <cell r="AS77">
            <v>-75701.06</v>
          </cell>
          <cell r="AT77">
            <v>76526.759999999995</v>
          </cell>
          <cell r="AU77">
            <v>0</v>
          </cell>
          <cell r="AV77">
            <v>0</v>
          </cell>
          <cell r="AW77">
            <v>76526.759999999995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3909.3</v>
          </cell>
          <cell r="BC77">
            <v>0</v>
          </cell>
          <cell r="BD77">
            <v>0</v>
          </cell>
          <cell r="BE77">
            <v>3909.3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36066.97</v>
          </cell>
          <cell r="BK77">
            <v>0</v>
          </cell>
          <cell r="BL77">
            <v>0</v>
          </cell>
          <cell r="BM77">
            <v>36066.97</v>
          </cell>
          <cell r="BN77">
            <v>309384.05</v>
          </cell>
          <cell r="BO77">
            <v>0</v>
          </cell>
          <cell r="BP77">
            <v>0</v>
          </cell>
          <cell r="BQ77">
            <v>309384.05</v>
          </cell>
          <cell r="BR77">
            <v>2269429.5099999998</v>
          </cell>
          <cell r="BS77">
            <v>0</v>
          </cell>
          <cell r="BT77">
            <v>0</v>
          </cell>
          <cell r="BU77">
            <v>2269429.5099999998</v>
          </cell>
          <cell r="BV77">
            <v>160657.94</v>
          </cell>
          <cell r="BW77">
            <v>0</v>
          </cell>
          <cell r="BX77">
            <v>0</v>
          </cell>
          <cell r="BY77">
            <v>160657.94</v>
          </cell>
          <cell r="BZ77">
            <v>240554.62</v>
          </cell>
          <cell r="CA77">
            <v>0</v>
          </cell>
          <cell r="CB77">
            <v>0</v>
          </cell>
          <cell r="CC77">
            <v>240554.62</v>
          </cell>
          <cell r="CD77">
            <v>-1067.8399999999999</v>
          </cell>
          <cell r="CE77">
            <v>0</v>
          </cell>
          <cell r="CF77">
            <v>0</v>
          </cell>
          <cell r="CG77">
            <v>-1067.8399999999999</v>
          </cell>
          <cell r="CH77">
            <v>19839.37</v>
          </cell>
          <cell r="CI77">
            <v>0</v>
          </cell>
          <cell r="CJ77">
            <v>0</v>
          </cell>
          <cell r="CK77">
            <v>19839.37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978.52</v>
          </cell>
          <cell r="CQ77">
            <v>0</v>
          </cell>
          <cell r="CR77">
            <v>0</v>
          </cell>
          <cell r="CS77">
            <v>978.52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217.87</v>
          </cell>
          <cell r="DG77">
            <v>0</v>
          </cell>
          <cell r="DH77">
            <v>0</v>
          </cell>
          <cell r="DI77">
            <v>217.87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</row>
        <row r="78">
          <cell r="A78">
            <v>72</v>
          </cell>
          <cell r="B78" t="str">
            <v>E1301</v>
          </cell>
          <cell r="C78" t="str">
            <v>UA</v>
          </cell>
          <cell r="D78" t="str">
            <v>NE</v>
          </cell>
          <cell r="E78" t="str">
            <v>Darlington UA</v>
          </cell>
          <cell r="F78">
            <v>88678</v>
          </cell>
          <cell r="G78">
            <v>0</v>
          </cell>
          <cell r="H78">
            <v>0</v>
          </cell>
          <cell r="I78">
            <v>88678</v>
          </cell>
          <cell r="J78">
            <v>-94897</v>
          </cell>
          <cell r="K78">
            <v>0</v>
          </cell>
          <cell r="L78">
            <v>0</v>
          </cell>
          <cell r="M78">
            <v>-94897</v>
          </cell>
          <cell r="N78">
            <v>210481</v>
          </cell>
          <cell r="O78">
            <v>0</v>
          </cell>
          <cell r="P78">
            <v>0</v>
          </cell>
          <cell r="Q78">
            <v>210481</v>
          </cell>
          <cell r="R78">
            <v>838380</v>
          </cell>
          <cell r="S78">
            <v>0</v>
          </cell>
          <cell r="T78">
            <v>0</v>
          </cell>
          <cell r="U78">
            <v>838380</v>
          </cell>
          <cell r="V78">
            <v>2059081</v>
          </cell>
          <cell r="W78">
            <v>0</v>
          </cell>
          <cell r="X78">
            <v>0</v>
          </cell>
          <cell r="Y78">
            <v>2059081</v>
          </cell>
          <cell r="Z78">
            <v>137180</v>
          </cell>
          <cell r="AA78">
            <v>0</v>
          </cell>
          <cell r="AB78">
            <v>0</v>
          </cell>
          <cell r="AC78">
            <v>137180</v>
          </cell>
          <cell r="AD78">
            <v>657915</v>
          </cell>
          <cell r="AE78">
            <v>0</v>
          </cell>
          <cell r="AF78">
            <v>0</v>
          </cell>
          <cell r="AG78">
            <v>657915</v>
          </cell>
          <cell r="AH78">
            <v>1926</v>
          </cell>
          <cell r="AI78">
            <v>0</v>
          </cell>
          <cell r="AJ78">
            <v>0</v>
          </cell>
          <cell r="AK78">
            <v>1926</v>
          </cell>
          <cell r="AL78">
            <v>2522661</v>
          </cell>
          <cell r="AM78">
            <v>0</v>
          </cell>
          <cell r="AN78">
            <v>0</v>
          </cell>
          <cell r="AO78">
            <v>2522661</v>
          </cell>
          <cell r="AP78">
            <v>-114100</v>
          </cell>
          <cell r="AQ78">
            <v>0</v>
          </cell>
          <cell r="AR78">
            <v>0</v>
          </cell>
          <cell r="AS78">
            <v>-114100</v>
          </cell>
          <cell r="AT78">
            <v>50907</v>
          </cell>
          <cell r="AU78">
            <v>0</v>
          </cell>
          <cell r="AV78">
            <v>0</v>
          </cell>
          <cell r="AW78">
            <v>50907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3867</v>
          </cell>
          <cell r="BC78">
            <v>0</v>
          </cell>
          <cell r="BD78">
            <v>0</v>
          </cell>
          <cell r="BE78">
            <v>3867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7571</v>
          </cell>
          <cell r="BK78">
            <v>0</v>
          </cell>
          <cell r="BL78">
            <v>0</v>
          </cell>
          <cell r="BM78">
            <v>7571</v>
          </cell>
          <cell r="BN78">
            <v>2656</v>
          </cell>
          <cell r="BO78">
            <v>0</v>
          </cell>
          <cell r="BP78">
            <v>0</v>
          </cell>
          <cell r="BQ78">
            <v>2656</v>
          </cell>
          <cell r="BR78">
            <v>1582247</v>
          </cell>
          <cell r="BS78">
            <v>0</v>
          </cell>
          <cell r="BT78">
            <v>0</v>
          </cell>
          <cell r="BU78">
            <v>1582247</v>
          </cell>
          <cell r="BV78">
            <v>115595</v>
          </cell>
          <cell r="BW78">
            <v>0</v>
          </cell>
          <cell r="BX78">
            <v>0</v>
          </cell>
          <cell r="BY78">
            <v>115595</v>
          </cell>
          <cell r="BZ78">
            <v>32957</v>
          </cell>
          <cell r="CA78">
            <v>0</v>
          </cell>
          <cell r="CB78">
            <v>0</v>
          </cell>
          <cell r="CC78">
            <v>32957</v>
          </cell>
          <cell r="CD78">
            <v>12633</v>
          </cell>
          <cell r="CE78">
            <v>0</v>
          </cell>
          <cell r="CF78">
            <v>0</v>
          </cell>
          <cell r="CG78">
            <v>12633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</row>
        <row r="79">
          <cell r="A79">
            <v>73</v>
          </cell>
          <cell r="B79" t="str">
            <v>E2233</v>
          </cell>
          <cell r="C79" t="str">
            <v>SD</v>
          </cell>
          <cell r="D79" t="str">
            <v>SE</v>
          </cell>
          <cell r="E79" t="str">
            <v>Dartford</v>
          </cell>
          <cell r="F79">
            <v>120538</v>
          </cell>
          <cell r="G79">
            <v>0</v>
          </cell>
          <cell r="H79">
            <v>0</v>
          </cell>
          <cell r="I79">
            <v>120538</v>
          </cell>
          <cell r="J79">
            <v>-173779</v>
          </cell>
          <cell r="K79">
            <v>0</v>
          </cell>
          <cell r="L79">
            <v>0</v>
          </cell>
          <cell r="M79">
            <v>-173779</v>
          </cell>
          <cell r="N79">
            <v>23949</v>
          </cell>
          <cell r="O79">
            <v>0</v>
          </cell>
          <cell r="P79">
            <v>0</v>
          </cell>
          <cell r="Q79">
            <v>23949</v>
          </cell>
          <cell r="R79">
            <v>298367</v>
          </cell>
          <cell r="S79">
            <v>0</v>
          </cell>
          <cell r="T79">
            <v>0</v>
          </cell>
          <cell r="U79">
            <v>298367</v>
          </cell>
          <cell r="V79">
            <v>1336305</v>
          </cell>
          <cell r="W79">
            <v>0</v>
          </cell>
          <cell r="X79">
            <v>0</v>
          </cell>
          <cell r="Y79">
            <v>1336305</v>
          </cell>
          <cell r="Z79">
            <v>34808</v>
          </cell>
          <cell r="AA79">
            <v>0</v>
          </cell>
          <cell r="AB79">
            <v>0</v>
          </cell>
          <cell r="AC79">
            <v>34808</v>
          </cell>
          <cell r="AD79">
            <v>1647088</v>
          </cell>
          <cell r="AE79">
            <v>0</v>
          </cell>
          <cell r="AF79">
            <v>0</v>
          </cell>
          <cell r="AG79">
            <v>1647088</v>
          </cell>
          <cell r="AH79">
            <v>-50168</v>
          </cell>
          <cell r="AI79">
            <v>0</v>
          </cell>
          <cell r="AJ79">
            <v>0</v>
          </cell>
          <cell r="AK79">
            <v>-50168</v>
          </cell>
          <cell r="AL79">
            <v>2413976</v>
          </cell>
          <cell r="AM79">
            <v>0</v>
          </cell>
          <cell r="AN79">
            <v>0</v>
          </cell>
          <cell r="AO79">
            <v>2413976</v>
          </cell>
          <cell r="AP79">
            <v>10873</v>
          </cell>
          <cell r="AQ79">
            <v>0</v>
          </cell>
          <cell r="AR79">
            <v>0</v>
          </cell>
          <cell r="AS79">
            <v>10873</v>
          </cell>
          <cell r="AT79">
            <v>49696</v>
          </cell>
          <cell r="AU79">
            <v>0</v>
          </cell>
          <cell r="AV79">
            <v>0</v>
          </cell>
          <cell r="AW79">
            <v>49696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648</v>
          </cell>
          <cell r="BC79">
            <v>0</v>
          </cell>
          <cell r="BD79">
            <v>0</v>
          </cell>
          <cell r="BE79">
            <v>648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282373</v>
          </cell>
          <cell r="BK79">
            <v>0</v>
          </cell>
          <cell r="BL79">
            <v>0</v>
          </cell>
          <cell r="BM79">
            <v>282373</v>
          </cell>
          <cell r="BN79">
            <v>132202</v>
          </cell>
          <cell r="BO79">
            <v>0</v>
          </cell>
          <cell r="BP79">
            <v>0</v>
          </cell>
          <cell r="BQ79">
            <v>132202</v>
          </cell>
          <cell r="BR79">
            <v>2553164</v>
          </cell>
          <cell r="BS79">
            <v>0</v>
          </cell>
          <cell r="BT79">
            <v>0</v>
          </cell>
          <cell r="BU79">
            <v>2553164</v>
          </cell>
          <cell r="BV79">
            <v>-42583</v>
          </cell>
          <cell r="BW79">
            <v>0</v>
          </cell>
          <cell r="BX79">
            <v>0</v>
          </cell>
          <cell r="BY79">
            <v>-42583</v>
          </cell>
          <cell r="BZ79">
            <v>43283</v>
          </cell>
          <cell r="CA79">
            <v>0</v>
          </cell>
          <cell r="CB79">
            <v>0</v>
          </cell>
          <cell r="CC79">
            <v>43283</v>
          </cell>
          <cell r="CD79">
            <v>255</v>
          </cell>
          <cell r="CE79">
            <v>0</v>
          </cell>
          <cell r="CF79">
            <v>0</v>
          </cell>
          <cell r="CG79">
            <v>255</v>
          </cell>
          <cell r="CH79">
            <v>1875</v>
          </cell>
          <cell r="CI79">
            <v>0</v>
          </cell>
          <cell r="CJ79">
            <v>0</v>
          </cell>
          <cell r="CK79">
            <v>1875</v>
          </cell>
          <cell r="CL79">
            <v>-78</v>
          </cell>
          <cell r="CM79">
            <v>0</v>
          </cell>
          <cell r="CN79">
            <v>0</v>
          </cell>
          <cell r="CO79">
            <v>-78</v>
          </cell>
          <cell r="CP79">
            <v>7630</v>
          </cell>
          <cell r="CQ79">
            <v>0</v>
          </cell>
          <cell r="CR79">
            <v>0</v>
          </cell>
          <cell r="CS79">
            <v>7630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2213</v>
          </cell>
          <cell r="DG79">
            <v>0</v>
          </cell>
          <cell r="DH79">
            <v>0</v>
          </cell>
          <cell r="DI79">
            <v>2213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</row>
        <row r="80">
          <cell r="A80">
            <v>74</v>
          </cell>
          <cell r="B80" t="str">
            <v>E2832</v>
          </cell>
          <cell r="C80" t="str">
            <v>SD</v>
          </cell>
          <cell r="D80" t="str">
            <v>EM</v>
          </cell>
          <cell r="E80" t="str">
            <v>Daventry</v>
          </cell>
          <cell r="F80">
            <v>67006</v>
          </cell>
          <cell r="G80">
            <v>0</v>
          </cell>
          <cell r="H80">
            <v>0</v>
          </cell>
          <cell r="I80">
            <v>67006</v>
          </cell>
          <cell r="J80">
            <v>-23518</v>
          </cell>
          <cell r="K80">
            <v>0</v>
          </cell>
          <cell r="L80">
            <v>0</v>
          </cell>
          <cell r="M80">
            <v>-23518</v>
          </cell>
          <cell r="N80">
            <v>20112</v>
          </cell>
          <cell r="O80">
            <v>0</v>
          </cell>
          <cell r="P80">
            <v>0</v>
          </cell>
          <cell r="Q80">
            <v>20112</v>
          </cell>
          <cell r="R80">
            <v>491058</v>
          </cell>
          <cell r="S80">
            <v>0</v>
          </cell>
          <cell r="T80">
            <v>0</v>
          </cell>
          <cell r="U80">
            <v>491058</v>
          </cell>
          <cell r="V80">
            <v>1425982</v>
          </cell>
          <cell r="W80">
            <v>0</v>
          </cell>
          <cell r="X80">
            <v>0</v>
          </cell>
          <cell r="Y80">
            <v>1425982</v>
          </cell>
          <cell r="Z80">
            <v>154964</v>
          </cell>
          <cell r="AA80">
            <v>0</v>
          </cell>
          <cell r="AB80">
            <v>0</v>
          </cell>
          <cell r="AC80">
            <v>154964</v>
          </cell>
          <cell r="AD80">
            <v>753444</v>
          </cell>
          <cell r="AE80">
            <v>0</v>
          </cell>
          <cell r="AF80">
            <v>0</v>
          </cell>
          <cell r="AG80">
            <v>753444</v>
          </cell>
          <cell r="AH80">
            <v>-12928</v>
          </cell>
          <cell r="AI80">
            <v>0</v>
          </cell>
          <cell r="AJ80">
            <v>0</v>
          </cell>
          <cell r="AK80">
            <v>-12928</v>
          </cell>
          <cell r="AL80">
            <v>1554058</v>
          </cell>
          <cell r="AM80">
            <v>0</v>
          </cell>
          <cell r="AN80">
            <v>0</v>
          </cell>
          <cell r="AO80">
            <v>1554058</v>
          </cell>
          <cell r="AP80">
            <v>107672</v>
          </cell>
          <cell r="AQ80">
            <v>0</v>
          </cell>
          <cell r="AR80">
            <v>0</v>
          </cell>
          <cell r="AS80">
            <v>107672</v>
          </cell>
          <cell r="AT80">
            <v>26229</v>
          </cell>
          <cell r="AU80">
            <v>0</v>
          </cell>
          <cell r="AV80">
            <v>0</v>
          </cell>
          <cell r="AW80">
            <v>26229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40110</v>
          </cell>
          <cell r="BC80">
            <v>0</v>
          </cell>
          <cell r="BD80">
            <v>0</v>
          </cell>
          <cell r="BE80">
            <v>40110</v>
          </cell>
          <cell r="BF80">
            <v>10650</v>
          </cell>
          <cell r="BG80">
            <v>0</v>
          </cell>
          <cell r="BH80">
            <v>0</v>
          </cell>
          <cell r="BI80">
            <v>10650</v>
          </cell>
          <cell r="BJ80">
            <v>404113</v>
          </cell>
          <cell r="BK80">
            <v>0</v>
          </cell>
          <cell r="BL80">
            <v>0</v>
          </cell>
          <cell r="BM80">
            <v>404113</v>
          </cell>
          <cell r="BN80">
            <v>85660</v>
          </cell>
          <cell r="BO80">
            <v>0</v>
          </cell>
          <cell r="BP80">
            <v>0</v>
          </cell>
          <cell r="BQ80">
            <v>85660</v>
          </cell>
          <cell r="BR80">
            <v>1336492</v>
          </cell>
          <cell r="BS80">
            <v>0</v>
          </cell>
          <cell r="BT80">
            <v>0</v>
          </cell>
          <cell r="BU80">
            <v>1336492</v>
          </cell>
          <cell r="BV80">
            <v>26523</v>
          </cell>
          <cell r="BW80">
            <v>0</v>
          </cell>
          <cell r="BX80">
            <v>0</v>
          </cell>
          <cell r="BY80">
            <v>26523</v>
          </cell>
          <cell r="BZ80">
            <v>44434</v>
          </cell>
          <cell r="CA80">
            <v>0</v>
          </cell>
          <cell r="CB80">
            <v>0</v>
          </cell>
          <cell r="CC80">
            <v>44434</v>
          </cell>
          <cell r="CD80">
            <v>497</v>
          </cell>
          <cell r="CE80">
            <v>0</v>
          </cell>
          <cell r="CF80">
            <v>0</v>
          </cell>
          <cell r="CG80">
            <v>497</v>
          </cell>
          <cell r="CH80">
            <v>15990</v>
          </cell>
          <cell r="CI80">
            <v>0</v>
          </cell>
          <cell r="CJ80">
            <v>0</v>
          </cell>
          <cell r="CK80">
            <v>15990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824</v>
          </cell>
          <cell r="CQ80">
            <v>0</v>
          </cell>
          <cell r="CR80">
            <v>0</v>
          </cell>
          <cell r="CS80">
            <v>824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2243</v>
          </cell>
          <cell r="CY80">
            <v>0</v>
          </cell>
          <cell r="CZ80">
            <v>0</v>
          </cell>
          <cell r="DA80">
            <v>2243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</row>
        <row r="81">
          <cell r="A81">
            <v>75</v>
          </cell>
          <cell r="B81" t="str">
            <v>E1001</v>
          </cell>
          <cell r="C81" t="str">
            <v>UA</v>
          </cell>
          <cell r="D81" t="str">
            <v>EM</v>
          </cell>
          <cell r="E81" t="str">
            <v>Derby UA</v>
          </cell>
          <cell r="F81">
            <v>197133.46</v>
          </cell>
          <cell r="G81">
            <v>0</v>
          </cell>
          <cell r="H81">
            <v>0</v>
          </cell>
          <cell r="I81">
            <v>197133.46</v>
          </cell>
          <cell r="J81">
            <v>-125484.47</v>
          </cell>
          <cell r="K81">
            <v>0</v>
          </cell>
          <cell r="L81">
            <v>0</v>
          </cell>
          <cell r="M81">
            <v>-125484.47</v>
          </cell>
          <cell r="N81">
            <v>231093.55</v>
          </cell>
          <cell r="O81">
            <v>0</v>
          </cell>
          <cell r="P81">
            <v>0</v>
          </cell>
          <cell r="Q81">
            <v>231093.55</v>
          </cell>
          <cell r="R81">
            <v>319394.46999999997</v>
          </cell>
          <cell r="S81">
            <v>0</v>
          </cell>
          <cell r="T81">
            <v>0</v>
          </cell>
          <cell r="U81">
            <v>319394.46999999997</v>
          </cell>
          <cell r="V81">
            <v>3793478.27</v>
          </cell>
          <cell r="W81">
            <v>0</v>
          </cell>
          <cell r="X81">
            <v>0</v>
          </cell>
          <cell r="Y81">
            <v>3793478.27</v>
          </cell>
          <cell r="Z81">
            <v>170899.08</v>
          </cell>
          <cell r="AA81">
            <v>0</v>
          </cell>
          <cell r="AB81">
            <v>0</v>
          </cell>
          <cell r="AC81">
            <v>170899.08</v>
          </cell>
          <cell r="AD81">
            <v>1687172.21</v>
          </cell>
          <cell r="AE81">
            <v>0</v>
          </cell>
          <cell r="AF81">
            <v>0</v>
          </cell>
          <cell r="AG81">
            <v>1687172.21</v>
          </cell>
          <cell r="AH81">
            <v>-1724.36</v>
          </cell>
          <cell r="AI81">
            <v>0</v>
          </cell>
          <cell r="AJ81">
            <v>0</v>
          </cell>
          <cell r="AK81">
            <v>-1724.36</v>
          </cell>
          <cell r="AL81">
            <v>5200608.07</v>
          </cell>
          <cell r="AM81">
            <v>0</v>
          </cell>
          <cell r="AN81">
            <v>0</v>
          </cell>
          <cell r="AO81">
            <v>5200608.07</v>
          </cell>
          <cell r="AP81">
            <v>-29465.15</v>
          </cell>
          <cell r="AQ81">
            <v>0</v>
          </cell>
          <cell r="AR81">
            <v>0</v>
          </cell>
          <cell r="AS81">
            <v>-29465.15</v>
          </cell>
          <cell r="AT81">
            <v>32970</v>
          </cell>
          <cell r="AU81">
            <v>0</v>
          </cell>
          <cell r="AV81">
            <v>0</v>
          </cell>
          <cell r="AW81">
            <v>32970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67947.44</v>
          </cell>
          <cell r="BK81">
            <v>0</v>
          </cell>
          <cell r="BL81">
            <v>0</v>
          </cell>
          <cell r="BM81">
            <v>67947.44</v>
          </cell>
          <cell r="BN81">
            <v>152951.75</v>
          </cell>
          <cell r="BO81">
            <v>0</v>
          </cell>
          <cell r="BP81">
            <v>0</v>
          </cell>
          <cell r="BQ81">
            <v>152951.75</v>
          </cell>
          <cell r="BR81">
            <v>3388472.12</v>
          </cell>
          <cell r="BS81">
            <v>0</v>
          </cell>
          <cell r="BT81">
            <v>0</v>
          </cell>
          <cell r="BU81">
            <v>3388472.12</v>
          </cell>
          <cell r="BV81">
            <v>730840.21</v>
          </cell>
          <cell r="BW81">
            <v>0</v>
          </cell>
          <cell r="BX81">
            <v>0</v>
          </cell>
          <cell r="BY81">
            <v>730840.21</v>
          </cell>
          <cell r="BZ81">
            <v>66321.34</v>
          </cell>
          <cell r="CA81">
            <v>0</v>
          </cell>
          <cell r="CB81">
            <v>0</v>
          </cell>
          <cell r="CC81">
            <v>66321.34</v>
          </cell>
          <cell r="CD81">
            <v>3424.76</v>
          </cell>
          <cell r="CE81">
            <v>0</v>
          </cell>
          <cell r="CF81">
            <v>0</v>
          </cell>
          <cell r="CG81">
            <v>3424.76</v>
          </cell>
          <cell r="CH81">
            <v>176673.88</v>
          </cell>
          <cell r="CI81">
            <v>0</v>
          </cell>
          <cell r="CJ81">
            <v>0</v>
          </cell>
          <cell r="CK81">
            <v>176673.88</v>
          </cell>
          <cell r="CL81">
            <v>-5020.46</v>
          </cell>
          <cell r="CM81">
            <v>0</v>
          </cell>
          <cell r="CN81">
            <v>0</v>
          </cell>
          <cell r="CO81">
            <v>-5020.46</v>
          </cell>
          <cell r="CP81">
            <v>8242.5</v>
          </cell>
          <cell r="CQ81">
            <v>0</v>
          </cell>
          <cell r="CR81">
            <v>0</v>
          </cell>
          <cell r="CS81">
            <v>8242.5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</row>
        <row r="82">
          <cell r="A82">
            <v>76</v>
          </cell>
          <cell r="B82" t="str">
            <v>E1035</v>
          </cell>
          <cell r="C82" t="str">
            <v>SD</v>
          </cell>
          <cell r="D82" t="str">
            <v>EM</v>
          </cell>
          <cell r="E82" t="str">
            <v>Derbyshire Dales</v>
          </cell>
          <cell r="F82">
            <v>129693</v>
          </cell>
          <cell r="G82">
            <v>0</v>
          </cell>
          <cell r="H82">
            <v>0</v>
          </cell>
          <cell r="I82">
            <v>129693</v>
          </cell>
          <cell r="J82">
            <v>-12066</v>
          </cell>
          <cell r="K82">
            <v>0</v>
          </cell>
          <cell r="L82">
            <v>0</v>
          </cell>
          <cell r="M82">
            <v>-12066</v>
          </cell>
          <cell r="N82">
            <v>91606</v>
          </cell>
          <cell r="O82">
            <v>0</v>
          </cell>
          <cell r="P82">
            <v>0</v>
          </cell>
          <cell r="Q82">
            <v>91606</v>
          </cell>
          <cell r="R82">
            <v>1815</v>
          </cell>
          <cell r="S82">
            <v>0</v>
          </cell>
          <cell r="T82">
            <v>0</v>
          </cell>
          <cell r="U82">
            <v>1815</v>
          </cell>
          <cell r="V82">
            <v>2461415</v>
          </cell>
          <cell r="W82">
            <v>0</v>
          </cell>
          <cell r="X82">
            <v>0</v>
          </cell>
          <cell r="Y82">
            <v>2461415</v>
          </cell>
          <cell r="Z82">
            <v>138951</v>
          </cell>
          <cell r="AA82">
            <v>0</v>
          </cell>
          <cell r="AB82">
            <v>0</v>
          </cell>
          <cell r="AC82">
            <v>138951</v>
          </cell>
          <cell r="AD82">
            <v>282119</v>
          </cell>
          <cell r="AE82">
            <v>0</v>
          </cell>
          <cell r="AF82">
            <v>0</v>
          </cell>
          <cell r="AG82">
            <v>282119</v>
          </cell>
          <cell r="AH82">
            <v>-1724</v>
          </cell>
          <cell r="AI82">
            <v>0</v>
          </cell>
          <cell r="AJ82">
            <v>0</v>
          </cell>
          <cell r="AK82">
            <v>-1724</v>
          </cell>
          <cell r="AL82">
            <v>1008455</v>
          </cell>
          <cell r="AM82">
            <v>0</v>
          </cell>
          <cell r="AN82">
            <v>0</v>
          </cell>
          <cell r="AO82">
            <v>1008455</v>
          </cell>
          <cell r="AP82">
            <v>-265</v>
          </cell>
          <cell r="AQ82">
            <v>0</v>
          </cell>
          <cell r="AR82">
            <v>0</v>
          </cell>
          <cell r="AS82">
            <v>-265</v>
          </cell>
          <cell r="AT82">
            <v>43794</v>
          </cell>
          <cell r="AU82">
            <v>0</v>
          </cell>
          <cell r="AV82">
            <v>0</v>
          </cell>
          <cell r="AW82">
            <v>43794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59606</v>
          </cell>
          <cell r="BC82">
            <v>0</v>
          </cell>
          <cell r="BD82">
            <v>0</v>
          </cell>
          <cell r="BE82">
            <v>59606</v>
          </cell>
          <cell r="BF82">
            <v>13701</v>
          </cell>
          <cell r="BG82">
            <v>0</v>
          </cell>
          <cell r="BH82">
            <v>0</v>
          </cell>
          <cell r="BI82">
            <v>13701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457224</v>
          </cell>
          <cell r="BS82">
            <v>0</v>
          </cell>
          <cell r="BT82">
            <v>0</v>
          </cell>
          <cell r="BU82">
            <v>457224</v>
          </cell>
          <cell r="BV82">
            <v>8503</v>
          </cell>
          <cell r="BW82">
            <v>0</v>
          </cell>
          <cell r="BX82">
            <v>0</v>
          </cell>
          <cell r="BY82">
            <v>8503</v>
          </cell>
          <cell r="BZ82">
            <v>107204</v>
          </cell>
          <cell r="CA82">
            <v>0</v>
          </cell>
          <cell r="CB82">
            <v>0</v>
          </cell>
          <cell r="CC82">
            <v>107204</v>
          </cell>
          <cell r="CD82">
            <v>-1040</v>
          </cell>
          <cell r="CE82">
            <v>0</v>
          </cell>
          <cell r="CF82">
            <v>0</v>
          </cell>
          <cell r="CG82">
            <v>-1040</v>
          </cell>
          <cell r="CH82">
            <v>127325</v>
          </cell>
          <cell r="CI82">
            <v>0</v>
          </cell>
          <cell r="CJ82">
            <v>0</v>
          </cell>
          <cell r="CK82">
            <v>127325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4072</v>
          </cell>
          <cell r="CQ82">
            <v>0</v>
          </cell>
          <cell r="CR82">
            <v>0</v>
          </cell>
          <cell r="CS82">
            <v>4072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59606</v>
          </cell>
          <cell r="CY82">
            <v>0</v>
          </cell>
          <cell r="CZ82">
            <v>0</v>
          </cell>
          <cell r="DA82">
            <v>59606</v>
          </cell>
          <cell r="DB82">
            <v>7823</v>
          </cell>
          <cell r="DC82">
            <v>0</v>
          </cell>
          <cell r="DD82">
            <v>0</v>
          </cell>
          <cell r="DE82">
            <v>7823</v>
          </cell>
          <cell r="DF82">
            <v>8986</v>
          </cell>
          <cell r="DG82">
            <v>0</v>
          </cell>
          <cell r="DH82">
            <v>0</v>
          </cell>
          <cell r="DI82">
            <v>8986</v>
          </cell>
          <cell r="DJ82">
            <v>-783</v>
          </cell>
          <cell r="DK82">
            <v>0</v>
          </cell>
          <cell r="DL82">
            <v>0</v>
          </cell>
          <cell r="DM82">
            <v>-783</v>
          </cell>
          <cell r="DN82">
            <v>2572</v>
          </cell>
          <cell r="DO82">
            <v>0</v>
          </cell>
          <cell r="DP82">
            <v>0</v>
          </cell>
          <cell r="DQ82">
            <v>2572</v>
          </cell>
          <cell r="DR82">
            <v>20459</v>
          </cell>
          <cell r="DS82">
            <v>0</v>
          </cell>
          <cell r="DT82">
            <v>0</v>
          </cell>
          <cell r="DU82">
            <v>20459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</row>
        <row r="83">
          <cell r="A83">
            <v>77</v>
          </cell>
          <cell r="B83" t="str">
            <v>E4402</v>
          </cell>
          <cell r="C83" t="str">
            <v>Met</v>
          </cell>
          <cell r="D83" t="str">
            <v>YH</v>
          </cell>
          <cell r="E83" t="str">
            <v>Doncaster</v>
          </cell>
          <cell r="F83">
            <v>150014</v>
          </cell>
          <cell r="G83">
            <v>0</v>
          </cell>
          <cell r="H83">
            <v>0</v>
          </cell>
          <cell r="I83">
            <v>150014</v>
          </cell>
          <cell r="J83">
            <v>-220299</v>
          </cell>
          <cell r="K83">
            <v>0</v>
          </cell>
          <cell r="L83">
            <v>0</v>
          </cell>
          <cell r="M83">
            <v>-220299</v>
          </cell>
          <cell r="N83">
            <v>50425</v>
          </cell>
          <cell r="O83">
            <v>0</v>
          </cell>
          <cell r="P83">
            <v>0</v>
          </cell>
          <cell r="Q83">
            <v>50425</v>
          </cell>
          <cell r="R83">
            <v>237496</v>
          </cell>
          <cell r="S83">
            <v>0</v>
          </cell>
          <cell r="T83">
            <v>0</v>
          </cell>
          <cell r="U83">
            <v>237496</v>
          </cell>
          <cell r="V83">
            <v>5545584</v>
          </cell>
          <cell r="W83">
            <v>0</v>
          </cell>
          <cell r="X83">
            <v>0</v>
          </cell>
          <cell r="Y83">
            <v>5545584</v>
          </cell>
          <cell r="Z83">
            <v>158760</v>
          </cell>
          <cell r="AA83">
            <v>0</v>
          </cell>
          <cell r="AB83">
            <v>0</v>
          </cell>
          <cell r="AC83">
            <v>158760</v>
          </cell>
          <cell r="AD83">
            <v>1765824</v>
          </cell>
          <cell r="AE83">
            <v>0</v>
          </cell>
          <cell r="AF83">
            <v>0</v>
          </cell>
          <cell r="AG83">
            <v>1765824</v>
          </cell>
          <cell r="AH83">
            <v>31271</v>
          </cell>
          <cell r="AI83">
            <v>0</v>
          </cell>
          <cell r="AJ83">
            <v>0</v>
          </cell>
          <cell r="AK83">
            <v>31271</v>
          </cell>
          <cell r="AL83">
            <v>5065240</v>
          </cell>
          <cell r="AM83">
            <v>0</v>
          </cell>
          <cell r="AN83">
            <v>0</v>
          </cell>
          <cell r="AO83">
            <v>5065240</v>
          </cell>
          <cell r="AP83">
            <v>-288790</v>
          </cell>
          <cell r="AQ83">
            <v>0</v>
          </cell>
          <cell r="AR83">
            <v>0</v>
          </cell>
          <cell r="AS83">
            <v>-288790</v>
          </cell>
          <cell r="AT83">
            <v>28430</v>
          </cell>
          <cell r="AU83">
            <v>0</v>
          </cell>
          <cell r="AV83">
            <v>0</v>
          </cell>
          <cell r="AW83">
            <v>28430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9015</v>
          </cell>
          <cell r="BC83">
            <v>0</v>
          </cell>
          <cell r="BD83">
            <v>0</v>
          </cell>
          <cell r="BE83">
            <v>9015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12071</v>
          </cell>
          <cell r="BK83">
            <v>0</v>
          </cell>
          <cell r="BL83">
            <v>0</v>
          </cell>
          <cell r="BM83">
            <v>12071</v>
          </cell>
          <cell r="BN83">
            <v>111927</v>
          </cell>
          <cell r="BO83">
            <v>0</v>
          </cell>
          <cell r="BP83">
            <v>0</v>
          </cell>
          <cell r="BQ83">
            <v>111927</v>
          </cell>
          <cell r="BR83">
            <v>2931861</v>
          </cell>
          <cell r="BS83">
            <v>0</v>
          </cell>
          <cell r="BT83">
            <v>0</v>
          </cell>
          <cell r="BU83">
            <v>2931861</v>
          </cell>
          <cell r="BV83">
            <v>53381</v>
          </cell>
          <cell r="BW83">
            <v>0</v>
          </cell>
          <cell r="BX83">
            <v>0</v>
          </cell>
          <cell r="BY83">
            <v>53381</v>
          </cell>
          <cell r="BZ83">
            <v>253737</v>
          </cell>
          <cell r="CA83">
            <v>0</v>
          </cell>
          <cell r="CB83">
            <v>0</v>
          </cell>
          <cell r="CC83">
            <v>253737</v>
          </cell>
          <cell r="CD83">
            <v>-2935</v>
          </cell>
          <cell r="CE83">
            <v>0</v>
          </cell>
          <cell r="CF83">
            <v>0</v>
          </cell>
          <cell r="CG83">
            <v>-2935</v>
          </cell>
          <cell r="CH83">
            <v>86490</v>
          </cell>
          <cell r="CI83">
            <v>0</v>
          </cell>
          <cell r="CJ83">
            <v>0</v>
          </cell>
          <cell r="CK83">
            <v>86490</v>
          </cell>
          <cell r="CL83">
            <v>-11215</v>
          </cell>
          <cell r="CM83">
            <v>0</v>
          </cell>
          <cell r="CN83">
            <v>0</v>
          </cell>
          <cell r="CO83">
            <v>-11215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730</v>
          </cell>
          <cell r="CY83">
            <v>0</v>
          </cell>
          <cell r="CZ83">
            <v>0</v>
          </cell>
          <cell r="DA83">
            <v>730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</row>
        <row r="84">
          <cell r="A84">
            <v>78</v>
          </cell>
          <cell r="B84" t="str">
            <v>E2234</v>
          </cell>
          <cell r="C84" t="str">
            <v>SD</v>
          </cell>
          <cell r="D84" t="str">
            <v>SE</v>
          </cell>
          <cell r="E84" t="str">
            <v>Dover</v>
          </cell>
          <cell r="F84">
            <v>124859.61</v>
          </cell>
          <cell r="G84">
            <v>0</v>
          </cell>
          <cell r="H84">
            <v>0</v>
          </cell>
          <cell r="I84">
            <v>124859.61</v>
          </cell>
          <cell r="J84">
            <v>-877764.95</v>
          </cell>
          <cell r="K84">
            <v>0</v>
          </cell>
          <cell r="L84">
            <v>0</v>
          </cell>
          <cell r="M84">
            <v>-877764.95</v>
          </cell>
          <cell r="N84">
            <v>18285.45</v>
          </cell>
          <cell r="O84">
            <v>0</v>
          </cell>
          <cell r="P84">
            <v>0</v>
          </cell>
          <cell r="Q84">
            <v>18285.45</v>
          </cell>
          <cell r="R84">
            <v>-84806.44</v>
          </cell>
          <cell r="S84">
            <v>0</v>
          </cell>
          <cell r="T84">
            <v>0</v>
          </cell>
          <cell r="U84">
            <v>-84806.44</v>
          </cell>
          <cell r="V84">
            <v>2129946.14</v>
          </cell>
          <cell r="W84">
            <v>0</v>
          </cell>
          <cell r="X84">
            <v>0</v>
          </cell>
          <cell r="Y84">
            <v>2129946.14</v>
          </cell>
          <cell r="Z84">
            <v>179510.47</v>
          </cell>
          <cell r="AA84">
            <v>0</v>
          </cell>
          <cell r="AB84">
            <v>0</v>
          </cell>
          <cell r="AC84">
            <v>179510.47</v>
          </cell>
          <cell r="AD84">
            <v>688844.38</v>
          </cell>
          <cell r="AE84">
            <v>0</v>
          </cell>
          <cell r="AF84">
            <v>0</v>
          </cell>
          <cell r="AG84">
            <v>688844.38</v>
          </cell>
          <cell r="AH84">
            <v>-27558.17</v>
          </cell>
          <cell r="AI84">
            <v>0</v>
          </cell>
          <cell r="AJ84">
            <v>0</v>
          </cell>
          <cell r="AK84">
            <v>-27558.17</v>
          </cell>
          <cell r="AL84">
            <v>2074145.6</v>
          </cell>
          <cell r="AM84">
            <v>0</v>
          </cell>
          <cell r="AN84">
            <v>0</v>
          </cell>
          <cell r="AO84">
            <v>2074145.6</v>
          </cell>
          <cell r="AP84">
            <v>-41203.699999999997</v>
          </cell>
          <cell r="AQ84">
            <v>0</v>
          </cell>
          <cell r="AR84">
            <v>0</v>
          </cell>
          <cell r="AS84">
            <v>-41203.699999999997</v>
          </cell>
          <cell r="AT84">
            <v>59251.8</v>
          </cell>
          <cell r="AU84">
            <v>0</v>
          </cell>
          <cell r="AV84">
            <v>0</v>
          </cell>
          <cell r="AW84">
            <v>59251.8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25705.61</v>
          </cell>
          <cell r="BC84">
            <v>0</v>
          </cell>
          <cell r="BD84">
            <v>0</v>
          </cell>
          <cell r="BE84">
            <v>25705.61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4025.49</v>
          </cell>
          <cell r="BK84">
            <v>0</v>
          </cell>
          <cell r="BL84">
            <v>0</v>
          </cell>
          <cell r="BM84">
            <v>4025.49</v>
          </cell>
          <cell r="BN84">
            <v>-20289.900000000001</v>
          </cell>
          <cell r="BO84">
            <v>0</v>
          </cell>
          <cell r="BP84">
            <v>0</v>
          </cell>
          <cell r="BQ84">
            <v>-20289.900000000001</v>
          </cell>
          <cell r="BR84">
            <v>1535571.48</v>
          </cell>
          <cell r="BS84">
            <v>0</v>
          </cell>
          <cell r="BT84">
            <v>0</v>
          </cell>
          <cell r="BU84">
            <v>1535571.48</v>
          </cell>
          <cell r="BV84">
            <v>-293508.64</v>
          </cell>
          <cell r="BW84">
            <v>0</v>
          </cell>
          <cell r="BX84">
            <v>0</v>
          </cell>
          <cell r="BY84">
            <v>-293508.64</v>
          </cell>
          <cell r="BZ84">
            <v>149878.43</v>
          </cell>
          <cell r="CA84">
            <v>0</v>
          </cell>
          <cell r="CB84">
            <v>0</v>
          </cell>
          <cell r="CC84">
            <v>149878.43</v>
          </cell>
          <cell r="CD84">
            <v>3163.73</v>
          </cell>
          <cell r="CE84">
            <v>0</v>
          </cell>
          <cell r="CF84">
            <v>0</v>
          </cell>
          <cell r="CG84">
            <v>3163.73</v>
          </cell>
          <cell r="CH84">
            <v>45385.98</v>
          </cell>
          <cell r="CI84">
            <v>0</v>
          </cell>
          <cell r="CJ84">
            <v>0</v>
          </cell>
          <cell r="CK84">
            <v>45385.98</v>
          </cell>
          <cell r="CL84">
            <v>-4000.36</v>
          </cell>
          <cell r="CM84">
            <v>0</v>
          </cell>
          <cell r="CN84">
            <v>0</v>
          </cell>
          <cell r="CO84">
            <v>-4000.36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1529582.34</v>
          </cell>
          <cell r="DO84">
            <v>0</v>
          </cell>
          <cell r="DP84">
            <v>0</v>
          </cell>
          <cell r="DQ84">
            <v>1529582.34</v>
          </cell>
          <cell r="DR84">
            <v>211897.54</v>
          </cell>
          <cell r="DS84">
            <v>0</v>
          </cell>
          <cell r="DT84">
            <v>0</v>
          </cell>
          <cell r="DU84">
            <v>211897.54</v>
          </cell>
          <cell r="DV84">
            <v>0</v>
          </cell>
          <cell r="DW84">
            <v>1741479.88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6358.5</v>
          </cell>
          <cell r="EG84">
            <v>0</v>
          </cell>
          <cell r="EH84">
            <v>0</v>
          </cell>
          <cell r="EI84">
            <v>6358.5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</row>
        <row r="85">
          <cell r="A85">
            <v>79</v>
          </cell>
          <cell r="B85" t="str">
            <v>E4603</v>
          </cell>
          <cell r="C85" t="str">
            <v>Met</v>
          </cell>
          <cell r="D85" t="str">
            <v>WM</v>
          </cell>
          <cell r="E85" t="str">
            <v>Dudley</v>
          </cell>
          <cell r="F85">
            <v>210270</v>
          </cell>
          <cell r="G85">
            <v>0</v>
          </cell>
          <cell r="H85">
            <v>0</v>
          </cell>
          <cell r="I85">
            <v>210270</v>
          </cell>
          <cell r="J85">
            <v>-249078</v>
          </cell>
          <cell r="K85">
            <v>0</v>
          </cell>
          <cell r="L85">
            <v>0</v>
          </cell>
          <cell r="M85">
            <v>-249078</v>
          </cell>
          <cell r="N85">
            <v>194068</v>
          </cell>
          <cell r="O85">
            <v>0</v>
          </cell>
          <cell r="P85">
            <v>0</v>
          </cell>
          <cell r="Q85">
            <v>194068</v>
          </cell>
          <cell r="R85">
            <v>264144</v>
          </cell>
          <cell r="S85">
            <v>0</v>
          </cell>
          <cell r="T85">
            <v>0</v>
          </cell>
          <cell r="U85">
            <v>264144</v>
          </cell>
          <cell r="V85">
            <v>6283675</v>
          </cell>
          <cell r="W85">
            <v>0</v>
          </cell>
          <cell r="X85">
            <v>0</v>
          </cell>
          <cell r="Y85">
            <v>6283675</v>
          </cell>
          <cell r="Z85">
            <v>366600</v>
          </cell>
          <cell r="AA85">
            <v>0</v>
          </cell>
          <cell r="AB85">
            <v>0</v>
          </cell>
          <cell r="AC85">
            <v>366600</v>
          </cell>
          <cell r="AD85">
            <v>1830729</v>
          </cell>
          <cell r="AE85">
            <v>0</v>
          </cell>
          <cell r="AF85">
            <v>0</v>
          </cell>
          <cell r="AG85">
            <v>1830729</v>
          </cell>
          <cell r="AH85">
            <v>3342</v>
          </cell>
          <cell r="AI85">
            <v>0</v>
          </cell>
          <cell r="AJ85">
            <v>0</v>
          </cell>
          <cell r="AK85">
            <v>3342</v>
          </cell>
          <cell r="AL85">
            <v>4421346</v>
          </cell>
          <cell r="AM85">
            <v>0</v>
          </cell>
          <cell r="AN85">
            <v>0</v>
          </cell>
          <cell r="AO85">
            <v>4421346</v>
          </cell>
          <cell r="AP85">
            <v>161209</v>
          </cell>
          <cell r="AQ85">
            <v>0</v>
          </cell>
          <cell r="AR85">
            <v>0</v>
          </cell>
          <cell r="AS85">
            <v>161209</v>
          </cell>
          <cell r="AT85">
            <v>27789</v>
          </cell>
          <cell r="AU85">
            <v>0</v>
          </cell>
          <cell r="AV85">
            <v>0</v>
          </cell>
          <cell r="AW85">
            <v>27789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68359</v>
          </cell>
          <cell r="BK85">
            <v>0</v>
          </cell>
          <cell r="BL85">
            <v>0</v>
          </cell>
          <cell r="BM85">
            <v>68359</v>
          </cell>
          <cell r="BN85">
            <v>-39262</v>
          </cell>
          <cell r="BO85">
            <v>0</v>
          </cell>
          <cell r="BP85">
            <v>0</v>
          </cell>
          <cell r="BQ85">
            <v>-39262</v>
          </cell>
          <cell r="BR85">
            <v>5350064</v>
          </cell>
          <cell r="BS85">
            <v>0</v>
          </cell>
          <cell r="BT85">
            <v>0</v>
          </cell>
          <cell r="BU85">
            <v>5350064</v>
          </cell>
          <cell r="BV85">
            <v>240212</v>
          </cell>
          <cell r="BW85">
            <v>0</v>
          </cell>
          <cell r="BX85">
            <v>0</v>
          </cell>
          <cell r="BY85">
            <v>240212</v>
          </cell>
          <cell r="BZ85">
            <v>490714</v>
          </cell>
          <cell r="CA85">
            <v>0</v>
          </cell>
          <cell r="CB85">
            <v>0</v>
          </cell>
          <cell r="CC85">
            <v>490714</v>
          </cell>
          <cell r="CD85">
            <v>13149</v>
          </cell>
          <cell r="CE85">
            <v>0</v>
          </cell>
          <cell r="CF85">
            <v>0</v>
          </cell>
          <cell r="CG85">
            <v>13149</v>
          </cell>
          <cell r="CH85">
            <v>70087</v>
          </cell>
          <cell r="CI85">
            <v>0</v>
          </cell>
          <cell r="CJ85">
            <v>0</v>
          </cell>
          <cell r="CK85">
            <v>70087</v>
          </cell>
          <cell r="CL85">
            <v>-3020</v>
          </cell>
          <cell r="CM85">
            <v>0</v>
          </cell>
          <cell r="CN85">
            <v>0</v>
          </cell>
          <cell r="CO85">
            <v>-3020</v>
          </cell>
          <cell r="CP85">
            <v>6947</v>
          </cell>
          <cell r="CQ85">
            <v>0</v>
          </cell>
          <cell r="CR85">
            <v>0</v>
          </cell>
          <cell r="CS85">
            <v>6947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</row>
        <row r="86">
          <cell r="A86">
            <v>80</v>
          </cell>
          <cell r="B86" t="str">
            <v>E1302</v>
          </cell>
          <cell r="C86" t="str">
            <v>UA</v>
          </cell>
          <cell r="D86" t="str">
            <v>NE</v>
          </cell>
          <cell r="E86" t="str">
            <v>Durham UA</v>
          </cell>
          <cell r="F86">
            <v>390085</v>
          </cell>
          <cell r="G86">
            <v>0</v>
          </cell>
          <cell r="H86">
            <v>0</v>
          </cell>
          <cell r="I86">
            <v>390085</v>
          </cell>
          <cell r="J86">
            <v>-684760</v>
          </cell>
          <cell r="K86">
            <v>0</v>
          </cell>
          <cell r="L86">
            <v>0</v>
          </cell>
          <cell r="M86">
            <v>-684760</v>
          </cell>
          <cell r="N86">
            <v>105039</v>
          </cell>
          <cell r="O86">
            <v>0</v>
          </cell>
          <cell r="P86">
            <v>0</v>
          </cell>
          <cell r="Q86">
            <v>105039</v>
          </cell>
          <cell r="R86">
            <v>401551</v>
          </cell>
          <cell r="S86">
            <v>0</v>
          </cell>
          <cell r="T86">
            <v>0</v>
          </cell>
          <cell r="U86">
            <v>401551</v>
          </cell>
          <cell r="V86">
            <v>8942135</v>
          </cell>
          <cell r="W86">
            <v>0</v>
          </cell>
          <cell r="X86">
            <v>0</v>
          </cell>
          <cell r="Y86">
            <v>8942135</v>
          </cell>
          <cell r="Z86">
            <v>324700</v>
          </cell>
          <cell r="AA86">
            <v>0</v>
          </cell>
          <cell r="AB86">
            <v>0</v>
          </cell>
          <cell r="AC86">
            <v>324700</v>
          </cell>
          <cell r="AD86">
            <v>2231391</v>
          </cell>
          <cell r="AE86">
            <v>0</v>
          </cell>
          <cell r="AF86">
            <v>0</v>
          </cell>
          <cell r="AG86">
            <v>2231391</v>
          </cell>
          <cell r="AH86">
            <v>-61737</v>
          </cell>
          <cell r="AI86">
            <v>0</v>
          </cell>
          <cell r="AJ86">
            <v>0</v>
          </cell>
          <cell r="AK86">
            <v>-61737</v>
          </cell>
          <cell r="AL86">
            <v>9212639</v>
          </cell>
          <cell r="AM86">
            <v>0</v>
          </cell>
          <cell r="AN86">
            <v>0</v>
          </cell>
          <cell r="AO86">
            <v>9212639</v>
          </cell>
          <cell r="AP86">
            <v>-121071</v>
          </cell>
          <cell r="AQ86">
            <v>0</v>
          </cell>
          <cell r="AR86">
            <v>0</v>
          </cell>
          <cell r="AS86">
            <v>-121071</v>
          </cell>
          <cell r="AT86">
            <v>213175</v>
          </cell>
          <cell r="AU86">
            <v>0</v>
          </cell>
          <cell r="AV86">
            <v>0</v>
          </cell>
          <cell r="AW86">
            <v>213175</v>
          </cell>
          <cell r="AX86">
            <v>-2854</v>
          </cell>
          <cell r="AY86">
            <v>0</v>
          </cell>
          <cell r="AZ86">
            <v>0</v>
          </cell>
          <cell r="BA86">
            <v>-2854</v>
          </cell>
          <cell r="BB86">
            <v>89810</v>
          </cell>
          <cell r="BC86">
            <v>0</v>
          </cell>
          <cell r="BD86">
            <v>0</v>
          </cell>
          <cell r="BE86">
            <v>89810</v>
          </cell>
          <cell r="BF86">
            <v>9089</v>
          </cell>
          <cell r="BG86">
            <v>0</v>
          </cell>
          <cell r="BH86">
            <v>0</v>
          </cell>
          <cell r="BI86">
            <v>9089</v>
          </cell>
          <cell r="BJ86">
            <v>121090</v>
          </cell>
          <cell r="BK86">
            <v>0</v>
          </cell>
          <cell r="BL86">
            <v>0</v>
          </cell>
          <cell r="BM86">
            <v>121090</v>
          </cell>
          <cell r="BN86">
            <v>-10061</v>
          </cell>
          <cell r="BO86">
            <v>0</v>
          </cell>
          <cell r="BP86">
            <v>0</v>
          </cell>
          <cell r="BQ86">
            <v>-10061</v>
          </cell>
          <cell r="BR86">
            <v>4815148</v>
          </cell>
          <cell r="BS86">
            <v>0</v>
          </cell>
          <cell r="BT86">
            <v>0</v>
          </cell>
          <cell r="BU86">
            <v>4815148</v>
          </cell>
          <cell r="BV86">
            <v>278673</v>
          </cell>
          <cell r="BW86">
            <v>0</v>
          </cell>
          <cell r="BX86">
            <v>0</v>
          </cell>
          <cell r="BY86">
            <v>278673</v>
          </cell>
          <cell r="BZ86">
            <v>448784</v>
          </cell>
          <cell r="CA86">
            <v>0</v>
          </cell>
          <cell r="CB86">
            <v>0</v>
          </cell>
          <cell r="CC86">
            <v>448784</v>
          </cell>
          <cell r="CD86">
            <v>1536</v>
          </cell>
          <cell r="CE86">
            <v>0</v>
          </cell>
          <cell r="CF86">
            <v>0</v>
          </cell>
          <cell r="CG86">
            <v>1536</v>
          </cell>
          <cell r="CH86">
            <v>51638</v>
          </cell>
          <cell r="CI86">
            <v>0</v>
          </cell>
          <cell r="CJ86">
            <v>0</v>
          </cell>
          <cell r="CK86">
            <v>51638</v>
          </cell>
          <cell r="CL86">
            <v>40475</v>
          </cell>
          <cell r="CM86">
            <v>0</v>
          </cell>
          <cell r="CN86">
            <v>0</v>
          </cell>
          <cell r="CO86">
            <v>40475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19613</v>
          </cell>
          <cell r="CY86">
            <v>0</v>
          </cell>
          <cell r="CZ86">
            <v>0</v>
          </cell>
          <cell r="DA86">
            <v>19613</v>
          </cell>
          <cell r="DB86">
            <v>1339</v>
          </cell>
          <cell r="DC86">
            <v>0</v>
          </cell>
          <cell r="DD86">
            <v>0</v>
          </cell>
          <cell r="DE86">
            <v>1339</v>
          </cell>
          <cell r="DF86">
            <v>4056</v>
          </cell>
          <cell r="DG86">
            <v>0</v>
          </cell>
          <cell r="DH86">
            <v>0</v>
          </cell>
          <cell r="DI86">
            <v>4056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23576</v>
          </cell>
          <cell r="DY86">
            <v>0</v>
          </cell>
          <cell r="DZ86">
            <v>0</v>
          </cell>
          <cell r="EA86">
            <v>23576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16932</v>
          </cell>
          <cell r="EK86">
            <v>0</v>
          </cell>
          <cell r="EL86">
            <v>0</v>
          </cell>
          <cell r="EM86">
            <v>16932</v>
          </cell>
        </row>
        <row r="87">
          <cell r="A87">
            <v>81</v>
          </cell>
          <cell r="B87" t="str">
            <v>E5036</v>
          </cell>
          <cell r="C87" t="str">
            <v>OLB</v>
          </cell>
          <cell r="D87" t="str">
            <v>L</v>
          </cell>
          <cell r="E87" t="str">
            <v>Ealing</v>
          </cell>
          <cell r="F87">
            <v>187066.81</v>
          </cell>
          <cell r="G87">
            <v>0</v>
          </cell>
          <cell r="H87">
            <v>0</v>
          </cell>
          <cell r="I87">
            <v>187066.81</v>
          </cell>
          <cell r="J87">
            <v>-223992.97</v>
          </cell>
          <cell r="K87">
            <v>0</v>
          </cell>
          <cell r="L87">
            <v>0</v>
          </cell>
          <cell r="M87">
            <v>-223992.97</v>
          </cell>
          <cell r="N87">
            <v>75714</v>
          </cell>
          <cell r="O87">
            <v>0</v>
          </cell>
          <cell r="P87">
            <v>0</v>
          </cell>
          <cell r="Q87">
            <v>75714</v>
          </cell>
          <cell r="R87">
            <v>336271</v>
          </cell>
          <cell r="S87">
            <v>0</v>
          </cell>
          <cell r="T87">
            <v>0</v>
          </cell>
          <cell r="U87">
            <v>336271</v>
          </cell>
          <cell r="V87">
            <v>4142589.62</v>
          </cell>
          <cell r="W87">
            <v>0</v>
          </cell>
          <cell r="X87">
            <v>0</v>
          </cell>
          <cell r="Y87">
            <v>4142589.62</v>
          </cell>
          <cell r="Z87">
            <v>246130.49</v>
          </cell>
          <cell r="AA87">
            <v>0</v>
          </cell>
          <cell r="AB87">
            <v>0</v>
          </cell>
          <cell r="AC87">
            <v>246130.49</v>
          </cell>
          <cell r="AD87">
            <v>2630358</v>
          </cell>
          <cell r="AE87">
            <v>0</v>
          </cell>
          <cell r="AF87">
            <v>0</v>
          </cell>
          <cell r="AG87">
            <v>2630358</v>
          </cell>
          <cell r="AH87">
            <v>14484.97</v>
          </cell>
          <cell r="AI87">
            <v>0</v>
          </cell>
          <cell r="AJ87">
            <v>0</v>
          </cell>
          <cell r="AK87">
            <v>14484.97</v>
          </cell>
          <cell r="AL87">
            <v>6643364</v>
          </cell>
          <cell r="AM87">
            <v>0</v>
          </cell>
          <cell r="AN87">
            <v>0</v>
          </cell>
          <cell r="AO87">
            <v>6643364</v>
          </cell>
          <cell r="AP87">
            <v>159213.43</v>
          </cell>
          <cell r="AQ87">
            <v>0</v>
          </cell>
          <cell r="AR87">
            <v>0</v>
          </cell>
          <cell r="AS87">
            <v>159213.43</v>
          </cell>
          <cell r="AT87">
            <v>68332</v>
          </cell>
          <cell r="AU87">
            <v>0</v>
          </cell>
          <cell r="AV87">
            <v>0</v>
          </cell>
          <cell r="AW87">
            <v>68332</v>
          </cell>
          <cell r="AX87">
            <v>-10075</v>
          </cell>
          <cell r="AY87">
            <v>0</v>
          </cell>
          <cell r="AZ87">
            <v>0</v>
          </cell>
          <cell r="BA87">
            <v>-10075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18414</v>
          </cell>
          <cell r="BK87">
            <v>0</v>
          </cell>
          <cell r="BL87">
            <v>0</v>
          </cell>
          <cell r="BM87">
            <v>18414</v>
          </cell>
          <cell r="BN87">
            <v>64806.19</v>
          </cell>
          <cell r="BO87">
            <v>0</v>
          </cell>
          <cell r="BP87">
            <v>0</v>
          </cell>
          <cell r="BQ87">
            <v>64806.19</v>
          </cell>
          <cell r="BR87">
            <v>5290094</v>
          </cell>
          <cell r="BS87">
            <v>0</v>
          </cell>
          <cell r="BT87">
            <v>0</v>
          </cell>
          <cell r="BU87">
            <v>5290094</v>
          </cell>
          <cell r="BV87">
            <v>234059</v>
          </cell>
          <cell r="BW87">
            <v>0</v>
          </cell>
          <cell r="BX87">
            <v>0</v>
          </cell>
          <cell r="BY87">
            <v>234059</v>
          </cell>
          <cell r="BZ87">
            <v>57840.57</v>
          </cell>
          <cell r="CA87">
            <v>0</v>
          </cell>
          <cell r="CB87">
            <v>0</v>
          </cell>
          <cell r="CC87">
            <v>57840.57</v>
          </cell>
          <cell r="CD87">
            <v>-9579.73</v>
          </cell>
          <cell r="CE87">
            <v>0</v>
          </cell>
          <cell r="CF87">
            <v>0</v>
          </cell>
          <cell r="CG87">
            <v>-9579.73</v>
          </cell>
          <cell r="CH87">
            <v>182404</v>
          </cell>
          <cell r="CI87">
            <v>0</v>
          </cell>
          <cell r="CJ87">
            <v>0</v>
          </cell>
          <cell r="CK87">
            <v>182404</v>
          </cell>
          <cell r="CL87">
            <v>2305</v>
          </cell>
          <cell r="CM87">
            <v>0</v>
          </cell>
          <cell r="CN87">
            <v>0</v>
          </cell>
          <cell r="CO87">
            <v>2305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60732.04</v>
          </cell>
          <cell r="DY87">
            <v>0</v>
          </cell>
          <cell r="DZ87">
            <v>0</v>
          </cell>
          <cell r="EA87">
            <v>60732.04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597</v>
          </cell>
          <cell r="EK87">
            <v>0</v>
          </cell>
          <cell r="EL87">
            <v>0</v>
          </cell>
          <cell r="EM87">
            <v>597</v>
          </cell>
        </row>
        <row r="88">
          <cell r="A88">
            <v>82</v>
          </cell>
          <cell r="B88" t="str">
            <v>E0532</v>
          </cell>
          <cell r="C88" t="str">
            <v>SD</v>
          </cell>
          <cell r="D88" t="str">
            <v>E</v>
          </cell>
          <cell r="E88" t="str">
            <v>East Cambridgeshire</v>
          </cell>
          <cell r="F88">
            <v>77162.33</v>
          </cell>
          <cell r="G88">
            <v>0</v>
          </cell>
          <cell r="H88">
            <v>0</v>
          </cell>
          <cell r="I88">
            <v>77162.33</v>
          </cell>
          <cell r="J88">
            <v>-90587.04</v>
          </cell>
          <cell r="K88">
            <v>0</v>
          </cell>
          <cell r="L88">
            <v>0</v>
          </cell>
          <cell r="M88">
            <v>-90587.04</v>
          </cell>
          <cell r="N88">
            <v>46949.64</v>
          </cell>
          <cell r="O88">
            <v>0</v>
          </cell>
          <cell r="P88">
            <v>0</v>
          </cell>
          <cell r="Q88">
            <v>46949.64</v>
          </cell>
          <cell r="R88">
            <v>142047.63</v>
          </cell>
          <cell r="S88">
            <v>0</v>
          </cell>
          <cell r="T88">
            <v>0</v>
          </cell>
          <cell r="U88">
            <v>142047.63</v>
          </cell>
          <cell r="V88">
            <v>1455165.55</v>
          </cell>
          <cell r="W88">
            <v>0</v>
          </cell>
          <cell r="X88">
            <v>0</v>
          </cell>
          <cell r="Y88">
            <v>1455165.55</v>
          </cell>
          <cell r="Z88">
            <v>9136.14</v>
          </cell>
          <cell r="AA88">
            <v>0</v>
          </cell>
          <cell r="AB88">
            <v>0</v>
          </cell>
          <cell r="AC88">
            <v>9136.14</v>
          </cell>
          <cell r="AD88">
            <v>328076.27</v>
          </cell>
          <cell r="AE88">
            <v>0</v>
          </cell>
          <cell r="AF88">
            <v>0</v>
          </cell>
          <cell r="AG88">
            <v>328076.27</v>
          </cell>
          <cell r="AH88">
            <v>-10178.65</v>
          </cell>
          <cell r="AI88">
            <v>0</v>
          </cell>
          <cell r="AJ88">
            <v>0</v>
          </cell>
          <cell r="AK88">
            <v>-10178.65</v>
          </cell>
          <cell r="AL88">
            <v>1420819.13</v>
          </cell>
          <cell r="AM88">
            <v>0</v>
          </cell>
          <cell r="AN88">
            <v>0</v>
          </cell>
          <cell r="AO88">
            <v>1420819.13</v>
          </cell>
          <cell r="AP88">
            <v>87167.28</v>
          </cell>
          <cell r="AQ88">
            <v>0</v>
          </cell>
          <cell r="AR88">
            <v>0</v>
          </cell>
          <cell r="AS88">
            <v>87167.28</v>
          </cell>
          <cell r="AT88">
            <v>47608.68</v>
          </cell>
          <cell r="AU88">
            <v>0</v>
          </cell>
          <cell r="AV88">
            <v>0</v>
          </cell>
          <cell r="AW88">
            <v>47608.68</v>
          </cell>
          <cell r="AX88">
            <v>5962.08</v>
          </cell>
          <cell r="AY88">
            <v>0</v>
          </cell>
          <cell r="AZ88">
            <v>0</v>
          </cell>
          <cell r="BA88">
            <v>5962.08</v>
          </cell>
          <cell r="BB88">
            <v>34746.86</v>
          </cell>
          <cell r="BC88">
            <v>0</v>
          </cell>
          <cell r="BD88">
            <v>0</v>
          </cell>
          <cell r="BE88">
            <v>34746.86</v>
          </cell>
          <cell r="BF88">
            <v>-37.880000000000003</v>
          </cell>
          <cell r="BG88">
            <v>0</v>
          </cell>
          <cell r="BH88">
            <v>0</v>
          </cell>
          <cell r="BI88">
            <v>-37.880000000000003</v>
          </cell>
          <cell r="BJ88">
            <v>5571.04</v>
          </cell>
          <cell r="BK88">
            <v>0</v>
          </cell>
          <cell r="BL88">
            <v>0</v>
          </cell>
          <cell r="BM88">
            <v>5571.04</v>
          </cell>
          <cell r="BN88">
            <v>638.26</v>
          </cell>
          <cell r="BO88">
            <v>0</v>
          </cell>
          <cell r="BP88">
            <v>0</v>
          </cell>
          <cell r="BQ88">
            <v>638.26</v>
          </cell>
          <cell r="BR88">
            <v>604548.77</v>
          </cell>
          <cell r="BS88">
            <v>0</v>
          </cell>
          <cell r="BT88">
            <v>0</v>
          </cell>
          <cell r="BU88">
            <v>604548.77</v>
          </cell>
          <cell r="BV88">
            <v>41772.11</v>
          </cell>
          <cell r="BW88">
            <v>0</v>
          </cell>
          <cell r="BX88">
            <v>0</v>
          </cell>
          <cell r="BY88">
            <v>41772.11</v>
          </cell>
          <cell r="BZ88">
            <v>43970.3</v>
          </cell>
          <cell r="CA88">
            <v>0</v>
          </cell>
          <cell r="CB88">
            <v>0</v>
          </cell>
          <cell r="CC88">
            <v>43970.3</v>
          </cell>
          <cell r="CD88">
            <v>-237.1</v>
          </cell>
          <cell r="CE88">
            <v>0</v>
          </cell>
          <cell r="CF88">
            <v>0</v>
          </cell>
          <cell r="CG88">
            <v>-237.1</v>
          </cell>
          <cell r="CH88">
            <v>13922.11</v>
          </cell>
          <cell r="CI88">
            <v>0</v>
          </cell>
          <cell r="CJ88">
            <v>0</v>
          </cell>
          <cell r="CK88">
            <v>13922.11</v>
          </cell>
          <cell r="CL88">
            <v>-1953.9</v>
          </cell>
          <cell r="CM88">
            <v>0</v>
          </cell>
          <cell r="CN88">
            <v>0</v>
          </cell>
          <cell r="CO88">
            <v>-1953.9</v>
          </cell>
          <cell r="CP88">
            <v>4741.22</v>
          </cell>
          <cell r="CQ88">
            <v>0</v>
          </cell>
          <cell r="CR88">
            <v>0</v>
          </cell>
          <cell r="CS88">
            <v>4741.22</v>
          </cell>
          <cell r="CT88">
            <v>1490.52</v>
          </cell>
          <cell r="CU88">
            <v>0</v>
          </cell>
          <cell r="CV88">
            <v>0</v>
          </cell>
          <cell r="CW88">
            <v>1490.52</v>
          </cell>
          <cell r="CX88">
            <v>11872.79</v>
          </cell>
          <cell r="CY88">
            <v>0</v>
          </cell>
          <cell r="CZ88">
            <v>0</v>
          </cell>
          <cell r="DA88">
            <v>11872.79</v>
          </cell>
          <cell r="DB88">
            <v>-37.869999999999997</v>
          </cell>
          <cell r="DC88">
            <v>0</v>
          </cell>
          <cell r="DD88">
            <v>0</v>
          </cell>
          <cell r="DE88">
            <v>-37.869999999999997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27118.3</v>
          </cell>
          <cell r="EG88">
            <v>0</v>
          </cell>
          <cell r="EH88">
            <v>0</v>
          </cell>
          <cell r="EI88">
            <v>27118.3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</row>
        <row r="89">
          <cell r="A89">
            <v>83</v>
          </cell>
          <cell r="B89" t="str">
            <v>E1131</v>
          </cell>
          <cell r="C89" t="str">
            <v>SD</v>
          </cell>
          <cell r="D89" t="str">
            <v>SW</v>
          </cell>
          <cell r="E89" t="str">
            <v>East Devon</v>
          </cell>
          <cell r="F89">
            <v>484978.9</v>
          </cell>
          <cell r="G89">
            <v>0</v>
          </cell>
          <cell r="H89">
            <v>0</v>
          </cell>
          <cell r="I89">
            <v>484978.9</v>
          </cell>
          <cell r="J89">
            <v>-129142</v>
          </cell>
          <cell r="K89">
            <v>0</v>
          </cell>
          <cell r="L89">
            <v>0</v>
          </cell>
          <cell r="M89">
            <v>-129142</v>
          </cell>
          <cell r="N89">
            <v>28139</v>
          </cell>
          <cell r="O89">
            <v>0</v>
          </cell>
          <cell r="P89">
            <v>0</v>
          </cell>
          <cell r="Q89">
            <v>28139</v>
          </cell>
          <cell r="R89">
            <v>155853</v>
          </cell>
          <cell r="S89">
            <v>0</v>
          </cell>
          <cell r="T89">
            <v>0</v>
          </cell>
          <cell r="U89">
            <v>155853</v>
          </cell>
          <cell r="V89">
            <v>3871827.59</v>
          </cell>
          <cell r="W89">
            <v>0</v>
          </cell>
          <cell r="X89">
            <v>0</v>
          </cell>
          <cell r="Y89">
            <v>3871827.59</v>
          </cell>
          <cell r="Z89">
            <v>173030.45</v>
          </cell>
          <cell r="AA89">
            <v>0</v>
          </cell>
          <cell r="AB89">
            <v>0</v>
          </cell>
          <cell r="AC89">
            <v>173030.45</v>
          </cell>
          <cell r="AD89">
            <v>557694.49</v>
          </cell>
          <cell r="AE89">
            <v>0</v>
          </cell>
          <cell r="AF89">
            <v>0</v>
          </cell>
          <cell r="AG89">
            <v>557694.49</v>
          </cell>
          <cell r="AH89">
            <v>-15299.13</v>
          </cell>
          <cell r="AI89">
            <v>0</v>
          </cell>
          <cell r="AJ89">
            <v>0</v>
          </cell>
          <cell r="AK89">
            <v>-15299.13</v>
          </cell>
          <cell r="AL89">
            <v>2060806.39</v>
          </cell>
          <cell r="AM89">
            <v>0</v>
          </cell>
          <cell r="AN89">
            <v>0</v>
          </cell>
          <cell r="AO89">
            <v>2060806.39</v>
          </cell>
          <cell r="AP89">
            <v>2266.3000000000002</v>
          </cell>
          <cell r="AQ89">
            <v>0</v>
          </cell>
          <cell r="AR89">
            <v>0</v>
          </cell>
          <cell r="AS89">
            <v>2266.3000000000002</v>
          </cell>
          <cell r="AT89">
            <v>123899</v>
          </cell>
          <cell r="AU89">
            <v>0</v>
          </cell>
          <cell r="AV89">
            <v>0</v>
          </cell>
          <cell r="AW89">
            <v>123899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48893.57</v>
          </cell>
          <cell r="BC89">
            <v>0</v>
          </cell>
          <cell r="BD89">
            <v>0</v>
          </cell>
          <cell r="BE89">
            <v>48893.57</v>
          </cell>
          <cell r="BF89">
            <v>-5341.19</v>
          </cell>
          <cell r="BG89">
            <v>0</v>
          </cell>
          <cell r="BH89">
            <v>0</v>
          </cell>
          <cell r="BI89">
            <v>-5341.19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-42323.07</v>
          </cell>
          <cell r="BO89">
            <v>0</v>
          </cell>
          <cell r="BP89">
            <v>0</v>
          </cell>
          <cell r="BQ89">
            <v>-42323.07</v>
          </cell>
          <cell r="BR89">
            <v>935716.81</v>
          </cell>
          <cell r="BS89">
            <v>0</v>
          </cell>
          <cell r="BT89">
            <v>0</v>
          </cell>
          <cell r="BU89">
            <v>935716.81</v>
          </cell>
          <cell r="BV89">
            <v>36386</v>
          </cell>
          <cell r="BW89">
            <v>0</v>
          </cell>
          <cell r="BX89">
            <v>0</v>
          </cell>
          <cell r="BY89">
            <v>36386</v>
          </cell>
          <cell r="BZ89">
            <v>132884.59</v>
          </cell>
          <cell r="CA89">
            <v>0</v>
          </cell>
          <cell r="CB89">
            <v>0</v>
          </cell>
          <cell r="CC89">
            <v>132884.59</v>
          </cell>
          <cell r="CD89">
            <v>417.54</v>
          </cell>
          <cell r="CE89">
            <v>0</v>
          </cell>
          <cell r="CF89">
            <v>0</v>
          </cell>
          <cell r="CG89">
            <v>417.54</v>
          </cell>
          <cell r="CH89">
            <v>8451.68</v>
          </cell>
          <cell r="CI89">
            <v>0</v>
          </cell>
          <cell r="CJ89">
            <v>0</v>
          </cell>
          <cell r="CK89">
            <v>8451.68</v>
          </cell>
          <cell r="CL89">
            <v>1130.19</v>
          </cell>
          <cell r="CM89">
            <v>0</v>
          </cell>
          <cell r="CN89">
            <v>0</v>
          </cell>
          <cell r="CO89">
            <v>1130.19</v>
          </cell>
          <cell r="CP89">
            <v>18458.28</v>
          </cell>
          <cell r="CQ89">
            <v>0</v>
          </cell>
          <cell r="CR89">
            <v>0</v>
          </cell>
          <cell r="CS89">
            <v>18458.28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18181.04</v>
          </cell>
          <cell r="CY89">
            <v>0</v>
          </cell>
          <cell r="CZ89">
            <v>0</v>
          </cell>
          <cell r="DA89">
            <v>18181.04</v>
          </cell>
          <cell r="DB89">
            <v>7526</v>
          </cell>
          <cell r="DC89">
            <v>0</v>
          </cell>
          <cell r="DD89">
            <v>0</v>
          </cell>
          <cell r="DE89">
            <v>7526</v>
          </cell>
          <cell r="DF89">
            <v>2729.73</v>
          </cell>
          <cell r="DG89">
            <v>0</v>
          </cell>
          <cell r="DH89">
            <v>0</v>
          </cell>
          <cell r="DI89">
            <v>2729.73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-11166.88</v>
          </cell>
          <cell r="EK89">
            <v>0</v>
          </cell>
          <cell r="EL89">
            <v>0</v>
          </cell>
          <cell r="EM89">
            <v>-11166.88</v>
          </cell>
        </row>
        <row r="90">
          <cell r="A90">
            <v>84</v>
          </cell>
          <cell r="B90" t="str">
            <v>E1233</v>
          </cell>
          <cell r="C90" t="str">
            <v>SD</v>
          </cell>
          <cell r="D90" t="str">
            <v>SW</v>
          </cell>
          <cell r="E90" t="str">
            <v>East Dorset</v>
          </cell>
          <cell r="F90">
            <v>56420</v>
          </cell>
          <cell r="G90">
            <v>0</v>
          </cell>
          <cell r="H90">
            <v>0</v>
          </cell>
          <cell r="I90">
            <v>56420</v>
          </cell>
          <cell r="J90">
            <v>-89396</v>
          </cell>
          <cell r="K90">
            <v>0</v>
          </cell>
          <cell r="L90">
            <v>0</v>
          </cell>
          <cell r="M90">
            <v>-89396</v>
          </cell>
          <cell r="N90">
            <v>17065</v>
          </cell>
          <cell r="O90">
            <v>0</v>
          </cell>
          <cell r="P90">
            <v>0</v>
          </cell>
          <cell r="Q90">
            <v>17065</v>
          </cell>
          <cell r="R90">
            <v>-2092</v>
          </cell>
          <cell r="S90">
            <v>0</v>
          </cell>
          <cell r="T90">
            <v>0</v>
          </cell>
          <cell r="U90">
            <v>-2092</v>
          </cell>
          <cell r="V90">
            <v>1852230</v>
          </cell>
          <cell r="W90">
            <v>0</v>
          </cell>
          <cell r="X90">
            <v>0</v>
          </cell>
          <cell r="Y90">
            <v>1852230</v>
          </cell>
          <cell r="Z90">
            <v>62301</v>
          </cell>
          <cell r="AA90">
            <v>0</v>
          </cell>
          <cell r="AB90">
            <v>0</v>
          </cell>
          <cell r="AC90">
            <v>62301</v>
          </cell>
          <cell r="AD90">
            <v>371261</v>
          </cell>
          <cell r="AE90">
            <v>0</v>
          </cell>
          <cell r="AF90">
            <v>0</v>
          </cell>
          <cell r="AG90">
            <v>371261</v>
          </cell>
          <cell r="AH90">
            <v>-8504</v>
          </cell>
          <cell r="AI90">
            <v>0</v>
          </cell>
          <cell r="AJ90">
            <v>0</v>
          </cell>
          <cell r="AK90">
            <v>-8504</v>
          </cell>
          <cell r="AL90">
            <v>748833</v>
          </cell>
          <cell r="AM90">
            <v>0</v>
          </cell>
          <cell r="AN90">
            <v>0</v>
          </cell>
          <cell r="AO90">
            <v>748833</v>
          </cell>
          <cell r="AP90">
            <v>15888</v>
          </cell>
          <cell r="AQ90">
            <v>0</v>
          </cell>
          <cell r="AR90">
            <v>0</v>
          </cell>
          <cell r="AS90">
            <v>15888</v>
          </cell>
          <cell r="AT90">
            <v>33077</v>
          </cell>
          <cell r="AU90">
            <v>0</v>
          </cell>
          <cell r="AV90">
            <v>0</v>
          </cell>
          <cell r="AW90">
            <v>33077</v>
          </cell>
          <cell r="AX90">
            <v>-5145</v>
          </cell>
          <cell r="AY90">
            <v>0</v>
          </cell>
          <cell r="AZ90">
            <v>0</v>
          </cell>
          <cell r="BA90">
            <v>-5145</v>
          </cell>
          <cell r="BB90">
            <v>14088.75</v>
          </cell>
          <cell r="BC90">
            <v>0</v>
          </cell>
          <cell r="BD90">
            <v>0</v>
          </cell>
          <cell r="BE90">
            <v>14088.75</v>
          </cell>
          <cell r="BF90">
            <v>-136.19999999999999</v>
          </cell>
          <cell r="BG90">
            <v>0</v>
          </cell>
          <cell r="BH90">
            <v>0</v>
          </cell>
          <cell r="BI90">
            <v>-136.19999999999999</v>
          </cell>
          <cell r="BJ90">
            <v>1829</v>
          </cell>
          <cell r="BK90">
            <v>0</v>
          </cell>
          <cell r="BL90">
            <v>0</v>
          </cell>
          <cell r="BM90">
            <v>1829</v>
          </cell>
          <cell r="BN90">
            <v>15108</v>
          </cell>
          <cell r="BO90">
            <v>0</v>
          </cell>
          <cell r="BP90">
            <v>0</v>
          </cell>
          <cell r="BQ90">
            <v>15108</v>
          </cell>
          <cell r="BR90">
            <v>662531</v>
          </cell>
          <cell r="BS90">
            <v>0</v>
          </cell>
          <cell r="BT90">
            <v>0</v>
          </cell>
          <cell r="BU90">
            <v>662531</v>
          </cell>
          <cell r="BV90">
            <v>65984</v>
          </cell>
          <cell r="BW90">
            <v>0</v>
          </cell>
          <cell r="BX90">
            <v>0</v>
          </cell>
          <cell r="BY90">
            <v>65984</v>
          </cell>
          <cell r="BZ90">
            <v>28694</v>
          </cell>
          <cell r="CA90">
            <v>0</v>
          </cell>
          <cell r="CB90">
            <v>0</v>
          </cell>
          <cell r="CC90">
            <v>28694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44925</v>
          </cell>
          <cell r="CI90">
            <v>0</v>
          </cell>
          <cell r="CJ90">
            <v>0</v>
          </cell>
          <cell r="CK90">
            <v>44925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7364</v>
          </cell>
          <cell r="CY90">
            <v>0</v>
          </cell>
          <cell r="CZ90">
            <v>0</v>
          </cell>
          <cell r="DA90">
            <v>7364</v>
          </cell>
          <cell r="DB90">
            <v>-136</v>
          </cell>
          <cell r="DC90">
            <v>0</v>
          </cell>
          <cell r="DD90">
            <v>0</v>
          </cell>
          <cell r="DE90">
            <v>-136</v>
          </cell>
          <cell r="DF90">
            <v>260</v>
          </cell>
          <cell r="DG90">
            <v>0</v>
          </cell>
          <cell r="DH90">
            <v>0</v>
          </cell>
          <cell r="DI90">
            <v>260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</row>
        <row r="91">
          <cell r="A91">
            <v>85</v>
          </cell>
          <cell r="B91" t="str">
            <v>E1732</v>
          </cell>
          <cell r="C91" t="str">
            <v>SD</v>
          </cell>
          <cell r="D91" t="str">
            <v>SE</v>
          </cell>
          <cell r="E91" t="str">
            <v>East Hampshire</v>
          </cell>
          <cell r="F91">
            <v>95642</v>
          </cell>
          <cell r="G91">
            <v>0</v>
          </cell>
          <cell r="H91">
            <v>0</v>
          </cell>
          <cell r="I91">
            <v>95642</v>
          </cell>
          <cell r="J91">
            <v>-111271</v>
          </cell>
          <cell r="K91">
            <v>0</v>
          </cell>
          <cell r="L91">
            <v>0</v>
          </cell>
          <cell r="M91">
            <v>-111271</v>
          </cell>
          <cell r="N91">
            <v>20935</v>
          </cell>
          <cell r="O91">
            <v>0</v>
          </cell>
          <cell r="P91">
            <v>0</v>
          </cell>
          <cell r="Q91">
            <v>20935</v>
          </cell>
          <cell r="R91">
            <v>12029</v>
          </cell>
          <cell r="S91">
            <v>0</v>
          </cell>
          <cell r="T91">
            <v>0</v>
          </cell>
          <cell r="U91">
            <v>12029</v>
          </cell>
          <cell r="V91">
            <v>2341856</v>
          </cell>
          <cell r="W91">
            <v>0</v>
          </cell>
          <cell r="X91">
            <v>0</v>
          </cell>
          <cell r="Y91">
            <v>2341856</v>
          </cell>
          <cell r="Z91">
            <v>87888</v>
          </cell>
          <cell r="AA91">
            <v>0</v>
          </cell>
          <cell r="AB91">
            <v>0</v>
          </cell>
          <cell r="AC91">
            <v>87888</v>
          </cell>
          <cell r="AD91">
            <v>534453</v>
          </cell>
          <cell r="AE91">
            <v>0</v>
          </cell>
          <cell r="AF91">
            <v>0</v>
          </cell>
          <cell r="AG91">
            <v>534453</v>
          </cell>
          <cell r="AH91">
            <v>-2659</v>
          </cell>
          <cell r="AI91">
            <v>0</v>
          </cell>
          <cell r="AJ91">
            <v>0</v>
          </cell>
          <cell r="AK91">
            <v>-2659</v>
          </cell>
          <cell r="AL91">
            <v>2150554</v>
          </cell>
          <cell r="AM91">
            <v>0</v>
          </cell>
          <cell r="AN91">
            <v>0</v>
          </cell>
          <cell r="AO91">
            <v>2150554</v>
          </cell>
          <cell r="AP91">
            <v>-15675</v>
          </cell>
          <cell r="AQ91">
            <v>0</v>
          </cell>
          <cell r="AR91">
            <v>0</v>
          </cell>
          <cell r="AS91">
            <v>-15675</v>
          </cell>
          <cell r="AT91">
            <v>61409</v>
          </cell>
          <cell r="AU91">
            <v>0</v>
          </cell>
          <cell r="AV91">
            <v>0</v>
          </cell>
          <cell r="AW91">
            <v>61409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29099</v>
          </cell>
          <cell r="BC91">
            <v>0</v>
          </cell>
          <cell r="BD91">
            <v>0</v>
          </cell>
          <cell r="BE91">
            <v>29099</v>
          </cell>
          <cell r="BF91">
            <v>-476</v>
          </cell>
          <cell r="BG91">
            <v>0</v>
          </cell>
          <cell r="BH91">
            <v>0</v>
          </cell>
          <cell r="BI91">
            <v>-476</v>
          </cell>
          <cell r="BJ91">
            <v>25792</v>
          </cell>
          <cell r="BK91">
            <v>0</v>
          </cell>
          <cell r="BL91">
            <v>0</v>
          </cell>
          <cell r="BM91">
            <v>25792</v>
          </cell>
          <cell r="BN91">
            <v>19667</v>
          </cell>
          <cell r="BO91">
            <v>0</v>
          </cell>
          <cell r="BP91">
            <v>0</v>
          </cell>
          <cell r="BQ91">
            <v>19667</v>
          </cell>
          <cell r="BR91">
            <v>1203417</v>
          </cell>
          <cell r="BS91">
            <v>0</v>
          </cell>
          <cell r="BT91">
            <v>0</v>
          </cell>
          <cell r="BU91">
            <v>1203417</v>
          </cell>
          <cell r="BV91">
            <v>-330025</v>
          </cell>
          <cell r="BW91">
            <v>0</v>
          </cell>
          <cell r="BX91">
            <v>0</v>
          </cell>
          <cell r="BY91">
            <v>-330025</v>
          </cell>
          <cell r="BZ91">
            <v>118885</v>
          </cell>
          <cell r="CA91">
            <v>0</v>
          </cell>
          <cell r="CB91">
            <v>0</v>
          </cell>
          <cell r="CC91">
            <v>118885</v>
          </cell>
          <cell r="CD91">
            <v>-4346</v>
          </cell>
          <cell r="CE91">
            <v>0</v>
          </cell>
          <cell r="CF91">
            <v>0</v>
          </cell>
          <cell r="CG91">
            <v>-4346</v>
          </cell>
          <cell r="CH91">
            <v>2152</v>
          </cell>
          <cell r="CI91">
            <v>0</v>
          </cell>
          <cell r="CJ91">
            <v>0</v>
          </cell>
          <cell r="CK91">
            <v>2152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7620</v>
          </cell>
          <cell r="CQ91">
            <v>0</v>
          </cell>
          <cell r="CR91">
            <v>0</v>
          </cell>
          <cell r="CS91">
            <v>7620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29098</v>
          </cell>
          <cell r="CY91">
            <v>0</v>
          </cell>
          <cell r="CZ91">
            <v>0</v>
          </cell>
          <cell r="DA91">
            <v>29098</v>
          </cell>
          <cell r="DB91">
            <v>-476</v>
          </cell>
          <cell r="DC91">
            <v>0</v>
          </cell>
          <cell r="DD91">
            <v>0</v>
          </cell>
          <cell r="DE91">
            <v>-476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10452</v>
          </cell>
          <cell r="EC91">
            <v>0</v>
          </cell>
          <cell r="ED91">
            <v>0</v>
          </cell>
          <cell r="EE91">
            <v>10452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</row>
        <row r="92">
          <cell r="A92">
            <v>86</v>
          </cell>
          <cell r="B92" t="str">
            <v>E1933</v>
          </cell>
          <cell r="C92" t="str">
            <v>SD</v>
          </cell>
          <cell r="D92" t="str">
            <v>E</v>
          </cell>
          <cell r="E92" t="str">
            <v>East Hertfordshire</v>
          </cell>
          <cell r="F92">
            <v>174615</v>
          </cell>
          <cell r="G92">
            <v>0</v>
          </cell>
          <cell r="H92">
            <v>0</v>
          </cell>
          <cell r="I92">
            <v>174615</v>
          </cell>
          <cell r="J92">
            <v>-219475</v>
          </cell>
          <cell r="K92">
            <v>0</v>
          </cell>
          <cell r="L92">
            <v>0</v>
          </cell>
          <cell r="M92">
            <v>-219475</v>
          </cell>
          <cell r="N92">
            <v>92578</v>
          </cell>
          <cell r="O92">
            <v>0</v>
          </cell>
          <cell r="P92">
            <v>0</v>
          </cell>
          <cell r="Q92">
            <v>92578</v>
          </cell>
          <cell r="R92">
            <v>368197</v>
          </cell>
          <cell r="S92">
            <v>0</v>
          </cell>
          <cell r="T92">
            <v>0</v>
          </cell>
          <cell r="U92">
            <v>368197</v>
          </cell>
          <cell r="V92">
            <v>2420446</v>
          </cell>
          <cell r="W92">
            <v>0</v>
          </cell>
          <cell r="X92">
            <v>0</v>
          </cell>
          <cell r="Y92">
            <v>2420446</v>
          </cell>
          <cell r="Z92">
            <v>228951</v>
          </cell>
          <cell r="AA92">
            <v>0</v>
          </cell>
          <cell r="AB92">
            <v>0</v>
          </cell>
          <cell r="AC92">
            <v>228951</v>
          </cell>
          <cell r="AD92">
            <v>872941</v>
          </cell>
          <cell r="AE92">
            <v>0</v>
          </cell>
          <cell r="AF92">
            <v>0</v>
          </cell>
          <cell r="AG92">
            <v>872941</v>
          </cell>
          <cell r="AH92">
            <v>-26339</v>
          </cell>
          <cell r="AI92">
            <v>0</v>
          </cell>
          <cell r="AJ92">
            <v>0</v>
          </cell>
          <cell r="AK92">
            <v>-26339</v>
          </cell>
          <cell r="AL92">
            <v>3713731</v>
          </cell>
          <cell r="AM92">
            <v>0</v>
          </cell>
          <cell r="AN92">
            <v>0</v>
          </cell>
          <cell r="AO92">
            <v>3713731</v>
          </cell>
          <cell r="AP92">
            <v>-17330</v>
          </cell>
          <cell r="AQ92">
            <v>0</v>
          </cell>
          <cell r="AR92">
            <v>0</v>
          </cell>
          <cell r="AS92">
            <v>-17330</v>
          </cell>
          <cell r="AT92">
            <v>93917</v>
          </cell>
          <cell r="AU92">
            <v>0</v>
          </cell>
          <cell r="AV92">
            <v>0</v>
          </cell>
          <cell r="AW92">
            <v>93917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51332</v>
          </cell>
          <cell r="BC92">
            <v>0</v>
          </cell>
          <cell r="BD92">
            <v>0</v>
          </cell>
          <cell r="BE92">
            <v>51332</v>
          </cell>
          <cell r="BF92">
            <v>2262</v>
          </cell>
          <cell r="BG92">
            <v>0</v>
          </cell>
          <cell r="BH92">
            <v>0</v>
          </cell>
          <cell r="BI92">
            <v>2262</v>
          </cell>
          <cell r="BJ92">
            <v>37583</v>
          </cell>
          <cell r="BK92">
            <v>0</v>
          </cell>
          <cell r="BL92">
            <v>0</v>
          </cell>
          <cell r="BM92">
            <v>37583</v>
          </cell>
          <cell r="BN92">
            <v>-1557</v>
          </cell>
          <cell r="BO92">
            <v>0</v>
          </cell>
          <cell r="BP92">
            <v>0</v>
          </cell>
          <cell r="BQ92">
            <v>-1557</v>
          </cell>
          <cell r="BR92">
            <v>2388401</v>
          </cell>
          <cell r="BS92">
            <v>0</v>
          </cell>
          <cell r="BT92">
            <v>0</v>
          </cell>
          <cell r="BU92">
            <v>2388401</v>
          </cell>
          <cell r="BV92">
            <v>-7353</v>
          </cell>
          <cell r="BW92">
            <v>0</v>
          </cell>
          <cell r="BX92">
            <v>0</v>
          </cell>
          <cell r="BY92">
            <v>-7353</v>
          </cell>
          <cell r="BZ92">
            <v>157158</v>
          </cell>
          <cell r="CA92">
            <v>0</v>
          </cell>
          <cell r="CB92">
            <v>0</v>
          </cell>
          <cell r="CC92">
            <v>157158</v>
          </cell>
          <cell r="CD92">
            <v>721</v>
          </cell>
          <cell r="CE92">
            <v>0</v>
          </cell>
          <cell r="CF92">
            <v>0</v>
          </cell>
          <cell r="CG92">
            <v>721</v>
          </cell>
          <cell r="CH92">
            <v>33450</v>
          </cell>
          <cell r="CI92">
            <v>0</v>
          </cell>
          <cell r="CJ92">
            <v>0</v>
          </cell>
          <cell r="CK92">
            <v>33450</v>
          </cell>
          <cell r="CL92">
            <v>1154</v>
          </cell>
          <cell r="CM92">
            <v>0</v>
          </cell>
          <cell r="CN92">
            <v>0</v>
          </cell>
          <cell r="CO92">
            <v>1154</v>
          </cell>
          <cell r="CP92">
            <v>251</v>
          </cell>
          <cell r="CQ92">
            <v>0</v>
          </cell>
          <cell r="CR92">
            <v>0</v>
          </cell>
          <cell r="CS92">
            <v>251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19864</v>
          </cell>
          <cell r="CY92">
            <v>0</v>
          </cell>
          <cell r="CZ92">
            <v>0</v>
          </cell>
          <cell r="DA92">
            <v>19864</v>
          </cell>
          <cell r="DB92">
            <v>-3249</v>
          </cell>
          <cell r="DC92">
            <v>0</v>
          </cell>
          <cell r="DD92">
            <v>0</v>
          </cell>
          <cell r="DE92">
            <v>-3249</v>
          </cell>
          <cell r="DF92">
            <v>1381</v>
          </cell>
          <cell r="DG92">
            <v>0</v>
          </cell>
          <cell r="DH92">
            <v>0</v>
          </cell>
          <cell r="DI92">
            <v>1381</v>
          </cell>
          <cell r="DJ92">
            <v>4633</v>
          </cell>
          <cell r="DK92">
            <v>0</v>
          </cell>
          <cell r="DL92">
            <v>0</v>
          </cell>
          <cell r="DM92">
            <v>4633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7576</v>
          </cell>
          <cell r="EK92">
            <v>0</v>
          </cell>
          <cell r="EL92">
            <v>0</v>
          </cell>
          <cell r="EM92">
            <v>7576</v>
          </cell>
        </row>
        <row r="93">
          <cell r="A93">
            <v>87</v>
          </cell>
          <cell r="B93" t="str">
            <v>E2532</v>
          </cell>
          <cell r="C93" t="str">
            <v>SD</v>
          </cell>
          <cell r="D93" t="str">
            <v>EM</v>
          </cell>
          <cell r="E93" t="str">
            <v>East Lindsey</v>
          </cell>
          <cell r="F93">
            <v>150407</v>
          </cell>
          <cell r="G93">
            <v>0</v>
          </cell>
          <cell r="H93">
            <v>0</v>
          </cell>
          <cell r="I93">
            <v>150407</v>
          </cell>
          <cell r="J93">
            <v>-23069</v>
          </cell>
          <cell r="K93">
            <v>0</v>
          </cell>
          <cell r="L93">
            <v>0</v>
          </cell>
          <cell r="M93">
            <v>-23069</v>
          </cell>
          <cell r="N93">
            <v>26824</v>
          </cell>
          <cell r="O93">
            <v>0</v>
          </cell>
          <cell r="P93">
            <v>0</v>
          </cell>
          <cell r="Q93">
            <v>26824</v>
          </cell>
          <cell r="R93">
            <v>36531</v>
          </cell>
          <cell r="S93">
            <v>0</v>
          </cell>
          <cell r="T93">
            <v>0</v>
          </cell>
          <cell r="U93">
            <v>36531</v>
          </cell>
          <cell r="V93">
            <v>4272505</v>
          </cell>
          <cell r="W93">
            <v>0</v>
          </cell>
          <cell r="X93">
            <v>0</v>
          </cell>
          <cell r="Y93">
            <v>4272505</v>
          </cell>
          <cell r="Z93">
            <v>56957</v>
          </cell>
          <cell r="AA93">
            <v>0</v>
          </cell>
          <cell r="AB93">
            <v>0</v>
          </cell>
          <cell r="AC93">
            <v>56957</v>
          </cell>
          <cell r="AD93">
            <v>585426</v>
          </cell>
          <cell r="AE93">
            <v>0</v>
          </cell>
          <cell r="AF93">
            <v>0</v>
          </cell>
          <cell r="AG93">
            <v>585426</v>
          </cell>
          <cell r="AH93">
            <v>-7904</v>
          </cell>
          <cell r="AI93">
            <v>0</v>
          </cell>
          <cell r="AJ93">
            <v>0</v>
          </cell>
          <cell r="AK93">
            <v>-7904</v>
          </cell>
          <cell r="AL93">
            <v>1978045</v>
          </cell>
          <cell r="AM93">
            <v>0</v>
          </cell>
          <cell r="AN93">
            <v>0</v>
          </cell>
          <cell r="AO93">
            <v>1978045</v>
          </cell>
          <cell r="AP93">
            <v>51908</v>
          </cell>
          <cell r="AQ93">
            <v>0</v>
          </cell>
          <cell r="AR93">
            <v>0</v>
          </cell>
          <cell r="AS93">
            <v>51908</v>
          </cell>
          <cell r="AT93">
            <v>76137</v>
          </cell>
          <cell r="AU93">
            <v>0</v>
          </cell>
          <cell r="AV93">
            <v>0</v>
          </cell>
          <cell r="AW93">
            <v>76137</v>
          </cell>
          <cell r="AX93">
            <v>428</v>
          </cell>
          <cell r="AY93">
            <v>0</v>
          </cell>
          <cell r="AZ93">
            <v>0</v>
          </cell>
          <cell r="BA93">
            <v>428</v>
          </cell>
          <cell r="BB93">
            <v>107454</v>
          </cell>
          <cell r="BC93">
            <v>0</v>
          </cell>
          <cell r="BD93">
            <v>0</v>
          </cell>
          <cell r="BE93">
            <v>107454</v>
          </cell>
          <cell r="BF93">
            <v>706</v>
          </cell>
          <cell r="BG93">
            <v>0</v>
          </cell>
          <cell r="BH93">
            <v>0</v>
          </cell>
          <cell r="BI93">
            <v>706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765400</v>
          </cell>
          <cell r="BS93">
            <v>0</v>
          </cell>
          <cell r="BT93">
            <v>0</v>
          </cell>
          <cell r="BU93">
            <v>765400</v>
          </cell>
          <cell r="BV93">
            <v>-34194</v>
          </cell>
          <cell r="BW93">
            <v>0</v>
          </cell>
          <cell r="BX93">
            <v>0</v>
          </cell>
          <cell r="BY93">
            <v>-34194</v>
          </cell>
          <cell r="BZ93">
            <v>61319</v>
          </cell>
          <cell r="CA93">
            <v>0</v>
          </cell>
          <cell r="CB93">
            <v>0</v>
          </cell>
          <cell r="CC93">
            <v>61319</v>
          </cell>
          <cell r="CD93">
            <v>728</v>
          </cell>
          <cell r="CE93">
            <v>0</v>
          </cell>
          <cell r="CF93">
            <v>0</v>
          </cell>
          <cell r="CG93">
            <v>728</v>
          </cell>
          <cell r="CH93">
            <v>4228</v>
          </cell>
          <cell r="CI93">
            <v>0</v>
          </cell>
          <cell r="CJ93">
            <v>0</v>
          </cell>
          <cell r="CK93">
            <v>4228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9077</v>
          </cell>
          <cell r="CQ93">
            <v>0</v>
          </cell>
          <cell r="CR93">
            <v>0</v>
          </cell>
          <cell r="CS93">
            <v>9077</v>
          </cell>
          <cell r="CT93">
            <v>144</v>
          </cell>
          <cell r="CU93">
            <v>0</v>
          </cell>
          <cell r="CV93">
            <v>0</v>
          </cell>
          <cell r="CW93">
            <v>144</v>
          </cell>
          <cell r="CX93">
            <v>21080</v>
          </cell>
          <cell r="CY93">
            <v>0</v>
          </cell>
          <cell r="CZ93">
            <v>0</v>
          </cell>
          <cell r="DA93">
            <v>21080</v>
          </cell>
          <cell r="DB93">
            <v>624</v>
          </cell>
          <cell r="DC93">
            <v>0</v>
          </cell>
          <cell r="DD93">
            <v>0</v>
          </cell>
          <cell r="DE93">
            <v>624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1765</v>
          </cell>
          <cell r="DY93">
            <v>0</v>
          </cell>
          <cell r="DZ93">
            <v>0</v>
          </cell>
          <cell r="EA93">
            <v>1765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</row>
        <row r="94">
          <cell r="A94">
            <v>88</v>
          </cell>
          <cell r="B94" t="str">
            <v>E2833</v>
          </cell>
          <cell r="C94" t="str">
            <v>SD</v>
          </cell>
          <cell r="D94" t="str">
            <v>EM</v>
          </cell>
          <cell r="E94" t="str">
            <v>East Northamptonshire</v>
          </cell>
          <cell r="F94">
            <v>35226.480000000003</v>
          </cell>
          <cell r="G94">
            <v>0</v>
          </cell>
          <cell r="H94">
            <v>0</v>
          </cell>
          <cell r="I94">
            <v>35226.480000000003</v>
          </cell>
          <cell r="J94">
            <v>-13260.04</v>
          </cell>
          <cell r="K94">
            <v>0</v>
          </cell>
          <cell r="L94">
            <v>0</v>
          </cell>
          <cell r="M94">
            <v>-13260.04</v>
          </cell>
          <cell r="N94">
            <v>39141.129999999997</v>
          </cell>
          <cell r="O94">
            <v>0</v>
          </cell>
          <cell r="P94">
            <v>0</v>
          </cell>
          <cell r="Q94">
            <v>39141.129999999997</v>
          </cell>
          <cell r="R94">
            <v>226495.16</v>
          </cell>
          <cell r="S94">
            <v>0</v>
          </cell>
          <cell r="T94">
            <v>0</v>
          </cell>
          <cell r="U94">
            <v>226495.16</v>
          </cell>
          <cell r="V94">
            <v>1743146.89</v>
          </cell>
          <cell r="W94">
            <v>0</v>
          </cell>
          <cell r="X94">
            <v>0</v>
          </cell>
          <cell r="Y94">
            <v>1743146.89</v>
          </cell>
          <cell r="Z94">
            <v>-19422.78</v>
          </cell>
          <cell r="AA94">
            <v>0</v>
          </cell>
          <cell r="AB94">
            <v>0</v>
          </cell>
          <cell r="AC94">
            <v>-19422.78</v>
          </cell>
          <cell r="AD94">
            <v>406366.99</v>
          </cell>
          <cell r="AE94">
            <v>0</v>
          </cell>
          <cell r="AF94">
            <v>0</v>
          </cell>
          <cell r="AG94">
            <v>406366.99</v>
          </cell>
          <cell r="AH94">
            <v>10193.02</v>
          </cell>
          <cell r="AI94">
            <v>0</v>
          </cell>
          <cell r="AJ94">
            <v>0</v>
          </cell>
          <cell r="AK94">
            <v>10193.02</v>
          </cell>
          <cell r="AL94">
            <v>1479276.14</v>
          </cell>
          <cell r="AM94">
            <v>0</v>
          </cell>
          <cell r="AN94">
            <v>0</v>
          </cell>
          <cell r="AO94">
            <v>1479276.14</v>
          </cell>
          <cell r="AP94">
            <v>24832.98</v>
          </cell>
          <cell r="AQ94">
            <v>0</v>
          </cell>
          <cell r="AR94">
            <v>0</v>
          </cell>
          <cell r="AS94">
            <v>24832.98</v>
          </cell>
          <cell r="AT94">
            <v>20902.98</v>
          </cell>
          <cell r="AU94">
            <v>0</v>
          </cell>
          <cell r="AV94">
            <v>0</v>
          </cell>
          <cell r="AW94">
            <v>20902.98</v>
          </cell>
          <cell r="AX94">
            <v>6137.2</v>
          </cell>
          <cell r="AY94">
            <v>0</v>
          </cell>
          <cell r="AZ94">
            <v>0</v>
          </cell>
          <cell r="BA94">
            <v>6137.2</v>
          </cell>
          <cell r="BB94">
            <v>33624.33</v>
          </cell>
          <cell r="BC94">
            <v>0</v>
          </cell>
          <cell r="BD94">
            <v>0</v>
          </cell>
          <cell r="BE94">
            <v>33624.33</v>
          </cell>
          <cell r="BF94">
            <v>3241</v>
          </cell>
          <cell r="BG94">
            <v>0</v>
          </cell>
          <cell r="BH94">
            <v>0</v>
          </cell>
          <cell r="BI94">
            <v>3241</v>
          </cell>
          <cell r="BJ94">
            <v>77279.289999999994</v>
          </cell>
          <cell r="BK94">
            <v>0</v>
          </cell>
          <cell r="BL94">
            <v>0</v>
          </cell>
          <cell r="BM94">
            <v>77279.289999999994</v>
          </cell>
          <cell r="BN94">
            <v>4192.88</v>
          </cell>
          <cell r="BO94">
            <v>0</v>
          </cell>
          <cell r="BP94">
            <v>0</v>
          </cell>
          <cell r="BQ94">
            <v>4192.88</v>
          </cell>
          <cell r="BR94">
            <v>677539.39</v>
          </cell>
          <cell r="BS94">
            <v>0</v>
          </cell>
          <cell r="BT94">
            <v>0</v>
          </cell>
          <cell r="BU94">
            <v>677539.39</v>
          </cell>
          <cell r="BV94">
            <v>53680.75</v>
          </cell>
          <cell r="BW94">
            <v>0</v>
          </cell>
          <cell r="BX94">
            <v>0</v>
          </cell>
          <cell r="BY94">
            <v>53680.75</v>
          </cell>
          <cell r="BZ94">
            <v>81856.89</v>
          </cell>
          <cell r="CA94">
            <v>0</v>
          </cell>
          <cell r="CB94">
            <v>0</v>
          </cell>
          <cell r="CC94">
            <v>81856.89</v>
          </cell>
          <cell r="CD94">
            <v>1579.6</v>
          </cell>
          <cell r="CE94">
            <v>0</v>
          </cell>
          <cell r="CF94">
            <v>0</v>
          </cell>
          <cell r="CG94">
            <v>1579.6</v>
          </cell>
          <cell r="CH94">
            <v>111315.62</v>
          </cell>
          <cell r="CI94">
            <v>0</v>
          </cell>
          <cell r="CJ94">
            <v>0</v>
          </cell>
          <cell r="CK94">
            <v>111315.62</v>
          </cell>
          <cell r="CL94">
            <v>0.03</v>
          </cell>
          <cell r="CM94">
            <v>0</v>
          </cell>
          <cell r="CN94">
            <v>0</v>
          </cell>
          <cell r="CO94">
            <v>0.03</v>
          </cell>
          <cell r="CP94">
            <v>5225.74</v>
          </cell>
          <cell r="CQ94">
            <v>0</v>
          </cell>
          <cell r="CR94">
            <v>0</v>
          </cell>
          <cell r="CS94">
            <v>5225.74</v>
          </cell>
          <cell r="CT94">
            <v>1534.3</v>
          </cell>
          <cell r="CU94">
            <v>0</v>
          </cell>
          <cell r="CV94">
            <v>0</v>
          </cell>
          <cell r="CW94">
            <v>1534.3</v>
          </cell>
          <cell r="CX94">
            <v>20832.36</v>
          </cell>
          <cell r="CY94">
            <v>0</v>
          </cell>
          <cell r="CZ94">
            <v>0</v>
          </cell>
          <cell r="DA94">
            <v>20832.36</v>
          </cell>
          <cell r="DB94">
            <v>1741.27</v>
          </cell>
          <cell r="DC94">
            <v>0</v>
          </cell>
          <cell r="DD94">
            <v>0</v>
          </cell>
          <cell r="DE94">
            <v>1741.27</v>
          </cell>
          <cell r="DF94">
            <v>59674.879999999997</v>
          </cell>
          <cell r="DG94">
            <v>0</v>
          </cell>
          <cell r="DH94">
            <v>0</v>
          </cell>
          <cell r="DI94">
            <v>59674.879999999997</v>
          </cell>
          <cell r="DJ94">
            <v>1127.53</v>
          </cell>
          <cell r="DK94">
            <v>0</v>
          </cell>
          <cell r="DL94">
            <v>0</v>
          </cell>
          <cell r="DM94">
            <v>1127.53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458</v>
          </cell>
          <cell r="DY94">
            <v>0</v>
          </cell>
          <cell r="DZ94">
            <v>0</v>
          </cell>
          <cell r="EA94">
            <v>458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</row>
        <row r="95">
          <cell r="A95">
            <v>89</v>
          </cell>
          <cell r="B95" t="str">
            <v>E2001</v>
          </cell>
          <cell r="C95" t="str">
            <v>UA</v>
          </cell>
          <cell r="D95" t="str">
            <v>YH</v>
          </cell>
          <cell r="E95" t="str">
            <v>East Riding of Yorkshire UA</v>
          </cell>
          <cell r="F95">
            <v>1932861.92</v>
          </cell>
          <cell r="G95">
            <v>0</v>
          </cell>
          <cell r="H95">
            <v>0</v>
          </cell>
          <cell r="I95">
            <v>1932861.92</v>
          </cell>
          <cell r="J95">
            <v>-187845.45</v>
          </cell>
          <cell r="K95">
            <v>0</v>
          </cell>
          <cell r="L95">
            <v>0</v>
          </cell>
          <cell r="M95">
            <v>-187845.45</v>
          </cell>
          <cell r="N95">
            <v>90871.44</v>
          </cell>
          <cell r="O95">
            <v>0</v>
          </cell>
          <cell r="P95">
            <v>9970.94</v>
          </cell>
          <cell r="Q95">
            <v>100842.38</v>
          </cell>
          <cell r="R95">
            <v>82176.259999999995</v>
          </cell>
          <cell r="S95">
            <v>0</v>
          </cell>
          <cell r="T95">
            <v>0</v>
          </cell>
          <cell r="U95">
            <v>82176.259999999995</v>
          </cell>
          <cell r="V95">
            <v>7122958.7800000003</v>
          </cell>
          <cell r="W95">
            <v>0</v>
          </cell>
          <cell r="X95">
            <v>0</v>
          </cell>
          <cell r="Y95">
            <v>7122958.7800000003</v>
          </cell>
          <cell r="Z95">
            <v>271516.59999999998</v>
          </cell>
          <cell r="AA95">
            <v>0</v>
          </cell>
          <cell r="AB95">
            <v>0</v>
          </cell>
          <cell r="AC95">
            <v>271516.59999999998</v>
          </cell>
          <cell r="AD95">
            <v>1701779.81</v>
          </cell>
          <cell r="AE95">
            <v>0</v>
          </cell>
          <cell r="AF95">
            <v>1800</v>
          </cell>
          <cell r="AG95">
            <v>1703579.81</v>
          </cell>
          <cell r="AH95">
            <v>23408.94</v>
          </cell>
          <cell r="AI95">
            <v>0</v>
          </cell>
          <cell r="AJ95">
            <v>0</v>
          </cell>
          <cell r="AK95">
            <v>23408.94</v>
          </cell>
          <cell r="AL95">
            <v>2812891.07</v>
          </cell>
          <cell r="AM95">
            <v>0</v>
          </cell>
          <cell r="AN95">
            <v>0</v>
          </cell>
          <cell r="AO95">
            <v>2812891.07</v>
          </cell>
          <cell r="AP95">
            <v>-118300.71</v>
          </cell>
          <cell r="AQ95">
            <v>0</v>
          </cell>
          <cell r="AR95">
            <v>0</v>
          </cell>
          <cell r="AS95">
            <v>-118300.71</v>
          </cell>
          <cell r="AT95">
            <v>43136.76</v>
          </cell>
          <cell r="AU95">
            <v>0</v>
          </cell>
          <cell r="AV95">
            <v>0</v>
          </cell>
          <cell r="AW95">
            <v>43136.76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118396.92</v>
          </cell>
          <cell r="BC95">
            <v>0</v>
          </cell>
          <cell r="BD95">
            <v>0</v>
          </cell>
          <cell r="BE95">
            <v>118396.92</v>
          </cell>
          <cell r="BF95">
            <v>6840.36</v>
          </cell>
          <cell r="BG95">
            <v>0</v>
          </cell>
          <cell r="BH95">
            <v>0</v>
          </cell>
          <cell r="BI95">
            <v>6840.36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837.61</v>
          </cell>
          <cell r="BO95">
            <v>0</v>
          </cell>
          <cell r="BP95">
            <v>0</v>
          </cell>
          <cell r="BQ95">
            <v>837.61</v>
          </cell>
          <cell r="BR95">
            <v>2737193.85</v>
          </cell>
          <cell r="BS95">
            <v>0</v>
          </cell>
          <cell r="BT95">
            <v>0</v>
          </cell>
          <cell r="BU95">
            <v>2737193.85</v>
          </cell>
          <cell r="BV95">
            <v>102567.8</v>
          </cell>
          <cell r="BW95">
            <v>0</v>
          </cell>
          <cell r="BX95">
            <v>0</v>
          </cell>
          <cell r="BY95">
            <v>102567.8</v>
          </cell>
          <cell r="BZ95">
            <v>118917.95</v>
          </cell>
          <cell r="CA95">
            <v>0</v>
          </cell>
          <cell r="CB95">
            <v>0</v>
          </cell>
          <cell r="CC95">
            <v>118917.95</v>
          </cell>
          <cell r="CD95">
            <v>1461.21</v>
          </cell>
          <cell r="CE95">
            <v>0</v>
          </cell>
          <cell r="CF95">
            <v>0</v>
          </cell>
          <cell r="CG95">
            <v>1461.21</v>
          </cell>
          <cell r="CH95">
            <v>358189.1</v>
          </cell>
          <cell r="CI95">
            <v>0</v>
          </cell>
          <cell r="CJ95">
            <v>0</v>
          </cell>
          <cell r="CK95">
            <v>358189.1</v>
          </cell>
          <cell r="CL95">
            <v>26047.51</v>
          </cell>
          <cell r="CM95">
            <v>0</v>
          </cell>
          <cell r="CN95">
            <v>0</v>
          </cell>
          <cell r="CO95">
            <v>26047.51</v>
          </cell>
          <cell r="CP95">
            <v>5427.51</v>
          </cell>
          <cell r="CQ95">
            <v>0</v>
          </cell>
          <cell r="CR95">
            <v>0</v>
          </cell>
          <cell r="CS95">
            <v>5427.51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47182.33</v>
          </cell>
          <cell r="CY95">
            <v>0</v>
          </cell>
          <cell r="CZ95">
            <v>0</v>
          </cell>
          <cell r="DA95">
            <v>47182.33</v>
          </cell>
          <cell r="DB95">
            <v>657.01</v>
          </cell>
          <cell r="DC95">
            <v>0</v>
          </cell>
          <cell r="DD95">
            <v>0</v>
          </cell>
          <cell r="DE95">
            <v>657.01</v>
          </cell>
          <cell r="DF95">
            <v>150390.71</v>
          </cell>
          <cell r="DG95">
            <v>0</v>
          </cell>
          <cell r="DH95">
            <v>0</v>
          </cell>
          <cell r="DI95">
            <v>150390.71</v>
          </cell>
          <cell r="DJ95">
            <v>-2257.86</v>
          </cell>
          <cell r="DK95">
            <v>0</v>
          </cell>
          <cell r="DL95">
            <v>0</v>
          </cell>
          <cell r="DM95">
            <v>-2257.86</v>
          </cell>
          <cell r="DN95">
            <v>141182</v>
          </cell>
          <cell r="DO95">
            <v>0</v>
          </cell>
          <cell r="DP95">
            <v>104171</v>
          </cell>
          <cell r="DQ95">
            <v>245353</v>
          </cell>
          <cell r="DR95">
            <v>8502</v>
          </cell>
          <cell r="DS95">
            <v>0</v>
          </cell>
          <cell r="DT95">
            <v>0</v>
          </cell>
          <cell r="DU95">
            <v>8502</v>
          </cell>
          <cell r="DV95">
            <v>104170.94</v>
          </cell>
          <cell r="DW95">
            <v>149684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55838.94</v>
          </cell>
          <cell r="EC95">
            <v>0</v>
          </cell>
          <cell r="ED95">
            <v>0</v>
          </cell>
          <cell r="EE95">
            <v>55838.94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</row>
        <row r="96">
          <cell r="A96">
            <v>90</v>
          </cell>
          <cell r="B96" t="str">
            <v>E3432</v>
          </cell>
          <cell r="C96" t="str">
            <v>SD</v>
          </cell>
          <cell r="D96" t="str">
            <v>WM</v>
          </cell>
          <cell r="E96" t="str">
            <v>East Staffordshire</v>
          </cell>
          <cell r="F96">
            <v>107791.88</v>
          </cell>
          <cell r="G96">
            <v>0</v>
          </cell>
          <cell r="H96">
            <v>0</v>
          </cell>
          <cell r="I96">
            <v>107791.88</v>
          </cell>
          <cell r="J96">
            <v>-83837.66</v>
          </cell>
          <cell r="K96">
            <v>0</v>
          </cell>
          <cell r="L96">
            <v>0</v>
          </cell>
          <cell r="M96">
            <v>-83837.66</v>
          </cell>
          <cell r="N96">
            <v>23649</v>
          </cell>
          <cell r="O96">
            <v>0</v>
          </cell>
          <cell r="P96">
            <v>0</v>
          </cell>
          <cell r="Q96">
            <v>23649</v>
          </cell>
          <cell r="R96">
            <v>246724.31</v>
          </cell>
          <cell r="S96">
            <v>0</v>
          </cell>
          <cell r="T96">
            <v>0</v>
          </cell>
          <cell r="U96">
            <v>246724.31</v>
          </cell>
          <cell r="V96">
            <v>2377642.9300000002</v>
          </cell>
          <cell r="W96">
            <v>0</v>
          </cell>
          <cell r="X96">
            <v>0</v>
          </cell>
          <cell r="Y96">
            <v>2377642.9300000002</v>
          </cell>
          <cell r="Z96">
            <v>162571.29</v>
          </cell>
          <cell r="AA96">
            <v>0</v>
          </cell>
          <cell r="AB96">
            <v>0</v>
          </cell>
          <cell r="AC96">
            <v>162571.29</v>
          </cell>
          <cell r="AD96">
            <v>1048606.97</v>
          </cell>
          <cell r="AE96">
            <v>0</v>
          </cell>
          <cell r="AF96">
            <v>0</v>
          </cell>
          <cell r="AG96">
            <v>1048606.97</v>
          </cell>
          <cell r="AH96">
            <v>-29381.63</v>
          </cell>
          <cell r="AI96">
            <v>0</v>
          </cell>
          <cell r="AJ96">
            <v>0</v>
          </cell>
          <cell r="AK96">
            <v>-29381.63</v>
          </cell>
          <cell r="AL96">
            <v>1839949.11</v>
          </cell>
          <cell r="AM96">
            <v>0</v>
          </cell>
          <cell r="AN96">
            <v>0</v>
          </cell>
          <cell r="AO96">
            <v>1839949.11</v>
          </cell>
          <cell r="AP96">
            <v>12582.66</v>
          </cell>
          <cell r="AQ96">
            <v>0</v>
          </cell>
          <cell r="AR96">
            <v>0</v>
          </cell>
          <cell r="AS96">
            <v>12582.66</v>
          </cell>
          <cell r="AT96">
            <v>52594.93</v>
          </cell>
          <cell r="AU96">
            <v>0</v>
          </cell>
          <cell r="AV96">
            <v>0</v>
          </cell>
          <cell r="AW96">
            <v>52594.93</v>
          </cell>
          <cell r="AX96">
            <v>-841.26</v>
          </cell>
          <cell r="AY96">
            <v>0</v>
          </cell>
          <cell r="AZ96">
            <v>0</v>
          </cell>
          <cell r="BA96">
            <v>-841.26</v>
          </cell>
          <cell r="BB96">
            <v>8378.74</v>
          </cell>
          <cell r="BC96">
            <v>0</v>
          </cell>
          <cell r="BD96">
            <v>0</v>
          </cell>
          <cell r="BE96">
            <v>8378.74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213117.68</v>
          </cell>
          <cell r="BK96">
            <v>0</v>
          </cell>
          <cell r="BL96">
            <v>0</v>
          </cell>
          <cell r="BM96">
            <v>213117.68</v>
          </cell>
          <cell r="BN96">
            <v>70360.23</v>
          </cell>
          <cell r="BO96">
            <v>0</v>
          </cell>
          <cell r="BP96">
            <v>0</v>
          </cell>
          <cell r="BQ96">
            <v>70360.23</v>
          </cell>
          <cell r="BR96">
            <v>2428055.77</v>
          </cell>
          <cell r="BS96">
            <v>0</v>
          </cell>
          <cell r="BT96">
            <v>0</v>
          </cell>
          <cell r="BU96">
            <v>2428055.77</v>
          </cell>
          <cell r="BV96">
            <v>246092.6</v>
          </cell>
          <cell r="BW96">
            <v>0</v>
          </cell>
          <cell r="BX96">
            <v>0</v>
          </cell>
          <cell r="BY96">
            <v>246092.6</v>
          </cell>
          <cell r="BZ96">
            <v>122544.07</v>
          </cell>
          <cell r="CA96">
            <v>0</v>
          </cell>
          <cell r="CB96">
            <v>0</v>
          </cell>
          <cell r="CC96">
            <v>122544.07</v>
          </cell>
          <cell r="CD96">
            <v>19300.77</v>
          </cell>
          <cell r="CE96">
            <v>0</v>
          </cell>
          <cell r="CF96">
            <v>0</v>
          </cell>
          <cell r="CG96">
            <v>19300.77</v>
          </cell>
          <cell r="CH96">
            <v>114731.04</v>
          </cell>
          <cell r="CI96">
            <v>0</v>
          </cell>
          <cell r="CJ96">
            <v>0</v>
          </cell>
          <cell r="CK96">
            <v>114731.04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9675.1200000000008</v>
          </cell>
          <cell r="CQ96">
            <v>0</v>
          </cell>
          <cell r="CR96">
            <v>0</v>
          </cell>
          <cell r="CS96">
            <v>9675.1200000000008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10186.73</v>
          </cell>
          <cell r="CY96">
            <v>0</v>
          </cell>
          <cell r="CZ96">
            <v>0</v>
          </cell>
          <cell r="DA96">
            <v>10186.73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2061.63</v>
          </cell>
          <cell r="DG96">
            <v>0</v>
          </cell>
          <cell r="DH96">
            <v>0</v>
          </cell>
          <cell r="DI96">
            <v>2061.63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4888.16</v>
          </cell>
          <cell r="EG96">
            <v>0</v>
          </cell>
          <cell r="EH96">
            <v>0</v>
          </cell>
          <cell r="EI96">
            <v>4888.16</v>
          </cell>
          <cell r="EJ96">
            <v>7856.55</v>
          </cell>
          <cell r="EK96">
            <v>0</v>
          </cell>
          <cell r="EL96">
            <v>0</v>
          </cell>
          <cell r="EM96">
            <v>7856.55</v>
          </cell>
        </row>
        <row r="97">
          <cell r="A97">
            <v>91</v>
          </cell>
          <cell r="B97" t="str">
            <v>E1432</v>
          </cell>
          <cell r="C97" t="str">
            <v>SD</v>
          </cell>
          <cell r="D97" t="str">
            <v>SE</v>
          </cell>
          <cell r="E97" t="str">
            <v>Eastbourne</v>
          </cell>
          <cell r="F97">
            <v>158586.54</v>
          </cell>
          <cell r="G97">
            <v>0</v>
          </cell>
          <cell r="H97">
            <v>0</v>
          </cell>
          <cell r="I97">
            <v>158586.54</v>
          </cell>
          <cell r="J97">
            <v>-600.82000000000005</v>
          </cell>
          <cell r="K97">
            <v>0</v>
          </cell>
          <cell r="L97">
            <v>0</v>
          </cell>
          <cell r="M97">
            <v>-600.82000000000005</v>
          </cell>
          <cell r="N97">
            <v>40694.230000000003</v>
          </cell>
          <cell r="O97">
            <v>0</v>
          </cell>
          <cell r="P97">
            <v>0</v>
          </cell>
          <cell r="Q97">
            <v>40694.230000000003</v>
          </cell>
          <cell r="R97">
            <v>40651.360000000001</v>
          </cell>
          <cell r="S97">
            <v>0</v>
          </cell>
          <cell r="T97">
            <v>0</v>
          </cell>
          <cell r="U97">
            <v>40651.360000000001</v>
          </cell>
          <cell r="V97">
            <v>1878624.3</v>
          </cell>
          <cell r="W97">
            <v>0</v>
          </cell>
          <cell r="X97">
            <v>0</v>
          </cell>
          <cell r="Y97">
            <v>1878624.3</v>
          </cell>
          <cell r="Z97">
            <v>43291.5</v>
          </cell>
          <cell r="AA97">
            <v>0</v>
          </cell>
          <cell r="AB97">
            <v>0</v>
          </cell>
          <cell r="AC97">
            <v>43291.5</v>
          </cell>
          <cell r="AD97">
            <v>638741.46</v>
          </cell>
          <cell r="AE97">
            <v>0</v>
          </cell>
          <cell r="AF97">
            <v>0</v>
          </cell>
          <cell r="AG97">
            <v>638741.46</v>
          </cell>
          <cell r="AH97">
            <v>5733.76</v>
          </cell>
          <cell r="AI97">
            <v>0</v>
          </cell>
          <cell r="AJ97">
            <v>0</v>
          </cell>
          <cell r="AK97">
            <v>5733.76</v>
          </cell>
          <cell r="AL97">
            <v>2262928.33</v>
          </cell>
          <cell r="AM97">
            <v>0</v>
          </cell>
          <cell r="AN97">
            <v>0</v>
          </cell>
          <cell r="AO97">
            <v>2262928.33</v>
          </cell>
          <cell r="AP97">
            <v>7557.68</v>
          </cell>
          <cell r="AQ97">
            <v>0</v>
          </cell>
          <cell r="AR97">
            <v>0</v>
          </cell>
          <cell r="AS97">
            <v>7557.68</v>
          </cell>
          <cell r="AT97">
            <v>74295.539999999994</v>
          </cell>
          <cell r="AU97">
            <v>0</v>
          </cell>
          <cell r="AV97">
            <v>0</v>
          </cell>
          <cell r="AW97">
            <v>74295.539999999994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-12258.61</v>
          </cell>
          <cell r="BO97">
            <v>0</v>
          </cell>
          <cell r="BP97">
            <v>0</v>
          </cell>
          <cell r="BQ97">
            <v>-12258.61</v>
          </cell>
          <cell r="BR97">
            <v>569441.76</v>
          </cell>
          <cell r="BS97">
            <v>0</v>
          </cell>
          <cell r="BT97">
            <v>0</v>
          </cell>
          <cell r="BU97">
            <v>569441.76</v>
          </cell>
          <cell r="BV97">
            <v>51901.51</v>
          </cell>
          <cell r="BW97">
            <v>0</v>
          </cell>
          <cell r="BX97">
            <v>0</v>
          </cell>
          <cell r="BY97">
            <v>51901.51</v>
          </cell>
          <cell r="BZ97">
            <v>40550.54</v>
          </cell>
          <cell r="CA97">
            <v>0</v>
          </cell>
          <cell r="CB97">
            <v>0</v>
          </cell>
          <cell r="CC97">
            <v>40550.54</v>
          </cell>
          <cell r="CD97">
            <v>443.25</v>
          </cell>
          <cell r="CE97">
            <v>0</v>
          </cell>
          <cell r="CF97">
            <v>0</v>
          </cell>
          <cell r="CG97">
            <v>443.25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</row>
        <row r="98">
          <cell r="A98">
            <v>92</v>
          </cell>
          <cell r="B98" t="str">
            <v>E1733</v>
          </cell>
          <cell r="C98" t="str">
            <v>SD</v>
          </cell>
          <cell r="D98" t="str">
            <v>SE</v>
          </cell>
          <cell r="E98" t="str">
            <v>Eastleigh</v>
          </cell>
          <cell r="F98">
            <v>116342</v>
          </cell>
          <cell r="G98">
            <v>0</v>
          </cell>
          <cell r="H98">
            <v>0</v>
          </cell>
          <cell r="I98">
            <v>116342</v>
          </cell>
          <cell r="J98">
            <v>-226072</v>
          </cell>
          <cell r="K98">
            <v>0</v>
          </cell>
          <cell r="L98">
            <v>0</v>
          </cell>
          <cell r="M98">
            <v>-226072</v>
          </cell>
          <cell r="N98">
            <v>31492</v>
          </cell>
          <cell r="O98">
            <v>0</v>
          </cell>
          <cell r="P98">
            <v>0</v>
          </cell>
          <cell r="Q98">
            <v>31492</v>
          </cell>
          <cell r="R98">
            <v>159576</v>
          </cell>
          <cell r="S98">
            <v>0</v>
          </cell>
          <cell r="T98">
            <v>0</v>
          </cell>
          <cell r="U98">
            <v>159576</v>
          </cell>
          <cell r="V98">
            <v>1496998</v>
          </cell>
          <cell r="W98">
            <v>0</v>
          </cell>
          <cell r="X98">
            <v>0</v>
          </cell>
          <cell r="Y98">
            <v>1496998</v>
          </cell>
          <cell r="Z98">
            <v>38250</v>
          </cell>
          <cell r="AA98">
            <v>0</v>
          </cell>
          <cell r="AB98">
            <v>0</v>
          </cell>
          <cell r="AC98">
            <v>38250</v>
          </cell>
          <cell r="AD98">
            <v>1076831</v>
          </cell>
          <cell r="AE98">
            <v>0</v>
          </cell>
          <cell r="AF98">
            <v>0</v>
          </cell>
          <cell r="AG98">
            <v>1076831</v>
          </cell>
          <cell r="AH98">
            <v>-27254</v>
          </cell>
          <cell r="AI98">
            <v>0</v>
          </cell>
          <cell r="AJ98">
            <v>0</v>
          </cell>
          <cell r="AK98">
            <v>-27254</v>
          </cell>
          <cell r="AL98">
            <v>1933607</v>
          </cell>
          <cell r="AM98">
            <v>0</v>
          </cell>
          <cell r="AN98">
            <v>0</v>
          </cell>
          <cell r="AO98">
            <v>1933607</v>
          </cell>
          <cell r="AP98">
            <v>52719</v>
          </cell>
          <cell r="AQ98">
            <v>0</v>
          </cell>
          <cell r="AR98">
            <v>0</v>
          </cell>
          <cell r="AS98">
            <v>52719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10070</v>
          </cell>
          <cell r="BK98">
            <v>0</v>
          </cell>
          <cell r="BL98">
            <v>0</v>
          </cell>
          <cell r="BM98">
            <v>10070</v>
          </cell>
          <cell r="BN98">
            <v>34689</v>
          </cell>
          <cell r="BO98">
            <v>0</v>
          </cell>
          <cell r="BP98">
            <v>0</v>
          </cell>
          <cell r="BQ98">
            <v>34689</v>
          </cell>
          <cell r="BR98">
            <v>2040391</v>
          </cell>
          <cell r="BS98">
            <v>0</v>
          </cell>
          <cell r="BT98">
            <v>0</v>
          </cell>
          <cell r="BU98">
            <v>2040391</v>
          </cell>
          <cell r="BV98">
            <v>6339</v>
          </cell>
          <cell r="BW98">
            <v>0</v>
          </cell>
          <cell r="BX98">
            <v>0</v>
          </cell>
          <cell r="BY98">
            <v>6339</v>
          </cell>
          <cell r="BZ98">
            <v>43624</v>
          </cell>
          <cell r="CA98">
            <v>0</v>
          </cell>
          <cell r="CB98">
            <v>0</v>
          </cell>
          <cell r="CC98">
            <v>43624</v>
          </cell>
          <cell r="CD98">
            <v>-8693</v>
          </cell>
          <cell r="CE98">
            <v>0</v>
          </cell>
          <cell r="CF98">
            <v>0</v>
          </cell>
          <cell r="CG98">
            <v>-8693</v>
          </cell>
          <cell r="CH98">
            <v>128112</v>
          </cell>
          <cell r="CI98">
            <v>0</v>
          </cell>
          <cell r="CJ98">
            <v>0</v>
          </cell>
          <cell r="CK98">
            <v>128112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</row>
        <row r="99">
          <cell r="A99">
            <v>93</v>
          </cell>
          <cell r="B99" t="str">
            <v>E0935</v>
          </cell>
          <cell r="C99" t="str">
            <v>SD</v>
          </cell>
          <cell r="D99" t="str">
            <v>NW</v>
          </cell>
          <cell r="E99" t="str">
            <v>Eden</v>
          </cell>
          <cell r="F99">
            <v>196285.95</v>
          </cell>
          <cell r="G99">
            <v>0</v>
          </cell>
          <cell r="H99">
            <v>0</v>
          </cell>
          <cell r="I99">
            <v>196285.95</v>
          </cell>
          <cell r="J99">
            <v>-129496.44</v>
          </cell>
          <cell r="K99">
            <v>0</v>
          </cell>
          <cell r="L99">
            <v>0</v>
          </cell>
          <cell r="M99">
            <v>-129496.44</v>
          </cell>
          <cell r="N99">
            <v>18421.61</v>
          </cell>
          <cell r="O99">
            <v>0</v>
          </cell>
          <cell r="P99">
            <v>0</v>
          </cell>
          <cell r="Q99">
            <v>18421.61</v>
          </cell>
          <cell r="R99">
            <v>-512.91</v>
          </cell>
          <cell r="S99">
            <v>0</v>
          </cell>
          <cell r="T99">
            <v>0</v>
          </cell>
          <cell r="U99">
            <v>-512.91</v>
          </cell>
          <cell r="V99">
            <v>1980171.35</v>
          </cell>
          <cell r="W99">
            <v>0</v>
          </cell>
          <cell r="X99">
            <v>0</v>
          </cell>
          <cell r="Y99">
            <v>1980171.35</v>
          </cell>
          <cell r="Z99">
            <v>114855.59</v>
          </cell>
          <cell r="AA99">
            <v>0</v>
          </cell>
          <cell r="AB99">
            <v>0</v>
          </cell>
          <cell r="AC99">
            <v>114855.59</v>
          </cell>
          <cell r="AD99">
            <v>371685.59</v>
          </cell>
          <cell r="AE99">
            <v>0</v>
          </cell>
          <cell r="AF99">
            <v>0</v>
          </cell>
          <cell r="AG99">
            <v>371685.59</v>
          </cell>
          <cell r="AH99">
            <v>-762.87</v>
          </cell>
          <cell r="AI99">
            <v>0</v>
          </cell>
          <cell r="AJ99">
            <v>0</v>
          </cell>
          <cell r="AK99">
            <v>-762.87</v>
          </cell>
          <cell r="AL99">
            <v>1245892.1100000001</v>
          </cell>
          <cell r="AM99">
            <v>0</v>
          </cell>
          <cell r="AN99">
            <v>0</v>
          </cell>
          <cell r="AO99">
            <v>1245892.1100000001</v>
          </cell>
          <cell r="AP99">
            <v>11505.89</v>
          </cell>
          <cell r="AQ99">
            <v>0</v>
          </cell>
          <cell r="AR99">
            <v>0</v>
          </cell>
          <cell r="AS99">
            <v>11505.89</v>
          </cell>
          <cell r="AT99">
            <v>72543.42</v>
          </cell>
          <cell r="AU99">
            <v>0</v>
          </cell>
          <cell r="AV99">
            <v>0</v>
          </cell>
          <cell r="AW99">
            <v>72543.42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63245.86</v>
          </cell>
          <cell r="BC99">
            <v>0</v>
          </cell>
          <cell r="BD99">
            <v>0</v>
          </cell>
          <cell r="BE99">
            <v>63245.86</v>
          </cell>
          <cell r="BF99">
            <v>159.19</v>
          </cell>
          <cell r="BG99">
            <v>0</v>
          </cell>
          <cell r="BH99">
            <v>0</v>
          </cell>
          <cell r="BI99">
            <v>159.19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20.38</v>
          </cell>
          <cell r="BO99">
            <v>0</v>
          </cell>
          <cell r="BP99">
            <v>0</v>
          </cell>
          <cell r="BQ99">
            <v>20.38</v>
          </cell>
          <cell r="BR99">
            <v>415896.48</v>
          </cell>
          <cell r="BS99">
            <v>0</v>
          </cell>
          <cell r="BT99">
            <v>0</v>
          </cell>
          <cell r="BU99">
            <v>415896.48</v>
          </cell>
          <cell r="BV99">
            <v>113362.18</v>
          </cell>
          <cell r="BW99">
            <v>0</v>
          </cell>
          <cell r="BX99">
            <v>0</v>
          </cell>
          <cell r="BY99">
            <v>113362.18</v>
          </cell>
          <cell r="BZ99">
            <v>49889.13</v>
          </cell>
          <cell r="CA99">
            <v>0</v>
          </cell>
          <cell r="CB99">
            <v>0</v>
          </cell>
          <cell r="CC99">
            <v>49889.13</v>
          </cell>
          <cell r="CD99">
            <v>1393.12</v>
          </cell>
          <cell r="CE99">
            <v>0</v>
          </cell>
          <cell r="CF99">
            <v>0</v>
          </cell>
          <cell r="CG99">
            <v>1393.12</v>
          </cell>
          <cell r="CH99">
            <v>37045.910000000003</v>
          </cell>
          <cell r="CI99">
            <v>0</v>
          </cell>
          <cell r="CJ99">
            <v>0</v>
          </cell>
          <cell r="CK99">
            <v>37045.910000000003</v>
          </cell>
          <cell r="CL99">
            <v>-551.24</v>
          </cell>
          <cell r="CM99">
            <v>0</v>
          </cell>
          <cell r="CN99">
            <v>0</v>
          </cell>
          <cell r="CO99">
            <v>-551.24</v>
          </cell>
          <cell r="CP99">
            <v>2021.25</v>
          </cell>
          <cell r="CQ99">
            <v>0</v>
          </cell>
          <cell r="CR99">
            <v>0</v>
          </cell>
          <cell r="CS99">
            <v>2021.25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38347.269999999997</v>
          </cell>
          <cell r="CY99">
            <v>0</v>
          </cell>
          <cell r="CZ99">
            <v>0</v>
          </cell>
          <cell r="DA99">
            <v>38347.269999999997</v>
          </cell>
          <cell r="DB99">
            <v>997.08</v>
          </cell>
          <cell r="DC99">
            <v>0</v>
          </cell>
          <cell r="DD99">
            <v>0</v>
          </cell>
          <cell r="DE99">
            <v>997.08</v>
          </cell>
          <cell r="DF99">
            <v>3388.77</v>
          </cell>
          <cell r="DG99">
            <v>0</v>
          </cell>
          <cell r="DH99">
            <v>0</v>
          </cell>
          <cell r="DI99">
            <v>3388.77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</row>
        <row r="100">
          <cell r="A100">
            <v>94</v>
          </cell>
          <cell r="B100" t="str">
            <v>E3631</v>
          </cell>
          <cell r="C100" t="str">
            <v>SD</v>
          </cell>
          <cell r="D100" t="str">
            <v>SE</v>
          </cell>
          <cell r="E100" t="str">
            <v>Elmbridge</v>
          </cell>
          <cell r="F100">
            <v>45445</v>
          </cell>
          <cell r="G100">
            <v>0</v>
          </cell>
          <cell r="H100">
            <v>0</v>
          </cell>
          <cell r="I100">
            <v>45445</v>
          </cell>
          <cell r="J100">
            <v>-36028</v>
          </cell>
          <cell r="K100">
            <v>0</v>
          </cell>
          <cell r="L100">
            <v>0</v>
          </cell>
          <cell r="M100">
            <v>-36028</v>
          </cell>
          <cell r="N100">
            <v>13956</v>
          </cell>
          <cell r="O100">
            <v>0</v>
          </cell>
          <cell r="P100">
            <v>0</v>
          </cell>
          <cell r="Q100">
            <v>13956</v>
          </cell>
          <cell r="R100">
            <v>45133</v>
          </cell>
          <cell r="S100">
            <v>0</v>
          </cell>
          <cell r="T100">
            <v>0</v>
          </cell>
          <cell r="U100">
            <v>45133</v>
          </cell>
          <cell r="V100">
            <v>1784437</v>
          </cell>
          <cell r="W100">
            <v>0</v>
          </cell>
          <cell r="X100">
            <v>0</v>
          </cell>
          <cell r="Y100">
            <v>1784437</v>
          </cell>
          <cell r="Z100">
            <v>113452</v>
          </cell>
          <cell r="AA100">
            <v>0</v>
          </cell>
          <cell r="AB100">
            <v>0</v>
          </cell>
          <cell r="AC100">
            <v>113452</v>
          </cell>
          <cell r="AD100">
            <v>1061928</v>
          </cell>
          <cell r="AE100">
            <v>0</v>
          </cell>
          <cell r="AF100">
            <v>0</v>
          </cell>
          <cell r="AG100">
            <v>1061928</v>
          </cell>
          <cell r="AH100">
            <v>-10869</v>
          </cell>
          <cell r="AI100">
            <v>0</v>
          </cell>
          <cell r="AJ100">
            <v>0</v>
          </cell>
          <cell r="AK100">
            <v>-10869</v>
          </cell>
          <cell r="AL100">
            <v>3018065</v>
          </cell>
          <cell r="AM100">
            <v>0</v>
          </cell>
          <cell r="AN100">
            <v>0</v>
          </cell>
          <cell r="AO100">
            <v>3018065</v>
          </cell>
          <cell r="AP100">
            <v>-20084</v>
          </cell>
          <cell r="AQ100">
            <v>0</v>
          </cell>
          <cell r="AR100">
            <v>0</v>
          </cell>
          <cell r="AS100">
            <v>-20084</v>
          </cell>
          <cell r="AT100">
            <v>53091</v>
          </cell>
          <cell r="AU100">
            <v>0</v>
          </cell>
          <cell r="AV100">
            <v>0</v>
          </cell>
          <cell r="AW100">
            <v>53091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15523</v>
          </cell>
          <cell r="BK100">
            <v>0</v>
          </cell>
          <cell r="BL100">
            <v>0</v>
          </cell>
          <cell r="BM100">
            <v>15523</v>
          </cell>
          <cell r="BN100">
            <v>83</v>
          </cell>
          <cell r="BO100">
            <v>0</v>
          </cell>
          <cell r="BP100">
            <v>0</v>
          </cell>
          <cell r="BQ100">
            <v>83</v>
          </cell>
          <cell r="BR100">
            <v>2829277</v>
          </cell>
          <cell r="BS100">
            <v>0</v>
          </cell>
          <cell r="BT100">
            <v>0</v>
          </cell>
          <cell r="BU100">
            <v>2829277</v>
          </cell>
          <cell r="BV100">
            <v>-21836</v>
          </cell>
          <cell r="BW100">
            <v>0</v>
          </cell>
          <cell r="BX100">
            <v>0</v>
          </cell>
          <cell r="BY100">
            <v>-21836</v>
          </cell>
          <cell r="BZ100">
            <v>97576</v>
          </cell>
          <cell r="CA100">
            <v>0</v>
          </cell>
          <cell r="CB100">
            <v>0</v>
          </cell>
          <cell r="CC100">
            <v>97576</v>
          </cell>
          <cell r="CD100">
            <v>-3360</v>
          </cell>
          <cell r="CE100">
            <v>0</v>
          </cell>
          <cell r="CF100">
            <v>0</v>
          </cell>
          <cell r="CG100">
            <v>-3360</v>
          </cell>
          <cell r="CH100">
            <v>332656</v>
          </cell>
          <cell r="CI100">
            <v>0</v>
          </cell>
          <cell r="CJ100">
            <v>0</v>
          </cell>
          <cell r="CK100">
            <v>332656</v>
          </cell>
          <cell r="CL100">
            <v>-5447</v>
          </cell>
          <cell r="CM100">
            <v>0</v>
          </cell>
          <cell r="CN100">
            <v>0</v>
          </cell>
          <cell r="CO100">
            <v>-5447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167095</v>
          </cell>
          <cell r="DY100">
            <v>0</v>
          </cell>
          <cell r="DZ100">
            <v>0</v>
          </cell>
          <cell r="EA100">
            <v>167095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</row>
        <row r="101">
          <cell r="A101">
            <v>95</v>
          </cell>
          <cell r="B101" t="str">
            <v>E5037</v>
          </cell>
          <cell r="C101" t="str">
            <v>OLB</v>
          </cell>
          <cell r="D101" t="str">
            <v>L</v>
          </cell>
          <cell r="E101" t="str">
            <v>Enfield</v>
          </cell>
          <cell r="F101">
            <v>1139677</v>
          </cell>
          <cell r="G101">
            <v>0</v>
          </cell>
          <cell r="H101">
            <v>0</v>
          </cell>
          <cell r="I101">
            <v>1139677</v>
          </cell>
          <cell r="J101">
            <v>325216</v>
          </cell>
          <cell r="K101">
            <v>0</v>
          </cell>
          <cell r="L101">
            <v>0</v>
          </cell>
          <cell r="M101">
            <v>325216</v>
          </cell>
          <cell r="N101">
            <v>56884</v>
          </cell>
          <cell r="O101">
            <v>0</v>
          </cell>
          <cell r="P101">
            <v>0</v>
          </cell>
          <cell r="Q101">
            <v>56884</v>
          </cell>
          <cell r="R101">
            <v>394685</v>
          </cell>
          <cell r="S101">
            <v>0</v>
          </cell>
          <cell r="T101">
            <v>0</v>
          </cell>
          <cell r="U101">
            <v>394685</v>
          </cell>
          <cell r="V101">
            <v>3654153</v>
          </cell>
          <cell r="W101">
            <v>0</v>
          </cell>
          <cell r="X101">
            <v>0</v>
          </cell>
          <cell r="Y101">
            <v>3654153</v>
          </cell>
          <cell r="Z101">
            <v>101098</v>
          </cell>
          <cell r="AA101">
            <v>0</v>
          </cell>
          <cell r="AB101">
            <v>0</v>
          </cell>
          <cell r="AC101">
            <v>101098</v>
          </cell>
          <cell r="AD101">
            <v>1935147</v>
          </cell>
          <cell r="AE101">
            <v>0</v>
          </cell>
          <cell r="AF101">
            <v>0</v>
          </cell>
          <cell r="AG101">
            <v>1935147</v>
          </cell>
          <cell r="AH101">
            <v>-32214</v>
          </cell>
          <cell r="AI101">
            <v>0</v>
          </cell>
          <cell r="AJ101">
            <v>0</v>
          </cell>
          <cell r="AK101">
            <v>-32214</v>
          </cell>
          <cell r="AL101">
            <v>4542199.4400000004</v>
          </cell>
          <cell r="AM101">
            <v>0</v>
          </cell>
          <cell r="AN101">
            <v>0</v>
          </cell>
          <cell r="AO101">
            <v>4542199.4400000004</v>
          </cell>
          <cell r="AP101">
            <v>-33642</v>
          </cell>
          <cell r="AQ101">
            <v>0</v>
          </cell>
          <cell r="AR101">
            <v>0</v>
          </cell>
          <cell r="AS101">
            <v>-33642</v>
          </cell>
          <cell r="AT101">
            <v>100153</v>
          </cell>
          <cell r="AU101">
            <v>0</v>
          </cell>
          <cell r="AV101">
            <v>0</v>
          </cell>
          <cell r="AW101">
            <v>100153</v>
          </cell>
          <cell r="AX101">
            <v>-2218</v>
          </cell>
          <cell r="AY101">
            <v>0</v>
          </cell>
          <cell r="AZ101">
            <v>0</v>
          </cell>
          <cell r="BA101">
            <v>-2218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79714</v>
          </cell>
          <cell r="BK101">
            <v>0</v>
          </cell>
          <cell r="BL101">
            <v>0</v>
          </cell>
          <cell r="BM101">
            <v>79714</v>
          </cell>
          <cell r="BN101">
            <v>2434</v>
          </cell>
          <cell r="BO101">
            <v>0</v>
          </cell>
          <cell r="BP101">
            <v>0</v>
          </cell>
          <cell r="BQ101">
            <v>2434</v>
          </cell>
          <cell r="BR101">
            <v>3749929</v>
          </cell>
          <cell r="BS101">
            <v>0</v>
          </cell>
          <cell r="BT101">
            <v>0</v>
          </cell>
          <cell r="BU101">
            <v>3749929</v>
          </cell>
          <cell r="BV101">
            <v>-360536</v>
          </cell>
          <cell r="BW101">
            <v>0</v>
          </cell>
          <cell r="BX101">
            <v>0</v>
          </cell>
          <cell r="BY101">
            <v>-360536</v>
          </cell>
          <cell r="BZ101">
            <v>287648.3</v>
          </cell>
          <cell r="CA101">
            <v>0</v>
          </cell>
          <cell r="CB101">
            <v>0</v>
          </cell>
          <cell r="CC101">
            <v>287648.3</v>
          </cell>
          <cell r="CD101">
            <v>11536.85</v>
          </cell>
          <cell r="CE101">
            <v>0</v>
          </cell>
          <cell r="CF101">
            <v>0</v>
          </cell>
          <cell r="CG101">
            <v>11536.85</v>
          </cell>
          <cell r="CH101">
            <v>191239.36</v>
          </cell>
          <cell r="CI101">
            <v>0</v>
          </cell>
          <cell r="CJ101">
            <v>0</v>
          </cell>
          <cell r="CK101">
            <v>191239.36</v>
          </cell>
          <cell r="CL101">
            <v>-1751.68</v>
          </cell>
          <cell r="CM101">
            <v>0</v>
          </cell>
          <cell r="CN101">
            <v>0</v>
          </cell>
          <cell r="CO101">
            <v>-1751.68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</row>
        <row r="102">
          <cell r="A102">
            <v>96</v>
          </cell>
          <cell r="B102" t="str">
            <v>E1537</v>
          </cell>
          <cell r="C102" t="str">
            <v>SD</v>
          </cell>
          <cell r="D102" t="str">
            <v>E</v>
          </cell>
          <cell r="E102" t="str">
            <v>Epping Forest</v>
          </cell>
          <cell r="F102">
            <v>230800.06</v>
          </cell>
          <cell r="G102">
            <v>0</v>
          </cell>
          <cell r="H102">
            <v>0</v>
          </cell>
          <cell r="I102">
            <v>230800.06</v>
          </cell>
          <cell r="J102">
            <v>-113891.86</v>
          </cell>
          <cell r="K102">
            <v>0</v>
          </cell>
          <cell r="L102">
            <v>0</v>
          </cell>
          <cell r="M102">
            <v>-113891.86</v>
          </cell>
          <cell r="N102">
            <v>51405.36</v>
          </cell>
          <cell r="O102">
            <v>0</v>
          </cell>
          <cell r="P102">
            <v>0</v>
          </cell>
          <cell r="Q102">
            <v>51405.36</v>
          </cell>
          <cell r="R102">
            <v>107445.73</v>
          </cell>
          <cell r="S102">
            <v>0</v>
          </cell>
          <cell r="T102">
            <v>0</v>
          </cell>
          <cell r="U102">
            <v>107445.73</v>
          </cell>
          <cell r="V102">
            <v>2231247.44</v>
          </cell>
          <cell r="W102">
            <v>0</v>
          </cell>
          <cell r="X102">
            <v>0</v>
          </cell>
          <cell r="Y102">
            <v>2231247.44</v>
          </cell>
          <cell r="Z102">
            <v>101102.79</v>
          </cell>
          <cell r="AA102">
            <v>0</v>
          </cell>
          <cell r="AB102">
            <v>0</v>
          </cell>
          <cell r="AC102">
            <v>101102.79</v>
          </cell>
          <cell r="AD102">
            <v>612056.92000000004</v>
          </cell>
          <cell r="AE102">
            <v>0</v>
          </cell>
          <cell r="AF102">
            <v>0</v>
          </cell>
          <cell r="AG102">
            <v>612056.92000000004</v>
          </cell>
          <cell r="AH102">
            <v>-28421.21</v>
          </cell>
          <cell r="AI102">
            <v>0</v>
          </cell>
          <cell r="AJ102">
            <v>0</v>
          </cell>
          <cell r="AK102">
            <v>-28421.21</v>
          </cell>
          <cell r="AL102">
            <v>2119105.34</v>
          </cell>
          <cell r="AM102">
            <v>0</v>
          </cell>
          <cell r="AN102">
            <v>0</v>
          </cell>
          <cell r="AO102">
            <v>2119105.34</v>
          </cell>
          <cell r="AP102">
            <v>-119423.25</v>
          </cell>
          <cell r="AQ102">
            <v>0</v>
          </cell>
          <cell r="AR102">
            <v>0</v>
          </cell>
          <cell r="AS102">
            <v>-119423.25</v>
          </cell>
          <cell r="AT102">
            <v>21419.79</v>
          </cell>
          <cell r="AU102">
            <v>0</v>
          </cell>
          <cell r="AV102">
            <v>0</v>
          </cell>
          <cell r="AW102">
            <v>21419.79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8807.7000000000007</v>
          </cell>
          <cell r="BC102">
            <v>0</v>
          </cell>
          <cell r="BD102">
            <v>0</v>
          </cell>
          <cell r="BE102">
            <v>8807.7000000000007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6825.76</v>
          </cell>
          <cell r="BK102">
            <v>0</v>
          </cell>
          <cell r="BL102">
            <v>0</v>
          </cell>
          <cell r="BM102">
            <v>6825.76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1176962.5900000001</v>
          </cell>
          <cell r="BS102">
            <v>0</v>
          </cell>
          <cell r="BT102">
            <v>0</v>
          </cell>
          <cell r="BU102">
            <v>1176962.5900000001</v>
          </cell>
          <cell r="BV102">
            <v>108620.71</v>
          </cell>
          <cell r="BW102">
            <v>0</v>
          </cell>
          <cell r="BX102">
            <v>0</v>
          </cell>
          <cell r="BY102">
            <v>108620.71</v>
          </cell>
          <cell r="BZ102">
            <v>13436</v>
          </cell>
          <cell r="CA102">
            <v>0</v>
          </cell>
          <cell r="CB102">
            <v>0</v>
          </cell>
          <cell r="CC102">
            <v>13436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54785.440000000002</v>
          </cell>
          <cell r="CI102">
            <v>0</v>
          </cell>
          <cell r="CJ102">
            <v>0</v>
          </cell>
          <cell r="CK102">
            <v>54785.440000000002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5284.62</v>
          </cell>
          <cell r="CY102">
            <v>0</v>
          </cell>
          <cell r="CZ102">
            <v>0</v>
          </cell>
          <cell r="DA102">
            <v>5284.62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11679</v>
          </cell>
          <cell r="DG102">
            <v>0</v>
          </cell>
          <cell r="DH102">
            <v>0</v>
          </cell>
          <cell r="DI102">
            <v>11679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2484.17</v>
          </cell>
          <cell r="DY102">
            <v>0</v>
          </cell>
          <cell r="DZ102">
            <v>0</v>
          </cell>
          <cell r="EA102">
            <v>2484.17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</row>
        <row r="103">
          <cell r="A103">
            <v>97</v>
          </cell>
          <cell r="B103" t="str">
            <v>E3632</v>
          </cell>
          <cell r="C103" t="str">
            <v>SD</v>
          </cell>
          <cell r="D103" t="str">
            <v>SE</v>
          </cell>
          <cell r="E103" t="str">
            <v>Epsom and Ewell</v>
          </cell>
          <cell r="F103">
            <v>42753</v>
          </cell>
          <cell r="G103">
            <v>0</v>
          </cell>
          <cell r="H103">
            <v>0</v>
          </cell>
          <cell r="I103">
            <v>42753</v>
          </cell>
          <cell r="J103">
            <v>-43213</v>
          </cell>
          <cell r="K103">
            <v>0</v>
          </cell>
          <cell r="L103">
            <v>0</v>
          </cell>
          <cell r="M103">
            <v>-43213</v>
          </cell>
          <cell r="N103">
            <v>27972</v>
          </cell>
          <cell r="O103">
            <v>0</v>
          </cell>
          <cell r="P103">
            <v>0</v>
          </cell>
          <cell r="Q103">
            <v>27972</v>
          </cell>
          <cell r="R103">
            <v>147816</v>
          </cell>
          <cell r="S103">
            <v>0</v>
          </cell>
          <cell r="T103">
            <v>0</v>
          </cell>
          <cell r="U103">
            <v>147816</v>
          </cell>
          <cell r="V103">
            <v>956347</v>
          </cell>
          <cell r="W103">
            <v>0</v>
          </cell>
          <cell r="X103">
            <v>0</v>
          </cell>
          <cell r="Y103">
            <v>956347</v>
          </cell>
          <cell r="Z103">
            <v>10600</v>
          </cell>
          <cell r="AA103">
            <v>0</v>
          </cell>
          <cell r="AB103">
            <v>0</v>
          </cell>
          <cell r="AC103">
            <v>10600</v>
          </cell>
          <cell r="AD103">
            <v>477392</v>
          </cell>
          <cell r="AE103">
            <v>0</v>
          </cell>
          <cell r="AF103">
            <v>0</v>
          </cell>
          <cell r="AG103">
            <v>477392</v>
          </cell>
          <cell r="AH103">
            <v>-10309</v>
          </cell>
          <cell r="AI103">
            <v>0</v>
          </cell>
          <cell r="AJ103">
            <v>0</v>
          </cell>
          <cell r="AK103">
            <v>-10309</v>
          </cell>
          <cell r="AL103">
            <v>2538611</v>
          </cell>
          <cell r="AM103">
            <v>0</v>
          </cell>
          <cell r="AN103">
            <v>0</v>
          </cell>
          <cell r="AO103">
            <v>2538611</v>
          </cell>
          <cell r="AP103">
            <v>24002</v>
          </cell>
          <cell r="AQ103">
            <v>0</v>
          </cell>
          <cell r="AR103">
            <v>0</v>
          </cell>
          <cell r="AS103">
            <v>24002</v>
          </cell>
          <cell r="AT103">
            <v>47759</v>
          </cell>
          <cell r="AU103">
            <v>0</v>
          </cell>
          <cell r="AV103">
            <v>0</v>
          </cell>
          <cell r="AW103">
            <v>47759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2183</v>
          </cell>
          <cell r="BK103">
            <v>0</v>
          </cell>
          <cell r="BL103">
            <v>0</v>
          </cell>
          <cell r="BM103">
            <v>2183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1033235</v>
          </cell>
          <cell r="BS103">
            <v>0</v>
          </cell>
          <cell r="BT103">
            <v>0</v>
          </cell>
          <cell r="BU103">
            <v>1033235</v>
          </cell>
          <cell r="BV103">
            <v>19792</v>
          </cell>
          <cell r="BW103">
            <v>0</v>
          </cell>
          <cell r="BX103">
            <v>0</v>
          </cell>
          <cell r="BY103">
            <v>19792</v>
          </cell>
          <cell r="BZ103">
            <v>71694</v>
          </cell>
          <cell r="CA103">
            <v>0</v>
          </cell>
          <cell r="CB103">
            <v>0</v>
          </cell>
          <cell r="CC103">
            <v>71694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563</v>
          </cell>
          <cell r="CI103">
            <v>0</v>
          </cell>
          <cell r="CJ103">
            <v>0</v>
          </cell>
          <cell r="CK103">
            <v>563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8375</v>
          </cell>
          <cell r="CQ103">
            <v>0</v>
          </cell>
          <cell r="CR103">
            <v>0</v>
          </cell>
          <cell r="CS103">
            <v>8375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</row>
        <row r="104">
          <cell r="A104">
            <v>98</v>
          </cell>
          <cell r="B104" t="str">
            <v>E1036</v>
          </cell>
          <cell r="C104" t="str">
            <v>SD</v>
          </cell>
          <cell r="D104" t="str">
            <v>EM</v>
          </cell>
          <cell r="E104" t="str">
            <v>Erewash</v>
          </cell>
          <cell r="F104">
            <v>46441</v>
          </cell>
          <cell r="G104">
            <v>0</v>
          </cell>
          <cell r="H104">
            <v>0</v>
          </cell>
          <cell r="I104">
            <v>46441</v>
          </cell>
          <cell r="J104">
            <v>-817</v>
          </cell>
          <cell r="K104">
            <v>0</v>
          </cell>
          <cell r="L104">
            <v>0</v>
          </cell>
          <cell r="M104">
            <v>-817</v>
          </cell>
          <cell r="N104">
            <v>64152</v>
          </cell>
          <cell r="O104">
            <v>0</v>
          </cell>
          <cell r="P104">
            <v>0</v>
          </cell>
          <cell r="Q104">
            <v>64152</v>
          </cell>
          <cell r="R104">
            <v>-65524</v>
          </cell>
          <cell r="S104">
            <v>0</v>
          </cell>
          <cell r="T104">
            <v>0</v>
          </cell>
          <cell r="U104">
            <v>-65524</v>
          </cell>
          <cell r="V104">
            <v>2324851.33</v>
          </cell>
          <cell r="W104">
            <v>0</v>
          </cell>
          <cell r="X104">
            <v>0</v>
          </cell>
          <cell r="Y104">
            <v>2324851.33</v>
          </cell>
          <cell r="Z104">
            <v>90835.23</v>
          </cell>
          <cell r="AA104">
            <v>0</v>
          </cell>
          <cell r="AB104">
            <v>0</v>
          </cell>
          <cell r="AC104">
            <v>90835.23</v>
          </cell>
          <cell r="AD104">
            <v>439130.35</v>
          </cell>
          <cell r="AE104">
            <v>0</v>
          </cell>
          <cell r="AF104">
            <v>0</v>
          </cell>
          <cell r="AG104">
            <v>439130.35</v>
          </cell>
          <cell r="AH104">
            <v>-9652.65</v>
          </cell>
          <cell r="AI104">
            <v>0</v>
          </cell>
          <cell r="AJ104">
            <v>0</v>
          </cell>
          <cell r="AK104">
            <v>-9652.65</v>
          </cell>
          <cell r="AL104">
            <v>1539184.63</v>
          </cell>
          <cell r="AM104">
            <v>0</v>
          </cell>
          <cell r="AN104">
            <v>0</v>
          </cell>
          <cell r="AO104">
            <v>1539184.63</v>
          </cell>
          <cell r="AP104">
            <v>-9684.0499999999993</v>
          </cell>
          <cell r="AQ104">
            <v>0</v>
          </cell>
          <cell r="AR104">
            <v>0</v>
          </cell>
          <cell r="AS104">
            <v>-9684.0499999999993</v>
          </cell>
          <cell r="AT104">
            <v>81417.36</v>
          </cell>
          <cell r="AU104">
            <v>0</v>
          </cell>
          <cell r="AV104">
            <v>0</v>
          </cell>
          <cell r="AW104">
            <v>81417.36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1518.98</v>
          </cell>
          <cell r="BC104">
            <v>0</v>
          </cell>
          <cell r="BD104">
            <v>0</v>
          </cell>
          <cell r="BE104">
            <v>1518.98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1604.73</v>
          </cell>
          <cell r="BK104">
            <v>0</v>
          </cell>
          <cell r="BL104">
            <v>0</v>
          </cell>
          <cell r="BM104">
            <v>1604.73</v>
          </cell>
          <cell r="BN104">
            <v>-190.9</v>
          </cell>
          <cell r="BO104">
            <v>0</v>
          </cell>
          <cell r="BP104">
            <v>0</v>
          </cell>
          <cell r="BQ104">
            <v>-190.9</v>
          </cell>
          <cell r="BR104">
            <v>771748.45</v>
          </cell>
          <cell r="BS104">
            <v>0</v>
          </cell>
          <cell r="BT104">
            <v>0</v>
          </cell>
          <cell r="BU104">
            <v>771748.45</v>
          </cell>
          <cell r="BV104">
            <v>54003.91</v>
          </cell>
          <cell r="BW104">
            <v>0</v>
          </cell>
          <cell r="BX104">
            <v>0</v>
          </cell>
          <cell r="BY104">
            <v>54003.91</v>
          </cell>
          <cell r="BZ104">
            <v>20062.310000000001</v>
          </cell>
          <cell r="CA104">
            <v>0</v>
          </cell>
          <cell r="CB104">
            <v>0</v>
          </cell>
          <cell r="CC104">
            <v>20062.310000000001</v>
          </cell>
          <cell r="CD104">
            <v>-974.39</v>
          </cell>
          <cell r="CE104">
            <v>0</v>
          </cell>
          <cell r="CF104">
            <v>0</v>
          </cell>
          <cell r="CG104">
            <v>-974.39</v>
          </cell>
          <cell r="CH104">
            <v>74152.33</v>
          </cell>
          <cell r="CI104">
            <v>0</v>
          </cell>
          <cell r="CJ104">
            <v>0</v>
          </cell>
          <cell r="CK104">
            <v>74152.33</v>
          </cell>
          <cell r="CL104">
            <v>-8945.24</v>
          </cell>
          <cell r="CM104">
            <v>0</v>
          </cell>
          <cell r="CN104">
            <v>0</v>
          </cell>
          <cell r="CO104">
            <v>-8945.24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1165.72</v>
          </cell>
          <cell r="CY104">
            <v>0</v>
          </cell>
          <cell r="CZ104">
            <v>0</v>
          </cell>
          <cell r="DA104">
            <v>1165.72</v>
          </cell>
          <cell r="DB104">
            <v>-15.04</v>
          </cell>
          <cell r="DC104">
            <v>0</v>
          </cell>
          <cell r="DD104">
            <v>0</v>
          </cell>
          <cell r="DE104">
            <v>-15.04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</row>
        <row r="105">
          <cell r="A105">
            <v>99</v>
          </cell>
          <cell r="B105" t="str">
            <v>E1132</v>
          </cell>
          <cell r="C105" t="str">
            <v>SD</v>
          </cell>
          <cell r="D105" t="str">
            <v>SW</v>
          </cell>
          <cell r="E105" t="str">
            <v>Exeter</v>
          </cell>
          <cell r="F105">
            <v>200361.03</v>
          </cell>
          <cell r="G105">
            <v>0</v>
          </cell>
          <cell r="H105">
            <v>0</v>
          </cell>
          <cell r="I105">
            <v>200361.03</v>
          </cell>
          <cell r="J105">
            <v>-180092.6</v>
          </cell>
          <cell r="K105">
            <v>0</v>
          </cell>
          <cell r="L105">
            <v>0</v>
          </cell>
          <cell r="M105">
            <v>-180092.6</v>
          </cell>
          <cell r="N105">
            <v>24943.55</v>
          </cell>
          <cell r="O105">
            <v>0</v>
          </cell>
          <cell r="P105">
            <v>0</v>
          </cell>
          <cell r="Q105">
            <v>24943.55</v>
          </cell>
          <cell r="R105">
            <v>91869.78</v>
          </cell>
          <cell r="S105">
            <v>0</v>
          </cell>
          <cell r="T105">
            <v>0</v>
          </cell>
          <cell r="U105">
            <v>91869.78</v>
          </cell>
          <cell r="V105">
            <v>1961775.54</v>
          </cell>
          <cell r="W105">
            <v>0</v>
          </cell>
          <cell r="X105">
            <v>0</v>
          </cell>
          <cell r="Y105">
            <v>1961775.54</v>
          </cell>
          <cell r="Z105">
            <v>144638.17000000001</v>
          </cell>
          <cell r="AA105">
            <v>0</v>
          </cell>
          <cell r="AB105">
            <v>0</v>
          </cell>
          <cell r="AC105">
            <v>144638.17000000001</v>
          </cell>
          <cell r="AD105">
            <v>1532187</v>
          </cell>
          <cell r="AE105">
            <v>0</v>
          </cell>
          <cell r="AF105">
            <v>0</v>
          </cell>
          <cell r="AG105">
            <v>1532187</v>
          </cell>
          <cell r="AH105">
            <v>-28565</v>
          </cell>
          <cell r="AI105">
            <v>0</v>
          </cell>
          <cell r="AJ105">
            <v>0</v>
          </cell>
          <cell r="AK105">
            <v>-28565</v>
          </cell>
          <cell r="AL105">
            <v>4997666</v>
          </cell>
          <cell r="AM105">
            <v>0</v>
          </cell>
          <cell r="AN105">
            <v>0</v>
          </cell>
          <cell r="AO105">
            <v>4997666</v>
          </cell>
          <cell r="AP105">
            <v>-20687.169999999998</v>
          </cell>
          <cell r="AQ105">
            <v>0</v>
          </cell>
          <cell r="AR105">
            <v>0</v>
          </cell>
          <cell r="AS105">
            <v>-20687.169999999998</v>
          </cell>
          <cell r="AT105">
            <v>32585</v>
          </cell>
          <cell r="AU105">
            <v>0</v>
          </cell>
          <cell r="AV105">
            <v>0</v>
          </cell>
          <cell r="AW105">
            <v>32585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41379.5</v>
          </cell>
          <cell r="BK105">
            <v>0</v>
          </cell>
          <cell r="BL105">
            <v>0</v>
          </cell>
          <cell r="BM105">
            <v>41379.5</v>
          </cell>
          <cell r="BN105">
            <v>13138.47</v>
          </cell>
          <cell r="BO105">
            <v>0</v>
          </cell>
          <cell r="BP105">
            <v>0</v>
          </cell>
          <cell r="BQ105">
            <v>13138.47</v>
          </cell>
          <cell r="BR105">
            <v>2852306.75</v>
          </cell>
          <cell r="BS105">
            <v>0</v>
          </cell>
          <cell r="BT105">
            <v>0</v>
          </cell>
          <cell r="BU105">
            <v>2852306.75</v>
          </cell>
          <cell r="BV105">
            <v>68281.81</v>
          </cell>
          <cell r="BW105">
            <v>0</v>
          </cell>
          <cell r="BX105">
            <v>0</v>
          </cell>
          <cell r="BY105">
            <v>68281.81</v>
          </cell>
          <cell r="BZ105">
            <v>150799</v>
          </cell>
          <cell r="CA105">
            <v>0</v>
          </cell>
          <cell r="CB105">
            <v>0</v>
          </cell>
          <cell r="CC105">
            <v>150799</v>
          </cell>
          <cell r="CD105">
            <v>-970.69</v>
          </cell>
          <cell r="CE105">
            <v>0</v>
          </cell>
          <cell r="CF105">
            <v>0</v>
          </cell>
          <cell r="CG105">
            <v>-970.69</v>
          </cell>
          <cell r="CH105">
            <v>358897.5</v>
          </cell>
          <cell r="CI105">
            <v>0</v>
          </cell>
          <cell r="CJ105">
            <v>0</v>
          </cell>
          <cell r="CK105">
            <v>358897.5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2861</v>
          </cell>
          <cell r="CQ105">
            <v>0</v>
          </cell>
          <cell r="CR105">
            <v>0</v>
          </cell>
          <cell r="CS105">
            <v>2861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1463.33</v>
          </cell>
          <cell r="DY105">
            <v>0</v>
          </cell>
          <cell r="DZ105">
            <v>0</v>
          </cell>
          <cell r="EA105">
            <v>1463.33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2661.15</v>
          </cell>
          <cell r="EG105">
            <v>0</v>
          </cell>
          <cell r="EH105">
            <v>0</v>
          </cell>
          <cell r="EI105">
            <v>2661.15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</row>
        <row r="106">
          <cell r="A106">
            <v>100</v>
          </cell>
          <cell r="B106" t="str">
            <v>E1734</v>
          </cell>
          <cell r="C106" t="str">
            <v>SD</v>
          </cell>
          <cell r="D106" t="str">
            <v>SE</v>
          </cell>
          <cell r="E106" t="str">
            <v>Fareham</v>
          </cell>
          <cell r="F106">
            <v>66924.800000000003</v>
          </cell>
          <cell r="G106">
            <v>0</v>
          </cell>
          <cell r="H106">
            <v>22840.639999999999</v>
          </cell>
          <cell r="I106">
            <v>89765.440000000002</v>
          </cell>
          <cell r="J106">
            <v>-119158.89</v>
          </cell>
          <cell r="K106">
            <v>0</v>
          </cell>
          <cell r="L106">
            <v>0</v>
          </cell>
          <cell r="M106">
            <v>-119158.89</v>
          </cell>
          <cell r="N106">
            <v>18149.87</v>
          </cell>
          <cell r="O106">
            <v>0</v>
          </cell>
          <cell r="P106">
            <v>0</v>
          </cell>
          <cell r="Q106">
            <v>18149.87</v>
          </cell>
          <cell r="R106">
            <v>349835.87</v>
          </cell>
          <cell r="S106">
            <v>0</v>
          </cell>
          <cell r="T106">
            <v>0</v>
          </cell>
          <cell r="U106">
            <v>349835.87</v>
          </cell>
          <cell r="V106">
            <v>1517481.01</v>
          </cell>
          <cell r="W106">
            <v>0</v>
          </cell>
          <cell r="X106">
            <v>0</v>
          </cell>
          <cell r="Y106">
            <v>1517481.01</v>
          </cell>
          <cell r="Z106">
            <v>18093.810000000001</v>
          </cell>
          <cell r="AA106">
            <v>0</v>
          </cell>
          <cell r="AB106">
            <v>0</v>
          </cell>
          <cell r="AC106">
            <v>18093.810000000001</v>
          </cell>
          <cell r="AD106">
            <v>862845.5</v>
          </cell>
          <cell r="AE106">
            <v>0</v>
          </cell>
          <cell r="AF106">
            <v>3831.3</v>
          </cell>
          <cell r="AG106">
            <v>866676.8</v>
          </cell>
          <cell r="AH106">
            <v>192.39</v>
          </cell>
          <cell r="AI106">
            <v>0</v>
          </cell>
          <cell r="AJ106">
            <v>0</v>
          </cell>
          <cell r="AK106">
            <v>192.39</v>
          </cell>
          <cell r="AL106">
            <v>2854589.45</v>
          </cell>
          <cell r="AM106">
            <v>0</v>
          </cell>
          <cell r="AN106">
            <v>19009.34</v>
          </cell>
          <cell r="AO106">
            <v>2873598.79</v>
          </cell>
          <cell r="AP106">
            <v>-65807.34</v>
          </cell>
          <cell r="AQ106">
            <v>0</v>
          </cell>
          <cell r="AR106">
            <v>0</v>
          </cell>
          <cell r="AS106">
            <v>-65807.34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102005.57</v>
          </cell>
          <cell r="BK106">
            <v>0</v>
          </cell>
          <cell r="BL106">
            <v>0</v>
          </cell>
          <cell r="BM106">
            <v>102005.57</v>
          </cell>
          <cell r="BN106">
            <v>-3614.13</v>
          </cell>
          <cell r="BO106">
            <v>0</v>
          </cell>
          <cell r="BP106">
            <v>0</v>
          </cell>
          <cell r="BQ106">
            <v>-3614.13</v>
          </cell>
          <cell r="BR106">
            <v>1396173.39</v>
          </cell>
          <cell r="BS106">
            <v>0</v>
          </cell>
          <cell r="BT106">
            <v>0</v>
          </cell>
          <cell r="BU106">
            <v>1396173.39</v>
          </cell>
          <cell r="BV106">
            <v>16122.41</v>
          </cell>
          <cell r="BW106">
            <v>0</v>
          </cell>
          <cell r="BX106">
            <v>0</v>
          </cell>
          <cell r="BY106">
            <v>16122.41</v>
          </cell>
          <cell r="BZ106">
            <v>137293.32999999999</v>
          </cell>
          <cell r="CA106">
            <v>0</v>
          </cell>
          <cell r="CB106">
            <v>7922.22</v>
          </cell>
          <cell r="CC106">
            <v>145215.54999999999</v>
          </cell>
          <cell r="CD106">
            <v>-8707.86</v>
          </cell>
          <cell r="CE106">
            <v>0</v>
          </cell>
          <cell r="CF106">
            <v>0</v>
          </cell>
          <cell r="CG106">
            <v>-8707.86</v>
          </cell>
          <cell r="CH106">
            <v>311771.95</v>
          </cell>
          <cell r="CI106">
            <v>0</v>
          </cell>
          <cell r="CJ106">
            <v>17556</v>
          </cell>
          <cell r="CK106">
            <v>329327.95</v>
          </cell>
          <cell r="CL106">
            <v>21357.37</v>
          </cell>
          <cell r="CM106">
            <v>0</v>
          </cell>
          <cell r="CN106">
            <v>0</v>
          </cell>
          <cell r="CO106">
            <v>21357.37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86292.83</v>
          </cell>
          <cell r="DQ106">
            <v>86292.83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86292.83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</row>
        <row r="107">
          <cell r="A107">
            <v>101</v>
          </cell>
          <cell r="B107" t="str">
            <v>E0533</v>
          </cell>
          <cell r="C107" t="str">
            <v>SD</v>
          </cell>
          <cell r="D107" t="str">
            <v>E</v>
          </cell>
          <cell r="E107" t="str">
            <v>Fenland</v>
          </cell>
          <cell r="F107">
            <v>401440</v>
          </cell>
          <cell r="G107">
            <v>0</v>
          </cell>
          <cell r="H107">
            <v>0</v>
          </cell>
          <cell r="I107">
            <v>401440</v>
          </cell>
          <cell r="J107">
            <v>-91504</v>
          </cell>
          <cell r="K107">
            <v>0</v>
          </cell>
          <cell r="L107">
            <v>0</v>
          </cell>
          <cell r="M107">
            <v>-91504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1932</v>
          </cell>
          <cell r="S107">
            <v>0</v>
          </cell>
          <cell r="T107">
            <v>0</v>
          </cell>
          <cell r="U107">
            <v>1932</v>
          </cell>
          <cell r="V107">
            <v>2080173</v>
          </cell>
          <cell r="W107">
            <v>0</v>
          </cell>
          <cell r="X107">
            <v>0</v>
          </cell>
          <cell r="Y107">
            <v>2080173</v>
          </cell>
          <cell r="Z107">
            <v>64795</v>
          </cell>
          <cell r="AA107">
            <v>0</v>
          </cell>
          <cell r="AB107">
            <v>0</v>
          </cell>
          <cell r="AC107">
            <v>64795</v>
          </cell>
          <cell r="AD107">
            <v>495806</v>
          </cell>
          <cell r="AE107">
            <v>0</v>
          </cell>
          <cell r="AF107">
            <v>0</v>
          </cell>
          <cell r="AG107">
            <v>495806</v>
          </cell>
          <cell r="AH107">
            <v>-2676</v>
          </cell>
          <cell r="AI107">
            <v>0</v>
          </cell>
          <cell r="AJ107">
            <v>0</v>
          </cell>
          <cell r="AK107">
            <v>-2676</v>
          </cell>
          <cell r="AL107">
            <v>1719473</v>
          </cell>
          <cell r="AM107">
            <v>0</v>
          </cell>
          <cell r="AN107">
            <v>0</v>
          </cell>
          <cell r="AO107">
            <v>1719473</v>
          </cell>
          <cell r="AP107">
            <v>-10066</v>
          </cell>
          <cell r="AQ107">
            <v>0</v>
          </cell>
          <cell r="AR107">
            <v>0</v>
          </cell>
          <cell r="AS107">
            <v>-10066</v>
          </cell>
          <cell r="AT107">
            <v>27683</v>
          </cell>
          <cell r="AU107">
            <v>0</v>
          </cell>
          <cell r="AV107">
            <v>0</v>
          </cell>
          <cell r="AW107">
            <v>27683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32945</v>
          </cell>
          <cell r="BC107">
            <v>0</v>
          </cell>
          <cell r="BD107">
            <v>0</v>
          </cell>
          <cell r="BE107">
            <v>32945</v>
          </cell>
          <cell r="BF107">
            <v>994</v>
          </cell>
          <cell r="BG107">
            <v>0</v>
          </cell>
          <cell r="BH107">
            <v>0</v>
          </cell>
          <cell r="BI107">
            <v>994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22541</v>
          </cell>
          <cell r="BO107">
            <v>0</v>
          </cell>
          <cell r="BP107">
            <v>0</v>
          </cell>
          <cell r="BQ107">
            <v>22541</v>
          </cell>
          <cell r="BR107">
            <v>704171</v>
          </cell>
          <cell r="BS107">
            <v>0</v>
          </cell>
          <cell r="BT107">
            <v>0</v>
          </cell>
          <cell r="BU107">
            <v>704171</v>
          </cell>
          <cell r="BV107">
            <v>20212</v>
          </cell>
          <cell r="BW107">
            <v>0</v>
          </cell>
          <cell r="BX107">
            <v>0</v>
          </cell>
          <cell r="BY107">
            <v>20212</v>
          </cell>
          <cell r="BZ107">
            <v>27972</v>
          </cell>
          <cell r="CA107">
            <v>0</v>
          </cell>
          <cell r="CB107">
            <v>0</v>
          </cell>
          <cell r="CC107">
            <v>27972</v>
          </cell>
          <cell r="CD107">
            <v>609</v>
          </cell>
          <cell r="CE107">
            <v>0</v>
          </cell>
          <cell r="CF107">
            <v>0</v>
          </cell>
          <cell r="CG107">
            <v>609</v>
          </cell>
          <cell r="CH107">
            <v>60993</v>
          </cell>
          <cell r="CI107">
            <v>0</v>
          </cell>
          <cell r="CJ107">
            <v>0</v>
          </cell>
          <cell r="CK107">
            <v>60993</v>
          </cell>
          <cell r="CL107">
            <v>168</v>
          </cell>
          <cell r="CM107">
            <v>0</v>
          </cell>
          <cell r="CN107">
            <v>0</v>
          </cell>
          <cell r="CO107">
            <v>168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32945</v>
          </cell>
          <cell r="CY107">
            <v>0</v>
          </cell>
          <cell r="CZ107">
            <v>0</v>
          </cell>
          <cell r="DA107">
            <v>32945</v>
          </cell>
          <cell r="DB107">
            <v>994</v>
          </cell>
          <cell r="DC107">
            <v>0</v>
          </cell>
          <cell r="DD107">
            <v>0</v>
          </cell>
          <cell r="DE107">
            <v>994</v>
          </cell>
          <cell r="DF107">
            <v>23833</v>
          </cell>
          <cell r="DG107">
            <v>0</v>
          </cell>
          <cell r="DH107">
            <v>0</v>
          </cell>
          <cell r="DI107">
            <v>23833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</row>
        <row r="108">
          <cell r="A108">
            <v>102</v>
          </cell>
          <cell r="B108" t="str">
            <v>E3532</v>
          </cell>
          <cell r="C108" t="str">
            <v>SD</v>
          </cell>
          <cell r="D108" t="str">
            <v>E</v>
          </cell>
          <cell r="E108" t="str">
            <v>Forest Heath</v>
          </cell>
          <cell r="F108">
            <v>24939.919999999998</v>
          </cell>
          <cell r="G108">
            <v>0</v>
          </cell>
          <cell r="H108">
            <v>0</v>
          </cell>
          <cell r="I108">
            <v>24939.919999999998</v>
          </cell>
          <cell r="J108">
            <v>-80020.89</v>
          </cell>
          <cell r="K108">
            <v>0</v>
          </cell>
          <cell r="L108">
            <v>0</v>
          </cell>
          <cell r="M108">
            <v>-80020.89</v>
          </cell>
          <cell r="N108">
            <v>21154.25</v>
          </cell>
          <cell r="O108">
            <v>0</v>
          </cell>
          <cell r="P108">
            <v>0</v>
          </cell>
          <cell r="Q108">
            <v>21154.25</v>
          </cell>
          <cell r="R108">
            <v>98713.64</v>
          </cell>
          <cell r="S108">
            <v>0</v>
          </cell>
          <cell r="T108">
            <v>0</v>
          </cell>
          <cell r="U108">
            <v>98713.64</v>
          </cell>
          <cell r="V108">
            <v>1230221.72</v>
          </cell>
          <cell r="W108">
            <v>0</v>
          </cell>
          <cell r="X108">
            <v>0</v>
          </cell>
          <cell r="Y108">
            <v>1230221.72</v>
          </cell>
          <cell r="Z108">
            <v>20002.88</v>
          </cell>
          <cell r="AA108">
            <v>0</v>
          </cell>
          <cell r="AB108">
            <v>0</v>
          </cell>
          <cell r="AC108">
            <v>20002.88</v>
          </cell>
          <cell r="AD108">
            <v>400596.25</v>
          </cell>
          <cell r="AE108">
            <v>0</v>
          </cell>
          <cell r="AF108">
            <v>0</v>
          </cell>
          <cell r="AG108">
            <v>400596.25</v>
          </cell>
          <cell r="AH108">
            <v>-9162</v>
          </cell>
          <cell r="AI108">
            <v>0</v>
          </cell>
          <cell r="AJ108">
            <v>0</v>
          </cell>
          <cell r="AK108">
            <v>-9162</v>
          </cell>
          <cell r="AL108">
            <v>939947.12</v>
          </cell>
          <cell r="AM108">
            <v>0</v>
          </cell>
          <cell r="AN108">
            <v>0</v>
          </cell>
          <cell r="AO108">
            <v>939947.12</v>
          </cell>
          <cell r="AP108">
            <v>-2399.86</v>
          </cell>
          <cell r="AQ108">
            <v>0</v>
          </cell>
          <cell r="AR108">
            <v>0</v>
          </cell>
          <cell r="AS108">
            <v>-2399.86</v>
          </cell>
          <cell r="AT108">
            <v>10360.11</v>
          </cell>
          <cell r="AU108">
            <v>0</v>
          </cell>
          <cell r="AV108">
            <v>0</v>
          </cell>
          <cell r="AW108">
            <v>10360.11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18299.07</v>
          </cell>
          <cell r="BC108">
            <v>0</v>
          </cell>
          <cell r="BD108">
            <v>0</v>
          </cell>
          <cell r="BE108">
            <v>18299.07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50315.87</v>
          </cell>
          <cell r="BK108">
            <v>0</v>
          </cell>
          <cell r="BL108">
            <v>0</v>
          </cell>
          <cell r="BM108">
            <v>50315.87</v>
          </cell>
          <cell r="BN108">
            <v>1418.72</v>
          </cell>
          <cell r="BO108">
            <v>0</v>
          </cell>
          <cell r="BP108">
            <v>0</v>
          </cell>
          <cell r="BQ108">
            <v>1418.72</v>
          </cell>
          <cell r="BR108">
            <v>582903.81000000006</v>
          </cell>
          <cell r="BS108">
            <v>0</v>
          </cell>
          <cell r="BT108">
            <v>0</v>
          </cell>
          <cell r="BU108">
            <v>582903.81000000006</v>
          </cell>
          <cell r="BV108">
            <v>158443.03</v>
          </cell>
          <cell r="BW108">
            <v>0</v>
          </cell>
          <cell r="BX108">
            <v>0</v>
          </cell>
          <cell r="BY108">
            <v>158443.03</v>
          </cell>
          <cell r="BZ108">
            <v>14770.78</v>
          </cell>
          <cell r="CA108">
            <v>0</v>
          </cell>
          <cell r="CB108">
            <v>0</v>
          </cell>
          <cell r="CC108">
            <v>14770.78</v>
          </cell>
          <cell r="CD108">
            <v>-31.35</v>
          </cell>
          <cell r="CE108">
            <v>0</v>
          </cell>
          <cell r="CF108">
            <v>0</v>
          </cell>
          <cell r="CG108">
            <v>-31.35</v>
          </cell>
          <cell r="CH108">
            <v>607.34</v>
          </cell>
          <cell r="CI108">
            <v>0</v>
          </cell>
          <cell r="CJ108">
            <v>0</v>
          </cell>
          <cell r="CK108">
            <v>607.34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548.36</v>
          </cell>
          <cell r="CQ108">
            <v>0</v>
          </cell>
          <cell r="CR108">
            <v>0</v>
          </cell>
          <cell r="CS108">
            <v>548.36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3990.91</v>
          </cell>
          <cell r="CY108">
            <v>0</v>
          </cell>
          <cell r="CZ108">
            <v>0</v>
          </cell>
          <cell r="DA108">
            <v>3990.91</v>
          </cell>
          <cell r="DB108">
            <v>664.1</v>
          </cell>
          <cell r="DC108">
            <v>0</v>
          </cell>
          <cell r="DD108">
            <v>0</v>
          </cell>
          <cell r="DE108">
            <v>664.1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2527.3200000000002</v>
          </cell>
          <cell r="EG108">
            <v>0</v>
          </cell>
          <cell r="EH108">
            <v>0</v>
          </cell>
          <cell r="EI108">
            <v>2527.3200000000002</v>
          </cell>
          <cell r="EJ108">
            <v>1641.17</v>
          </cell>
          <cell r="EK108">
            <v>0</v>
          </cell>
          <cell r="EL108">
            <v>0</v>
          </cell>
          <cell r="EM108">
            <v>1641.17</v>
          </cell>
        </row>
        <row r="109">
          <cell r="A109">
            <v>103</v>
          </cell>
          <cell r="B109" t="str">
            <v>E1633</v>
          </cell>
          <cell r="C109" t="str">
            <v>SD</v>
          </cell>
          <cell r="D109" t="str">
            <v>SW</v>
          </cell>
          <cell r="E109" t="str">
            <v>Forest of Dean</v>
          </cell>
          <cell r="F109">
            <v>103888.53</v>
          </cell>
          <cell r="G109">
            <v>0</v>
          </cell>
          <cell r="H109">
            <v>0</v>
          </cell>
          <cell r="I109">
            <v>103888.53</v>
          </cell>
          <cell r="J109">
            <v>-25379.57</v>
          </cell>
          <cell r="K109">
            <v>0</v>
          </cell>
          <cell r="L109">
            <v>0</v>
          </cell>
          <cell r="M109">
            <v>-25379.57</v>
          </cell>
          <cell r="N109">
            <v>3538.33</v>
          </cell>
          <cell r="O109">
            <v>0</v>
          </cell>
          <cell r="P109">
            <v>0</v>
          </cell>
          <cell r="Q109">
            <v>3538.33</v>
          </cell>
          <cell r="R109">
            <v>-17168.939999999999</v>
          </cell>
          <cell r="S109">
            <v>0</v>
          </cell>
          <cell r="T109">
            <v>0</v>
          </cell>
          <cell r="U109">
            <v>-17168.939999999999</v>
          </cell>
          <cell r="V109">
            <v>2066142.23</v>
          </cell>
          <cell r="W109">
            <v>0</v>
          </cell>
          <cell r="X109">
            <v>0</v>
          </cell>
          <cell r="Y109">
            <v>2066142.23</v>
          </cell>
          <cell r="Z109">
            <v>33600.5</v>
          </cell>
          <cell r="AA109">
            <v>0</v>
          </cell>
          <cell r="AB109">
            <v>0</v>
          </cell>
          <cell r="AC109">
            <v>33600.5</v>
          </cell>
          <cell r="AD109">
            <v>214488.95</v>
          </cell>
          <cell r="AE109">
            <v>0</v>
          </cell>
          <cell r="AF109">
            <v>0</v>
          </cell>
          <cell r="AG109">
            <v>214488.95</v>
          </cell>
          <cell r="AH109">
            <v>-2802.15</v>
          </cell>
          <cell r="AI109">
            <v>0</v>
          </cell>
          <cell r="AJ109">
            <v>0</v>
          </cell>
          <cell r="AK109">
            <v>-2802.15</v>
          </cell>
          <cell r="AL109">
            <v>1434295.69</v>
          </cell>
          <cell r="AM109">
            <v>0</v>
          </cell>
          <cell r="AN109">
            <v>0</v>
          </cell>
          <cell r="AO109">
            <v>1434295.69</v>
          </cell>
          <cell r="AP109">
            <v>-1268.26</v>
          </cell>
          <cell r="AQ109">
            <v>0</v>
          </cell>
          <cell r="AR109">
            <v>0</v>
          </cell>
          <cell r="AS109">
            <v>-1268.26</v>
          </cell>
          <cell r="AT109">
            <v>2778.9</v>
          </cell>
          <cell r="AU109">
            <v>0</v>
          </cell>
          <cell r="AV109">
            <v>0</v>
          </cell>
          <cell r="AW109">
            <v>2778.9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50338.86</v>
          </cell>
          <cell r="BC109">
            <v>0</v>
          </cell>
          <cell r="BD109">
            <v>0</v>
          </cell>
          <cell r="BE109">
            <v>50338.86</v>
          </cell>
          <cell r="BF109">
            <v>7308.14</v>
          </cell>
          <cell r="BG109">
            <v>0</v>
          </cell>
          <cell r="BH109">
            <v>0</v>
          </cell>
          <cell r="BI109">
            <v>7308.14</v>
          </cell>
          <cell r="BJ109">
            <v>77684.27</v>
          </cell>
          <cell r="BK109">
            <v>0</v>
          </cell>
          <cell r="BL109">
            <v>0</v>
          </cell>
          <cell r="BM109">
            <v>77684.27</v>
          </cell>
          <cell r="BN109">
            <v>-254985.29</v>
          </cell>
          <cell r="BO109">
            <v>0</v>
          </cell>
          <cell r="BP109">
            <v>0</v>
          </cell>
          <cell r="BQ109">
            <v>-254985.29</v>
          </cell>
          <cell r="BR109">
            <v>411876.67</v>
          </cell>
          <cell r="BS109">
            <v>0</v>
          </cell>
          <cell r="BT109">
            <v>0</v>
          </cell>
          <cell r="BU109">
            <v>411876.67</v>
          </cell>
          <cell r="BV109">
            <v>18326.96</v>
          </cell>
          <cell r="BW109">
            <v>0</v>
          </cell>
          <cell r="BX109">
            <v>0</v>
          </cell>
          <cell r="BY109">
            <v>18326.96</v>
          </cell>
          <cell r="BZ109">
            <v>62799.19</v>
          </cell>
          <cell r="CA109">
            <v>0</v>
          </cell>
          <cell r="CB109">
            <v>0</v>
          </cell>
          <cell r="CC109">
            <v>62799.19</v>
          </cell>
          <cell r="CD109">
            <v>13.13</v>
          </cell>
          <cell r="CE109">
            <v>0</v>
          </cell>
          <cell r="CF109">
            <v>0</v>
          </cell>
          <cell r="CG109">
            <v>13.13</v>
          </cell>
          <cell r="CH109">
            <v>67091.240000000005</v>
          </cell>
          <cell r="CI109">
            <v>0</v>
          </cell>
          <cell r="CJ109">
            <v>0</v>
          </cell>
          <cell r="CK109">
            <v>67091.240000000005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393.29</v>
          </cell>
          <cell r="CQ109">
            <v>0</v>
          </cell>
          <cell r="CR109">
            <v>0</v>
          </cell>
          <cell r="CS109">
            <v>393.29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50338.58</v>
          </cell>
          <cell r="CY109">
            <v>0</v>
          </cell>
          <cell r="CZ109">
            <v>0</v>
          </cell>
          <cell r="DA109">
            <v>50338.58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689.03</v>
          </cell>
          <cell r="EK109">
            <v>0</v>
          </cell>
          <cell r="EL109">
            <v>0</v>
          </cell>
          <cell r="EM109">
            <v>689.03</v>
          </cell>
        </row>
        <row r="110">
          <cell r="A110">
            <v>104</v>
          </cell>
          <cell r="B110" t="str">
            <v>E2335</v>
          </cell>
          <cell r="C110" t="str">
            <v>SD</v>
          </cell>
          <cell r="D110" t="str">
            <v>NW</v>
          </cell>
          <cell r="E110" t="str">
            <v>Fylde</v>
          </cell>
          <cell r="F110">
            <v>206109</v>
          </cell>
          <cell r="G110">
            <v>0</v>
          </cell>
          <cell r="H110">
            <v>0</v>
          </cell>
          <cell r="I110">
            <v>206109</v>
          </cell>
          <cell r="J110">
            <v>-3071</v>
          </cell>
          <cell r="K110">
            <v>0</v>
          </cell>
          <cell r="L110">
            <v>0</v>
          </cell>
          <cell r="M110">
            <v>-3071</v>
          </cell>
          <cell r="N110">
            <v>19568</v>
          </cell>
          <cell r="O110">
            <v>0</v>
          </cell>
          <cell r="P110">
            <v>0</v>
          </cell>
          <cell r="Q110">
            <v>19568</v>
          </cell>
          <cell r="R110">
            <v>79363</v>
          </cell>
          <cell r="S110">
            <v>0</v>
          </cell>
          <cell r="T110">
            <v>0</v>
          </cell>
          <cell r="U110">
            <v>79363</v>
          </cell>
          <cell r="V110">
            <v>1870281</v>
          </cell>
          <cell r="W110">
            <v>0</v>
          </cell>
          <cell r="X110">
            <v>0</v>
          </cell>
          <cell r="Y110">
            <v>1870281</v>
          </cell>
          <cell r="Z110">
            <v>57587</v>
          </cell>
          <cell r="AA110">
            <v>0</v>
          </cell>
          <cell r="AB110">
            <v>0</v>
          </cell>
          <cell r="AC110">
            <v>57587</v>
          </cell>
          <cell r="AD110">
            <v>454187</v>
          </cell>
          <cell r="AE110">
            <v>0</v>
          </cell>
          <cell r="AF110">
            <v>0</v>
          </cell>
          <cell r="AG110">
            <v>454187</v>
          </cell>
          <cell r="AH110">
            <v>10320</v>
          </cell>
          <cell r="AI110">
            <v>0</v>
          </cell>
          <cell r="AJ110">
            <v>0</v>
          </cell>
          <cell r="AK110">
            <v>10320</v>
          </cell>
          <cell r="AL110">
            <v>1090206</v>
          </cell>
          <cell r="AM110">
            <v>0</v>
          </cell>
          <cell r="AN110">
            <v>0</v>
          </cell>
          <cell r="AO110">
            <v>1090206</v>
          </cell>
          <cell r="AP110">
            <v>11360</v>
          </cell>
          <cell r="AQ110">
            <v>0</v>
          </cell>
          <cell r="AR110">
            <v>0</v>
          </cell>
          <cell r="AS110">
            <v>11360</v>
          </cell>
          <cell r="AT110">
            <v>4464</v>
          </cell>
          <cell r="AU110">
            <v>0</v>
          </cell>
          <cell r="AV110">
            <v>0</v>
          </cell>
          <cell r="AW110">
            <v>4464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3125</v>
          </cell>
          <cell r="BC110">
            <v>0</v>
          </cell>
          <cell r="BD110">
            <v>0</v>
          </cell>
          <cell r="BE110">
            <v>3125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506</v>
          </cell>
          <cell r="BK110">
            <v>0</v>
          </cell>
          <cell r="BL110">
            <v>0</v>
          </cell>
          <cell r="BM110">
            <v>506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620389</v>
          </cell>
          <cell r="BS110">
            <v>0</v>
          </cell>
          <cell r="BT110">
            <v>5770</v>
          </cell>
          <cell r="BU110">
            <v>626159</v>
          </cell>
          <cell r="BV110">
            <v>1322</v>
          </cell>
          <cell r="BW110">
            <v>0</v>
          </cell>
          <cell r="BX110">
            <v>0</v>
          </cell>
          <cell r="BY110">
            <v>1322</v>
          </cell>
          <cell r="BZ110">
            <v>55569</v>
          </cell>
          <cell r="CA110">
            <v>0</v>
          </cell>
          <cell r="CB110">
            <v>0</v>
          </cell>
          <cell r="CC110">
            <v>55569</v>
          </cell>
          <cell r="CD110">
            <v>18</v>
          </cell>
          <cell r="CE110">
            <v>0</v>
          </cell>
          <cell r="CF110">
            <v>0</v>
          </cell>
          <cell r="CG110">
            <v>18</v>
          </cell>
          <cell r="CH110">
            <v>22008</v>
          </cell>
          <cell r="CI110">
            <v>0</v>
          </cell>
          <cell r="CJ110">
            <v>0</v>
          </cell>
          <cell r="CK110">
            <v>22008</v>
          </cell>
          <cell r="CL110">
            <v>-3135</v>
          </cell>
          <cell r="CM110">
            <v>0</v>
          </cell>
          <cell r="CN110">
            <v>0</v>
          </cell>
          <cell r="CO110">
            <v>-3135</v>
          </cell>
          <cell r="CP110">
            <v>682</v>
          </cell>
          <cell r="CQ110">
            <v>0</v>
          </cell>
          <cell r="CR110">
            <v>0</v>
          </cell>
          <cell r="CS110">
            <v>682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2991</v>
          </cell>
          <cell r="CY110">
            <v>0</v>
          </cell>
          <cell r="CZ110">
            <v>0</v>
          </cell>
          <cell r="DA110">
            <v>2991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4620</v>
          </cell>
          <cell r="DG110">
            <v>0</v>
          </cell>
          <cell r="DH110">
            <v>0</v>
          </cell>
          <cell r="DI110">
            <v>4620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</row>
        <row r="111">
          <cell r="A111">
            <v>105</v>
          </cell>
          <cell r="B111" t="str">
            <v>E4501</v>
          </cell>
          <cell r="C111" t="str">
            <v>Met</v>
          </cell>
          <cell r="D111" t="str">
            <v>NE</v>
          </cell>
          <cell r="E111" t="str">
            <v>Gateshead</v>
          </cell>
          <cell r="F111">
            <v>212317</v>
          </cell>
          <cell r="G111">
            <v>0</v>
          </cell>
          <cell r="H111">
            <v>0</v>
          </cell>
          <cell r="I111">
            <v>212317</v>
          </cell>
          <cell r="J111">
            <v>-173848</v>
          </cell>
          <cell r="K111">
            <v>0</v>
          </cell>
          <cell r="L111">
            <v>0</v>
          </cell>
          <cell r="M111">
            <v>-173848</v>
          </cell>
          <cell r="N111">
            <v>231426</v>
          </cell>
          <cell r="O111">
            <v>752</v>
          </cell>
          <cell r="P111">
            <v>0</v>
          </cell>
          <cell r="Q111">
            <v>232178</v>
          </cell>
          <cell r="R111">
            <v>511864</v>
          </cell>
          <cell r="S111">
            <v>-42445</v>
          </cell>
          <cell r="T111">
            <v>0</v>
          </cell>
          <cell r="U111">
            <v>469419</v>
          </cell>
          <cell r="V111">
            <v>3520184</v>
          </cell>
          <cell r="W111">
            <v>37381</v>
          </cell>
          <cell r="X111">
            <v>0</v>
          </cell>
          <cell r="Y111">
            <v>3557565</v>
          </cell>
          <cell r="Z111">
            <v>97491</v>
          </cell>
          <cell r="AA111">
            <v>1315</v>
          </cell>
          <cell r="AB111">
            <v>0</v>
          </cell>
          <cell r="AC111">
            <v>98806</v>
          </cell>
          <cell r="AD111">
            <v>1699601</v>
          </cell>
          <cell r="AE111">
            <v>31569</v>
          </cell>
          <cell r="AF111">
            <v>0</v>
          </cell>
          <cell r="AG111">
            <v>1731170</v>
          </cell>
          <cell r="AH111">
            <v>-11432</v>
          </cell>
          <cell r="AI111">
            <v>1124</v>
          </cell>
          <cell r="AJ111">
            <v>0</v>
          </cell>
          <cell r="AK111">
            <v>-10308</v>
          </cell>
          <cell r="AL111">
            <v>2793762</v>
          </cell>
          <cell r="AM111">
            <v>640293</v>
          </cell>
          <cell r="AN111">
            <v>0</v>
          </cell>
          <cell r="AO111">
            <v>3434055</v>
          </cell>
          <cell r="AP111">
            <v>-134704</v>
          </cell>
          <cell r="AQ111">
            <v>6686</v>
          </cell>
          <cell r="AR111">
            <v>0</v>
          </cell>
          <cell r="AS111">
            <v>-128018</v>
          </cell>
          <cell r="AT111">
            <v>92165</v>
          </cell>
          <cell r="AU111">
            <v>0</v>
          </cell>
          <cell r="AV111">
            <v>0</v>
          </cell>
          <cell r="AW111">
            <v>92165</v>
          </cell>
          <cell r="AX111">
            <v>3593</v>
          </cell>
          <cell r="AY111">
            <v>0</v>
          </cell>
          <cell r="AZ111">
            <v>0</v>
          </cell>
          <cell r="BA111">
            <v>3593</v>
          </cell>
          <cell r="BB111">
            <v>10992</v>
          </cell>
          <cell r="BC111">
            <v>0</v>
          </cell>
          <cell r="BD111">
            <v>0</v>
          </cell>
          <cell r="BE111">
            <v>10992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16820</v>
          </cell>
          <cell r="BK111">
            <v>0</v>
          </cell>
          <cell r="BL111">
            <v>0</v>
          </cell>
          <cell r="BM111">
            <v>16820</v>
          </cell>
          <cell r="BN111">
            <v>39895</v>
          </cell>
          <cell r="BO111">
            <v>0</v>
          </cell>
          <cell r="BP111">
            <v>0</v>
          </cell>
          <cell r="BQ111">
            <v>39895</v>
          </cell>
          <cell r="BR111">
            <v>4184841</v>
          </cell>
          <cell r="BS111">
            <v>22130</v>
          </cell>
          <cell r="BT111">
            <v>0</v>
          </cell>
          <cell r="BU111">
            <v>4206971</v>
          </cell>
          <cell r="BV111">
            <v>376860</v>
          </cell>
          <cell r="BW111">
            <v>2139</v>
          </cell>
          <cell r="BX111">
            <v>0</v>
          </cell>
          <cell r="BY111">
            <v>378999</v>
          </cell>
          <cell r="BZ111">
            <v>86723</v>
          </cell>
          <cell r="CA111">
            <v>622</v>
          </cell>
          <cell r="CB111">
            <v>0</v>
          </cell>
          <cell r="CC111">
            <v>87345</v>
          </cell>
          <cell r="CD111">
            <v>2820</v>
          </cell>
          <cell r="CE111">
            <v>0</v>
          </cell>
          <cell r="CF111">
            <v>0</v>
          </cell>
          <cell r="CG111">
            <v>2820</v>
          </cell>
          <cell r="CH111">
            <v>39732</v>
          </cell>
          <cell r="CI111">
            <v>0</v>
          </cell>
          <cell r="CJ111">
            <v>0</v>
          </cell>
          <cell r="CK111">
            <v>39732</v>
          </cell>
          <cell r="CL111">
            <v>-2795</v>
          </cell>
          <cell r="CM111">
            <v>-6686</v>
          </cell>
          <cell r="CN111">
            <v>0</v>
          </cell>
          <cell r="CO111">
            <v>-9481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</row>
        <row r="112">
          <cell r="A112">
            <v>106</v>
          </cell>
          <cell r="B112" t="str">
            <v>E3034</v>
          </cell>
          <cell r="C112" t="str">
            <v>SD</v>
          </cell>
          <cell r="D112" t="str">
            <v>EM</v>
          </cell>
          <cell r="E112" t="str">
            <v>Gedling</v>
          </cell>
          <cell r="F112">
            <v>32761.34</v>
          </cell>
          <cell r="G112">
            <v>0</v>
          </cell>
          <cell r="H112">
            <v>0</v>
          </cell>
          <cell r="I112">
            <v>32761.34</v>
          </cell>
          <cell r="J112">
            <v>-15916.24</v>
          </cell>
          <cell r="K112">
            <v>0</v>
          </cell>
          <cell r="L112">
            <v>0</v>
          </cell>
          <cell r="M112">
            <v>-15916.24</v>
          </cell>
          <cell r="N112">
            <v>100948.42</v>
          </cell>
          <cell r="O112">
            <v>0</v>
          </cell>
          <cell r="P112">
            <v>0</v>
          </cell>
          <cell r="Q112">
            <v>100948.42</v>
          </cell>
          <cell r="R112">
            <v>99704.66</v>
          </cell>
          <cell r="S112">
            <v>0</v>
          </cell>
          <cell r="T112">
            <v>0</v>
          </cell>
          <cell r="U112">
            <v>99704.66</v>
          </cell>
          <cell r="V112">
            <v>1535826.94</v>
          </cell>
          <cell r="W112">
            <v>0</v>
          </cell>
          <cell r="X112">
            <v>0</v>
          </cell>
          <cell r="Y112">
            <v>1535826.94</v>
          </cell>
          <cell r="Z112">
            <v>42442.91</v>
          </cell>
          <cell r="AA112">
            <v>0</v>
          </cell>
          <cell r="AB112">
            <v>0</v>
          </cell>
          <cell r="AC112">
            <v>42442.91</v>
          </cell>
          <cell r="AD112">
            <v>384544.13</v>
          </cell>
          <cell r="AE112">
            <v>0</v>
          </cell>
          <cell r="AF112">
            <v>0</v>
          </cell>
          <cell r="AG112">
            <v>384544.13</v>
          </cell>
          <cell r="AH112">
            <v>-11169.91</v>
          </cell>
          <cell r="AI112">
            <v>0</v>
          </cell>
          <cell r="AJ112">
            <v>0</v>
          </cell>
          <cell r="AK112">
            <v>-11169.91</v>
          </cell>
          <cell r="AL112">
            <v>1061950.5</v>
          </cell>
          <cell r="AM112">
            <v>0</v>
          </cell>
          <cell r="AN112">
            <v>0</v>
          </cell>
          <cell r="AO112">
            <v>1061950.5</v>
          </cell>
          <cell r="AP112">
            <v>-688.98</v>
          </cell>
          <cell r="AQ112">
            <v>0</v>
          </cell>
          <cell r="AR112">
            <v>0</v>
          </cell>
          <cell r="AS112">
            <v>-688.98</v>
          </cell>
          <cell r="AT112">
            <v>47194.2</v>
          </cell>
          <cell r="AU112">
            <v>0</v>
          </cell>
          <cell r="AV112">
            <v>0</v>
          </cell>
          <cell r="AW112">
            <v>47194.2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1277.5899999999999</v>
          </cell>
          <cell r="BC112">
            <v>0</v>
          </cell>
          <cell r="BD112">
            <v>0</v>
          </cell>
          <cell r="BE112">
            <v>1277.5899999999999</v>
          </cell>
          <cell r="BF112">
            <v>-1819.14</v>
          </cell>
          <cell r="BG112">
            <v>0</v>
          </cell>
          <cell r="BH112">
            <v>0</v>
          </cell>
          <cell r="BI112">
            <v>-1819.14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-14970.3</v>
          </cell>
          <cell r="BO112">
            <v>0</v>
          </cell>
          <cell r="BP112">
            <v>0</v>
          </cell>
          <cell r="BQ112">
            <v>-14970.3</v>
          </cell>
          <cell r="BR112">
            <v>485397.65</v>
          </cell>
          <cell r="BS112">
            <v>0</v>
          </cell>
          <cell r="BT112">
            <v>0</v>
          </cell>
          <cell r="BU112">
            <v>485397.65</v>
          </cell>
          <cell r="BV112">
            <v>6486.01</v>
          </cell>
          <cell r="BW112">
            <v>0</v>
          </cell>
          <cell r="BX112">
            <v>0</v>
          </cell>
          <cell r="BY112">
            <v>6486.01</v>
          </cell>
          <cell r="BZ112">
            <v>80517.460000000006</v>
          </cell>
          <cell r="CA112">
            <v>0</v>
          </cell>
          <cell r="CB112">
            <v>0</v>
          </cell>
          <cell r="CC112">
            <v>80517.460000000006</v>
          </cell>
          <cell r="CD112">
            <v>-180.88</v>
          </cell>
          <cell r="CE112">
            <v>0</v>
          </cell>
          <cell r="CF112">
            <v>0</v>
          </cell>
          <cell r="CG112">
            <v>-180.88</v>
          </cell>
          <cell r="CH112">
            <v>43882.26</v>
          </cell>
          <cell r="CI112">
            <v>0</v>
          </cell>
          <cell r="CJ112">
            <v>0</v>
          </cell>
          <cell r="CK112">
            <v>43882.26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5675.55</v>
          </cell>
          <cell r="CQ112">
            <v>0</v>
          </cell>
          <cell r="CR112">
            <v>0</v>
          </cell>
          <cell r="CS112">
            <v>5675.55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5984.22</v>
          </cell>
          <cell r="CY112">
            <v>0</v>
          </cell>
          <cell r="CZ112">
            <v>0</v>
          </cell>
          <cell r="DA112">
            <v>5984.22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4240.6099999999997</v>
          </cell>
          <cell r="EG112">
            <v>0</v>
          </cell>
          <cell r="EH112">
            <v>0</v>
          </cell>
          <cell r="EI112">
            <v>4240.6099999999997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</row>
        <row r="113">
          <cell r="A113">
            <v>107</v>
          </cell>
          <cell r="B113" t="str">
            <v>E1634</v>
          </cell>
          <cell r="C113" t="str">
            <v>SD</v>
          </cell>
          <cell r="D113" t="str">
            <v>SW</v>
          </cell>
          <cell r="E113" t="str">
            <v>Gloucester</v>
          </cell>
          <cell r="F113">
            <v>59316.5</v>
          </cell>
          <cell r="G113">
            <v>0</v>
          </cell>
          <cell r="H113">
            <v>0</v>
          </cell>
          <cell r="I113">
            <v>59316.5</v>
          </cell>
          <cell r="J113">
            <v>-50000.47</v>
          </cell>
          <cell r="K113">
            <v>0</v>
          </cell>
          <cell r="L113">
            <v>0</v>
          </cell>
          <cell r="M113">
            <v>-50000.47</v>
          </cell>
          <cell r="N113">
            <v>43976.05</v>
          </cell>
          <cell r="O113">
            <v>0</v>
          </cell>
          <cell r="P113">
            <v>0</v>
          </cell>
          <cell r="Q113">
            <v>43976.05</v>
          </cell>
          <cell r="R113">
            <v>228760.28</v>
          </cell>
          <cell r="S113">
            <v>0</v>
          </cell>
          <cell r="T113">
            <v>0</v>
          </cell>
          <cell r="U113">
            <v>228760.28</v>
          </cell>
          <cell r="V113">
            <v>1710215.24</v>
          </cell>
          <cell r="W113">
            <v>0</v>
          </cell>
          <cell r="X113">
            <v>0</v>
          </cell>
          <cell r="Y113">
            <v>1710215.24</v>
          </cell>
          <cell r="Z113">
            <v>30263.41</v>
          </cell>
          <cell r="AA113">
            <v>0</v>
          </cell>
          <cell r="AB113">
            <v>0</v>
          </cell>
          <cell r="AC113">
            <v>30263.41</v>
          </cell>
          <cell r="AD113">
            <v>1005045.28</v>
          </cell>
          <cell r="AE113">
            <v>0</v>
          </cell>
          <cell r="AF113">
            <v>0</v>
          </cell>
          <cell r="AG113">
            <v>1005045.28</v>
          </cell>
          <cell r="AH113">
            <v>-9148.11</v>
          </cell>
          <cell r="AI113">
            <v>0</v>
          </cell>
          <cell r="AJ113">
            <v>0</v>
          </cell>
          <cell r="AK113">
            <v>-9148.11</v>
          </cell>
          <cell r="AL113">
            <v>2852557.13</v>
          </cell>
          <cell r="AM113">
            <v>0</v>
          </cell>
          <cell r="AN113">
            <v>0</v>
          </cell>
          <cell r="AO113">
            <v>2852557.13</v>
          </cell>
          <cell r="AP113">
            <v>-9028.68</v>
          </cell>
          <cell r="AQ113">
            <v>0</v>
          </cell>
          <cell r="AR113">
            <v>0</v>
          </cell>
          <cell r="AS113">
            <v>-9028.68</v>
          </cell>
          <cell r="AT113">
            <v>37746.120000000003</v>
          </cell>
          <cell r="AU113">
            <v>0</v>
          </cell>
          <cell r="AV113">
            <v>0</v>
          </cell>
          <cell r="AW113">
            <v>37746.120000000003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62268.46</v>
          </cell>
          <cell r="BK113">
            <v>0</v>
          </cell>
          <cell r="BL113">
            <v>0</v>
          </cell>
          <cell r="BM113">
            <v>62268.46</v>
          </cell>
          <cell r="BN113">
            <v>-9141.4599999999991</v>
          </cell>
          <cell r="BO113">
            <v>0</v>
          </cell>
          <cell r="BP113">
            <v>0</v>
          </cell>
          <cell r="BQ113">
            <v>-9141.4599999999991</v>
          </cell>
          <cell r="BR113">
            <v>2147758.5699999998</v>
          </cell>
          <cell r="BS113">
            <v>0</v>
          </cell>
          <cell r="BT113">
            <v>0</v>
          </cell>
          <cell r="BU113">
            <v>2147758.5699999998</v>
          </cell>
          <cell r="BV113">
            <v>-81488.52</v>
          </cell>
          <cell r="BW113">
            <v>0</v>
          </cell>
          <cell r="BX113">
            <v>0</v>
          </cell>
          <cell r="BY113">
            <v>-81488.52</v>
          </cell>
          <cell r="BZ113">
            <v>2284.35</v>
          </cell>
          <cell r="CA113">
            <v>0</v>
          </cell>
          <cell r="CB113">
            <v>0</v>
          </cell>
          <cell r="CC113">
            <v>2284.35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60751.31</v>
          </cell>
          <cell r="CI113">
            <v>0</v>
          </cell>
          <cell r="CJ113">
            <v>0</v>
          </cell>
          <cell r="CK113">
            <v>60751.31</v>
          </cell>
          <cell r="CL113">
            <v>6550.15</v>
          </cell>
          <cell r="CM113">
            <v>0</v>
          </cell>
          <cell r="CN113">
            <v>0</v>
          </cell>
          <cell r="CO113">
            <v>6550.15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</row>
        <row r="114">
          <cell r="A114">
            <v>108</v>
          </cell>
          <cell r="B114" t="str">
            <v>E1735</v>
          </cell>
          <cell r="C114" t="str">
            <v>SD</v>
          </cell>
          <cell r="D114" t="str">
            <v>SE</v>
          </cell>
          <cell r="E114" t="str">
            <v>Gosport</v>
          </cell>
          <cell r="F114">
            <v>94608</v>
          </cell>
          <cell r="G114">
            <v>0</v>
          </cell>
          <cell r="H114">
            <v>5936</v>
          </cell>
          <cell r="I114">
            <v>100544</v>
          </cell>
          <cell r="J114">
            <v>-83887</v>
          </cell>
          <cell r="K114">
            <v>0</v>
          </cell>
          <cell r="L114">
            <v>914</v>
          </cell>
          <cell r="M114">
            <v>-82973</v>
          </cell>
          <cell r="N114">
            <v>1410</v>
          </cell>
          <cell r="O114">
            <v>0</v>
          </cell>
          <cell r="P114">
            <v>0</v>
          </cell>
          <cell r="Q114">
            <v>1410</v>
          </cell>
          <cell r="R114">
            <v>28388</v>
          </cell>
          <cell r="S114">
            <v>0</v>
          </cell>
          <cell r="T114">
            <v>0</v>
          </cell>
          <cell r="U114">
            <v>28388</v>
          </cell>
          <cell r="V114">
            <v>1247348</v>
          </cell>
          <cell r="W114">
            <v>0</v>
          </cell>
          <cell r="X114">
            <v>20285</v>
          </cell>
          <cell r="Y114">
            <v>1267633</v>
          </cell>
          <cell r="Z114">
            <v>47508</v>
          </cell>
          <cell r="AA114">
            <v>0</v>
          </cell>
          <cell r="AB114">
            <v>0</v>
          </cell>
          <cell r="AC114">
            <v>47508</v>
          </cell>
          <cell r="AD114">
            <v>282404</v>
          </cell>
          <cell r="AE114">
            <v>0</v>
          </cell>
          <cell r="AF114">
            <v>7265</v>
          </cell>
          <cell r="AG114">
            <v>289669</v>
          </cell>
          <cell r="AH114">
            <v>-10341</v>
          </cell>
          <cell r="AI114">
            <v>0</v>
          </cell>
          <cell r="AJ114">
            <v>201</v>
          </cell>
          <cell r="AK114">
            <v>-10140</v>
          </cell>
          <cell r="AL114">
            <v>983468</v>
          </cell>
          <cell r="AM114">
            <v>0</v>
          </cell>
          <cell r="AN114">
            <v>21817</v>
          </cell>
          <cell r="AO114">
            <v>1005285</v>
          </cell>
          <cell r="AP114">
            <v>28705</v>
          </cell>
          <cell r="AQ114">
            <v>0</v>
          </cell>
          <cell r="AR114">
            <v>78</v>
          </cell>
          <cell r="AS114">
            <v>28783</v>
          </cell>
          <cell r="AT114">
            <v>15241</v>
          </cell>
          <cell r="AU114">
            <v>0</v>
          </cell>
          <cell r="AV114">
            <v>0</v>
          </cell>
          <cell r="AW114">
            <v>15241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2107</v>
          </cell>
          <cell r="BO114">
            <v>0</v>
          </cell>
          <cell r="BP114">
            <v>0</v>
          </cell>
          <cell r="BQ114">
            <v>2107</v>
          </cell>
          <cell r="BR114">
            <v>382507</v>
          </cell>
          <cell r="BS114">
            <v>0</v>
          </cell>
          <cell r="BT114">
            <v>18583</v>
          </cell>
          <cell r="BU114">
            <v>401090</v>
          </cell>
          <cell r="BV114">
            <v>4651</v>
          </cell>
          <cell r="BW114">
            <v>0</v>
          </cell>
          <cell r="BX114">
            <v>880</v>
          </cell>
          <cell r="BY114">
            <v>5531</v>
          </cell>
          <cell r="BZ114">
            <v>66714</v>
          </cell>
          <cell r="CA114">
            <v>0</v>
          </cell>
          <cell r="CB114">
            <v>1003</v>
          </cell>
          <cell r="CC114">
            <v>67717</v>
          </cell>
          <cell r="CD114">
            <v>-18131</v>
          </cell>
          <cell r="CE114">
            <v>0</v>
          </cell>
          <cell r="CF114">
            <v>20</v>
          </cell>
          <cell r="CG114">
            <v>-18111</v>
          </cell>
          <cell r="CH114">
            <v>225714</v>
          </cell>
          <cell r="CI114">
            <v>0</v>
          </cell>
          <cell r="CJ114">
            <v>4451</v>
          </cell>
          <cell r="CK114">
            <v>230165</v>
          </cell>
          <cell r="CL114">
            <v>29790</v>
          </cell>
          <cell r="CM114">
            <v>0</v>
          </cell>
          <cell r="CN114">
            <v>0</v>
          </cell>
          <cell r="CO114">
            <v>29790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75850</v>
          </cell>
          <cell r="DQ114">
            <v>75850</v>
          </cell>
          <cell r="DR114">
            <v>0</v>
          </cell>
          <cell r="DS114">
            <v>0</v>
          </cell>
          <cell r="DT114">
            <v>34565</v>
          </cell>
          <cell r="DU114">
            <v>34565</v>
          </cell>
          <cell r="DV114">
            <v>110415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</row>
        <row r="115">
          <cell r="A115">
            <v>109</v>
          </cell>
          <cell r="B115" t="str">
            <v>E2236</v>
          </cell>
          <cell r="C115" t="str">
            <v>SD</v>
          </cell>
          <cell r="D115" t="str">
            <v>SE</v>
          </cell>
          <cell r="E115" t="str">
            <v>Gravesham</v>
          </cell>
          <cell r="F115">
            <v>68514</v>
          </cell>
          <cell r="G115">
            <v>0</v>
          </cell>
          <cell r="H115">
            <v>0</v>
          </cell>
          <cell r="I115">
            <v>68514</v>
          </cell>
          <cell r="J115">
            <v>-33747</v>
          </cell>
          <cell r="K115">
            <v>0</v>
          </cell>
          <cell r="L115">
            <v>0</v>
          </cell>
          <cell r="M115">
            <v>-33747</v>
          </cell>
          <cell r="N115">
            <v>2718</v>
          </cell>
          <cell r="O115">
            <v>0</v>
          </cell>
          <cell r="P115">
            <v>0</v>
          </cell>
          <cell r="Q115">
            <v>2718</v>
          </cell>
          <cell r="R115">
            <v>139878</v>
          </cell>
          <cell r="S115">
            <v>0</v>
          </cell>
          <cell r="T115">
            <v>0</v>
          </cell>
          <cell r="U115">
            <v>139878</v>
          </cell>
          <cell r="V115">
            <v>1409046</v>
          </cell>
          <cell r="W115">
            <v>0</v>
          </cell>
          <cell r="X115">
            <v>0</v>
          </cell>
          <cell r="Y115">
            <v>1409046</v>
          </cell>
          <cell r="Z115">
            <v>148223</v>
          </cell>
          <cell r="AA115">
            <v>0</v>
          </cell>
          <cell r="AB115">
            <v>0</v>
          </cell>
          <cell r="AC115">
            <v>148223</v>
          </cell>
          <cell r="AD115">
            <v>445642</v>
          </cell>
          <cell r="AE115">
            <v>0</v>
          </cell>
          <cell r="AF115">
            <v>0</v>
          </cell>
          <cell r="AG115">
            <v>445642</v>
          </cell>
          <cell r="AH115">
            <v>12325</v>
          </cell>
          <cell r="AI115">
            <v>0</v>
          </cell>
          <cell r="AJ115">
            <v>0</v>
          </cell>
          <cell r="AK115">
            <v>12325</v>
          </cell>
          <cell r="AL115">
            <v>2250958</v>
          </cell>
          <cell r="AM115">
            <v>0</v>
          </cell>
          <cell r="AN115">
            <v>0</v>
          </cell>
          <cell r="AO115">
            <v>2250958</v>
          </cell>
          <cell r="AP115">
            <v>128964</v>
          </cell>
          <cell r="AQ115">
            <v>0</v>
          </cell>
          <cell r="AR115">
            <v>0</v>
          </cell>
          <cell r="AS115">
            <v>128964</v>
          </cell>
          <cell r="AT115">
            <v>37218</v>
          </cell>
          <cell r="AU115">
            <v>0</v>
          </cell>
          <cell r="AV115">
            <v>0</v>
          </cell>
          <cell r="AW115">
            <v>37218</v>
          </cell>
          <cell r="AX115">
            <v>326</v>
          </cell>
          <cell r="AY115">
            <v>0</v>
          </cell>
          <cell r="AZ115">
            <v>0</v>
          </cell>
          <cell r="BA115">
            <v>326</v>
          </cell>
          <cell r="BB115">
            <v>10206</v>
          </cell>
          <cell r="BC115">
            <v>0</v>
          </cell>
          <cell r="BD115">
            <v>0</v>
          </cell>
          <cell r="BE115">
            <v>10206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869957</v>
          </cell>
          <cell r="BS115">
            <v>0</v>
          </cell>
          <cell r="BT115">
            <v>0</v>
          </cell>
          <cell r="BU115">
            <v>869957</v>
          </cell>
          <cell r="BV115">
            <v>37348</v>
          </cell>
          <cell r="BW115">
            <v>0</v>
          </cell>
          <cell r="BX115">
            <v>0</v>
          </cell>
          <cell r="BY115">
            <v>37348</v>
          </cell>
          <cell r="BZ115">
            <v>124170</v>
          </cell>
          <cell r="CA115">
            <v>0</v>
          </cell>
          <cell r="CB115">
            <v>0</v>
          </cell>
          <cell r="CC115">
            <v>124170</v>
          </cell>
          <cell r="CD115">
            <v>1017</v>
          </cell>
          <cell r="CE115">
            <v>0</v>
          </cell>
          <cell r="CF115">
            <v>0</v>
          </cell>
          <cell r="CG115">
            <v>1017</v>
          </cell>
          <cell r="CH115">
            <v>18525</v>
          </cell>
          <cell r="CI115">
            <v>0</v>
          </cell>
          <cell r="CJ115">
            <v>0</v>
          </cell>
          <cell r="CK115">
            <v>18525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214</v>
          </cell>
          <cell r="CQ115">
            <v>0</v>
          </cell>
          <cell r="CR115">
            <v>0</v>
          </cell>
          <cell r="CS115">
            <v>214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2809</v>
          </cell>
          <cell r="CY115">
            <v>0</v>
          </cell>
          <cell r="CZ115">
            <v>0</v>
          </cell>
          <cell r="DA115">
            <v>2809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</row>
        <row r="116">
          <cell r="A116">
            <v>110</v>
          </cell>
          <cell r="B116" t="str">
            <v>E2633</v>
          </cell>
          <cell r="C116" t="str">
            <v>SD</v>
          </cell>
          <cell r="D116" t="str">
            <v>E</v>
          </cell>
          <cell r="E116" t="str">
            <v>Great Yarmouth</v>
          </cell>
          <cell r="F116">
            <v>655663.38</v>
          </cell>
          <cell r="G116">
            <v>0</v>
          </cell>
          <cell r="H116">
            <v>0</v>
          </cell>
          <cell r="I116">
            <v>655663.38</v>
          </cell>
          <cell r="J116">
            <v>-30570.44</v>
          </cell>
          <cell r="K116">
            <v>0</v>
          </cell>
          <cell r="L116">
            <v>0</v>
          </cell>
          <cell r="M116">
            <v>-30570.44</v>
          </cell>
          <cell r="N116">
            <v>13963</v>
          </cell>
          <cell r="O116">
            <v>0</v>
          </cell>
          <cell r="P116">
            <v>-56567.040000000001</v>
          </cell>
          <cell r="Q116">
            <v>-42604.04</v>
          </cell>
          <cell r="R116">
            <v>-119671.4</v>
          </cell>
          <cell r="S116">
            <v>0</v>
          </cell>
          <cell r="T116">
            <v>0</v>
          </cell>
          <cell r="U116">
            <v>-119671.4</v>
          </cell>
          <cell r="V116">
            <v>2476084.71</v>
          </cell>
          <cell r="W116">
            <v>0</v>
          </cell>
          <cell r="X116">
            <v>0</v>
          </cell>
          <cell r="Y116">
            <v>2476084.71</v>
          </cell>
          <cell r="Z116">
            <v>138353.60000000001</v>
          </cell>
          <cell r="AA116">
            <v>0</v>
          </cell>
          <cell r="AB116">
            <v>0</v>
          </cell>
          <cell r="AC116">
            <v>138353.60000000001</v>
          </cell>
          <cell r="AD116">
            <v>542230.04</v>
          </cell>
          <cell r="AE116">
            <v>0</v>
          </cell>
          <cell r="AF116">
            <v>5976.94</v>
          </cell>
          <cell r="AG116">
            <v>548206.98</v>
          </cell>
          <cell r="AH116">
            <v>-11796.86</v>
          </cell>
          <cell r="AI116">
            <v>0</v>
          </cell>
          <cell r="AJ116">
            <v>26.03</v>
          </cell>
          <cell r="AK116">
            <v>-11770.83</v>
          </cell>
          <cell r="AL116">
            <v>1523498.5</v>
          </cell>
          <cell r="AM116">
            <v>0</v>
          </cell>
          <cell r="AN116">
            <v>0</v>
          </cell>
          <cell r="AO116">
            <v>1523498.5</v>
          </cell>
          <cell r="AP116">
            <v>25645.71</v>
          </cell>
          <cell r="AQ116">
            <v>0</v>
          </cell>
          <cell r="AR116">
            <v>0</v>
          </cell>
          <cell r="AS116">
            <v>25645.71</v>
          </cell>
          <cell r="AT116">
            <v>18840</v>
          </cell>
          <cell r="AU116">
            <v>0</v>
          </cell>
          <cell r="AV116">
            <v>0</v>
          </cell>
          <cell r="AW116">
            <v>18840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1492.4</v>
          </cell>
          <cell r="BC116">
            <v>0</v>
          </cell>
          <cell r="BD116">
            <v>0</v>
          </cell>
          <cell r="BE116">
            <v>1492.4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1068730.73</v>
          </cell>
          <cell r="BS116">
            <v>0</v>
          </cell>
          <cell r="BT116">
            <v>173.88</v>
          </cell>
          <cell r="BU116">
            <v>1068904.6100000001</v>
          </cell>
          <cell r="BV116">
            <v>42184.59</v>
          </cell>
          <cell r="BW116">
            <v>0</v>
          </cell>
          <cell r="BX116">
            <v>0</v>
          </cell>
          <cell r="BY116">
            <v>42184.59</v>
          </cell>
          <cell r="BZ116">
            <v>105471.56</v>
          </cell>
          <cell r="CA116">
            <v>0</v>
          </cell>
          <cell r="CB116">
            <v>0</v>
          </cell>
          <cell r="CC116">
            <v>105471.56</v>
          </cell>
          <cell r="CD116">
            <v>1028.52</v>
          </cell>
          <cell r="CE116">
            <v>0</v>
          </cell>
          <cell r="CF116">
            <v>0</v>
          </cell>
          <cell r="CG116">
            <v>1028.52</v>
          </cell>
          <cell r="CH116">
            <v>37157.279999999999</v>
          </cell>
          <cell r="CI116">
            <v>0</v>
          </cell>
          <cell r="CJ116">
            <v>0</v>
          </cell>
          <cell r="CK116">
            <v>37157.279999999999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765.37</v>
          </cell>
          <cell r="CY116">
            <v>0</v>
          </cell>
          <cell r="CZ116">
            <v>0</v>
          </cell>
          <cell r="DA116">
            <v>765.37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290179</v>
          </cell>
          <cell r="DQ116">
            <v>290179</v>
          </cell>
          <cell r="DR116">
            <v>0</v>
          </cell>
          <cell r="DS116">
            <v>0</v>
          </cell>
          <cell r="DT116">
            <v>59699</v>
          </cell>
          <cell r="DU116">
            <v>59699</v>
          </cell>
          <cell r="DV116">
            <v>349878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</row>
        <row r="117">
          <cell r="A117">
            <v>111</v>
          </cell>
          <cell r="B117" t="str">
            <v>E5012</v>
          </cell>
          <cell r="C117" t="str">
            <v>ILB</v>
          </cell>
          <cell r="D117" t="str">
            <v>L</v>
          </cell>
          <cell r="E117" t="str">
            <v>Greenwich</v>
          </cell>
          <cell r="F117">
            <v>88909.38</v>
          </cell>
          <cell r="G117">
            <v>0</v>
          </cell>
          <cell r="H117">
            <v>0</v>
          </cell>
          <cell r="I117">
            <v>88909.38</v>
          </cell>
          <cell r="J117">
            <v>-120166.31</v>
          </cell>
          <cell r="K117">
            <v>0</v>
          </cell>
          <cell r="L117">
            <v>0</v>
          </cell>
          <cell r="M117">
            <v>-120166.31</v>
          </cell>
          <cell r="N117">
            <v>84902.86</v>
          </cell>
          <cell r="O117">
            <v>0</v>
          </cell>
          <cell r="P117">
            <v>0</v>
          </cell>
          <cell r="Q117">
            <v>84902.86</v>
          </cell>
          <cell r="R117">
            <v>45849.19</v>
          </cell>
          <cell r="S117">
            <v>0</v>
          </cell>
          <cell r="T117">
            <v>0</v>
          </cell>
          <cell r="U117">
            <v>45849.19</v>
          </cell>
          <cell r="V117">
            <v>3125252.38</v>
          </cell>
          <cell r="W117">
            <v>0</v>
          </cell>
          <cell r="X117">
            <v>0</v>
          </cell>
          <cell r="Y117">
            <v>3125252.38</v>
          </cell>
          <cell r="Z117">
            <v>100847.87</v>
          </cell>
          <cell r="AA117">
            <v>0</v>
          </cell>
          <cell r="AB117">
            <v>0</v>
          </cell>
          <cell r="AC117">
            <v>100847.87</v>
          </cell>
          <cell r="AD117">
            <v>1351925.43</v>
          </cell>
          <cell r="AE117">
            <v>0</v>
          </cell>
          <cell r="AF117">
            <v>0</v>
          </cell>
          <cell r="AG117">
            <v>1351925.43</v>
          </cell>
          <cell r="AH117">
            <v>29368.12</v>
          </cell>
          <cell r="AI117">
            <v>0</v>
          </cell>
          <cell r="AJ117">
            <v>0</v>
          </cell>
          <cell r="AK117">
            <v>29368.12</v>
          </cell>
          <cell r="AL117">
            <v>7047343.54</v>
          </cell>
          <cell r="AM117">
            <v>0</v>
          </cell>
          <cell r="AN117">
            <v>0</v>
          </cell>
          <cell r="AO117">
            <v>7047343.54</v>
          </cell>
          <cell r="AP117">
            <v>59061.88</v>
          </cell>
          <cell r="AQ117">
            <v>0</v>
          </cell>
          <cell r="AR117">
            <v>0</v>
          </cell>
          <cell r="AS117">
            <v>59061.88</v>
          </cell>
          <cell r="AT117">
            <v>127641.1</v>
          </cell>
          <cell r="AU117">
            <v>0</v>
          </cell>
          <cell r="AV117">
            <v>0</v>
          </cell>
          <cell r="AW117">
            <v>127641.1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106534.47</v>
          </cell>
          <cell r="BK117">
            <v>0</v>
          </cell>
          <cell r="BL117">
            <v>0</v>
          </cell>
          <cell r="BM117">
            <v>106534.47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2713627.67</v>
          </cell>
          <cell r="BS117">
            <v>0</v>
          </cell>
          <cell r="BT117">
            <v>0</v>
          </cell>
          <cell r="BU117">
            <v>2713627.67</v>
          </cell>
          <cell r="BV117">
            <v>-83165.3</v>
          </cell>
          <cell r="BW117">
            <v>0</v>
          </cell>
          <cell r="BX117">
            <v>0</v>
          </cell>
          <cell r="BY117">
            <v>-83165.3</v>
          </cell>
          <cell r="BZ117">
            <v>517590.92</v>
          </cell>
          <cell r="CA117">
            <v>0</v>
          </cell>
          <cell r="CB117">
            <v>0</v>
          </cell>
          <cell r="CC117">
            <v>517590.92</v>
          </cell>
          <cell r="CD117">
            <v>186.59</v>
          </cell>
          <cell r="CE117">
            <v>0</v>
          </cell>
          <cell r="CF117">
            <v>0</v>
          </cell>
          <cell r="CG117">
            <v>186.59</v>
          </cell>
          <cell r="CH117">
            <v>57196.89</v>
          </cell>
          <cell r="CI117">
            <v>0</v>
          </cell>
          <cell r="CJ117">
            <v>0</v>
          </cell>
          <cell r="CK117">
            <v>57196.89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115.65</v>
          </cell>
          <cell r="EK117">
            <v>0</v>
          </cell>
          <cell r="EL117">
            <v>0</v>
          </cell>
          <cell r="EM117">
            <v>115.65</v>
          </cell>
        </row>
        <row r="118">
          <cell r="A118">
            <v>112</v>
          </cell>
          <cell r="B118" t="str">
            <v>E3633</v>
          </cell>
          <cell r="C118" t="str">
            <v>SD</v>
          </cell>
          <cell r="D118" t="str">
            <v>SE</v>
          </cell>
          <cell r="E118" t="str">
            <v>Guildford</v>
          </cell>
          <cell r="F118">
            <v>53622</v>
          </cell>
          <cell r="G118">
            <v>0</v>
          </cell>
          <cell r="H118">
            <v>0</v>
          </cell>
          <cell r="I118">
            <v>53622</v>
          </cell>
          <cell r="J118">
            <v>-32415</v>
          </cell>
          <cell r="K118">
            <v>0</v>
          </cell>
          <cell r="L118">
            <v>0</v>
          </cell>
          <cell r="M118">
            <v>-32415</v>
          </cell>
          <cell r="N118">
            <v>192388</v>
          </cell>
          <cell r="O118">
            <v>0</v>
          </cell>
          <cell r="P118">
            <v>0</v>
          </cell>
          <cell r="Q118">
            <v>192388</v>
          </cell>
          <cell r="R118">
            <v>440347</v>
          </cell>
          <cell r="S118">
            <v>0</v>
          </cell>
          <cell r="T118">
            <v>0</v>
          </cell>
          <cell r="U118">
            <v>440347</v>
          </cell>
          <cell r="V118">
            <v>1615526</v>
          </cell>
          <cell r="W118">
            <v>0</v>
          </cell>
          <cell r="X118">
            <v>0</v>
          </cell>
          <cell r="Y118">
            <v>1615526</v>
          </cell>
          <cell r="Z118">
            <v>114566</v>
          </cell>
          <cell r="AA118">
            <v>0</v>
          </cell>
          <cell r="AB118">
            <v>0</v>
          </cell>
          <cell r="AC118">
            <v>114566</v>
          </cell>
          <cell r="AD118">
            <v>1609612</v>
          </cell>
          <cell r="AE118">
            <v>0</v>
          </cell>
          <cell r="AF118">
            <v>0</v>
          </cell>
          <cell r="AG118">
            <v>1609612</v>
          </cell>
          <cell r="AH118">
            <v>-32386</v>
          </cell>
          <cell r="AI118">
            <v>0</v>
          </cell>
          <cell r="AJ118">
            <v>0</v>
          </cell>
          <cell r="AK118">
            <v>-32386</v>
          </cell>
          <cell r="AL118">
            <v>7211001</v>
          </cell>
          <cell r="AM118">
            <v>0</v>
          </cell>
          <cell r="AN118">
            <v>0</v>
          </cell>
          <cell r="AO118">
            <v>7211001</v>
          </cell>
          <cell r="AP118">
            <v>-326590</v>
          </cell>
          <cell r="AQ118">
            <v>0</v>
          </cell>
          <cell r="AR118">
            <v>0</v>
          </cell>
          <cell r="AS118">
            <v>-326590</v>
          </cell>
          <cell r="AT118">
            <v>68644</v>
          </cell>
          <cell r="AU118">
            <v>0</v>
          </cell>
          <cell r="AV118">
            <v>0</v>
          </cell>
          <cell r="AW118">
            <v>68644</v>
          </cell>
          <cell r="AX118">
            <v>411</v>
          </cell>
          <cell r="AY118">
            <v>0</v>
          </cell>
          <cell r="AZ118">
            <v>0</v>
          </cell>
          <cell r="BA118">
            <v>411</v>
          </cell>
          <cell r="BB118">
            <v>20899</v>
          </cell>
          <cell r="BC118">
            <v>0</v>
          </cell>
          <cell r="BD118">
            <v>0</v>
          </cell>
          <cell r="BE118">
            <v>20899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54992</v>
          </cell>
          <cell r="BK118">
            <v>0</v>
          </cell>
          <cell r="BL118">
            <v>0</v>
          </cell>
          <cell r="BM118">
            <v>54992</v>
          </cell>
          <cell r="BN118">
            <v>47145</v>
          </cell>
          <cell r="BO118">
            <v>0</v>
          </cell>
          <cell r="BP118">
            <v>0</v>
          </cell>
          <cell r="BQ118">
            <v>47145</v>
          </cell>
          <cell r="BR118">
            <v>2254099</v>
          </cell>
          <cell r="BS118">
            <v>0</v>
          </cell>
          <cell r="BT118">
            <v>0</v>
          </cell>
          <cell r="BU118">
            <v>2254099</v>
          </cell>
          <cell r="BV118">
            <v>3197597</v>
          </cell>
          <cell r="BW118">
            <v>0</v>
          </cell>
          <cell r="BX118">
            <v>0</v>
          </cell>
          <cell r="BY118">
            <v>3197597</v>
          </cell>
          <cell r="BZ118">
            <v>143825</v>
          </cell>
          <cell r="CA118">
            <v>0</v>
          </cell>
          <cell r="CB118">
            <v>0</v>
          </cell>
          <cell r="CC118">
            <v>143825</v>
          </cell>
          <cell r="CD118">
            <v>1852</v>
          </cell>
          <cell r="CE118">
            <v>0</v>
          </cell>
          <cell r="CF118">
            <v>0</v>
          </cell>
          <cell r="CG118">
            <v>1852</v>
          </cell>
          <cell r="CH118">
            <v>12406</v>
          </cell>
          <cell r="CI118">
            <v>0</v>
          </cell>
          <cell r="CJ118">
            <v>0</v>
          </cell>
          <cell r="CK118">
            <v>12406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20899</v>
          </cell>
          <cell r="CY118">
            <v>0</v>
          </cell>
          <cell r="CZ118">
            <v>0</v>
          </cell>
          <cell r="DA118">
            <v>20899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20189</v>
          </cell>
          <cell r="DG118">
            <v>0</v>
          </cell>
          <cell r="DH118">
            <v>0</v>
          </cell>
          <cell r="DI118">
            <v>20189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3523</v>
          </cell>
          <cell r="EG118">
            <v>0</v>
          </cell>
          <cell r="EH118">
            <v>0</v>
          </cell>
          <cell r="EI118">
            <v>3523</v>
          </cell>
          <cell r="EJ118">
            <v>-1682</v>
          </cell>
          <cell r="EK118">
            <v>0</v>
          </cell>
          <cell r="EL118">
            <v>0</v>
          </cell>
          <cell r="EM118">
            <v>-1682</v>
          </cell>
        </row>
        <row r="119">
          <cell r="A119">
            <v>113</v>
          </cell>
          <cell r="B119" t="str">
            <v>E5013</v>
          </cell>
          <cell r="C119" t="str">
            <v>ILB</v>
          </cell>
          <cell r="D119" t="str">
            <v>L</v>
          </cell>
          <cell r="E119" t="str">
            <v>Hackney</v>
          </cell>
          <cell r="F119">
            <v>1534362</v>
          </cell>
          <cell r="G119">
            <v>0</v>
          </cell>
          <cell r="H119">
            <v>0</v>
          </cell>
          <cell r="I119">
            <v>1534362</v>
          </cell>
          <cell r="J119">
            <v>-773096.56</v>
          </cell>
          <cell r="K119">
            <v>0</v>
          </cell>
          <cell r="L119">
            <v>0</v>
          </cell>
          <cell r="M119">
            <v>-773096.56</v>
          </cell>
          <cell r="N119">
            <v>60123.49</v>
          </cell>
          <cell r="O119">
            <v>0</v>
          </cell>
          <cell r="P119">
            <v>0</v>
          </cell>
          <cell r="Q119">
            <v>60123.49</v>
          </cell>
          <cell r="R119">
            <v>37100.35</v>
          </cell>
          <cell r="S119">
            <v>0</v>
          </cell>
          <cell r="T119">
            <v>0</v>
          </cell>
          <cell r="U119">
            <v>37100.35</v>
          </cell>
          <cell r="V119">
            <v>4948115.08</v>
          </cell>
          <cell r="W119">
            <v>0</v>
          </cell>
          <cell r="X119">
            <v>0</v>
          </cell>
          <cell r="Y119">
            <v>4948115.08</v>
          </cell>
          <cell r="Z119">
            <v>224912.86</v>
          </cell>
          <cell r="AA119">
            <v>0</v>
          </cell>
          <cell r="AB119">
            <v>0</v>
          </cell>
          <cell r="AC119">
            <v>224912.86</v>
          </cell>
          <cell r="AD119">
            <v>1581335.85</v>
          </cell>
          <cell r="AE119">
            <v>0</v>
          </cell>
          <cell r="AF119">
            <v>0</v>
          </cell>
          <cell r="AG119">
            <v>1581335.85</v>
          </cell>
          <cell r="AH119">
            <v>-38980.300000000003</v>
          </cell>
          <cell r="AI119">
            <v>0</v>
          </cell>
          <cell r="AJ119">
            <v>0</v>
          </cell>
          <cell r="AK119">
            <v>-38980.300000000003</v>
          </cell>
          <cell r="AL119">
            <v>10521134.800000001</v>
          </cell>
          <cell r="AM119">
            <v>0</v>
          </cell>
          <cell r="AN119">
            <v>0</v>
          </cell>
          <cell r="AO119">
            <v>10521134.800000001</v>
          </cell>
          <cell r="AP119">
            <v>235302.8</v>
          </cell>
          <cell r="AQ119">
            <v>0</v>
          </cell>
          <cell r="AR119">
            <v>0</v>
          </cell>
          <cell r="AS119">
            <v>235302.8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19197.37</v>
          </cell>
          <cell r="BK119">
            <v>0</v>
          </cell>
          <cell r="BL119">
            <v>0</v>
          </cell>
          <cell r="BM119">
            <v>19197.37</v>
          </cell>
          <cell r="BN119">
            <v>16380.34</v>
          </cell>
          <cell r="BO119">
            <v>0</v>
          </cell>
          <cell r="BP119">
            <v>0</v>
          </cell>
          <cell r="BQ119">
            <v>16380.34</v>
          </cell>
          <cell r="BR119">
            <v>3119661.89</v>
          </cell>
          <cell r="BS119">
            <v>0</v>
          </cell>
          <cell r="BT119">
            <v>0</v>
          </cell>
          <cell r="BU119">
            <v>3119661.89</v>
          </cell>
          <cell r="BV119">
            <v>215176.27</v>
          </cell>
          <cell r="BW119">
            <v>0</v>
          </cell>
          <cell r="BX119">
            <v>0</v>
          </cell>
          <cell r="BY119">
            <v>215176.27</v>
          </cell>
          <cell r="BZ119">
            <v>215584.2</v>
          </cell>
          <cell r="CA119">
            <v>0</v>
          </cell>
          <cell r="CB119">
            <v>0</v>
          </cell>
          <cell r="CC119">
            <v>215584.2</v>
          </cell>
          <cell r="CD119">
            <v>51121.72</v>
          </cell>
          <cell r="CE119">
            <v>0</v>
          </cell>
          <cell r="CF119">
            <v>0</v>
          </cell>
          <cell r="CG119">
            <v>51121.72</v>
          </cell>
          <cell r="CH119">
            <v>18936.98</v>
          </cell>
          <cell r="CI119">
            <v>0</v>
          </cell>
          <cell r="CJ119">
            <v>0</v>
          </cell>
          <cell r="CK119">
            <v>18936.98</v>
          </cell>
          <cell r="CL119">
            <v>49534.73</v>
          </cell>
          <cell r="CM119">
            <v>0</v>
          </cell>
          <cell r="CN119">
            <v>0</v>
          </cell>
          <cell r="CO119">
            <v>49534.73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25534.98</v>
          </cell>
          <cell r="EK119">
            <v>0</v>
          </cell>
          <cell r="EL119">
            <v>0</v>
          </cell>
          <cell r="EM119">
            <v>25534.98</v>
          </cell>
        </row>
        <row r="120">
          <cell r="A120">
            <v>114</v>
          </cell>
          <cell r="B120" t="str">
            <v>E0601</v>
          </cell>
          <cell r="C120" t="str">
            <v>UA</v>
          </cell>
          <cell r="D120" t="str">
            <v>NW</v>
          </cell>
          <cell r="E120" t="str">
            <v>Halton UA</v>
          </cell>
          <cell r="F120">
            <v>720563.25</v>
          </cell>
          <cell r="G120">
            <v>0</v>
          </cell>
          <cell r="H120">
            <v>0</v>
          </cell>
          <cell r="I120">
            <v>720563.25</v>
          </cell>
          <cell r="J120">
            <v>-240571.14</v>
          </cell>
          <cell r="K120">
            <v>0</v>
          </cell>
          <cell r="L120">
            <v>0</v>
          </cell>
          <cell r="M120">
            <v>-240571.14</v>
          </cell>
          <cell r="N120">
            <v>29501.38</v>
          </cell>
          <cell r="O120">
            <v>0</v>
          </cell>
          <cell r="P120">
            <v>0</v>
          </cell>
          <cell r="Q120">
            <v>29501.38</v>
          </cell>
          <cell r="R120">
            <v>130157.36</v>
          </cell>
          <cell r="S120">
            <v>0</v>
          </cell>
          <cell r="T120">
            <v>0</v>
          </cell>
          <cell r="U120">
            <v>130157.36</v>
          </cell>
          <cell r="V120">
            <v>1754190.79</v>
          </cell>
          <cell r="W120">
            <v>0</v>
          </cell>
          <cell r="X120">
            <v>0</v>
          </cell>
          <cell r="Y120">
            <v>1754190.79</v>
          </cell>
          <cell r="Z120">
            <v>83241.63</v>
          </cell>
          <cell r="AA120">
            <v>0</v>
          </cell>
          <cell r="AB120">
            <v>0</v>
          </cell>
          <cell r="AC120">
            <v>83241.63</v>
          </cell>
          <cell r="AD120">
            <v>1046871.72</v>
          </cell>
          <cell r="AE120">
            <v>0</v>
          </cell>
          <cell r="AF120">
            <v>0</v>
          </cell>
          <cell r="AG120">
            <v>1046871.72</v>
          </cell>
          <cell r="AH120">
            <v>86381.33</v>
          </cell>
          <cell r="AI120">
            <v>0</v>
          </cell>
          <cell r="AJ120">
            <v>0</v>
          </cell>
          <cell r="AK120">
            <v>86381.33</v>
          </cell>
          <cell r="AL120">
            <v>1993490.11</v>
          </cell>
          <cell r="AM120">
            <v>0</v>
          </cell>
          <cell r="AN120">
            <v>0</v>
          </cell>
          <cell r="AO120">
            <v>1993490.11</v>
          </cell>
          <cell r="AP120">
            <v>-14424.88</v>
          </cell>
          <cell r="AQ120">
            <v>0</v>
          </cell>
          <cell r="AR120">
            <v>0</v>
          </cell>
          <cell r="AS120">
            <v>-14424.88</v>
          </cell>
          <cell r="AT120">
            <v>56049</v>
          </cell>
          <cell r="AU120">
            <v>0</v>
          </cell>
          <cell r="AV120">
            <v>0</v>
          </cell>
          <cell r="AW120">
            <v>56049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1507.2</v>
          </cell>
          <cell r="BC120">
            <v>0</v>
          </cell>
          <cell r="BD120">
            <v>0</v>
          </cell>
          <cell r="BE120">
            <v>1507.2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239141.9</v>
          </cell>
          <cell r="BO120">
            <v>0</v>
          </cell>
          <cell r="BP120">
            <v>0</v>
          </cell>
          <cell r="BQ120">
            <v>239141.9</v>
          </cell>
          <cell r="BR120">
            <v>2999716.99</v>
          </cell>
          <cell r="BS120">
            <v>0</v>
          </cell>
          <cell r="BT120">
            <v>0</v>
          </cell>
          <cell r="BU120">
            <v>2999716.99</v>
          </cell>
          <cell r="BV120">
            <v>429668.13</v>
          </cell>
          <cell r="BW120">
            <v>0</v>
          </cell>
          <cell r="BX120">
            <v>0</v>
          </cell>
          <cell r="BY120">
            <v>429668.13</v>
          </cell>
          <cell r="BZ120">
            <v>63921.15</v>
          </cell>
          <cell r="CA120">
            <v>0</v>
          </cell>
          <cell r="CB120">
            <v>0</v>
          </cell>
          <cell r="CC120">
            <v>63921.15</v>
          </cell>
          <cell r="CD120">
            <v>-58.19</v>
          </cell>
          <cell r="CE120">
            <v>0</v>
          </cell>
          <cell r="CF120">
            <v>0</v>
          </cell>
          <cell r="CG120">
            <v>-58.19</v>
          </cell>
          <cell r="CH120">
            <v>250378.55</v>
          </cell>
          <cell r="CI120">
            <v>0</v>
          </cell>
          <cell r="CJ120">
            <v>0</v>
          </cell>
          <cell r="CK120">
            <v>250378.55</v>
          </cell>
          <cell r="CL120">
            <v>-824.39</v>
          </cell>
          <cell r="CM120">
            <v>0</v>
          </cell>
          <cell r="CN120">
            <v>0</v>
          </cell>
          <cell r="CO120">
            <v>-824.39</v>
          </cell>
          <cell r="CP120">
            <v>5463.6</v>
          </cell>
          <cell r="CQ120">
            <v>0</v>
          </cell>
          <cell r="CR120">
            <v>0</v>
          </cell>
          <cell r="CS120">
            <v>5463.6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31175</v>
          </cell>
          <cell r="DO120">
            <v>0</v>
          </cell>
          <cell r="DP120">
            <v>133045</v>
          </cell>
          <cell r="DQ120">
            <v>164220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133045.35999999999</v>
          </cell>
          <cell r="DW120">
            <v>31175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</row>
        <row r="121">
          <cell r="A121">
            <v>115</v>
          </cell>
          <cell r="B121" t="str">
            <v>E2732</v>
          </cell>
          <cell r="C121" t="str">
            <v>SD</v>
          </cell>
          <cell r="D121" t="str">
            <v>YH</v>
          </cell>
          <cell r="E121" t="str">
            <v>Hambleton</v>
          </cell>
          <cell r="F121">
            <v>63491</v>
          </cell>
          <cell r="G121">
            <v>0</v>
          </cell>
          <cell r="H121">
            <v>0</v>
          </cell>
          <cell r="I121">
            <v>63491</v>
          </cell>
          <cell r="J121">
            <v>-76071</v>
          </cell>
          <cell r="K121">
            <v>0</v>
          </cell>
          <cell r="L121">
            <v>0</v>
          </cell>
          <cell r="M121">
            <v>-76071</v>
          </cell>
          <cell r="N121">
            <v>4442</v>
          </cell>
          <cell r="O121">
            <v>0</v>
          </cell>
          <cell r="P121">
            <v>0</v>
          </cell>
          <cell r="Q121">
            <v>4442</v>
          </cell>
          <cell r="R121">
            <v>59143</v>
          </cell>
          <cell r="S121">
            <v>0</v>
          </cell>
          <cell r="T121">
            <v>0</v>
          </cell>
          <cell r="U121">
            <v>59143</v>
          </cell>
          <cell r="V121">
            <v>2375282</v>
          </cell>
          <cell r="W121">
            <v>0</v>
          </cell>
          <cell r="X121">
            <v>0</v>
          </cell>
          <cell r="Y121">
            <v>2375282</v>
          </cell>
          <cell r="Z121">
            <v>146145</v>
          </cell>
          <cell r="AA121">
            <v>0</v>
          </cell>
          <cell r="AB121">
            <v>0</v>
          </cell>
          <cell r="AC121">
            <v>146145</v>
          </cell>
          <cell r="AD121">
            <v>444861</v>
          </cell>
          <cell r="AE121">
            <v>0</v>
          </cell>
          <cell r="AF121">
            <v>0</v>
          </cell>
          <cell r="AG121">
            <v>444861</v>
          </cell>
          <cell r="AH121">
            <v>4972</v>
          </cell>
          <cell r="AI121">
            <v>0</v>
          </cell>
          <cell r="AJ121">
            <v>0</v>
          </cell>
          <cell r="AK121">
            <v>4972</v>
          </cell>
          <cell r="AL121">
            <v>754950</v>
          </cell>
          <cell r="AM121">
            <v>0</v>
          </cell>
          <cell r="AN121">
            <v>0</v>
          </cell>
          <cell r="AO121">
            <v>754950</v>
          </cell>
          <cell r="AP121">
            <v>-6887</v>
          </cell>
          <cell r="AQ121">
            <v>0</v>
          </cell>
          <cell r="AR121">
            <v>0</v>
          </cell>
          <cell r="AS121">
            <v>-6887</v>
          </cell>
          <cell r="AT121">
            <v>94613</v>
          </cell>
          <cell r="AU121">
            <v>0</v>
          </cell>
          <cell r="AV121">
            <v>0</v>
          </cell>
          <cell r="AW121">
            <v>94613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61137</v>
          </cell>
          <cell r="BC121">
            <v>0</v>
          </cell>
          <cell r="BD121">
            <v>0</v>
          </cell>
          <cell r="BE121">
            <v>61137</v>
          </cell>
          <cell r="BF121">
            <v>-354</v>
          </cell>
          <cell r="BG121">
            <v>0</v>
          </cell>
          <cell r="BH121">
            <v>0</v>
          </cell>
          <cell r="BI121">
            <v>-354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453905</v>
          </cell>
          <cell r="BS121">
            <v>0</v>
          </cell>
          <cell r="BT121">
            <v>0</v>
          </cell>
          <cell r="BU121">
            <v>453905</v>
          </cell>
          <cell r="BV121">
            <v>-1043</v>
          </cell>
          <cell r="BW121">
            <v>0</v>
          </cell>
          <cell r="BX121">
            <v>0</v>
          </cell>
          <cell r="BY121">
            <v>-1043</v>
          </cell>
          <cell r="BZ121">
            <v>67658</v>
          </cell>
          <cell r="CA121">
            <v>0</v>
          </cell>
          <cell r="CB121">
            <v>0</v>
          </cell>
          <cell r="CC121">
            <v>67658</v>
          </cell>
          <cell r="CD121">
            <v>-134</v>
          </cell>
          <cell r="CE121">
            <v>0</v>
          </cell>
          <cell r="CF121">
            <v>0</v>
          </cell>
          <cell r="CG121">
            <v>-134</v>
          </cell>
          <cell r="CH121">
            <v>23279</v>
          </cell>
          <cell r="CI121">
            <v>0</v>
          </cell>
          <cell r="CJ121">
            <v>0</v>
          </cell>
          <cell r="CK121">
            <v>23279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1283</v>
          </cell>
          <cell r="CQ121">
            <v>0</v>
          </cell>
          <cell r="CR121">
            <v>0</v>
          </cell>
          <cell r="CS121">
            <v>1283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15096</v>
          </cell>
          <cell r="CY121">
            <v>0</v>
          </cell>
          <cell r="CZ121">
            <v>0</v>
          </cell>
          <cell r="DA121">
            <v>15096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357</v>
          </cell>
          <cell r="DG121">
            <v>0</v>
          </cell>
          <cell r="DH121">
            <v>0</v>
          </cell>
          <cell r="DI121">
            <v>357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</row>
        <row r="122">
          <cell r="A122">
            <v>116</v>
          </cell>
          <cell r="B122" t="str">
            <v>E5014</v>
          </cell>
          <cell r="C122" t="str">
            <v>ILB</v>
          </cell>
          <cell r="D122" t="str">
            <v>L</v>
          </cell>
          <cell r="E122" t="str">
            <v>Hammersmith &amp; Fulham</v>
          </cell>
          <cell r="F122">
            <v>523629</v>
          </cell>
          <cell r="G122">
            <v>0</v>
          </cell>
          <cell r="H122">
            <v>0</v>
          </cell>
          <cell r="I122">
            <v>523629</v>
          </cell>
          <cell r="J122">
            <v>385179</v>
          </cell>
          <cell r="K122">
            <v>0</v>
          </cell>
          <cell r="L122">
            <v>0</v>
          </cell>
          <cell r="M122">
            <v>385179</v>
          </cell>
          <cell r="N122">
            <v>175899</v>
          </cell>
          <cell r="O122">
            <v>0</v>
          </cell>
          <cell r="P122">
            <v>0</v>
          </cell>
          <cell r="Q122">
            <v>175899</v>
          </cell>
          <cell r="R122">
            <v>-772777</v>
          </cell>
          <cell r="S122">
            <v>0</v>
          </cell>
          <cell r="T122">
            <v>0</v>
          </cell>
          <cell r="U122">
            <v>-772777</v>
          </cell>
          <cell r="V122">
            <v>2100531</v>
          </cell>
          <cell r="W122">
            <v>0</v>
          </cell>
          <cell r="X122">
            <v>0</v>
          </cell>
          <cell r="Y122">
            <v>2100531</v>
          </cell>
          <cell r="Z122">
            <v>243804</v>
          </cell>
          <cell r="AA122">
            <v>0</v>
          </cell>
          <cell r="AB122">
            <v>0</v>
          </cell>
          <cell r="AC122">
            <v>243804</v>
          </cell>
          <cell r="AD122">
            <v>3545966</v>
          </cell>
          <cell r="AE122">
            <v>0</v>
          </cell>
          <cell r="AF122">
            <v>0</v>
          </cell>
          <cell r="AG122">
            <v>3545966</v>
          </cell>
          <cell r="AH122">
            <v>-107782</v>
          </cell>
          <cell r="AI122">
            <v>0</v>
          </cell>
          <cell r="AJ122">
            <v>0</v>
          </cell>
          <cell r="AK122">
            <v>-107782</v>
          </cell>
          <cell r="AL122">
            <v>8019714</v>
          </cell>
          <cell r="AM122">
            <v>0</v>
          </cell>
          <cell r="AN122">
            <v>0</v>
          </cell>
          <cell r="AO122">
            <v>8019714</v>
          </cell>
          <cell r="AP122">
            <v>-123812</v>
          </cell>
          <cell r="AQ122">
            <v>0</v>
          </cell>
          <cell r="AR122">
            <v>0</v>
          </cell>
          <cell r="AS122">
            <v>-123812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98000</v>
          </cell>
          <cell r="BK122">
            <v>0</v>
          </cell>
          <cell r="BL122">
            <v>0</v>
          </cell>
          <cell r="BM122">
            <v>98000</v>
          </cell>
          <cell r="BN122">
            <v>211242</v>
          </cell>
          <cell r="BO122">
            <v>0</v>
          </cell>
          <cell r="BP122">
            <v>0</v>
          </cell>
          <cell r="BQ122">
            <v>211242</v>
          </cell>
          <cell r="BR122">
            <v>3748852</v>
          </cell>
          <cell r="BS122">
            <v>0</v>
          </cell>
          <cell r="BT122">
            <v>0</v>
          </cell>
          <cell r="BU122">
            <v>3748852</v>
          </cell>
          <cell r="BV122">
            <v>-179461</v>
          </cell>
          <cell r="BW122">
            <v>0</v>
          </cell>
          <cell r="BX122">
            <v>0</v>
          </cell>
          <cell r="BY122">
            <v>-179461</v>
          </cell>
          <cell r="BZ122">
            <v>46801</v>
          </cell>
          <cell r="CA122">
            <v>0</v>
          </cell>
          <cell r="CB122">
            <v>0</v>
          </cell>
          <cell r="CC122">
            <v>46801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78776</v>
          </cell>
          <cell r="CI122">
            <v>0</v>
          </cell>
          <cell r="CJ122">
            <v>0</v>
          </cell>
          <cell r="CK122">
            <v>78776</v>
          </cell>
          <cell r="CL122">
            <v>-7.67</v>
          </cell>
          <cell r="CM122">
            <v>0</v>
          </cell>
          <cell r="CN122">
            <v>0</v>
          </cell>
          <cell r="CO122">
            <v>-7.67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</row>
        <row r="123">
          <cell r="A123">
            <v>117</v>
          </cell>
          <cell r="B123" t="str">
            <v>E2433</v>
          </cell>
          <cell r="C123" t="str">
            <v>SD</v>
          </cell>
          <cell r="D123" t="str">
            <v>EM</v>
          </cell>
          <cell r="E123" t="str">
            <v>Harborough</v>
          </cell>
          <cell r="F123">
            <v>34499</v>
          </cell>
          <cell r="G123">
            <v>0</v>
          </cell>
          <cell r="H123">
            <v>0</v>
          </cell>
          <cell r="I123">
            <v>34499</v>
          </cell>
          <cell r="J123">
            <v>-52496</v>
          </cell>
          <cell r="K123">
            <v>0</v>
          </cell>
          <cell r="L123">
            <v>0</v>
          </cell>
          <cell r="M123">
            <v>-52496</v>
          </cell>
          <cell r="N123">
            <v>18258</v>
          </cell>
          <cell r="O123">
            <v>0</v>
          </cell>
          <cell r="P123">
            <v>0</v>
          </cell>
          <cell r="Q123">
            <v>18258</v>
          </cell>
          <cell r="R123">
            <v>601</v>
          </cell>
          <cell r="S123">
            <v>0</v>
          </cell>
          <cell r="T123">
            <v>0</v>
          </cell>
          <cell r="U123">
            <v>601</v>
          </cell>
          <cell r="V123">
            <v>1558148</v>
          </cell>
          <cell r="W123">
            <v>0</v>
          </cell>
          <cell r="X123">
            <v>0</v>
          </cell>
          <cell r="Y123">
            <v>1558148</v>
          </cell>
          <cell r="Z123">
            <v>81382</v>
          </cell>
          <cell r="AA123">
            <v>0</v>
          </cell>
          <cell r="AB123">
            <v>0</v>
          </cell>
          <cell r="AC123">
            <v>81382</v>
          </cell>
          <cell r="AD123">
            <v>694386</v>
          </cell>
          <cell r="AE123">
            <v>0</v>
          </cell>
          <cell r="AF123">
            <v>0</v>
          </cell>
          <cell r="AG123">
            <v>694386</v>
          </cell>
          <cell r="AH123">
            <v>-3644</v>
          </cell>
          <cell r="AI123">
            <v>0</v>
          </cell>
          <cell r="AJ123">
            <v>0</v>
          </cell>
          <cell r="AK123">
            <v>-3644</v>
          </cell>
          <cell r="AL123">
            <v>1496318</v>
          </cell>
          <cell r="AM123">
            <v>0</v>
          </cell>
          <cell r="AN123">
            <v>0</v>
          </cell>
          <cell r="AO123">
            <v>1496318</v>
          </cell>
          <cell r="AP123">
            <v>2438</v>
          </cell>
          <cell r="AQ123">
            <v>0</v>
          </cell>
          <cell r="AR123">
            <v>0</v>
          </cell>
          <cell r="AS123">
            <v>2438</v>
          </cell>
          <cell r="AT123">
            <v>38820</v>
          </cell>
          <cell r="AU123">
            <v>0</v>
          </cell>
          <cell r="AV123">
            <v>0</v>
          </cell>
          <cell r="AW123">
            <v>38820</v>
          </cell>
          <cell r="AX123">
            <v>1811</v>
          </cell>
          <cell r="AY123">
            <v>0</v>
          </cell>
          <cell r="AZ123">
            <v>0</v>
          </cell>
          <cell r="BA123">
            <v>1811</v>
          </cell>
          <cell r="BB123">
            <v>31493</v>
          </cell>
          <cell r="BC123">
            <v>0</v>
          </cell>
          <cell r="BD123">
            <v>0</v>
          </cell>
          <cell r="BE123">
            <v>31493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646397</v>
          </cell>
          <cell r="BK123">
            <v>0</v>
          </cell>
          <cell r="BL123">
            <v>0</v>
          </cell>
          <cell r="BM123">
            <v>646397</v>
          </cell>
          <cell r="BN123">
            <v>255694</v>
          </cell>
          <cell r="BO123">
            <v>0</v>
          </cell>
          <cell r="BP123">
            <v>0</v>
          </cell>
          <cell r="BQ123">
            <v>255694</v>
          </cell>
          <cell r="BR123">
            <v>817150</v>
          </cell>
          <cell r="BS123">
            <v>0</v>
          </cell>
          <cell r="BT123">
            <v>0</v>
          </cell>
          <cell r="BU123">
            <v>817150</v>
          </cell>
          <cell r="BV123">
            <v>-57537</v>
          </cell>
          <cell r="BW123">
            <v>0</v>
          </cell>
          <cell r="BX123">
            <v>0</v>
          </cell>
          <cell r="BY123">
            <v>-57537</v>
          </cell>
          <cell r="BZ123">
            <v>21282</v>
          </cell>
          <cell r="CA123">
            <v>0</v>
          </cell>
          <cell r="CB123">
            <v>0</v>
          </cell>
          <cell r="CC123">
            <v>21282</v>
          </cell>
          <cell r="CD123">
            <v>66</v>
          </cell>
          <cell r="CE123">
            <v>0</v>
          </cell>
          <cell r="CF123">
            <v>0</v>
          </cell>
          <cell r="CG123">
            <v>66</v>
          </cell>
          <cell r="CH123">
            <v>34842</v>
          </cell>
          <cell r="CI123">
            <v>0</v>
          </cell>
          <cell r="CJ123">
            <v>0</v>
          </cell>
          <cell r="CK123">
            <v>34842</v>
          </cell>
          <cell r="CL123">
            <v>-1510</v>
          </cell>
          <cell r="CM123">
            <v>0</v>
          </cell>
          <cell r="CN123">
            <v>0</v>
          </cell>
          <cell r="CO123">
            <v>-1510</v>
          </cell>
          <cell r="CP123">
            <v>9705</v>
          </cell>
          <cell r="CQ123">
            <v>0</v>
          </cell>
          <cell r="CR123">
            <v>0</v>
          </cell>
          <cell r="CS123">
            <v>9705</v>
          </cell>
          <cell r="CT123">
            <v>453</v>
          </cell>
          <cell r="CU123">
            <v>0</v>
          </cell>
          <cell r="CV123">
            <v>0</v>
          </cell>
          <cell r="CW123">
            <v>453</v>
          </cell>
          <cell r="CX123">
            <v>31493</v>
          </cell>
          <cell r="CY123">
            <v>0</v>
          </cell>
          <cell r="CZ123">
            <v>0</v>
          </cell>
          <cell r="DA123">
            <v>31493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765.16</v>
          </cell>
          <cell r="DY123">
            <v>0</v>
          </cell>
          <cell r="DZ123">
            <v>0</v>
          </cell>
          <cell r="EA123">
            <v>765.16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</row>
        <row r="124">
          <cell r="A124">
            <v>118</v>
          </cell>
          <cell r="B124" t="str">
            <v>E5038</v>
          </cell>
          <cell r="C124" t="str">
            <v>OLB</v>
          </cell>
          <cell r="D124" t="str">
            <v>L</v>
          </cell>
          <cell r="E124" t="str">
            <v>Haringey</v>
          </cell>
          <cell r="F124">
            <v>291606</v>
          </cell>
          <cell r="G124">
            <v>0</v>
          </cell>
          <cell r="H124">
            <v>0</v>
          </cell>
          <cell r="I124">
            <v>291606</v>
          </cell>
          <cell r="J124">
            <v>-417241</v>
          </cell>
          <cell r="K124">
            <v>0</v>
          </cell>
          <cell r="L124">
            <v>0</v>
          </cell>
          <cell r="M124">
            <v>-417241</v>
          </cell>
          <cell r="N124">
            <v>66016</v>
          </cell>
          <cell r="O124">
            <v>0</v>
          </cell>
          <cell r="P124">
            <v>0</v>
          </cell>
          <cell r="Q124">
            <v>66016</v>
          </cell>
          <cell r="R124">
            <v>37660</v>
          </cell>
          <cell r="S124">
            <v>0</v>
          </cell>
          <cell r="T124">
            <v>0</v>
          </cell>
          <cell r="U124">
            <v>37660</v>
          </cell>
          <cell r="V124">
            <v>3906001</v>
          </cell>
          <cell r="W124">
            <v>0</v>
          </cell>
          <cell r="X124">
            <v>0</v>
          </cell>
          <cell r="Y124">
            <v>3906001</v>
          </cell>
          <cell r="Z124">
            <v>190573</v>
          </cell>
          <cell r="AA124">
            <v>0</v>
          </cell>
          <cell r="AB124">
            <v>0</v>
          </cell>
          <cell r="AC124">
            <v>190573</v>
          </cell>
          <cell r="AD124">
            <v>1090298</v>
          </cell>
          <cell r="AE124">
            <v>0</v>
          </cell>
          <cell r="AF124">
            <v>0</v>
          </cell>
          <cell r="AG124">
            <v>1090298</v>
          </cell>
          <cell r="AH124">
            <v>-1799</v>
          </cell>
          <cell r="AI124">
            <v>0</v>
          </cell>
          <cell r="AJ124">
            <v>0</v>
          </cell>
          <cell r="AK124">
            <v>-1799</v>
          </cell>
          <cell r="AL124">
            <v>4805165</v>
          </cell>
          <cell r="AM124">
            <v>0</v>
          </cell>
          <cell r="AN124">
            <v>0</v>
          </cell>
          <cell r="AO124">
            <v>4805165</v>
          </cell>
          <cell r="AP124">
            <v>-50702</v>
          </cell>
          <cell r="AQ124">
            <v>0</v>
          </cell>
          <cell r="AR124">
            <v>0</v>
          </cell>
          <cell r="AS124">
            <v>-50702</v>
          </cell>
          <cell r="AT124">
            <v>23154</v>
          </cell>
          <cell r="AU124">
            <v>0</v>
          </cell>
          <cell r="AV124">
            <v>0</v>
          </cell>
          <cell r="AW124">
            <v>23154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29550</v>
          </cell>
          <cell r="BK124">
            <v>0</v>
          </cell>
          <cell r="BL124">
            <v>0</v>
          </cell>
          <cell r="BM124">
            <v>29550</v>
          </cell>
          <cell r="BN124">
            <v>3440</v>
          </cell>
          <cell r="BO124">
            <v>0</v>
          </cell>
          <cell r="BP124">
            <v>0</v>
          </cell>
          <cell r="BQ124">
            <v>3440</v>
          </cell>
          <cell r="BR124">
            <v>1774827</v>
          </cell>
          <cell r="BS124">
            <v>0</v>
          </cell>
          <cell r="BT124">
            <v>0</v>
          </cell>
          <cell r="BU124">
            <v>1774827</v>
          </cell>
          <cell r="BV124">
            <v>-91630</v>
          </cell>
          <cell r="BW124">
            <v>0</v>
          </cell>
          <cell r="BX124">
            <v>0</v>
          </cell>
          <cell r="BY124">
            <v>-91630</v>
          </cell>
          <cell r="BZ124">
            <v>438921</v>
          </cell>
          <cell r="CA124">
            <v>0</v>
          </cell>
          <cell r="CB124">
            <v>0</v>
          </cell>
          <cell r="CC124">
            <v>438921</v>
          </cell>
          <cell r="CD124">
            <v>-4441</v>
          </cell>
          <cell r="CE124">
            <v>0</v>
          </cell>
          <cell r="CF124">
            <v>0</v>
          </cell>
          <cell r="CG124">
            <v>-4441</v>
          </cell>
          <cell r="CH124">
            <v>164583</v>
          </cell>
          <cell r="CI124">
            <v>0</v>
          </cell>
          <cell r="CJ124">
            <v>0</v>
          </cell>
          <cell r="CK124">
            <v>164583</v>
          </cell>
          <cell r="CL124">
            <v>2829</v>
          </cell>
          <cell r="CM124">
            <v>0</v>
          </cell>
          <cell r="CN124">
            <v>0</v>
          </cell>
          <cell r="CO124">
            <v>2829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-7315</v>
          </cell>
          <cell r="EK124">
            <v>0</v>
          </cell>
          <cell r="EL124">
            <v>0</v>
          </cell>
          <cell r="EM124">
            <v>-7315</v>
          </cell>
        </row>
        <row r="125">
          <cell r="A125">
            <v>119</v>
          </cell>
          <cell r="B125" t="str">
            <v>E1538</v>
          </cell>
          <cell r="C125" t="str">
            <v>SD</v>
          </cell>
          <cell r="D125" t="str">
            <v>E</v>
          </cell>
          <cell r="E125" t="str">
            <v>Harlow</v>
          </cell>
          <cell r="F125">
            <v>82522.69</v>
          </cell>
          <cell r="G125">
            <v>0</v>
          </cell>
          <cell r="H125">
            <v>0</v>
          </cell>
          <cell r="I125">
            <v>82522.69</v>
          </cell>
          <cell r="J125">
            <v>-15377.44</v>
          </cell>
          <cell r="K125">
            <v>0</v>
          </cell>
          <cell r="L125">
            <v>-2.71</v>
          </cell>
          <cell r="M125">
            <v>-15380.15</v>
          </cell>
          <cell r="N125">
            <v>215048.65</v>
          </cell>
          <cell r="O125">
            <v>0</v>
          </cell>
          <cell r="P125">
            <v>0</v>
          </cell>
          <cell r="Q125">
            <v>215048.65</v>
          </cell>
          <cell r="R125">
            <v>209997.72</v>
          </cell>
          <cell r="S125">
            <v>0</v>
          </cell>
          <cell r="T125">
            <v>0</v>
          </cell>
          <cell r="U125">
            <v>209997.72</v>
          </cell>
          <cell r="V125">
            <v>747678.71999999997</v>
          </cell>
          <cell r="W125">
            <v>0</v>
          </cell>
          <cell r="X125">
            <v>31314.39</v>
          </cell>
          <cell r="Y125">
            <v>778993.11</v>
          </cell>
          <cell r="Z125">
            <v>24669.43</v>
          </cell>
          <cell r="AA125">
            <v>0</v>
          </cell>
          <cell r="AB125">
            <v>430.5</v>
          </cell>
          <cell r="AC125">
            <v>25099.93</v>
          </cell>
          <cell r="AD125">
            <v>849328.08</v>
          </cell>
          <cell r="AE125">
            <v>0</v>
          </cell>
          <cell r="AF125">
            <v>71297.259999999995</v>
          </cell>
          <cell r="AG125">
            <v>920625.34</v>
          </cell>
          <cell r="AH125">
            <v>-16226.45</v>
          </cell>
          <cell r="AI125">
            <v>0</v>
          </cell>
          <cell r="AJ125">
            <v>-167.86</v>
          </cell>
          <cell r="AK125">
            <v>-16394.310000000001</v>
          </cell>
          <cell r="AL125">
            <v>2368856.16</v>
          </cell>
          <cell r="AM125">
            <v>0</v>
          </cell>
          <cell r="AN125">
            <v>0</v>
          </cell>
          <cell r="AO125">
            <v>2368856.16</v>
          </cell>
          <cell r="AP125">
            <v>1315</v>
          </cell>
          <cell r="AQ125">
            <v>0</v>
          </cell>
          <cell r="AR125">
            <v>0</v>
          </cell>
          <cell r="AS125">
            <v>1315</v>
          </cell>
          <cell r="AT125">
            <v>63276.59</v>
          </cell>
          <cell r="AU125">
            <v>0</v>
          </cell>
          <cell r="AV125">
            <v>0</v>
          </cell>
          <cell r="AW125">
            <v>63276.59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74256.17</v>
          </cell>
          <cell r="BK125">
            <v>0</v>
          </cell>
          <cell r="BL125">
            <v>0</v>
          </cell>
          <cell r="BM125">
            <v>74256.17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2783471.65</v>
          </cell>
          <cell r="BS125">
            <v>0</v>
          </cell>
          <cell r="BT125">
            <v>1316726.3999999999</v>
          </cell>
          <cell r="BU125">
            <v>4100198.05</v>
          </cell>
          <cell r="BV125">
            <v>42007.77</v>
          </cell>
          <cell r="BW125">
            <v>0</v>
          </cell>
          <cell r="BX125">
            <v>158.78</v>
          </cell>
          <cell r="BY125">
            <v>42166.55</v>
          </cell>
          <cell r="BZ125">
            <v>29857.08</v>
          </cell>
          <cell r="CA125">
            <v>0</v>
          </cell>
          <cell r="CB125">
            <v>0</v>
          </cell>
          <cell r="CC125">
            <v>29857.08</v>
          </cell>
          <cell r="CD125">
            <v>722.01</v>
          </cell>
          <cell r="CE125">
            <v>0</v>
          </cell>
          <cell r="CF125">
            <v>0</v>
          </cell>
          <cell r="CG125">
            <v>722.01</v>
          </cell>
          <cell r="CH125">
            <v>3418.8</v>
          </cell>
          <cell r="CI125">
            <v>0</v>
          </cell>
          <cell r="CJ125">
            <v>0</v>
          </cell>
          <cell r="CK125">
            <v>3418.8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12599</v>
          </cell>
          <cell r="DQ125">
            <v>12599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</row>
        <row r="126">
          <cell r="A126">
            <v>120</v>
          </cell>
          <cell r="B126" t="str">
            <v>E2753</v>
          </cell>
          <cell r="C126" t="str">
            <v>SD</v>
          </cell>
          <cell r="D126" t="str">
            <v>YH</v>
          </cell>
          <cell r="E126" t="str">
            <v>Harrogate</v>
          </cell>
          <cell r="F126">
            <v>74545</v>
          </cell>
          <cell r="G126">
            <v>0</v>
          </cell>
          <cell r="H126">
            <v>0</v>
          </cell>
          <cell r="I126">
            <v>74545</v>
          </cell>
          <cell r="J126">
            <v>-186150</v>
          </cell>
          <cell r="K126">
            <v>0</v>
          </cell>
          <cell r="L126">
            <v>0</v>
          </cell>
          <cell r="M126">
            <v>-186150</v>
          </cell>
          <cell r="N126">
            <v>17622</v>
          </cell>
          <cell r="O126">
            <v>0</v>
          </cell>
          <cell r="P126">
            <v>0</v>
          </cell>
          <cell r="Q126">
            <v>17622</v>
          </cell>
          <cell r="R126">
            <v>65122</v>
          </cell>
          <cell r="S126">
            <v>0</v>
          </cell>
          <cell r="T126">
            <v>0</v>
          </cell>
          <cell r="U126">
            <v>65122</v>
          </cell>
          <cell r="V126">
            <v>4317699</v>
          </cell>
          <cell r="W126">
            <v>0</v>
          </cell>
          <cell r="X126">
            <v>0</v>
          </cell>
          <cell r="Y126">
            <v>4317699</v>
          </cell>
          <cell r="Z126">
            <v>253189</v>
          </cell>
          <cell r="AA126">
            <v>0</v>
          </cell>
          <cell r="AB126">
            <v>0</v>
          </cell>
          <cell r="AC126">
            <v>253189</v>
          </cell>
          <cell r="AD126">
            <v>1228657</v>
          </cell>
          <cell r="AE126">
            <v>0</v>
          </cell>
          <cell r="AF126">
            <v>0</v>
          </cell>
          <cell r="AG126">
            <v>1228657</v>
          </cell>
          <cell r="AH126">
            <v>27457</v>
          </cell>
          <cell r="AI126">
            <v>0</v>
          </cell>
          <cell r="AJ126">
            <v>0</v>
          </cell>
          <cell r="AK126">
            <v>27457</v>
          </cell>
          <cell r="AL126">
            <v>2912016</v>
          </cell>
          <cell r="AM126">
            <v>0</v>
          </cell>
          <cell r="AN126">
            <v>0</v>
          </cell>
          <cell r="AO126">
            <v>2912016</v>
          </cell>
          <cell r="AP126">
            <v>-62656</v>
          </cell>
          <cell r="AQ126">
            <v>0</v>
          </cell>
          <cell r="AR126">
            <v>0</v>
          </cell>
          <cell r="AS126">
            <v>-62656</v>
          </cell>
          <cell r="AT126">
            <v>115455</v>
          </cell>
          <cell r="AU126">
            <v>0</v>
          </cell>
          <cell r="AV126">
            <v>0</v>
          </cell>
          <cell r="AW126">
            <v>115455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56847</v>
          </cell>
          <cell r="BC126">
            <v>0</v>
          </cell>
          <cell r="BD126">
            <v>0</v>
          </cell>
          <cell r="BE126">
            <v>56847</v>
          </cell>
          <cell r="BF126">
            <v>624</v>
          </cell>
          <cell r="BG126">
            <v>0</v>
          </cell>
          <cell r="BH126">
            <v>0</v>
          </cell>
          <cell r="BI126">
            <v>624</v>
          </cell>
          <cell r="BJ126">
            <v>19328</v>
          </cell>
          <cell r="BK126">
            <v>0</v>
          </cell>
          <cell r="BL126">
            <v>0</v>
          </cell>
          <cell r="BM126">
            <v>19328</v>
          </cell>
          <cell r="BN126">
            <v>-4399</v>
          </cell>
          <cell r="BO126">
            <v>0</v>
          </cell>
          <cell r="BP126">
            <v>0</v>
          </cell>
          <cell r="BQ126">
            <v>-4399</v>
          </cell>
          <cell r="BR126">
            <v>1809542</v>
          </cell>
          <cell r="BS126">
            <v>0</v>
          </cell>
          <cell r="BT126">
            <v>0</v>
          </cell>
          <cell r="BU126">
            <v>1809542</v>
          </cell>
          <cell r="BV126">
            <v>78022</v>
          </cell>
          <cell r="BW126">
            <v>0</v>
          </cell>
          <cell r="BX126">
            <v>0</v>
          </cell>
          <cell r="BY126">
            <v>78022</v>
          </cell>
          <cell r="BZ126">
            <v>29841</v>
          </cell>
          <cell r="CA126">
            <v>0</v>
          </cell>
          <cell r="CB126">
            <v>0</v>
          </cell>
          <cell r="CC126">
            <v>29841</v>
          </cell>
          <cell r="CD126">
            <v>391</v>
          </cell>
          <cell r="CE126">
            <v>0</v>
          </cell>
          <cell r="CF126">
            <v>0</v>
          </cell>
          <cell r="CG126">
            <v>391</v>
          </cell>
          <cell r="CH126">
            <v>134614</v>
          </cell>
          <cell r="CI126">
            <v>0</v>
          </cell>
          <cell r="CJ126">
            <v>0</v>
          </cell>
          <cell r="CK126">
            <v>134614</v>
          </cell>
          <cell r="CL126">
            <v>3836</v>
          </cell>
          <cell r="CM126">
            <v>0</v>
          </cell>
          <cell r="CN126">
            <v>0</v>
          </cell>
          <cell r="CO126">
            <v>3836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14080</v>
          </cell>
          <cell r="CY126">
            <v>0</v>
          </cell>
          <cell r="CZ126">
            <v>0</v>
          </cell>
          <cell r="DA126">
            <v>14080</v>
          </cell>
          <cell r="DB126">
            <v>62</v>
          </cell>
          <cell r="DC126">
            <v>0</v>
          </cell>
          <cell r="DD126">
            <v>0</v>
          </cell>
          <cell r="DE126">
            <v>62</v>
          </cell>
          <cell r="DF126">
            <v>33005</v>
          </cell>
          <cell r="DG126">
            <v>0</v>
          </cell>
          <cell r="DH126">
            <v>0</v>
          </cell>
          <cell r="DI126">
            <v>33005</v>
          </cell>
          <cell r="DJ126">
            <v>-115</v>
          </cell>
          <cell r="DK126">
            <v>0</v>
          </cell>
          <cell r="DL126">
            <v>0</v>
          </cell>
          <cell r="DM126">
            <v>-115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3830</v>
          </cell>
          <cell r="EG126">
            <v>0</v>
          </cell>
          <cell r="EH126">
            <v>0</v>
          </cell>
          <cell r="EI126">
            <v>3830</v>
          </cell>
          <cell r="EJ126">
            <v>-214</v>
          </cell>
          <cell r="EK126">
            <v>0</v>
          </cell>
          <cell r="EL126">
            <v>0</v>
          </cell>
          <cell r="EM126">
            <v>-214</v>
          </cell>
        </row>
        <row r="127">
          <cell r="A127">
            <v>121</v>
          </cell>
          <cell r="B127" t="str">
            <v>E5039</v>
          </cell>
          <cell r="C127" t="str">
            <v>OLB</v>
          </cell>
          <cell r="D127" t="str">
            <v>L</v>
          </cell>
          <cell r="E127" t="str">
            <v>Harrow</v>
          </cell>
          <cell r="F127">
            <v>94298</v>
          </cell>
          <cell r="G127">
            <v>0</v>
          </cell>
          <cell r="H127">
            <v>0</v>
          </cell>
          <cell r="I127">
            <v>94298</v>
          </cell>
          <cell r="J127">
            <v>-44252</v>
          </cell>
          <cell r="K127">
            <v>0</v>
          </cell>
          <cell r="L127">
            <v>0</v>
          </cell>
          <cell r="M127">
            <v>-44252</v>
          </cell>
          <cell r="N127">
            <v>37082</v>
          </cell>
          <cell r="O127">
            <v>0</v>
          </cell>
          <cell r="P127">
            <v>0</v>
          </cell>
          <cell r="Q127">
            <v>37082</v>
          </cell>
          <cell r="R127">
            <v>174041</v>
          </cell>
          <cell r="S127">
            <v>0</v>
          </cell>
          <cell r="T127">
            <v>0</v>
          </cell>
          <cell r="U127">
            <v>174041</v>
          </cell>
          <cell r="V127">
            <v>2729626</v>
          </cell>
          <cell r="W127">
            <v>0</v>
          </cell>
          <cell r="X127">
            <v>0</v>
          </cell>
          <cell r="Y127">
            <v>2729626</v>
          </cell>
          <cell r="Z127">
            <v>128786</v>
          </cell>
          <cell r="AA127">
            <v>0</v>
          </cell>
          <cell r="AB127">
            <v>0</v>
          </cell>
          <cell r="AC127">
            <v>128786</v>
          </cell>
          <cell r="AD127">
            <v>839633</v>
          </cell>
          <cell r="AE127">
            <v>0</v>
          </cell>
          <cell r="AF127">
            <v>0</v>
          </cell>
          <cell r="AG127">
            <v>839633</v>
          </cell>
          <cell r="AH127">
            <v>8183</v>
          </cell>
          <cell r="AI127">
            <v>0</v>
          </cell>
          <cell r="AJ127">
            <v>0</v>
          </cell>
          <cell r="AK127">
            <v>8183</v>
          </cell>
          <cell r="AL127">
            <v>4133162</v>
          </cell>
          <cell r="AM127">
            <v>0</v>
          </cell>
          <cell r="AN127">
            <v>0</v>
          </cell>
          <cell r="AO127">
            <v>4133162</v>
          </cell>
          <cell r="AP127">
            <v>-8032</v>
          </cell>
          <cell r="AQ127">
            <v>0</v>
          </cell>
          <cell r="AR127">
            <v>0</v>
          </cell>
          <cell r="AS127">
            <v>-8032</v>
          </cell>
          <cell r="AT127">
            <v>163277</v>
          </cell>
          <cell r="AU127">
            <v>0</v>
          </cell>
          <cell r="AV127">
            <v>0</v>
          </cell>
          <cell r="AW127">
            <v>163277</v>
          </cell>
          <cell r="AX127">
            <v>-8468</v>
          </cell>
          <cell r="AY127">
            <v>0</v>
          </cell>
          <cell r="AZ127">
            <v>0</v>
          </cell>
          <cell r="BA127">
            <v>-8468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3619</v>
          </cell>
          <cell r="BO127">
            <v>0</v>
          </cell>
          <cell r="BP127">
            <v>0</v>
          </cell>
          <cell r="BQ127">
            <v>3619</v>
          </cell>
          <cell r="BR127">
            <v>1309175</v>
          </cell>
          <cell r="BS127">
            <v>0</v>
          </cell>
          <cell r="BT127">
            <v>0</v>
          </cell>
          <cell r="BU127">
            <v>1309175</v>
          </cell>
          <cell r="BV127">
            <v>166484</v>
          </cell>
          <cell r="BW127">
            <v>0</v>
          </cell>
          <cell r="BX127">
            <v>0</v>
          </cell>
          <cell r="BY127">
            <v>166484</v>
          </cell>
          <cell r="BZ127">
            <v>43082</v>
          </cell>
          <cell r="CA127">
            <v>0</v>
          </cell>
          <cell r="CB127">
            <v>0</v>
          </cell>
          <cell r="CC127">
            <v>43082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16239</v>
          </cell>
          <cell r="CI127">
            <v>0</v>
          </cell>
          <cell r="CJ127">
            <v>0</v>
          </cell>
          <cell r="CK127">
            <v>16239</v>
          </cell>
          <cell r="CL127">
            <v>-1965</v>
          </cell>
          <cell r="CM127">
            <v>0</v>
          </cell>
          <cell r="CN127">
            <v>0</v>
          </cell>
          <cell r="CO127">
            <v>-1965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</row>
        <row r="128">
          <cell r="A128">
            <v>122</v>
          </cell>
          <cell r="B128" t="str">
            <v>E1736</v>
          </cell>
          <cell r="C128" t="str">
            <v>SD</v>
          </cell>
          <cell r="D128" t="str">
            <v>SE</v>
          </cell>
          <cell r="E128" t="str">
            <v>Hart</v>
          </cell>
          <cell r="F128">
            <v>80095.09</v>
          </cell>
          <cell r="G128">
            <v>0</v>
          </cell>
          <cell r="H128">
            <v>0</v>
          </cell>
          <cell r="I128">
            <v>80095.09</v>
          </cell>
          <cell r="J128">
            <v>-402129.53</v>
          </cell>
          <cell r="K128">
            <v>0</v>
          </cell>
          <cell r="L128">
            <v>0</v>
          </cell>
          <cell r="M128">
            <v>-402129.53</v>
          </cell>
          <cell r="N128">
            <v>9859</v>
          </cell>
          <cell r="O128">
            <v>0</v>
          </cell>
          <cell r="P128">
            <v>0</v>
          </cell>
          <cell r="Q128">
            <v>9859</v>
          </cell>
          <cell r="R128">
            <v>8662</v>
          </cell>
          <cell r="S128">
            <v>0</v>
          </cell>
          <cell r="T128">
            <v>0</v>
          </cell>
          <cell r="U128">
            <v>8662</v>
          </cell>
          <cell r="V128">
            <v>992435.19999999995</v>
          </cell>
          <cell r="W128">
            <v>0</v>
          </cell>
          <cell r="X128">
            <v>0</v>
          </cell>
          <cell r="Y128">
            <v>992435.19999999995</v>
          </cell>
          <cell r="Z128">
            <v>76397.95</v>
          </cell>
          <cell r="AA128">
            <v>0</v>
          </cell>
          <cell r="AB128">
            <v>0</v>
          </cell>
          <cell r="AC128">
            <v>76397.95</v>
          </cell>
          <cell r="AD128">
            <v>565682.77</v>
          </cell>
          <cell r="AE128">
            <v>0</v>
          </cell>
          <cell r="AF128">
            <v>0</v>
          </cell>
          <cell r="AG128">
            <v>565682.77</v>
          </cell>
          <cell r="AH128">
            <v>-4741</v>
          </cell>
          <cell r="AI128">
            <v>0</v>
          </cell>
          <cell r="AJ128">
            <v>0</v>
          </cell>
          <cell r="AK128">
            <v>-4741</v>
          </cell>
          <cell r="AL128">
            <v>1283003.44</v>
          </cell>
          <cell r="AM128">
            <v>0</v>
          </cell>
          <cell r="AN128">
            <v>0</v>
          </cell>
          <cell r="AO128">
            <v>1283003.44</v>
          </cell>
          <cell r="AP128">
            <v>1218.4100000000001</v>
          </cell>
          <cell r="AQ128">
            <v>0</v>
          </cell>
          <cell r="AR128">
            <v>0</v>
          </cell>
          <cell r="AS128">
            <v>1218.4100000000001</v>
          </cell>
          <cell r="AT128">
            <v>34496.04</v>
          </cell>
          <cell r="AU128">
            <v>0</v>
          </cell>
          <cell r="AV128">
            <v>0</v>
          </cell>
          <cell r="AW128">
            <v>34496.04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2743.58</v>
          </cell>
          <cell r="BC128">
            <v>0</v>
          </cell>
          <cell r="BD128">
            <v>0</v>
          </cell>
          <cell r="BE128">
            <v>2743.58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-50951.07</v>
          </cell>
          <cell r="BO128">
            <v>0</v>
          </cell>
          <cell r="BP128">
            <v>0</v>
          </cell>
          <cell r="BQ128">
            <v>-50951.07</v>
          </cell>
          <cell r="BR128">
            <v>2044859.33</v>
          </cell>
          <cell r="BS128">
            <v>0</v>
          </cell>
          <cell r="BT128">
            <v>0</v>
          </cell>
          <cell r="BU128">
            <v>2044859.33</v>
          </cell>
          <cell r="BV128">
            <v>119113.35</v>
          </cell>
          <cell r="BW128">
            <v>0</v>
          </cell>
          <cell r="BX128">
            <v>0</v>
          </cell>
          <cell r="BY128">
            <v>119113.35</v>
          </cell>
          <cell r="BZ128">
            <v>55913.11</v>
          </cell>
          <cell r="CA128">
            <v>0</v>
          </cell>
          <cell r="CB128">
            <v>0</v>
          </cell>
          <cell r="CC128">
            <v>55913.11</v>
          </cell>
          <cell r="CD128">
            <v>469.42</v>
          </cell>
          <cell r="CE128">
            <v>0</v>
          </cell>
          <cell r="CF128">
            <v>0</v>
          </cell>
          <cell r="CG128">
            <v>469.42</v>
          </cell>
          <cell r="CH128">
            <v>21581.18</v>
          </cell>
          <cell r="CI128">
            <v>0</v>
          </cell>
          <cell r="CJ128">
            <v>0</v>
          </cell>
          <cell r="CK128">
            <v>21581.18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2743.57</v>
          </cell>
          <cell r="CY128">
            <v>0</v>
          </cell>
          <cell r="CZ128">
            <v>0</v>
          </cell>
          <cell r="DA128">
            <v>2743.57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</row>
        <row r="129">
          <cell r="A129">
            <v>123</v>
          </cell>
          <cell r="B129" t="str">
            <v>E0701</v>
          </cell>
          <cell r="C129" t="str">
            <v>UA</v>
          </cell>
          <cell r="D129" t="str">
            <v>NE</v>
          </cell>
          <cell r="E129" t="str">
            <v>Hartlepool UA</v>
          </cell>
          <cell r="F129">
            <v>9559741</v>
          </cell>
          <cell r="G129">
            <v>0</v>
          </cell>
          <cell r="H129">
            <v>0</v>
          </cell>
          <cell r="I129">
            <v>9559741</v>
          </cell>
          <cell r="J129">
            <v>-153452</v>
          </cell>
          <cell r="K129">
            <v>0</v>
          </cell>
          <cell r="L129">
            <v>0</v>
          </cell>
          <cell r="M129">
            <v>-153452</v>
          </cell>
          <cell r="N129">
            <v>27499</v>
          </cell>
          <cell r="O129">
            <v>0</v>
          </cell>
          <cell r="P129">
            <v>0</v>
          </cell>
          <cell r="Q129">
            <v>27499</v>
          </cell>
          <cell r="R129">
            <v>118465</v>
          </cell>
          <cell r="S129">
            <v>0</v>
          </cell>
          <cell r="T129">
            <v>0</v>
          </cell>
          <cell r="U129">
            <v>118465</v>
          </cell>
          <cell r="V129">
            <v>1818555</v>
          </cell>
          <cell r="W129">
            <v>0</v>
          </cell>
          <cell r="X129">
            <v>9</v>
          </cell>
          <cell r="Y129">
            <v>1818564</v>
          </cell>
          <cell r="Z129">
            <v>55551</v>
          </cell>
          <cell r="AA129">
            <v>0</v>
          </cell>
          <cell r="AB129">
            <v>0</v>
          </cell>
          <cell r="AC129">
            <v>55551</v>
          </cell>
          <cell r="AD129">
            <v>790474</v>
          </cell>
          <cell r="AE129">
            <v>0</v>
          </cell>
          <cell r="AF129">
            <v>0</v>
          </cell>
          <cell r="AG129">
            <v>790474</v>
          </cell>
          <cell r="AH129">
            <v>6374</v>
          </cell>
          <cell r="AI129">
            <v>0</v>
          </cell>
          <cell r="AJ129">
            <v>0</v>
          </cell>
          <cell r="AK129">
            <v>6374</v>
          </cell>
          <cell r="AL129">
            <v>1834595</v>
          </cell>
          <cell r="AM129">
            <v>0</v>
          </cell>
          <cell r="AN129">
            <v>0</v>
          </cell>
          <cell r="AO129">
            <v>1834595</v>
          </cell>
          <cell r="AP129">
            <v>44839</v>
          </cell>
          <cell r="AQ129">
            <v>0</v>
          </cell>
          <cell r="AR129">
            <v>0</v>
          </cell>
          <cell r="AS129">
            <v>44839</v>
          </cell>
          <cell r="AT129">
            <v>46129</v>
          </cell>
          <cell r="AU129">
            <v>0</v>
          </cell>
          <cell r="AV129">
            <v>0</v>
          </cell>
          <cell r="AW129">
            <v>46129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44396</v>
          </cell>
          <cell r="BK129">
            <v>0</v>
          </cell>
          <cell r="BL129">
            <v>0</v>
          </cell>
          <cell r="BM129">
            <v>44396</v>
          </cell>
          <cell r="BN129">
            <v>-52914</v>
          </cell>
          <cell r="BO129">
            <v>0</v>
          </cell>
          <cell r="BP129">
            <v>0</v>
          </cell>
          <cell r="BQ129">
            <v>-52914</v>
          </cell>
          <cell r="BR129">
            <v>1602256</v>
          </cell>
          <cell r="BS129">
            <v>0</v>
          </cell>
          <cell r="BT129">
            <v>0</v>
          </cell>
          <cell r="BU129">
            <v>1602256</v>
          </cell>
          <cell r="BV129">
            <v>64463</v>
          </cell>
          <cell r="BW129">
            <v>0</v>
          </cell>
          <cell r="BX129">
            <v>0</v>
          </cell>
          <cell r="BY129">
            <v>64463</v>
          </cell>
          <cell r="BZ129">
            <v>155381</v>
          </cell>
          <cell r="CA129">
            <v>0</v>
          </cell>
          <cell r="CB129">
            <v>0</v>
          </cell>
          <cell r="CC129">
            <v>155381</v>
          </cell>
          <cell r="CD129">
            <v>-184</v>
          </cell>
          <cell r="CE129">
            <v>0</v>
          </cell>
          <cell r="CF129">
            <v>0</v>
          </cell>
          <cell r="CG129">
            <v>-184</v>
          </cell>
          <cell r="CH129">
            <v>37761</v>
          </cell>
          <cell r="CI129">
            <v>0</v>
          </cell>
          <cell r="CJ129">
            <v>0</v>
          </cell>
          <cell r="CK129">
            <v>37761</v>
          </cell>
          <cell r="CL129">
            <v>-1633</v>
          </cell>
          <cell r="CM129">
            <v>0</v>
          </cell>
          <cell r="CN129">
            <v>0</v>
          </cell>
          <cell r="CO129">
            <v>-1633</v>
          </cell>
          <cell r="CP129">
            <v>2896</v>
          </cell>
          <cell r="CQ129">
            <v>0</v>
          </cell>
          <cell r="CR129">
            <v>0</v>
          </cell>
          <cell r="CS129">
            <v>2896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413</v>
          </cell>
          <cell r="CY129">
            <v>0</v>
          </cell>
          <cell r="CZ129">
            <v>0</v>
          </cell>
          <cell r="DA129">
            <v>413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65814</v>
          </cell>
          <cell r="DQ129">
            <v>65814</v>
          </cell>
          <cell r="DR129">
            <v>0</v>
          </cell>
          <cell r="DS129">
            <v>0</v>
          </cell>
          <cell r="DT129">
            <v>1998</v>
          </cell>
          <cell r="DU129">
            <v>1998</v>
          </cell>
          <cell r="DV129">
            <v>67812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</row>
        <row r="130">
          <cell r="A130">
            <v>124</v>
          </cell>
          <cell r="B130" t="str">
            <v>E1433</v>
          </cell>
          <cell r="C130" t="str">
            <v>SD</v>
          </cell>
          <cell r="D130" t="str">
            <v>SE</v>
          </cell>
          <cell r="E130" t="str">
            <v>Hastings</v>
          </cell>
          <cell r="F130">
            <v>93682</v>
          </cell>
          <cell r="G130">
            <v>0</v>
          </cell>
          <cell r="H130">
            <v>0</v>
          </cell>
          <cell r="I130">
            <v>93682</v>
          </cell>
          <cell r="J130">
            <v>-46286</v>
          </cell>
          <cell r="K130">
            <v>0</v>
          </cell>
          <cell r="L130">
            <v>0</v>
          </cell>
          <cell r="M130">
            <v>-46286</v>
          </cell>
          <cell r="N130">
            <v>5760</v>
          </cell>
          <cell r="O130">
            <v>0</v>
          </cell>
          <cell r="P130">
            <v>0</v>
          </cell>
          <cell r="Q130">
            <v>5760</v>
          </cell>
          <cell r="R130">
            <v>45619</v>
          </cell>
          <cell r="S130">
            <v>0</v>
          </cell>
          <cell r="T130">
            <v>0</v>
          </cell>
          <cell r="U130">
            <v>45619</v>
          </cell>
          <cell r="V130">
            <v>2208498</v>
          </cell>
          <cell r="W130">
            <v>0</v>
          </cell>
          <cell r="X130">
            <v>0</v>
          </cell>
          <cell r="Y130">
            <v>2208498</v>
          </cell>
          <cell r="Z130">
            <v>86515</v>
          </cell>
          <cell r="AA130">
            <v>0</v>
          </cell>
          <cell r="AB130">
            <v>0</v>
          </cell>
          <cell r="AC130">
            <v>86515</v>
          </cell>
          <cell r="AD130">
            <v>397910</v>
          </cell>
          <cell r="AE130">
            <v>0</v>
          </cell>
          <cell r="AF130">
            <v>0</v>
          </cell>
          <cell r="AG130">
            <v>397910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2049310</v>
          </cell>
          <cell r="AM130">
            <v>0</v>
          </cell>
          <cell r="AN130">
            <v>0</v>
          </cell>
          <cell r="AO130">
            <v>2049310</v>
          </cell>
          <cell r="AP130">
            <v>44587</v>
          </cell>
          <cell r="AQ130">
            <v>0</v>
          </cell>
          <cell r="AR130">
            <v>0</v>
          </cell>
          <cell r="AS130">
            <v>44587</v>
          </cell>
          <cell r="AT130">
            <v>35075</v>
          </cell>
          <cell r="AU130">
            <v>0</v>
          </cell>
          <cell r="AV130">
            <v>0</v>
          </cell>
          <cell r="AW130">
            <v>35075</v>
          </cell>
          <cell r="AX130">
            <v>4121</v>
          </cell>
          <cell r="AY130">
            <v>0</v>
          </cell>
          <cell r="AZ130">
            <v>0</v>
          </cell>
          <cell r="BA130">
            <v>4121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562552</v>
          </cell>
          <cell r="BS130">
            <v>0</v>
          </cell>
          <cell r="BT130">
            <v>0</v>
          </cell>
          <cell r="BU130">
            <v>562552</v>
          </cell>
          <cell r="BV130">
            <v>-65844</v>
          </cell>
          <cell r="BW130">
            <v>0</v>
          </cell>
          <cell r="BX130">
            <v>0</v>
          </cell>
          <cell r="BY130">
            <v>-65844</v>
          </cell>
          <cell r="BZ130">
            <v>124047</v>
          </cell>
          <cell r="CA130">
            <v>0</v>
          </cell>
          <cell r="CB130">
            <v>0</v>
          </cell>
          <cell r="CC130">
            <v>124047</v>
          </cell>
          <cell r="CD130">
            <v>2206</v>
          </cell>
          <cell r="CE130">
            <v>0</v>
          </cell>
          <cell r="CF130">
            <v>0</v>
          </cell>
          <cell r="CG130">
            <v>2206</v>
          </cell>
          <cell r="CH130">
            <v>121834</v>
          </cell>
          <cell r="CI130">
            <v>0</v>
          </cell>
          <cell r="CJ130">
            <v>0</v>
          </cell>
          <cell r="CK130">
            <v>121834</v>
          </cell>
          <cell r="CL130">
            <v>89</v>
          </cell>
          <cell r="CM130">
            <v>0</v>
          </cell>
          <cell r="CN130">
            <v>0</v>
          </cell>
          <cell r="CO130">
            <v>89</v>
          </cell>
          <cell r="CP130">
            <v>2249</v>
          </cell>
          <cell r="CQ130">
            <v>0</v>
          </cell>
          <cell r="CR130">
            <v>0</v>
          </cell>
          <cell r="CS130">
            <v>2249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</row>
        <row r="131">
          <cell r="A131">
            <v>125</v>
          </cell>
          <cell r="B131" t="str">
            <v>E1737</v>
          </cell>
          <cell r="C131" t="str">
            <v>SD</v>
          </cell>
          <cell r="D131" t="str">
            <v>SE</v>
          </cell>
          <cell r="E131" t="str">
            <v>Havant</v>
          </cell>
          <cell r="F131">
            <v>117410</v>
          </cell>
          <cell r="G131">
            <v>0</v>
          </cell>
          <cell r="H131">
            <v>0</v>
          </cell>
          <cell r="I131">
            <v>117410</v>
          </cell>
          <cell r="J131">
            <v>-99652</v>
          </cell>
          <cell r="K131">
            <v>0</v>
          </cell>
          <cell r="L131">
            <v>0</v>
          </cell>
          <cell r="M131">
            <v>-99652</v>
          </cell>
          <cell r="N131">
            <v>19477</v>
          </cell>
          <cell r="O131">
            <v>0</v>
          </cell>
          <cell r="P131">
            <v>0</v>
          </cell>
          <cell r="Q131">
            <v>19477</v>
          </cell>
          <cell r="R131">
            <v>122116</v>
          </cell>
          <cell r="S131">
            <v>0</v>
          </cell>
          <cell r="T131">
            <v>0</v>
          </cell>
          <cell r="U131">
            <v>122116</v>
          </cell>
          <cell r="V131">
            <v>1903661</v>
          </cell>
          <cell r="W131">
            <v>0</v>
          </cell>
          <cell r="X131">
            <v>0</v>
          </cell>
          <cell r="Y131">
            <v>1903661</v>
          </cell>
          <cell r="Z131">
            <v>131791</v>
          </cell>
          <cell r="AA131">
            <v>0</v>
          </cell>
          <cell r="AB131">
            <v>0</v>
          </cell>
          <cell r="AC131">
            <v>131791</v>
          </cell>
          <cell r="AD131">
            <v>605137</v>
          </cell>
          <cell r="AE131">
            <v>0</v>
          </cell>
          <cell r="AF131">
            <v>0</v>
          </cell>
          <cell r="AG131">
            <v>605137</v>
          </cell>
          <cell r="AH131">
            <v>-12123</v>
          </cell>
          <cell r="AI131">
            <v>0</v>
          </cell>
          <cell r="AJ131">
            <v>0</v>
          </cell>
          <cell r="AK131">
            <v>-12123</v>
          </cell>
          <cell r="AL131">
            <v>1801641</v>
          </cell>
          <cell r="AM131">
            <v>0</v>
          </cell>
          <cell r="AN131">
            <v>0</v>
          </cell>
          <cell r="AO131">
            <v>1801641</v>
          </cell>
          <cell r="AP131">
            <v>-30641</v>
          </cell>
          <cell r="AQ131">
            <v>0</v>
          </cell>
          <cell r="AR131">
            <v>0</v>
          </cell>
          <cell r="AS131">
            <v>-30641</v>
          </cell>
          <cell r="AT131">
            <v>2157</v>
          </cell>
          <cell r="AU131">
            <v>0</v>
          </cell>
          <cell r="AV131">
            <v>0</v>
          </cell>
          <cell r="AW131">
            <v>2157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1884</v>
          </cell>
          <cell r="BC131">
            <v>0</v>
          </cell>
          <cell r="BD131">
            <v>0</v>
          </cell>
          <cell r="BE131">
            <v>1884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164517</v>
          </cell>
          <cell r="BK131">
            <v>0</v>
          </cell>
          <cell r="BL131">
            <v>0</v>
          </cell>
          <cell r="BM131">
            <v>164517</v>
          </cell>
          <cell r="BN131">
            <v>-11821</v>
          </cell>
          <cell r="BO131">
            <v>0</v>
          </cell>
          <cell r="BP131">
            <v>0</v>
          </cell>
          <cell r="BQ131">
            <v>-11821</v>
          </cell>
          <cell r="BR131">
            <v>966035</v>
          </cell>
          <cell r="BS131">
            <v>0</v>
          </cell>
          <cell r="BT131">
            <v>0</v>
          </cell>
          <cell r="BU131">
            <v>966035</v>
          </cell>
          <cell r="BV131">
            <v>-280771</v>
          </cell>
          <cell r="BW131">
            <v>0</v>
          </cell>
          <cell r="BX131">
            <v>0</v>
          </cell>
          <cell r="BY131">
            <v>-280771</v>
          </cell>
          <cell r="BZ131">
            <v>92257</v>
          </cell>
          <cell r="CA131">
            <v>0</v>
          </cell>
          <cell r="CB131">
            <v>0</v>
          </cell>
          <cell r="CC131">
            <v>92257</v>
          </cell>
          <cell r="CD131">
            <v>-215</v>
          </cell>
          <cell r="CE131">
            <v>0</v>
          </cell>
          <cell r="CF131">
            <v>0</v>
          </cell>
          <cell r="CG131">
            <v>-215</v>
          </cell>
          <cell r="CH131">
            <v>87365</v>
          </cell>
          <cell r="CI131">
            <v>0</v>
          </cell>
          <cell r="CJ131">
            <v>0</v>
          </cell>
          <cell r="CK131">
            <v>87365</v>
          </cell>
          <cell r="CL131">
            <v>384</v>
          </cell>
          <cell r="CM131">
            <v>0</v>
          </cell>
          <cell r="CN131">
            <v>0</v>
          </cell>
          <cell r="CO131">
            <v>384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1884</v>
          </cell>
          <cell r="CY131">
            <v>0</v>
          </cell>
          <cell r="CZ131">
            <v>0</v>
          </cell>
          <cell r="DA131">
            <v>1884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</row>
        <row r="132">
          <cell r="A132">
            <v>126</v>
          </cell>
          <cell r="B132" t="str">
            <v>E5040</v>
          </cell>
          <cell r="C132" t="str">
            <v>OLB</v>
          </cell>
          <cell r="D132" t="str">
            <v>L</v>
          </cell>
          <cell r="E132" t="str">
            <v>Havering</v>
          </cell>
          <cell r="F132">
            <v>157658.70000000001</v>
          </cell>
          <cell r="G132">
            <v>0</v>
          </cell>
          <cell r="H132">
            <v>0</v>
          </cell>
          <cell r="I132">
            <v>157658.70000000001</v>
          </cell>
          <cell r="J132">
            <v>-247610.43</v>
          </cell>
          <cell r="K132">
            <v>0</v>
          </cell>
          <cell r="L132">
            <v>0</v>
          </cell>
          <cell r="M132">
            <v>-247610.43</v>
          </cell>
          <cell r="N132">
            <v>27027.29</v>
          </cell>
          <cell r="O132">
            <v>0</v>
          </cell>
          <cell r="P132">
            <v>0</v>
          </cell>
          <cell r="Q132">
            <v>27027.29</v>
          </cell>
          <cell r="R132">
            <v>324441.71999999997</v>
          </cell>
          <cell r="S132">
            <v>0</v>
          </cell>
          <cell r="T132">
            <v>0</v>
          </cell>
          <cell r="U132">
            <v>324441.71999999997</v>
          </cell>
          <cell r="V132">
            <v>3138430.23</v>
          </cell>
          <cell r="W132">
            <v>0</v>
          </cell>
          <cell r="X132">
            <v>0</v>
          </cell>
          <cell r="Y132">
            <v>3138430.23</v>
          </cell>
          <cell r="Z132">
            <v>164834.37</v>
          </cell>
          <cell r="AA132">
            <v>0</v>
          </cell>
          <cell r="AB132">
            <v>0</v>
          </cell>
          <cell r="AC132">
            <v>164834.37</v>
          </cell>
          <cell r="AD132">
            <v>1358590.21</v>
          </cell>
          <cell r="AE132">
            <v>0</v>
          </cell>
          <cell r="AF132">
            <v>0</v>
          </cell>
          <cell r="AG132">
            <v>1358590.21</v>
          </cell>
          <cell r="AH132">
            <v>-42031.27</v>
          </cell>
          <cell r="AI132">
            <v>0</v>
          </cell>
          <cell r="AJ132">
            <v>0</v>
          </cell>
          <cell r="AK132">
            <v>-42031.27</v>
          </cell>
          <cell r="AL132">
            <v>4236816.7</v>
          </cell>
          <cell r="AM132">
            <v>0</v>
          </cell>
          <cell r="AN132">
            <v>0</v>
          </cell>
          <cell r="AO132">
            <v>4236816.7</v>
          </cell>
          <cell r="AP132">
            <v>118021.29</v>
          </cell>
          <cell r="AQ132">
            <v>0</v>
          </cell>
          <cell r="AR132">
            <v>0</v>
          </cell>
          <cell r="AS132">
            <v>118021.29</v>
          </cell>
          <cell r="AT132">
            <v>315645.36</v>
          </cell>
          <cell r="AU132">
            <v>0</v>
          </cell>
          <cell r="AV132">
            <v>0</v>
          </cell>
          <cell r="AW132">
            <v>315645.36</v>
          </cell>
          <cell r="AX132">
            <v>-3816.28</v>
          </cell>
          <cell r="AY132">
            <v>0</v>
          </cell>
          <cell r="AZ132">
            <v>0</v>
          </cell>
          <cell r="BA132">
            <v>-3816.28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16635.29</v>
          </cell>
          <cell r="BO132">
            <v>0</v>
          </cell>
          <cell r="BP132">
            <v>0</v>
          </cell>
          <cell r="BQ132">
            <v>16635.29</v>
          </cell>
          <cell r="BR132">
            <v>3611037.75</v>
          </cell>
          <cell r="BS132">
            <v>0</v>
          </cell>
          <cell r="BT132">
            <v>0</v>
          </cell>
          <cell r="BU132">
            <v>3611037.75</v>
          </cell>
          <cell r="BV132">
            <v>41905.1</v>
          </cell>
          <cell r="BW132">
            <v>0</v>
          </cell>
          <cell r="BX132">
            <v>0</v>
          </cell>
          <cell r="BY132">
            <v>41905.1</v>
          </cell>
          <cell r="BZ132">
            <v>143427.6</v>
          </cell>
          <cell r="CA132">
            <v>0</v>
          </cell>
          <cell r="CB132">
            <v>0</v>
          </cell>
          <cell r="CC132">
            <v>143427.6</v>
          </cell>
          <cell r="CD132">
            <v>5836.25</v>
          </cell>
          <cell r="CE132">
            <v>0</v>
          </cell>
          <cell r="CF132">
            <v>0</v>
          </cell>
          <cell r="CG132">
            <v>5836.25</v>
          </cell>
          <cell r="CH132">
            <v>9772.4</v>
          </cell>
          <cell r="CI132">
            <v>0</v>
          </cell>
          <cell r="CJ132">
            <v>0</v>
          </cell>
          <cell r="CK132">
            <v>9772.4</v>
          </cell>
          <cell r="CL132">
            <v>1540.31</v>
          </cell>
          <cell r="CM132">
            <v>0</v>
          </cell>
          <cell r="CN132">
            <v>0</v>
          </cell>
          <cell r="CO132">
            <v>1540.31</v>
          </cell>
          <cell r="CP132">
            <v>70602.899999999994</v>
          </cell>
          <cell r="CQ132">
            <v>0</v>
          </cell>
          <cell r="CR132">
            <v>0</v>
          </cell>
          <cell r="CS132">
            <v>70602.899999999994</v>
          </cell>
          <cell r="CT132">
            <v>-693.08</v>
          </cell>
          <cell r="CU132">
            <v>0</v>
          </cell>
          <cell r="CV132">
            <v>0</v>
          </cell>
          <cell r="CW132">
            <v>-693.08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</row>
        <row r="133">
          <cell r="A133">
            <v>127</v>
          </cell>
          <cell r="B133" t="str">
            <v>E1801</v>
          </cell>
          <cell r="C133" t="str">
            <v>UA</v>
          </cell>
          <cell r="D133" t="str">
            <v>WM</v>
          </cell>
          <cell r="E133" t="str">
            <v>Herefordshire UA</v>
          </cell>
          <cell r="F133">
            <v>175817.76</v>
          </cell>
          <cell r="G133">
            <v>0</v>
          </cell>
          <cell r="H133">
            <v>0</v>
          </cell>
          <cell r="I133">
            <v>175817.76</v>
          </cell>
          <cell r="J133">
            <v>-135541.62</v>
          </cell>
          <cell r="K133">
            <v>0</v>
          </cell>
          <cell r="L133">
            <v>-7424.16</v>
          </cell>
          <cell r="M133">
            <v>-142965.78</v>
          </cell>
          <cell r="N133">
            <v>82275.789999999994</v>
          </cell>
          <cell r="O133">
            <v>0</v>
          </cell>
          <cell r="P133">
            <v>0</v>
          </cell>
          <cell r="Q133">
            <v>82275.789999999994</v>
          </cell>
          <cell r="R133">
            <v>131386.68</v>
          </cell>
          <cell r="S133">
            <v>0</v>
          </cell>
          <cell r="T133">
            <v>0</v>
          </cell>
          <cell r="U133">
            <v>131386.68</v>
          </cell>
          <cell r="V133">
            <v>4936525.42</v>
          </cell>
          <cell r="W133">
            <v>0</v>
          </cell>
          <cell r="X133">
            <v>28486.41</v>
          </cell>
          <cell r="Y133">
            <v>4965011.83</v>
          </cell>
          <cell r="Z133">
            <v>291620.57</v>
          </cell>
          <cell r="AA133">
            <v>0</v>
          </cell>
          <cell r="AB133">
            <v>-2910.06</v>
          </cell>
          <cell r="AC133">
            <v>288710.51</v>
          </cell>
          <cell r="AD133">
            <v>856889.29</v>
          </cell>
          <cell r="AE133">
            <v>0</v>
          </cell>
          <cell r="AF133">
            <v>460.65</v>
          </cell>
          <cell r="AG133">
            <v>857349.94</v>
          </cell>
          <cell r="AH133">
            <v>-23603.3</v>
          </cell>
          <cell r="AI133">
            <v>0</v>
          </cell>
          <cell r="AJ133">
            <v>-192.89</v>
          </cell>
          <cell r="AK133">
            <v>-23796.19</v>
          </cell>
          <cell r="AL133">
            <v>4042649.86</v>
          </cell>
          <cell r="AM133">
            <v>0</v>
          </cell>
          <cell r="AN133">
            <v>638.91</v>
          </cell>
          <cell r="AO133">
            <v>4043288.77</v>
          </cell>
          <cell r="AP133">
            <v>-48238.5</v>
          </cell>
          <cell r="AQ133">
            <v>0</v>
          </cell>
          <cell r="AR133">
            <v>-740.86</v>
          </cell>
          <cell r="AS133">
            <v>-48979.360000000001</v>
          </cell>
          <cell r="AT133">
            <v>69583.48</v>
          </cell>
          <cell r="AU133">
            <v>0</v>
          </cell>
          <cell r="AV133">
            <v>0</v>
          </cell>
          <cell r="AW133">
            <v>69583.48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88735.52</v>
          </cell>
          <cell r="BC133">
            <v>0</v>
          </cell>
          <cell r="BD133">
            <v>0</v>
          </cell>
          <cell r="BE133">
            <v>88735.52</v>
          </cell>
          <cell r="BF133">
            <v>-5026.2299999999996</v>
          </cell>
          <cell r="BG133">
            <v>0</v>
          </cell>
          <cell r="BH133">
            <v>0</v>
          </cell>
          <cell r="BI133">
            <v>-5026.2299999999996</v>
          </cell>
          <cell r="BJ133">
            <v>4164.22</v>
          </cell>
          <cell r="BK133">
            <v>0</v>
          </cell>
          <cell r="BL133">
            <v>0</v>
          </cell>
          <cell r="BM133">
            <v>4164.22</v>
          </cell>
          <cell r="BN133">
            <v>15751.76</v>
          </cell>
          <cell r="BO133">
            <v>0</v>
          </cell>
          <cell r="BP133">
            <v>0</v>
          </cell>
          <cell r="BQ133">
            <v>15751.76</v>
          </cell>
          <cell r="BR133">
            <v>2023704.61</v>
          </cell>
          <cell r="BS133">
            <v>0</v>
          </cell>
          <cell r="BT133">
            <v>2638.37</v>
          </cell>
          <cell r="BU133">
            <v>2026342.98</v>
          </cell>
          <cell r="BV133">
            <v>-56567.35</v>
          </cell>
          <cell r="BW133">
            <v>0</v>
          </cell>
          <cell r="BX133">
            <v>-1100.18</v>
          </cell>
          <cell r="BY133">
            <v>-57667.53</v>
          </cell>
          <cell r="BZ133">
            <v>433388.84</v>
          </cell>
          <cell r="CA133">
            <v>0</v>
          </cell>
          <cell r="CB133">
            <v>0</v>
          </cell>
          <cell r="CC133">
            <v>433388.84</v>
          </cell>
          <cell r="CD133">
            <v>903.94</v>
          </cell>
          <cell r="CE133">
            <v>0</v>
          </cell>
          <cell r="CF133">
            <v>-185.23</v>
          </cell>
          <cell r="CG133">
            <v>718.71</v>
          </cell>
          <cell r="CH133">
            <v>126063</v>
          </cell>
          <cell r="CI133">
            <v>0</v>
          </cell>
          <cell r="CJ133">
            <v>0</v>
          </cell>
          <cell r="CK133">
            <v>126063</v>
          </cell>
          <cell r="CL133">
            <v>-500.38</v>
          </cell>
          <cell r="CM133">
            <v>0</v>
          </cell>
          <cell r="CN133">
            <v>0</v>
          </cell>
          <cell r="CO133">
            <v>-500.38</v>
          </cell>
          <cell r="CP133">
            <v>12158.36</v>
          </cell>
          <cell r="CQ133">
            <v>0</v>
          </cell>
          <cell r="CR133">
            <v>0</v>
          </cell>
          <cell r="CS133">
            <v>12158.36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58773.35</v>
          </cell>
          <cell r="CY133">
            <v>0</v>
          </cell>
          <cell r="CZ133">
            <v>0</v>
          </cell>
          <cell r="DA133">
            <v>58773.35</v>
          </cell>
          <cell r="DB133">
            <v>-3062.42</v>
          </cell>
          <cell r="DC133">
            <v>0</v>
          </cell>
          <cell r="DD133">
            <v>0</v>
          </cell>
          <cell r="DE133">
            <v>-3062.42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64227.02</v>
          </cell>
          <cell r="DQ133">
            <v>64227.02</v>
          </cell>
          <cell r="DR133">
            <v>0</v>
          </cell>
          <cell r="DS133">
            <v>0</v>
          </cell>
          <cell r="DT133">
            <v>-3678.65</v>
          </cell>
          <cell r="DU133">
            <v>-3678.65</v>
          </cell>
          <cell r="DV133">
            <v>60548.37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</row>
        <row r="134">
          <cell r="A134">
            <v>128</v>
          </cell>
          <cell r="B134" t="str">
            <v>E1934</v>
          </cell>
          <cell r="C134" t="str">
            <v>SD</v>
          </cell>
          <cell r="D134" t="str">
            <v>E</v>
          </cell>
          <cell r="E134" t="str">
            <v>Hertsmere</v>
          </cell>
          <cell r="F134">
            <v>35255.040000000001</v>
          </cell>
          <cell r="G134">
            <v>0</v>
          </cell>
          <cell r="H134">
            <v>0</v>
          </cell>
          <cell r="I134">
            <v>35255.040000000001</v>
          </cell>
          <cell r="J134">
            <v>-137501.16</v>
          </cell>
          <cell r="K134">
            <v>0</v>
          </cell>
          <cell r="L134">
            <v>0</v>
          </cell>
          <cell r="M134">
            <v>-137501.16</v>
          </cell>
          <cell r="N134">
            <v>84551.98</v>
          </cell>
          <cell r="O134">
            <v>0</v>
          </cell>
          <cell r="P134">
            <v>0</v>
          </cell>
          <cell r="Q134">
            <v>84551.98</v>
          </cell>
          <cell r="R134">
            <v>193884.88</v>
          </cell>
          <cell r="S134">
            <v>0</v>
          </cell>
          <cell r="T134">
            <v>0</v>
          </cell>
          <cell r="U134">
            <v>193884.88</v>
          </cell>
          <cell r="V134">
            <v>1459858.33</v>
          </cell>
          <cell r="W134">
            <v>0</v>
          </cell>
          <cell r="X134">
            <v>0</v>
          </cell>
          <cell r="Y134">
            <v>1459858.33</v>
          </cell>
          <cell r="Z134">
            <v>172481.57</v>
          </cell>
          <cell r="AA134">
            <v>0</v>
          </cell>
          <cell r="AB134">
            <v>0</v>
          </cell>
          <cell r="AC134">
            <v>172481.57</v>
          </cell>
          <cell r="AD134">
            <v>901941.94</v>
          </cell>
          <cell r="AE134">
            <v>0</v>
          </cell>
          <cell r="AF134">
            <v>0</v>
          </cell>
          <cell r="AG134">
            <v>901941.94</v>
          </cell>
          <cell r="AH134">
            <v>-24228.11</v>
          </cell>
          <cell r="AI134">
            <v>0</v>
          </cell>
          <cell r="AJ134">
            <v>0</v>
          </cell>
          <cell r="AK134">
            <v>-24228.11</v>
          </cell>
          <cell r="AL134">
            <v>4428903.7699999996</v>
          </cell>
          <cell r="AM134">
            <v>0</v>
          </cell>
          <cell r="AN134">
            <v>0</v>
          </cell>
          <cell r="AO134">
            <v>4428903.7699999996</v>
          </cell>
          <cell r="AP134">
            <v>-44371.55</v>
          </cell>
          <cell r="AQ134">
            <v>0</v>
          </cell>
          <cell r="AR134">
            <v>0</v>
          </cell>
          <cell r="AS134">
            <v>-44371.55</v>
          </cell>
          <cell r="AT134">
            <v>49605.72</v>
          </cell>
          <cell r="AU134">
            <v>0</v>
          </cell>
          <cell r="AV134">
            <v>0</v>
          </cell>
          <cell r="AW134">
            <v>49605.72</v>
          </cell>
          <cell r="AX134">
            <v>-21189.81</v>
          </cell>
          <cell r="AY134">
            <v>0</v>
          </cell>
          <cell r="AZ134">
            <v>0</v>
          </cell>
          <cell r="BA134">
            <v>-21189.81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114981.78</v>
          </cell>
          <cell r="BK134">
            <v>0</v>
          </cell>
          <cell r="BL134">
            <v>0</v>
          </cell>
          <cell r="BM134">
            <v>114981.78</v>
          </cell>
          <cell r="BN134">
            <v>-10923.92</v>
          </cell>
          <cell r="BO134">
            <v>0</v>
          </cell>
          <cell r="BP134">
            <v>0</v>
          </cell>
          <cell r="BQ134">
            <v>-10923.92</v>
          </cell>
          <cell r="BR134">
            <v>1303146.8899999999</v>
          </cell>
          <cell r="BS134">
            <v>0</v>
          </cell>
          <cell r="BT134">
            <v>0</v>
          </cell>
          <cell r="BU134">
            <v>1303146.8899999999</v>
          </cell>
          <cell r="BV134">
            <v>-205323.48</v>
          </cell>
          <cell r="BW134">
            <v>0</v>
          </cell>
          <cell r="BX134">
            <v>0</v>
          </cell>
          <cell r="BY134">
            <v>-205323.48</v>
          </cell>
          <cell r="BZ134">
            <v>101997.27</v>
          </cell>
          <cell r="CA134">
            <v>0</v>
          </cell>
          <cell r="CB134">
            <v>0</v>
          </cell>
          <cell r="CC134">
            <v>101997.27</v>
          </cell>
          <cell r="CD134">
            <v>21800.81</v>
          </cell>
          <cell r="CE134">
            <v>0</v>
          </cell>
          <cell r="CF134">
            <v>0</v>
          </cell>
          <cell r="CG134">
            <v>21800.81</v>
          </cell>
          <cell r="CH134">
            <v>38438.879999999997</v>
          </cell>
          <cell r="CI134">
            <v>0</v>
          </cell>
          <cell r="CJ134">
            <v>0</v>
          </cell>
          <cell r="CK134">
            <v>38438.879999999997</v>
          </cell>
          <cell r="CL134">
            <v>7195.81</v>
          </cell>
          <cell r="CM134">
            <v>0</v>
          </cell>
          <cell r="CN134">
            <v>0</v>
          </cell>
          <cell r="CO134">
            <v>7195.81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</row>
        <row r="135">
          <cell r="A135">
            <v>129</v>
          </cell>
          <cell r="B135" t="str">
            <v>E1037</v>
          </cell>
          <cell r="C135" t="str">
            <v>SD</v>
          </cell>
          <cell r="D135" t="str">
            <v>EM</v>
          </cell>
          <cell r="E135" t="str">
            <v>High Peak</v>
          </cell>
          <cell r="F135">
            <v>124698</v>
          </cell>
          <cell r="G135">
            <v>0</v>
          </cell>
          <cell r="H135">
            <v>0</v>
          </cell>
          <cell r="I135">
            <v>124698</v>
          </cell>
          <cell r="J135">
            <v>1332</v>
          </cell>
          <cell r="K135">
            <v>0</v>
          </cell>
          <cell r="L135">
            <v>0</v>
          </cell>
          <cell r="M135">
            <v>1332</v>
          </cell>
          <cell r="N135">
            <v>40157</v>
          </cell>
          <cell r="O135">
            <v>0</v>
          </cell>
          <cell r="P135">
            <v>0</v>
          </cell>
          <cell r="Q135">
            <v>40157</v>
          </cell>
          <cell r="R135">
            <v>66596</v>
          </cell>
          <cell r="S135">
            <v>0</v>
          </cell>
          <cell r="T135">
            <v>0</v>
          </cell>
          <cell r="U135">
            <v>66596</v>
          </cell>
          <cell r="V135">
            <v>2407139</v>
          </cell>
          <cell r="W135">
            <v>0</v>
          </cell>
          <cell r="X135">
            <v>0</v>
          </cell>
          <cell r="Y135">
            <v>2407139</v>
          </cell>
          <cell r="Z135">
            <v>84926</v>
          </cell>
          <cell r="AA135">
            <v>0</v>
          </cell>
          <cell r="AB135">
            <v>0</v>
          </cell>
          <cell r="AC135">
            <v>84926</v>
          </cell>
          <cell r="AD135">
            <v>429371</v>
          </cell>
          <cell r="AE135">
            <v>0</v>
          </cell>
          <cell r="AF135">
            <v>0</v>
          </cell>
          <cell r="AG135">
            <v>429371</v>
          </cell>
          <cell r="AH135">
            <v>-11358</v>
          </cell>
          <cell r="AI135">
            <v>0</v>
          </cell>
          <cell r="AJ135">
            <v>0</v>
          </cell>
          <cell r="AK135">
            <v>-11358</v>
          </cell>
          <cell r="AL135">
            <v>902574</v>
          </cell>
          <cell r="AM135">
            <v>0</v>
          </cell>
          <cell r="AN135">
            <v>0</v>
          </cell>
          <cell r="AO135">
            <v>902574</v>
          </cell>
          <cell r="AP135">
            <v>22013</v>
          </cell>
          <cell r="AQ135">
            <v>0</v>
          </cell>
          <cell r="AR135">
            <v>0</v>
          </cell>
          <cell r="AS135">
            <v>22013</v>
          </cell>
          <cell r="AT135">
            <v>68345</v>
          </cell>
          <cell r="AU135">
            <v>0</v>
          </cell>
          <cell r="AV135">
            <v>0</v>
          </cell>
          <cell r="AW135">
            <v>68345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15401</v>
          </cell>
          <cell r="BC135">
            <v>0</v>
          </cell>
          <cell r="BD135">
            <v>0</v>
          </cell>
          <cell r="BE135">
            <v>15401</v>
          </cell>
          <cell r="BF135">
            <v>-389</v>
          </cell>
          <cell r="BG135">
            <v>0</v>
          </cell>
          <cell r="BH135">
            <v>0</v>
          </cell>
          <cell r="BI135">
            <v>-389</v>
          </cell>
          <cell r="BJ135">
            <v>5429</v>
          </cell>
          <cell r="BK135">
            <v>0</v>
          </cell>
          <cell r="BL135">
            <v>0</v>
          </cell>
          <cell r="BM135">
            <v>5429</v>
          </cell>
          <cell r="BN135">
            <v>96116</v>
          </cell>
          <cell r="BO135">
            <v>0</v>
          </cell>
          <cell r="BP135">
            <v>0</v>
          </cell>
          <cell r="BQ135">
            <v>96116</v>
          </cell>
          <cell r="BR135">
            <v>600475</v>
          </cell>
          <cell r="BS135">
            <v>0</v>
          </cell>
          <cell r="BT135">
            <v>0</v>
          </cell>
          <cell r="BU135">
            <v>600475</v>
          </cell>
          <cell r="BV135">
            <v>230819</v>
          </cell>
          <cell r="BW135">
            <v>0</v>
          </cell>
          <cell r="BX135">
            <v>0</v>
          </cell>
          <cell r="BY135">
            <v>230819</v>
          </cell>
          <cell r="BZ135">
            <v>24693</v>
          </cell>
          <cell r="CA135">
            <v>0</v>
          </cell>
          <cell r="CB135">
            <v>0</v>
          </cell>
          <cell r="CC135">
            <v>24693</v>
          </cell>
          <cell r="CD135">
            <v>4101</v>
          </cell>
          <cell r="CE135">
            <v>0</v>
          </cell>
          <cell r="CF135">
            <v>0</v>
          </cell>
          <cell r="CG135">
            <v>4101</v>
          </cell>
          <cell r="CH135">
            <v>143525</v>
          </cell>
          <cell r="CI135">
            <v>0</v>
          </cell>
          <cell r="CJ135">
            <v>0</v>
          </cell>
          <cell r="CK135">
            <v>143525</v>
          </cell>
          <cell r="CL135">
            <v>15635</v>
          </cell>
          <cell r="CM135">
            <v>0</v>
          </cell>
          <cell r="CN135">
            <v>0</v>
          </cell>
          <cell r="CO135">
            <v>15635</v>
          </cell>
          <cell r="CP135">
            <v>5633</v>
          </cell>
          <cell r="CQ135">
            <v>0</v>
          </cell>
          <cell r="CR135">
            <v>0</v>
          </cell>
          <cell r="CS135">
            <v>5633</v>
          </cell>
          <cell r="CT135">
            <v>614</v>
          </cell>
          <cell r="CU135">
            <v>0</v>
          </cell>
          <cell r="CV135">
            <v>0</v>
          </cell>
          <cell r="CW135">
            <v>614</v>
          </cell>
          <cell r="CX135">
            <v>4331</v>
          </cell>
          <cell r="CY135">
            <v>0</v>
          </cell>
          <cell r="CZ135">
            <v>0</v>
          </cell>
          <cell r="DA135">
            <v>4331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45</v>
          </cell>
          <cell r="EG135">
            <v>0</v>
          </cell>
          <cell r="EH135">
            <v>0</v>
          </cell>
          <cell r="EI135">
            <v>45</v>
          </cell>
          <cell r="EJ135">
            <v>5760</v>
          </cell>
          <cell r="EK135">
            <v>0</v>
          </cell>
          <cell r="EL135">
            <v>0</v>
          </cell>
          <cell r="EM135">
            <v>5760</v>
          </cell>
        </row>
        <row r="136">
          <cell r="A136">
            <v>130</v>
          </cell>
          <cell r="B136" t="str">
            <v>E5041</v>
          </cell>
          <cell r="C136" t="str">
            <v>OLB</v>
          </cell>
          <cell r="D136" t="str">
            <v>L</v>
          </cell>
          <cell r="E136" t="str">
            <v>Hillingdon</v>
          </cell>
          <cell r="F136">
            <v>260056</v>
          </cell>
          <cell r="G136">
            <v>0</v>
          </cell>
          <cell r="H136">
            <v>0</v>
          </cell>
          <cell r="I136">
            <v>260056</v>
          </cell>
          <cell r="J136">
            <v>-269219.64</v>
          </cell>
          <cell r="K136">
            <v>0</v>
          </cell>
          <cell r="L136">
            <v>0</v>
          </cell>
          <cell r="M136">
            <v>-269219.64</v>
          </cell>
          <cell r="N136">
            <v>168357</v>
          </cell>
          <cell r="O136">
            <v>0</v>
          </cell>
          <cell r="P136">
            <v>0</v>
          </cell>
          <cell r="Q136">
            <v>168357</v>
          </cell>
          <cell r="R136">
            <v>-526031</v>
          </cell>
          <cell r="S136">
            <v>0</v>
          </cell>
          <cell r="T136">
            <v>0</v>
          </cell>
          <cell r="U136">
            <v>-526031</v>
          </cell>
          <cell r="V136">
            <v>2943614</v>
          </cell>
          <cell r="W136">
            <v>0</v>
          </cell>
          <cell r="X136">
            <v>0</v>
          </cell>
          <cell r="Y136">
            <v>2943614</v>
          </cell>
          <cell r="Z136">
            <v>360007</v>
          </cell>
          <cell r="AA136">
            <v>0</v>
          </cell>
          <cell r="AB136">
            <v>0</v>
          </cell>
          <cell r="AC136">
            <v>360007</v>
          </cell>
          <cell r="AD136">
            <v>6581055</v>
          </cell>
          <cell r="AE136">
            <v>0</v>
          </cell>
          <cell r="AF136">
            <v>0</v>
          </cell>
          <cell r="AG136">
            <v>6581055</v>
          </cell>
          <cell r="AH136">
            <v>13593</v>
          </cell>
          <cell r="AI136">
            <v>0</v>
          </cell>
          <cell r="AJ136">
            <v>0</v>
          </cell>
          <cell r="AK136">
            <v>13593</v>
          </cell>
          <cell r="AL136">
            <v>7033831</v>
          </cell>
          <cell r="AM136">
            <v>0</v>
          </cell>
          <cell r="AN136">
            <v>0</v>
          </cell>
          <cell r="AO136">
            <v>7033831</v>
          </cell>
          <cell r="AP136">
            <v>-29740</v>
          </cell>
          <cell r="AQ136">
            <v>0</v>
          </cell>
          <cell r="AR136">
            <v>0</v>
          </cell>
          <cell r="AS136">
            <v>-29740</v>
          </cell>
          <cell r="AT136">
            <v>45288</v>
          </cell>
          <cell r="AU136">
            <v>0</v>
          </cell>
          <cell r="AV136">
            <v>0</v>
          </cell>
          <cell r="AW136">
            <v>45288</v>
          </cell>
          <cell r="AX136">
            <v>135</v>
          </cell>
          <cell r="AY136">
            <v>0</v>
          </cell>
          <cell r="AZ136">
            <v>0</v>
          </cell>
          <cell r="BA136">
            <v>135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213188</v>
          </cell>
          <cell r="BK136">
            <v>0</v>
          </cell>
          <cell r="BL136">
            <v>0</v>
          </cell>
          <cell r="BM136">
            <v>213188</v>
          </cell>
          <cell r="BN136">
            <v>397750</v>
          </cell>
          <cell r="BO136">
            <v>0</v>
          </cell>
          <cell r="BP136">
            <v>0</v>
          </cell>
          <cell r="BQ136">
            <v>397750</v>
          </cell>
          <cell r="BR136">
            <v>12436389</v>
          </cell>
          <cell r="BS136">
            <v>0</v>
          </cell>
          <cell r="BT136">
            <v>0</v>
          </cell>
          <cell r="BU136">
            <v>12436389</v>
          </cell>
          <cell r="BV136">
            <v>-195515</v>
          </cell>
          <cell r="BW136">
            <v>0</v>
          </cell>
          <cell r="BX136">
            <v>0</v>
          </cell>
          <cell r="BY136">
            <v>-195515</v>
          </cell>
          <cell r="BZ136">
            <v>207629</v>
          </cell>
          <cell r="CA136">
            <v>0</v>
          </cell>
          <cell r="CB136">
            <v>0</v>
          </cell>
          <cell r="CC136">
            <v>207629</v>
          </cell>
          <cell r="CD136">
            <v>-11745</v>
          </cell>
          <cell r="CE136">
            <v>0</v>
          </cell>
          <cell r="CF136">
            <v>0</v>
          </cell>
          <cell r="CG136">
            <v>-11745</v>
          </cell>
          <cell r="CH136">
            <v>18128</v>
          </cell>
          <cell r="CI136">
            <v>0</v>
          </cell>
          <cell r="CJ136">
            <v>0</v>
          </cell>
          <cell r="CK136">
            <v>18128</v>
          </cell>
          <cell r="CL136">
            <v>978</v>
          </cell>
          <cell r="CM136">
            <v>0</v>
          </cell>
          <cell r="CN136">
            <v>0</v>
          </cell>
          <cell r="CO136">
            <v>978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103221</v>
          </cell>
          <cell r="EK136">
            <v>0</v>
          </cell>
          <cell r="EL136">
            <v>0</v>
          </cell>
          <cell r="EM136">
            <v>103221</v>
          </cell>
        </row>
        <row r="137">
          <cell r="A137">
            <v>131</v>
          </cell>
          <cell r="B137" t="str">
            <v>E2434</v>
          </cell>
          <cell r="C137" t="str">
            <v>SD</v>
          </cell>
          <cell r="D137" t="str">
            <v>EM</v>
          </cell>
          <cell r="E137" t="str">
            <v>Hinckley &amp; Bosworth</v>
          </cell>
          <cell r="F137">
            <v>18071.2</v>
          </cell>
          <cell r="G137">
            <v>0</v>
          </cell>
          <cell r="H137">
            <v>0</v>
          </cell>
          <cell r="I137">
            <v>18071.2</v>
          </cell>
          <cell r="J137">
            <v>-99900</v>
          </cell>
          <cell r="K137">
            <v>0</v>
          </cell>
          <cell r="L137">
            <v>0</v>
          </cell>
          <cell r="M137">
            <v>-99900</v>
          </cell>
          <cell r="N137">
            <v>9733</v>
          </cell>
          <cell r="O137">
            <v>0</v>
          </cell>
          <cell r="P137">
            <v>0</v>
          </cell>
          <cell r="Q137">
            <v>9733</v>
          </cell>
          <cell r="R137">
            <v>-44539</v>
          </cell>
          <cell r="S137">
            <v>0</v>
          </cell>
          <cell r="T137">
            <v>0</v>
          </cell>
          <cell r="U137">
            <v>-44539</v>
          </cell>
          <cell r="V137">
            <v>2120491</v>
          </cell>
          <cell r="W137">
            <v>0</v>
          </cell>
          <cell r="X137">
            <v>0</v>
          </cell>
          <cell r="Y137">
            <v>2120491</v>
          </cell>
          <cell r="Z137">
            <v>96597</v>
          </cell>
          <cell r="AA137">
            <v>0</v>
          </cell>
          <cell r="AB137">
            <v>0</v>
          </cell>
          <cell r="AC137">
            <v>96597</v>
          </cell>
          <cell r="AD137">
            <v>535694.41</v>
          </cell>
          <cell r="AE137">
            <v>0</v>
          </cell>
          <cell r="AF137">
            <v>0</v>
          </cell>
          <cell r="AG137">
            <v>535694.41</v>
          </cell>
          <cell r="AH137">
            <v>-13921.21</v>
          </cell>
          <cell r="AI137">
            <v>0</v>
          </cell>
          <cell r="AJ137">
            <v>0</v>
          </cell>
          <cell r="AK137">
            <v>-13921.21</v>
          </cell>
          <cell r="AL137">
            <v>1643190</v>
          </cell>
          <cell r="AM137">
            <v>0</v>
          </cell>
          <cell r="AN137">
            <v>0</v>
          </cell>
          <cell r="AO137">
            <v>1643190</v>
          </cell>
          <cell r="AP137">
            <v>-17330.57</v>
          </cell>
          <cell r="AQ137">
            <v>0</v>
          </cell>
          <cell r="AR137">
            <v>0</v>
          </cell>
          <cell r="AS137">
            <v>-17330.57</v>
          </cell>
          <cell r="AT137">
            <v>5878</v>
          </cell>
          <cell r="AU137">
            <v>0</v>
          </cell>
          <cell r="AV137">
            <v>0</v>
          </cell>
          <cell r="AW137">
            <v>5878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8277</v>
          </cell>
          <cell r="BC137">
            <v>0</v>
          </cell>
          <cell r="BD137">
            <v>0</v>
          </cell>
          <cell r="BE137">
            <v>8277</v>
          </cell>
          <cell r="BF137">
            <v>-1564</v>
          </cell>
          <cell r="BG137">
            <v>0</v>
          </cell>
          <cell r="BH137">
            <v>0</v>
          </cell>
          <cell r="BI137">
            <v>-1564</v>
          </cell>
          <cell r="BJ137">
            <v>153823.07999999999</v>
          </cell>
          <cell r="BK137">
            <v>0</v>
          </cell>
          <cell r="BL137">
            <v>0</v>
          </cell>
          <cell r="BM137">
            <v>153823.07999999999</v>
          </cell>
          <cell r="BN137">
            <v>68640.22</v>
          </cell>
          <cell r="BO137">
            <v>0</v>
          </cell>
          <cell r="BP137">
            <v>0</v>
          </cell>
          <cell r="BQ137">
            <v>68640.22</v>
          </cell>
          <cell r="BR137">
            <v>558730</v>
          </cell>
          <cell r="BS137">
            <v>0</v>
          </cell>
          <cell r="BT137">
            <v>0</v>
          </cell>
          <cell r="BU137">
            <v>558730</v>
          </cell>
          <cell r="BV137">
            <v>55645</v>
          </cell>
          <cell r="BW137">
            <v>0</v>
          </cell>
          <cell r="BX137">
            <v>0</v>
          </cell>
          <cell r="BY137">
            <v>55645</v>
          </cell>
          <cell r="BZ137">
            <v>69757</v>
          </cell>
          <cell r="CA137">
            <v>0</v>
          </cell>
          <cell r="CB137">
            <v>0</v>
          </cell>
          <cell r="CC137">
            <v>69757</v>
          </cell>
          <cell r="CD137">
            <v>-4578</v>
          </cell>
          <cell r="CE137">
            <v>0</v>
          </cell>
          <cell r="CF137">
            <v>0</v>
          </cell>
          <cell r="CG137">
            <v>-4578</v>
          </cell>
          <cell r="CH137">
            <v>83268</v>
          </cell>
          <cell r="CI137">
            <v>0</v>
          </cell>
          <cell r="CJ137">
            <v>0</v>
          </cell>
          <cell r="CK137">
            <v>83268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1469.52</v>
          </cell>
          <cell r="CQ137">
            <v>0</v>
          </cell>
          <cell r="CR137">
            <v>0</v>
          </cell>
          <cell r="CS137">
            <v>1469.52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625.98</v>
          </cell>
          <cell r="DY137">
            <v>0</v>
          </cell>
          <cell r="DZ137">
            <v>0</v>
          </cell>
          <cell r="EA137">
            <v>625.98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</row>
        <row r="138">
          <cell r="A138">
            <v>132</v>
          </cell>
          <cell r="B138" t="str">
            <v>E3835</v>
          </cell>
          <cell r="C138" t="str">
            <v>SD</v>
          </cell>
          <cell r="D138" t="str">
            <v>SE</v>
          </cell>
          <cell r="E138" t="str">
            <v>Horsham</v>
          </cell>
          <cell r="F138">
            <v>68376</v>
          </cell>
          <cell r="G138">
            <v>0</v>
          </cell>
          <cell r="H138">
            <v>0</v>
          </cell>
          <cell r="I138">
            <v>68376</v>
          </cell>
          <cell r="J138">
            <v>-55756</v>
          </cell>
          <cell r="K138">
            <v>0</v>
          </cell>
          <cell r="L138">
            <v>0</v>
          </cell>
          <cell r="M138">
            <v>-55756</v>
          </cell>
          <cell r="N138">
            <v>103351</v>
          </cell>
          <cell r="O138">
            <v>0</v>
          </cell>
          <cell r="P138">
            <v>0</v>
          </cell>
          <cell r="Q138">
            <v>103351</v>
          </cell>
          <cell r="R138">
            <v>-137054</v>
          </cell>
          <cell r="S138">
            <v>0</v>
          </cell>
          <cell r="T138">
            <v>0</v>
          </cell>
          <cell r="U138">
            <v>-137054</v>
          </cell>
          <cell r="V138">
            <v>2438772</v>
          </cell>
          <cell r="W138">
            <v>0</v>
          </cell>
          <cell r="X138">
            <v>0</v>
          </cell>
          <cell r="Y138">
            <v>2438772</v>
          </cell>
          <cell r="Z138">
            <v>201383</v>
          </cell>
          <cell r="AA138">
            <v>0</v>
          </cell>
          <cell r="AB138">
            <v>0</v>
          </cell>
          <cell r="AC138">
            <v>201383</v>
          </cell>
          <cell r="AD138">
            <v>743920</v>
          </cell>
          <cell r="AE138">
            <v>0</v>
          </cell>
          <cell r="AF138">
            <v>0</v>
          </cell>
          <cell r="AG138">
            <v>743920</v>
          </cell>
          <cell r="AH138">
            <v>1421</v>
          </cell>
          <cell r="AI138">
            <v>0</v>
          </cell>
          <cell r="AJ138">
            <v>0</v>
          </cell>
          <cell r="AK138">
            <v>1421</v>
          </cell>
          <cell r="AL138">
            <v>2653103</v>
          </cell>
          <cell r="AM138">
            <v>0</v>
          </cell>
          <cell r="AN138">
            <v>0</v>
          </cell>
          <cell r="AO138">
            <v>2653103</v>
          </cell>
          <cell r="AP138">
            <v>69837</v>
          </cell>
          <cell r="AQ138">
            <v>0</v>
          </cell>
          <cell r="AR138">
            <v>0</v>
          </cell>
          <cell r="AS138">
            <v>69837</v>
          </cell>
          <cell r="AT138">
            <v>49474</v>
          </cell>
          <cell r="AU138">
            <v>0</v>
          </cell>
          <cell r="AV138">
            <v>0</v>
          </cell>
          <cell r="AW138">
            <v>49474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18422</v>
          </cell>
          <cell r="BC138">
            <v>0</v>
          </cell>
          <cell r="BD138">
            <v>0</v>
          </cell>
          <cell r="BE138">
            <v>18422</v>
          </cell>
          <cell r="BF138">
            <v>1537</v>
          </cell>
          <cell r="BG138">
            <v>0</v>
          </cell>
          <cell r="BH138">
            <v>0</v>
          </cell>
          <cell r="BI138">
            <v>1537</v>
          </cell>
          <cell r="BJ138">
            <v>23497</v>
          </cell>
          <cell r="BK138">
            <v>0</v>
          </cell>
          <cell r="BL138">
            <v>0</v>
          </cell>
          <cell r="BM138">
            <v>23497</v>
          </cell>
          <cell r="BN138">
            <v>15778</v>
          </cell>
          <cell r="BO138">
            <v>0</v>
          </cell>
          <cell r="BP138">
            <v>0</v>
          </cell>
          <cell r="BQ138">
            <v>15778</v>
          </cell>
          <cell r="BR138">
            <v>873230</v>
          </cell>
          <cell r="BS138">
            <v>0</v>
          </cell>
          <cell r="BT138">
            <v>0</v>
          </cell>
          <cell r="BU138">
            <v>873230</v>
          </cell>
          <cell r="BV138">
            <v>49945</v>
          </cell>
          <cell r="BW138">
            <v>0</v>
          </cell>
          <cell r="BX138">
            <v>0</v>
          </cell>
          <cell r="BY138">
            <v>49945</v>
          </cell>
          <cell r="BZ138">
            <v>69645</v>
          </cell>
          <cell r="CA138">
            <v>0</v>
          </cell>
          <cell r="CB138">
            <v>0</v>
          </cell>
          <cell r="CC138">
            <v>69645</v>
          </cell>
          <cell r="CD138">
            <v>2516</v>
          </cell>
          <cell r="CE138">
            <v>0</v>
          </cell>
          <cell r="CF138">
            <v>0</v>
          </cell>
          <cell r="CG138">
            <v>2516</v>
          </cell>
          <cell r="CH138">
            <v>436042</v>
          </cell>
          <cell r="CI138">
            <v>0</v>
          </cell>
          <cell r="CJ138">
            <v>0</v>
          </cell>
          <cell r="CK138">
            <v>436042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3318</v>
          </cell>
          <cell r="CQ138">
            <v>0</v>
          </cell>
          <cell r="CR138">
            <v>0</v>
          </cell>
          <cell r="CS138">
            <v>3318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4121</v>
          </cell>
          <cell r="CY138">
            <v>0</v>
          </cell>
          <cell r="CZ138">
            <v>0</v>
          </cell>
          <cell r="DA138">
            <v>4121</v>
          </cell>
          <cell r="DB138">
            <v>-252</v>
          </cell>
          <cell r="DC138">
            <v>0</v>
          </cell>
          <cell r="DD138">
            <v>0</v>
          </cell>
          <cell r="DE138">
            <v>-252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5982</v>
          </cell>
          <cell r="EC138">
            <v>0</v>
          </cell>
          <cell r="ED138">
            <v>0</v>
          </cell>
          <cell r="EE138">
            <v>5982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-2682</v>
          </cell>
          <cell r="EK138">
            <v>0</v>
          </cell>
          <cell r="EL138">
            <v>0</v>
          </cell>
          <cell r="EM138">
            <v>-2682</v>
          </cell>
        </row>
        <row r="139">
          <cell r="A139">
            <v>133</v>
          </cell>
          <cell r="B139" t="str">
            <v>E5042</v>
          </cell>
          <cell r="C139" t="str">
            <v>OLB</v>
          </cell>
          <cell r="D139" t="str">
            <v>L</v>
          </cell>
          <cell r="E139" t="str">
            <v>Hounslow</v>
          </cell>
          <cell r="F139">
            <v>541916.89</v>
          </cell>
          <cell r="G139">
            <v>0</v>
          </cell>
          <cell r="H139">
            <v>0</v>
          </cell>
          <cell r="I139">
            <v>541916.89</v>
          </cell>
          <cell r="J139">
            <v>-652157.06999999995</v>
          </cell>
          <cell r="K139">
            <v>0</v>
          </cell>
          <cell r="L139">
            <v>0</v>
          </cell>
          <cell r="M139">
            <v>-652157.06999999995</v>
          </cell>
          <cell r="N139">
            <v>156545.01999999999</v>
          </cell>
          <cell r="O139">
            <v>0</v>
          </cell>
          <cell r="P139">
            <v>0</v>
          </cell>
          <cell r="Q139">
            <v>156545.01999999999</v>
          </cell>
          <cell r="R139">
            <v>719219.83</v>
          </cell>
          <cell r="S139">
            <v>0</v>
          </cell>
          <cell r="T139">
            <v>0</v>
          </cell>
          <cell r="U139">
            <v>719219.83</v>
          </cell>
          <cell r="V139">
            <v>2535697.4500000002</v>
          </cell>
          <cell r="W139">
            <v>0</v>
          </cell>
          <cell r="X139">
            <v>0</v>
          </cell>
          <cell r="Y139">
            <v>2535697.4500000002</v>
          </cell>
          <cell r="Z139">
            <v>134946.59</v>
          </cell>
          <cell r="AA139">
            <v>0</v>
          </cell>
          <cell r="AB139">
            <v>0</v>
          </cell>
          <cell r="AC139">
            <v>134946.59</v>
          </cell>
          <cell r="AD139">
            <v>2901434.69</v>
          </cell>
          <cell r="AE139">
            <v>0</v>
          </cell>
          <cell r="AF139">
            <v>0</v>
          </cell>
          <cell r="AG139">
            <v>2901434.69</v>
          </cell>
          <cell r="AH139">
            <v>-131790.68</v>
          </cell>
          <cell r="AI139">
            <v>0</v>
          </cell>
          <cell r="AJ139">
            <v>0</v>
          </cell>
          <cell r="AK139">
            <v>-131790.68</v>
          </cell>
          <cell r="AL139">
            <v>4727487.54</v>
          </cell>
          <cell r="AM139">
            <v>0</v>
          </cell>
          <cell r="AN139">
            <v>0</v>
          </cell>
          <cell r="AO139">
            <v>4727487.54</v>
          </cell>
          <cell r="AP139">
            <v>-146216.41</v>
          </cell>
          <cell r="AQ139">
            <v>0</v>
          </cell>
          <cell r="AR139">
            <v>0</v>
          </cell>
          <cell r="AS139">
            <v>-146216.41</v>
          </cell>
          <cell r="AT139">
            <v>41108.879999999997</v>
          </cell>
          <cell r="AU139">
            <v>0</v>
          </cell>
          <cell r="AV139">
            <v>0</v>
          </cell>
          <cell r="AW139">
            <v>41108.879999999997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2500.4</v>
          </cell>
          <cell r="BK139">
            <v>0</v>
          </cell>
          <cell r="BL139">
            <v>0</v>
          </cell>
          <cell r="BM139">
            <v>2500.4</v>
          </cell>
          <cell r="BN139">
            <v>127279.27</v>
          </cell>
          <cell r="BO139">
            <v>0</v>
          </cell>
          <cell r="BP139">
            <v>0</v>
          </cell>
          <cell r="BQ139">
            <v>127279.27</v>
          </cell>
          <cell r="BR139">
            <v>5360342.07</v>
          </cell>
          <cell r="BS139">
            <v>0</v>
          </cell>
          <cell r="BT139">
            <v>0</v>
          </cell>
          <cell r="BU139">
            <v>5360342.07</v>
          </cell>
          <cell r="BV139">
            <v>-634887.92000000004</v>
          </cell>
          <cell r="BW139">
            <v>0</v>
          </cell>
          <cell r="BX139">
            <v>0</v>
          </cell>
          <cell r="BY139">
            <v>-634887.92000000004</v>
          </cell>
          <cell r="BZ139">
            <v>304456.56</v>
          </cell>
          <cell r="CA139">
            <v>0</v>
          </cell>
          <cell r="CB139">
            <v>0</v>
          </cell>
          <cell r="CC139">
            <v>304456.56</v>
          </cell>
          <cell r="CD139">
            <v>-6031</v>
          </cell>
          <cell r="CE139">
            <v>0</v>
          </cell>
          <cell r="CF139">
            <v>0</v>
          </cell>
          <cell r="CG139">
            <v>-6031</v>
          </cell>
          <cell r="CH139">
            <v>486311.1</v>
          </cell>
          <cell r="CI139">
            <v>0</v>
          </cell>
          <cell r="CJ139">
            <v>0</v>
          </cell>
          <cell r="CK139">
            <v>486311.1</v>
          </cell>
          <cell r="CL139">
            <v>-22155.17</v>
          </cell>
          <cell r="CM139">
            <v>0</v>
          </cell>
          <cell r="CN139">
            <v>0</v>
          </cell>
          <cell r="CO139">
            <v>-22155.17</v>
          </cell>
          <cell r="CP139">
            <v>1460.1</v>
          </cell>
          <cell r="CQ139">
            <v>0</v>
          </cell>
          <cell r="CR139">
            <v>0</v>
          </cell>
          <cell r="CS139">
            <v>1460.1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</row>
        <row r="140">
          <cell r="A140">
            <v>134</v>
          </cell>
          <cell r="B140" t="str">
            <v>E0551</v>
          </cell>
          <cell r="C140" t="str">
            <v>SD</v>
          </cell>
          <cell r="D140" t="str">
            <v>E</v>
          </cell>
          <cell r="E140" t="str">
            <v>Huntingdonshire (new)</v>
          </cell>
          <cell r="F140">
            <v>200481</v>
          </cell>
          <cell r="G140">
            <v>0</v>
          </cell>
          <cell r="H140">
            <v>0</v>
          </cell>
          <cell r="I140">
            <v>200481</v>
          </cell>
          <cell r="J140">
            <v>-34709</v>
          </cell>
          <cell r="K140">
            <v>0</v>
          </cell>
          <cell r="L140">
            <v>0</v>
          </cell>
          <cell r="M140">
            <v>-34709</v>
          </cell>
          <cell r="N140">
            <v>76013</v>
          </cell>
          <cell r="O140">
            <v>0</v>
          </cell>
          <cell r="P140">
            <v>0</v>
          </cell>
          <cell r="Q140">
            <v>76013</v>
          </cell>
          <cell r="R140">
            <v>18950</v>
          </cell>
          <cell r="S140">
            <v>0</v>
          </cell>
          <cell r="T140">
            <v>584</v>
          </cell>
          <cell r="U140">
            <v>19534</v>
          </cell>
          <cell r="V140">
            <v>2698614</v>
          </cell>
          <cell r="W140">
            <v>0</v>
          </cell>
          <cell r="X140">
            <v>4855</v>
          </cell>
          <cell r="Y140">
            <v>2703469</v>
          </cell>
          <cell r="Z140">
            <v>85787</v>
          </cell>
          <cell r="AA140">
            <v>0</v>
          </cell>
          <cell r="AB140">
            <v>-168</v>
          </cell>
          <cell r="AC140">
            <v>85619</v>
          </cell>
          <cell r="AD140">
            <v>1089194</v>
          </cell>
          <cell r="AE140">
            <v>0</v>
          </cell>
          <cell r="AF140">
            <v>0</v>
          </cell>
          <cell r="AG140">
            <v>1089194</v>
          </cell>
          <cell r="AH140">
            <v>-10179</v>
          </cell>
          <cell r="AI140">
            <v>0</v>
          </cell>
          <cell r="AJ140">
            <v>0</v>
          </cell>
          <cell r="AK140">
            <v>-10179</v>
          </cell>
          <cell r="AL140">
            <v>2454244</v>
          </cell>
          <cell r="AM140">
            <v>0</v>
          </cell>
          <cell r="AN140">
            <v>2798</v>
          </cell>
          <cell r="AO140">
            <v>2457042</v>
          </cell>
          <cell r="AP140">
            <v>3253</v>
          </cell>
          <cell r="AQ140">
            <v>0</v>
          </cell>
          <cell r="AR140">
            <v>0</v>
          </cell>
          <cell r="AS140">
            <v>3253</v>
          </cell>
          <cell r="AT140">
            <v>183943</v>
          </cell>
          <cell r="AU140">
            <v>0</v>
          </cell>
          <cell r="AV140">
            <v>0</v>
          </cell>
          <cell r="AW140">
            <v>183943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46917</v>
          </cell>
          <cell r="BC140">
            <v>0</v>
          </cell>
          <cell r="BD140">
            <v>0</v>
          </cell>
          <cell r="BE140">
            <v>46917</v>
          </cell>
          <cell r="BF140">
            <v>-1521</v>
          </cell>
          <cell r="BG140">
            <v>0</v>
          </cell>
          <cell r="BH140">
            <v>0</v>
          </cell>
          <cell r="BI140">
            <v>-1521</v>
          </cell>
          <cell r="BJ140">
            <v>93048</v>
          </cell>
          <cell r="BK140">
            <v>0</v>
          </cell>
          <cell r="BL140">
            <v>0</v>
          </cell>
          <cell r="BM140">
            <v>93048</v>
          </cell>
          <cell r="BN140">
            <v>-20684</v>
          </cell>
          <cell r="BO140">
            <v>0</v>
          </cell>
          <cell r="BP140">
            <v>0</v>
          </cell>
          <cell r="BQ140">
            <v>-20684</v>
          </cell>
          <cell r="BR140">
            <v>2807529</v>
          </cell>
          <cell r="BS140">
            <v>0</v>
          </cell>
          <cell r="BT140">
            <v>50990</v>
          </cell>
          <cell r="BU140">
            <v>2858519</v>
          </cell>
          <cell r="BV140">
            <v>61131</v>
          </cell>
          <cell r="BW140">
            <v>0</v>
          </cell>
          <cell r="BX140">
            <v>11019</v>
          </cell>
          <cell r="BY140">
            <v>72150</v>
          </cell>
          <cell r="BZ140">
            <v>452</v>
          </cell>
          <cell r="CA140">
            <v>0</v>
          </cell>
          <cell r="CB140">
            <v>0</v>
          </cell>
          <cell r="CC140">
            <v>452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61951</v>
          </cell>
          <cell r="CI140">
            <v>0</v>
          </cell>
          <cell r="CJ140">
            <v>0</v>
          </cell>
          <cell r="CK140">
            <v>61951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23355</v>
          </cell>
          <cell r="CY140">
            <v>0</v>
          </cell>
          <cell r="CZ140">
            <v>0</v>
          </cell>
          <cell r="DA140">
            <v>23355</v>
          </cell>
          <cell r="DB140">
            <v>-1057</v>
          </cell>
          <cell r="DC140">
            <v>0</v>
          </cell>
          <cell r="DD140">
            <v>0</v>
          </cell>
          <cell r="DE140">
            <v>-1057</v>
          </cell>
          <cell r="DF140">
            <v>389</v>
          </cell>
          <cell r="DG140">
            <v>0</v>
          </cell>
          <cell r="DH140">
            <v>0</v>
          </cell>
          <cell r="DI140">
            <v>389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478674</v>
          </cell>
          <cell r="DQ140">
            <v>478674</v>
          </cell>
          <cell r="DR140">
            <v>0</v>
          </cell>
          <cell r="DS140">
            <v>0</v>
          </cell>
          <cell r="DT140">
            <v>33519</v>
          </cell>
          <cell r="DU140">
            <v>33519</v>
          </cell>
          <cell r="DV140">
            <v>512193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12755</v>
          </cell>
          <cell r="EG140">
            <v>0</v>
          </cell>
          <cell r="EH140">
            <v>0</v>
          </cell>
          <cell r="EI140">
            <v>12755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</row>
        <row r="141">
          <cell r="A141">
            <v>135</v>
          </cell>
          <cell r="B141" t="str">
            <v>E2336</v>
          </cell>
          <cell r="C141" t="str">
            <v>SD</v>
          </cell>
          <cell r="D141" t="str">
            <v>NW</v>
          </cell>
          <cell r="E141" t="str">
            <v>Hyndburn</v>
          </cell>
          <cell r="F141">
            <v>147547</v>
          </cell>
          <cell r="G141">
            <v>0</v>
          </cell>
          <cell r="H141">
            <v>0</v>
          </cell>
          <cell r="I141">
            <v>147547</v>
          </cell>
          <cell r="J141">
            <v>-44865</v>
          </cell>
          <cell r="K141">
            <v>0</v>
          </cell>
          <cell r="L141">
            <v>0</v>
          </cell>
          <cell r="M141">
            <v>-44865</v>
          </cell>
          <cell r="N141">
            <v>5955</v>
          </cell>
          <cell r="O141">
            <v>0</v>
          </cell>
          <cell r="P141">
            <v>0</v>
          </cell>
          <cell r="Q141">
            <v>5955</v>
          </cell>
          <cell r="R141">
            <v>192489</v>
          </cell>
          <cell r="S141">
            <v>0</v>
          </cell>
          <cell r="T141">
            <v>0</v>
          </cell>
          <cell r="U141">
            <v>192489</v>
          </cell>
          <cell r="V141">
            <v>2191598</v>
          </cell>
          <cell r="W141">
            <v>0</v>
          </cell>
          <cell r="X141">
            <v>0</v>
          </cell>
          <cell r="Y141">
            <v>2191598</v>
          </cell>
          <cell r="Z141">
            <v>122906.9</v>
          </cell>
          <cell r="AA141">
            <v>0</v>
          </cell>
          <cell r="AB141">
            <v>0</v>
          </cell>
          <cell r="AC141">
            <v>122906.9</v>
          </cell>
          <cell r="AD141">
            <v>433287</v>
          </cell>
          <cell r="AE141">
            <v>0</v>
          </cell>
          <cell r="AF141">
            <v>0</v>
          </cell>
          <cell r="AG141">
            <v>433287</v>
          </cell>
          <cell r="AH141">
            <v>-19265</v>
          </cell>
          <cell r="AI141">
            <v>0</v>
          </cell>
          <cell r="AJ141">
            <v>0</v>
          </cell>
          <cell r="AK141">
            <v>-19265</v>
          </cell>
          <cell r="AL141">
            <v>1151975.6499999999</v>
          </cell>
          <cell r="AM141">
            <v>0</v>
          </cell>
          <cell r="AN141">
            <v>0</v>
          </cell>
          <cell r="AO141">
            <v>1151975.6499999999</v>
          </cell>
          <cell r="AP141">
            <v>16856</v>
          </cell>
          <cell r="AQ141">
            <v>0</v>
          </cell>
          <cell r="AR141">
            <v>0</v>
          </cell>
          <cell r="AS141">
            <v>16856</v>
          </cell>
          <cell r="AT141">
            <v>35304.35</v>
          </cell>
          <cell r="AU141">
            <v>0</v>
          </cell>
          <cell r="AV141">
            <v>0</v>
          </cell>
          <cell r="AW141">
            <v>35304.35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113267</v>
          </cell>
          <cell r="BK141">
            <v>0</v>
          </cell>
          <cell r="BL141">
            <v>0</v>
          </cell>
          <cell r="BM141">
            <v>113267</v>
          </cell>
          <cell r="BN141">
            <v>32922</v>
          </cell>
          <cell r="BO141">
            <v>0</v>
          </cell>
          <cell r="BP141">
            <v>0</v>
          </cell>
          <cell r="BQ141">
            <v>32922</v>
          </cell>
          <cell r="BR141">
            <v>2279093</v>
          </cell>
          <cell r="BS141">
            <v>0</v>
          </cell>
          <cell r="BT141">
            <v>0</v>
          </cell>
          <cell r="BU141">
            <v>2279093</v>
          </cell>
          <cell r="BV141">
            <v>-193814</v>
          </cell>
          <cell r="BW141">
            <v>0</v>
          </cell>
          <cell r="BX141">
            <v>0</v>
          </cell>
          <cell r="BY141">
            <v>-193814</v>
          </cell>
          <cell r="BZ141">
            <v>106881</v>
          </cell>
          <cell r="CA141">
            <v>0</v>
          </cell>
          <cell r="CB141">
            <v>0</v>
          </cell>
          <cell r="CC141">
            <v>106881</v>
          </cell>
          <cell r="CD141">
            <v>-158</v>
          </cell>
          <cell r="CE141">
            <v>0</v>
          </cell>
          <cell r="CF141">
            <v>0</v>
          </cell>
          <cell r="CG141">
            <v>-158</v>
          </cell>
          <cell r="CH141">
            <v>111111</v>
          </cell>
          <cell r="CI141">
            <v>0</v>
          </cell>
          <cell r="CJ141">
            <v>0</v>
          </cell>
          <cell r="CK141">
            <v>111111</v>
          </cell>
          <cell r="CL141">
            <v>-797</v>
          </cell>
          <cell r="CM141">
            <v>0</v>
          </cell>
          <cell r="CN141">
            <v>0</v>
          </cell>
          <cell r="CO141">
            <v>-797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</row>
        <row r="142">
          <cell r="A142">
            <v>136</v>
          </cell>
          <cell r="B142" t="str">
            <v>E3533</v>
          </cell>
          <cell r="C142" t="str">
            <v>SD</v>
          </cell>
          <cell r="D142" t="str">
            <v>E</v>
          </cell>
          <cell r="E142" t="str">
            <v>Ipswich</v>
          </cell>
          <cell r="F142">
            <v>162524.92000000001</v>
          </cell>
          <cell r="G142">
            <v>0</v>
          </cell>
          <cell r="H142">
            <v>0</v>
          </cell>
          <cell r="I142">
            <v>162524.92000000001</v>
          </cell>
          <cell r="J142">
            <v>-16736.97</v>
          </cell>
          <cell r="K142">
            <v>0</v>
          </cell>
          <cell r="L142">
            <v>0</v>
          </cell>
          <cell r="M142">
            <v>-16736.97</v>
          </cell>
          <cell r="N142">
            <v>24654.7</v>
          </cell>
          <cell r="O142">
            <v>0</v>
          </cell>
          <cell r="P142">
            <v>0</v>
          </cell>
          <cell r="Q142">
            <v>24654.7</v>
          </cell>
          <cell r="R142">
            <v>54151.88</v>
          </cell>
          <cell r="S142">
            <v>0</v>
          </cell>
          <cell r="T142">
            <v>0</v>
          </cell>
          <cell r="U142">
            <v>54151.88</v>
          </cell>
          <cell r="V142">
            <v>2146435.3199999998</v>
          </cell>
          <cell r="W142">
            <v>0</v>
          </cell>
          <cell r="X142">
            <v>0</v>
          </cell>
          <cell r="Y142">
            <v>2146435.3199999998</v>
          </cell>
          <cell r="Z142">
            <v>85774.84</v>
          </cell>
          <cell r="AA142">
            <v>0</v>
          </cell>
          <cell r="AB142">
            <v>0</v>
          </cell>
          <cell r="AC142">
            <v>85774.84</v>
          </cell>
          <cell r="AD142">
            <v>1060850.49</v>
          </cell>
          <cell r="AE142">
            <v>0</v>
          </cell>
          <cell r="AF142">
            <v>0</v>
          </cell>
          <cell r="AG142">
            <v>1060850.49</v>
          </cell>
          <cell r="AH142">
            <v>19987.82</v>
          </cell>
          <cell r="AI142">
            <v>0</v>
          </cell>
          <cell r="AJ142">
            <v>0</v>
          </cell>
          <cell r="AK142">
            <v>19987.82</v>
          </cell>
          <cell r="AL142">
            <v>3026839.99</v>
          </cell>
          <cell r="AM142">
            <v>0</v>
          </cell>
          <cell r="AN142">
            <v>0</v>
          </cell>
          <cell r="AO142">
            <v>3026839.99</v>
          </cell>
          <cell r="AP142">
            <v>-23926.01</v>
          </cell>
          <cell r="AQ142">
            <v>0</v>
          </cell>
          <cell r="AR142">
            <v>0</v>
          </cell>
          <cell r="AS142">
            <v>-23926.01</v>
          </cell>
          <cell r="AT142">
            <v>89068.3</v>
          </cell>
          <cell r="AU142">
            <v>0</v>
          </cell>
          <cell r="AV142">
            <v>0</v>
          </cell>
          <cell r="AW142">
            <v>89068.3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32093.8</v>
          </cell>
          <cell r="BK142">
            <v>0</v>
          </cell>
          <cell r="BL142">
            <v>0</v>
          </cell>
          <cell r="BM142">
            <v>32093.8</v>
          </cell>
          <cell r="BN142">
            <v>14232.72</v>
          </cell>
          <cell r="BO142">
            <v>0</v>
          </cell>
          <cell r="BP142">
            <v>0</v>
          </cell>
          <cell r="BQ142">
            <v>14232.72</v>
          </cell>
          <cell r="BR142">
            <v>2077346.22</v>
          </cell>
          <cell r="BS142">
            <v>0</v>
          </cell>
          <cell r="BT142">
            <v>0</v>
          </cell>
          <cell r="BU142">
            <v>2077346.22</v>
          </cell>
          <cell r="BV142">
            <v>22547.67</v>
          </cell>
          <cell r="BW142">
            <v>0</v>
          </cell>
          <cell r="BX142">
            <v>0</v>
          </cell>
          <cell r="BY142">
            <v>22547.67</v>
          </cell>
          <cell r="BZ142">
            <v>102995.69</v>
          </cell>
          <cell r="CA142">
            <v>0</v>
          </cell>
          <cell r="CB142">
            <v>0</v>
          </cell>
          <cell r="CC142">
            <v>102995.69</v>
          </cell>
          <cell r="CD142">
            <v>453.66</v>
          </cell>
          <cell r="CE142">
            <v>0</v>
          </cell>
          <cell r="CF142">
            <v>0</v>
          </cell>
          <cell r="CG142">
            <v>453.66</v>
          </cell>
          <cell r="CH142">
            <v>55559.19</v>
          </cell>
          <cell r="CI142">
            <v>0</v>
          </cell>
          <cell r="CJ142">
            <v>0</v>
          </cell>
          <cell r="CK142">
            <v>55559.19</v>
          </cell>
          <cell r="CL142">
            <v>1817.12</v>
          </cell>
          <cell r="CM142">
            <v>0</v>
          </cell>
          <cell r="CN142">
            <v>0</v>
          </cell>
          <cell r="CO142">
            <v>1817.12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884.61</v>
          </cell>
          <cell r="EG142">
            <v>0</v>
          </cell>
          <cell r="EH142">
            <v>0</v>
          </cell>
          <cell r="EI142">
            <v>884.61</v>
          </cell>
          <cell r="EJ142">
            <v>376.96</v>
          </cell>
          <cell r="EK142">
            <v>0</v>
          </cell>
          <cell r="EL142">
            <v>0</v>
          </cell>
          <cell r="EM142">
            <v>376.96</v>
          </cell>
        </row>
        <row r="143">
          <cell r="A143">
            <v>137</v>
          </cell>
          <cell r="B143" t="str">
            <v>E2101</v>
          </cell>
          <cell r="C143" t="str">
            <v>UA</v>
          </cell>
          <cell r="D143" t="str">
            <v>SE</v>
          </cell>
          <cell r="E143" t="str">
            <v>Isle of Wight UA</v>
          </cell>
          <cell r="F143">
            <v>282900</v>
          </cell>
          <cell r="G143">
            <v>0</v>
          </cell>
          <cell r="H143">
            <v>0</v>
          </cell>
          <cell r="I143">
            <v>282900</v>
          </cell>
          <cell r="J143">
            <v>-118774</v>
          </cell>
          <cell r="K143">
            <v>0</v>
          </cell>
          <cell r="L143">
            <v>0</v>
          </cell>
          <cell r="M143">
            <v>-118774</v>
          </cell>
          <cell r="N143">
            <v>91517</v>
          </cell>
          <cell r="O143">
            <v>0</v>
          </cell>
          <cell r="P143">
            <v>0</v>
          </cell>
          <cell r="Q143">
            <v>91517</v>
          </cell>
          <cell r="R143">
            <v>129805.5</v>
          </cell>
          <cell r="S143">
            <v>0</v>
          </cell>
          <cell r="T143">
            <v>0</v>
          </cell>
          <cell r="U143">
            <v>129805.5</v>
          </cell>
          <cell r="V143">
            <v>4313088</v>
          </cell>
          <cell r="W143">
            <v>0</v>
          </cell>
          <cell r="X143">
            <v>0</v>
          </cell>
          <cell r="Y143">
            <v>4313088</v>
          </cell>
          <cell r="Z143">
            <v>335684</v>
          </cell>
          <cell r="AA143">
            <v>0</v>
          </cell>
          <cell r="AB143">
            <v>0</v>
          </cell>
          <cell r="AC143">
            <v>335684</v>
          </cell>
          <cell r="AD143">
            <v>615710</v>
          </cell>
          <cell r="AE143">
            <v>0</v>
          </cell>
          <cell r="AF143">
            <v>0</v>
          </cell>
          <cell r="AG143">
            <v>615710</v>
          </cell>
          <cell r="AH143">
            <v>-1352</v>
          </cell>
          <cell r="AI143">
            <v>0</v>
          </cell>
          <cell r="AJ143">
            <v>0</v>
          </cell>
          <cell r="AK143">
            <v>-1352</v>
          </cell>
          <cell r="AL143">
            <v>2188437</v>
          </cell>
          <cell r="AM143">
            <v>0</v>
          </cell>
          <cell r="AN143">
            <v>0</v>
          </cell>
          <cell r="AO143">
            <v>2188437</v>
          </cell>
          <cell r="AP143">
            <v>50524</v>
          </cell>
          <cell r="AQ143">
            <v>0</v>
          </cell>
          <cell r="AR143">
            <v>0</v>
          </cell>
          <cell r="AS143">
            <v>50524</v>
          </cell>
          <cell r="AT143">
            <v>84818</v>
          </cell>
          <cell r="AU143">
            <v>0</v>
          </cell>
          <cell r="AV143">
            <v>0</v>
          </cell>
          <cell r="AW143">
            <v>84818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13081</v>
          </cell>
          <cell r="BC143">
            <v>0</v>
          </cell>
          <cell r="BD143">
            <v>0</v>
          </cell>
          <cell r="BE143">
            <v>13081</v>
          </cell>
          <cell r="BF143">
            <v>-1262</v>
          </cell>
          <cell r="BG143">
            <v>0</v>
          </cell>
          <cell r="BH143">
            <v>0</v>
          </cell>
          <cell r="BI143">
            <v>-1262</v>
          </cell>
          <cell r="BJ143">
            <v>29681</v>
          </cell>
          <cell r="BK143">
            <v>0</v>
          </cell>
          <cell r="BL143">
            <v>0</v>
          </cell>
          <cell r="BM143">
            <v>29681</v>
          </cell>
          <cell r="BN143">
            <v>-172</v>
          </cell>
          <cell r="BO143">
            <v>0</v>
          </cell>
          <cell r="BP143">
            <v>0</v>
          </cell>
          <cell r="BQ143">
            <v>-172</v>
          </cell>
          <cell r="BR143">
            <v>928636</v>
          </cell>
          <cell r="BS143">
            <v>0</v>
          </cell>
          <cell r="BT143">
            <v>0</v>
          </cell>
          <cell r="BU143">
            <v>928636</v>
          </cell>
          <cell r="BV143">
            <v>32461</v>
          </cell>
          <cell r="BW143">
            <v>0</v>
          </cell>
          <cell r="BX143">
            <v>0</v>
          </cell>
          <cell r="BY143">
            <v>32461</v>
          </cell>
          <cell r="BZ143">
            <v>69926</v>
          </cell>
          <cell r="CA143">
            <v>0</v>
          </cell>
          <cell r="CB143">
            <v>0</v>
          </cell>
          <cell r="CC143">
            <v>69926</v>
          </cell>
          <cell r="CD143">
            <v>4575</v>
          </cell>
          <cell r="CE143">
            <v>0</v>
          </cell>
          <cell r="CF143">
            <v>0</v>
          </cell>
          <cell r="CG143">
            <v>4575</v>
          </cell>
          <cell r="CH143">
            <v>46079</v>
          </cell>
          <cell r="CI143">
            <v>0</v>
          </cell>
          <cell r="CJ143">
            <v>0</v>
          </cell>
          <cell r="CK143">
            <v>46079</v>
          </cell>
          <cell r="CL143">
            <v>1388</v>
          </cell>
          <cell r="CM143">
            <v>0</v>
          </cell>
          <cell r="CN143">
            <v>0</v>
          </cell>
          <cell r="CO143">
            <v>1388</v>
          </cell>
          <cell r="CP143">
            <v>894.9</v>
          </cell>
          <cell r="CQ143">
            <v>0</v>
          </cell>
          <cell r="CR143">
            <v>0</v>
          </cell>
          <cell r="CS143">
            <v>894.9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11935</v>
          </cell>
          <cell r="CY143">
            <v>0</v>
          </cell>
          <cell r="CZ143">
            <v>0</v>
          </cell>
          <cell r="DA143">
            <v>11935</v>
          </cell>
          <cell r="DB143">
            <v>-1262</v>
          </cell>
          <cell r="DC143">
            <v>0</v>
          </cell>
          <cell r="DD143">
            <v>0</v>
          </cell>
          <cell r="DE143">
            <v>-1262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18151</v>
          </cell>
          <cell r="EC143">
            <v>0</v>
          </cell>
          <cell r="ED143">
            <v>0</v>
          </cell>
          <cell r="EE143">
            <v>18151</v>
          </cell>
          <cell r="EF143">
            <v>11342</v>
          </cell>
          <cell r="EG143">
            <v>0</v>
          </cell>
          <cell r="EH143">
            <v>0</v>
          </cell>
          <cell r="EI143">
            <v>11342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</row>
        <row r="144">
          <cell r="A144">
            <v>138</v>
          </cell>
          <cell r="B144" t="str">
            <v>E4001</v>
          </cell>
          <cell r="C144" t="str">
            <v>UA</v>
          </cell>
          <cell r="D144" t="str">
            <v>SW</v>
          </cell>
          <cell r="E144" t="str">
            <v>Isles of Scilly</v>
          </cell>
          <cell r="F144">
            <v>44360</v>
          </cell>
          <cell r="G144">
            <v>0</v>
          </cell>
          <cell r="H144">
            <v>0</v>
          </cell>
          <cell r="I144">
            <v>44360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3043</v>
          </cell>
          <cell r="O144">
            <v>0</v>
          </cell>
          <cell r="P144">
            <v>0</v>
          </cell>
          <cell r="Q144">
            <v>3043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299196</v>
          </cell>
          <cell r="W144">
            <v>0</v>
          </cell>
          <cell r="X144">
            <v>0</v>
          </cell>
          <cell r="Y144">
            <v>299196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20044</v>
          </cell>
          <cell r="AE144">
            <v>0</v>
          </cell>
          <cell r="AF144">
            <v>0</v>
          </cell>
          <cell r="AG144">
            <v>20044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15101</v>
          </cell>
          <cell r="AM144">
            <v>0</v>
          </cell>
          <cell r="AN144">
            <v>0</v>
          </cell>
          <cell r="AO144">
            <v>15101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6227</v>
          </cell>
          <cell r="AU144">
            <v>0</v>
          </cell>
          <cell r="AV144">
            <v>0</v>
          </cell>
          <cell r="AW144">
            <v>6227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1523</v>
          </cell>
          <cell r="BC144">
            <v>0</v>
          </cell>
          <cell r="BD144">
            <v>0</v>
          </cell>
          <cell r="BE144">
            <v>1523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3314</v>
          </cell>
          <cell r="BK144">
            <v>0</v>
          </cell>
          <cell r="BL144">
            <v>0</v>
          </cell>
          <cell r="BM144">
            <v>3314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13529</v>
          </cell>
          <cell r="BS144">
            <v>0</v>
          </cell>
          <cell r="BT144">
            <v>0</v>
          </cell>
          <cell r="BU144">
            <v>13529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2336</v>
          </cell>
          <cell r="CA144">
            <v>0</v>
          </cell>
          <cell r="CB144">
            <v>0</v>
          </cell>
          <cell r="CC144">
            <v>2336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5005</v>
          </cell>
          <cell r="CI144">
            <v>0</v>
          </cell>
          <cell r="CJ144">
            <v>0</v>
          </cell>
          <cell r="CK144">
            <v>5005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1371</v>
          </cell>
          <cell r="CQ144">
            <v>0</v>
          </cell>
          <cell r="CR144">
            <v>0</v>
          </cell>
          <cell r="CS144">
            <v>1371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1061</v>
          </cell>
          <cell r="CY144">
            <v>0</v>
          </cell>
          <cell r="CZ144">
            <v>0</v>
          </cell>
          <cell r="DA144">
            <v>1061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5020</v>
          </cell>
          <cell r="EC144">
            <v>0</v>
          </cell>
          <cell r="ED144">
            <v>0</v>
          </cell>
          <cell r="EE144">
            <v>5020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</row>
        <row r="145">
          <cell r="A145">
            <v>139</v>
          </cell>
          <cell r="B145" t="str">
            <v>E5015</v>
          </cell>
          <cell r="C145" t="str">
            <v>ILB</v>
          </cell>
          <cell r="D145" t="str">
            <v>L</v>
          </cell>
          <cell r="E145" t="str">
            <v>Islington</v>
          </cell>
          <cell r="F145">
            <v>1006023.16</v>
          </cell>
          <cell r="G145">
            <v>0</v>
          </cell>
          <cell r="H145">
            <v>0</v>
          </cell>
          <cell r="I145">
            <v>1006023.16</v>
          </cell>
          <cell r="J145">
            <v>-1603827.4</v>
          </cell>
          <cell r="K145">
            <v>0</v>
          </cell>
          <cell r="L145">
            <v>0</v>
          </cell>
          <cell r="M145">
            <v>-1603827.4</v>
          </cell>
          <cell r="N145">
            <v>229707.67</v>
          </cell>
          <cell r="O145">
            <v>0</v>
          </cell>
          <cell r="P145">
            <v>0</v>
          </cell>
          <cell r="Q145">
            <v>229707.67</v>
          </cell>
          <cell r="R145">
            <v>35943.22</v>
          </cell>
          <cell r="S145">
            <v>0</v>
          </cell>
          <cell r="T145">
            <v>0</v>
          </cell>
          <cell r="U145">
            <v>35943.22</v>
          </cell>
          <cell r="V145">
            <v>2921100.66</v>
          </cell>
          <cell r="W145">
            <v>0</v>
          </cell>
          <cell r="X145">
            <v>0</v>
          </cell>
          <cell r="Y145">
            <v>2921100.66</v>
          </cell>
          <cell r="Z145">
            <v>235839.27</v>
          </cell>
          <cell r="AA145">
            <v>0</v>
          </cell>
          <cell r="AB145">
            <v>0</v>
          </cell>
          <cell r="AC145">
            <v>235839.27</v>
          </cell>
          <cell r="AD145">
            <v>3802266.25</v>
          </cell>
          <cell r="AE145">
            <v>0</v>
          </cell>
          <cell r="AF145">
            <v>0</v>
          </cell>
          <cell r="AG145">
            <v>3802266.25</v>
          </cell>
          <cell r="AH145">
            <v>254.06</v>
          </cell>
          <cell r="AI145">
            <v>0</v>
          </cell>
          <cell r="AJ145">
            <v>0</v>
          </cell>
          <cell r="AK145">
            <v>254.06</v>
          </cell>
          <cell r="AL145">
            <v>18821000.100000001</v>
          </cell>
          <cell r="AM145">
            <v>0</v>
          </cell>
          <cell r="AN145">
            <v>0</v>
          </cell>
          <cell r="AO145">
            <v>18821000.100000001</v>
          </cell>
          <cell r="AP145">
            <v>1294546.17</v>
          </cell>
          <cell r="AQ145">
            <v>0</v>
          </cell>
          <cell r="AR145">
            <v>0</v>
          </cell>
          <cell r="AS145">
            <v>1294546.17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102128.77</v>
          </cell>
          <cell r="BK145">
            <v>0</v>
          </cell>
          <cell r="BL145">
            <v>0</v>
          </cell>
          <cell r="BM145">
            <v>102128.77</v>
          </cell>
          <cell r="BN145">
            <v>174961.27</v>
          </cell>
          <cell r="BO145">
            <v>0</v>
          </cell>
          <cell r="BP145">
            <v>0</v>
          </cell>
          <cell r="BQ145">
            <v>174961.27</v>
          </cell>
          <cell r="BR145">
            <v>5756297.5099999998</v>
          </cell>
          <cell r="BS145">
            <v>0</v>
          </cell>
          <cell r="BT145">
            <v>0</v>
          </cell>
          <cell r="BU145">
            <v>5756297.5099999998</v>
          </cell>
          <cell r="BV145">
            <v>-486400.19</v>
          </cell>
          <cell r="BW145">
            <v>0</v>
          </cell>
          <cell r="BX145">
            <v>0</v>
          </cell>
          <cell r="BY145">
            <v>-486400.19</v>
          </cell>
          <cell r="BZ145">
            <v>614643.23</v>
          </cell>
          <cell r="CA145">
            <v>0</v>
          </cell>
          <cell r="CB145">
            <v>0</v>
          </cell>
          <cell r="CC145">
            <v>614643.23</v>
          </cell>
          <cell r="CD145">
            <v>14879.65</v>
          </cell>
          <cell r="CE145">
            <v>0</v>
          </cell>
          <cell r="CF145">
            <v>0</v>
          </cell>
          <cell r="CG145">
            <v>14879.65</v>
          </cell>
          <cell r="CH145">
            <v>282265.11</v>
          </cell>
          <cell r="CI145">
            <v>0</v>
          </cell>
          <cell r="CJ145">
            <v>0</v>
          </cell>
          <cell r="CK145">
            <v>282265.11</v>
          </cell>
          <cell r="CL145">
            <v>65797.100000000006</v>
          </cell>
          <cell r="CM145">
            <v>0</v>
          </cell>
          <cell r="CN145">
            <v>0</v>
          </cell>
          <cell r="CO145">
            <v>65797.100000000006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</row>
        <row r="146">
          <cell r="A146">
            <v>140</v>
          </cell>
          <cell r="B146" t="str">
            <v>E5016</v>
          </cell>
          <cell r="C146" t="str">
            <v>ILB</v>
          </cell>
          <cell r="D146" t="str">
            <v>L</v>
          </cell>
          <cell r="E146" t="str">
            <v>Kensington &amp; Chelsea</v>
          </cell>
          <cell r="F146">
            <v>1217825</v>
          </cell>
          <cell r="G146">
            <v>0</v>
          </cell>
          <cell r="H146">
            <v>0</v>
          </cell>
          <cell r="I146">
            <v>1217825</v>
          </cell>
          <cell r="J146">
            <v>-1748328</v>
          </cell>
          <cell r="K146">
            <v>0</v>
          </cell>
          <cell r="L146">
            <v>0</v>
          </cell>
          <cell r="M146">
            <v>-1748328</v>
          </cell>
          <cell r="N146">
            <v>75979</v>
          </cell>
          <cell r="O146">
            <v>0</v>
          </cell>
          <cell r="P146">
            <v>0</v>
          </cell>
          <cell r="Q146">
            <v>75979</v>
          </cell>
          <cell r="R146">
            <v>437542</v>
          </cell>
          <cell r="S146">
            <v>0</v>
          </cell>
          <cell r="T146">
            <v>0</v>
          </cell>
          <cell r="U146">
            <v>437542</v>
          </cell>
          <cell r="V146">
            <v>1390065</v>
          </cell>
          <cell r="W146">
            <v>0</v>
          </cell>
          <cell r="X146">
            <v>0</v>
          </cell>
          <cell r="Y146">
            <v>1390065</v>
          </cell>
          <cell r="Z146">
            <v>86797</v>
          </cell>
          <cell r="AA146">
            <v>0</v>
          </cell>
          <cell r="AB146">
            <v>0</v>
          </cell>
          <cell r="AC146">
            <v>86797</v>
          </cell>
          <cell r="AD146">
            <v>5574854</v>
          </cell>
          <cell r="AE146">
            <v>0</v>
          </cell>
          <cell r="AF146">
            <v>0</v>
          </cell>
          <cell r="AG146">
            <v>5574854</v>
          </cell>
          <cell r="AH146">
            <v>-99877</v>
          </cell>
          <cell r="AI146">
            <v>0</v>
          </cell>
          <cell r="AJ146">
            <v>0</v>
          </cell>
          <cell r="AK146">
            <v>-99877</v>
          </cell>
          <cell r="AL146">
            <v>15869001</v>
          </cell>
          <cell r="AM146">
            <v>0</v>
          </cell>
          <cell r="AN146">
            <v>0</v>
          </cell>
          <cell r="AO146">
            <v>15869001</v>
          </cell>
          <cell r="AP146">
            <v>243546</v>
          </cell>
          <cell r="AQ146">
            <v>0</v>
          </cell>
          <cell r="AR146">
            <v>0</v>
          </cell>
          <cell r="AS146">
            <v>243546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58876</v>
          </cell>
          <cell r="BK146">
            <v>0</v>
          </cell>
          <cell r="BL146">
            <v>0</v>
          </cell>
          <cell r="BM146">
            <v>58876</v>
          </cell>
          <cell r="BN146">
            <v>33851</v>
          </cell>
          <cell r="BO146">
            <v>0</v>
          </cell>
          <cell r="BP146">
            <v>0</v>
          </cell>
          <cell r="BQ146">
            <v>33851</v>
          </cell>
          <cell r="BR146">
            <v>8391416</v>
          </cell>
          <cell r="BS146">
            <v>0</v>
          </cell>
          <cell r="BT146">
            <v>0</v>
          </cell>
          <cell r="BU146">
            <v>8391416</v>
          </cell>
          <cell r="BV146">
            <v>-218175</v>
          </cell>
          <cell r="BW146">
            <v>0</v>
          </cell>
          <cell r="BX146">
            <v>0</v>
          </cell>
          <cell r="BY146">
            <v>-218175</v>
          </cell>
          <cell r="BZ146">
            <v>91758</v>
          </cell>
          <cell r="CA146">
            <v>0</v>
          </cell>
          <cell r="CB146">
            <v>0</v>
          </cell>
          <cell r="CC146">
            <v>91758</v>
          </cell>
          <cell r="CD146">
            <v>1202</v>
          </cell>
          <cell r="CE146">
            <v>0</v>
          </cell>
          <cell r="CF146">
            <v>0</v>
          </cell>
          <cell r="CG146">
            <v>1202</v>
          </cell>
          <cell r="CH146">
            <v>70896</v>
          </cell>
          <cell r="CI146">
            <v>0</v>
          </cell>
          <cell r="CJ146">
            <v>0</v>
          </cell>
          <cell r="CK146">
            <v>70896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20011</v>
          </cell>
          <cell r="EG146">
            <v>0</v>
          </cell>
          <cell r="EH146">
            <v>0</v>
          </cell>
          <cell r="EI146">
            <v>20011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</row>
        <row r="147">
          <cell r="A147">
            <v>141</v>
          </cell>
          <cell r="B147" t="str">
            <v>E2834</v>
          </cell>
          <cell r="C147" t="str">
            <v>SD</v>
          </cell>
          <cell r="D147" t="str">
            <v>EM</v>
          </cell>
          <cell r="E147" t="str">
            <v>Kettering</v>
          </cell>
          <cell r="F147">
            <v>19824</v>
          </cell>
          <cell r="G147">
            <v>0</v>
          </cell>
          <cell r="H147">
            <v>0</v>
          </cell>
          <cell r="I147">
            <v>19824</v>
          </cell>
          <cell r="J147">
            <v>-43748</v>
          </cell>
          <cell r="K147">
            <v>0</v>
          </cell>
          <cell r="L147">
            <v>0</v>
          </cell>
          <cell r="M147">
            <v>-43748</v>
          </cell>
          <cell r="N147">
            <v>45769</v>
          </cell>
          <cell r="O147">
            <v>0</v>
          </cell>
          <cell r="P147">
            <v>0</v>
          </cell>
          <cell r="Q147">
            <v>45769</v>
          </cell>
          <cell r="R147">
            <v>225961</v>
          </cell>
          <cell r="S147">
            <v>0</v>
          </cell>
          <cell r="T147">
            <v>0</v>
          </cell>
          <cell r="U147">
            <v>225961</v>
          </cell>
          <cell r="V147">
            <v>1493984</v>
          </cell>
          <cell r="W147">
            <v>0</v>
          </cell>
          <cell r="X147">
            <v>0</v>
          </cell>
          <cell r="Y147">
            <v>1493984</v>
          </cell>
          <cell r="Z147">
            <v>50359</v>
          </cell>
          <cell r="AA147">
            <v>0</v>
          </cell>
          <cell r="AB147">
            <v>0</v>
          </cell>
          <cell r="AC147">
            <v>50359</v>
          </cell>
          <cell r="AD147">
            <v>601058</v>
          </cell>
          <cell r="AE147">
            <v>0</v>
          </cell>
          <cell r="AF147">
            <v>0</v>
          </cell>
          <cell r="AG147">
            <v>601058</v>
          </cell>
          <cell r="AH147">
            <v>5851</v>
          </cell>
          <cell r="AI147">
            <v>0</v>
          </cell>
          <cell r="AJ147">
            <v>0</v>
          </cell>
          <cell r="AK147">
            <v>5851</v>
          </cell>
          <cell r="AL147">
            <v>2451279</v>
          </cell>
          <cell r="AM147">
            <v>0</v>
          </cell>
          <cell r="AN147">
            <v>0</v>
          </cell>
          <cell r="AO147">
            <v>2451279</v>
          </cell>
          <cell r="AP147">
            <v>409412</v>
          </cell>
          <cell r="AQ147">
            <v>0</v>
          </cell>
          <cell r="AR147">
            <v>0</v>
          </cell>
          <cell r="AS147">
            <v>409412</v>
          </cell>
          <cell r="AT147">
            <v>67183</v>
          </cell>
          <cell r="AU147">
            <v>0</v>
          </cell>
          <cell r="AV147">
            <v>0</v>
          </cell>
          <cell r="AW147">
            <v>67183</v>
          </cell>
          <cell r="AX147">
            <v>214</v>
          </cell>
          <cell r="AY147">
            <v>0</v>
          </cell>
          <cell r="AZ147">
            <v>0</v>
          </cell>
          <cell r="BA147">
            <v>214</v>
          </cell>
          <cell r="BB147">
            <v>10956</v>
          </cell>
          <cell r="BC147">
            <v>0</v>
          </cell>
          <cell r="BD147">
            <v>0</v>
          </cell>
          <cell r="BE147">
            <v>10956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1777</v>
          </cell>
          <cell r="BO147">
            <v>0</v>
          </cell>
          <cell r="BP147">
            <v>0</v>
          </cell>
          <cell r="BQ147">
            <v>1777</v>
          </cell>
          <cell r="BR147">
            <v>377914</v>
          </cell>
          <cell r="BS147">
            <v>0</v>
          </cell>
          <cell r="BT147">
            <v>0</v>
          </cell>
          <cell r="BU147">
            <v>377914</v>
          </cell>
          <cell r="BV147">
            <v>-24302</v>
          </cell>
          <cell r="BW147">
            <v>0</v>
          </cell>
          <cell r="BX147">
            <v>0</v>
          </cell>
          <cell r="BY147">
            <v>-24302</v>
          </cell>
          <cell r="BZ147">
            <v>17172</v>
          </cell>
          <cell r="CA147">
            <v>0</v>
          </cell>
          <cell r="CB147">
            <v>0</v>
          </cell>
          <cell r="CC147">
            <v>17172</v>
          </cell>
          <cell r="CD147">
            <v>96</v>
          </cell>
          <cell r="CE147">
            <v>0</v>
          </cell>
          <cell r="CF147">
            <v>0</v>
          </cell>
          <cell r="CG147">
            <v>96</v>
          </cell>
          <cell r="CH147">
            <v>33233</v>
          </cell>
          <cell r="CI147">
            <v>0</v>
          </cell>
          <cell r="CJ147">
            <v>0</v>
          </cell>
          <cell r="CK147">
            <v>33233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2475</v>
          </cell>
          <cell r="CQ147">
            <v>0</v>
          </cell>
          <cell r="CR147">
            <v>0</v>
          </cell>
          <cell r="CS147">
            <v>2475</v>
          </cell>
          <cell r="CT147">
            <v>27</v>
          </cell>
          <cell r="CU147">
            <v>0</v>
          </cell>
          <cell r="CV147">
            <v>0</v>
          </cell>
          <cell r="CW147">
            <v>27</v>
          </cell>
          <cell r="CX147">
            <v>2409</v>
          </cell>
          <cell r="CY147">
            <v>0</v>
          </cell>
          <cell r="CZ147">
            <v>0</v>
          </cell>
          <cell r="DA147">
            <v>2409</v>
          </cell>
          <cell r="DB147">
            <v>264</v>
          </cell>
          <cell r="DC147">
            <v>0</v>
          </cell>
          <cell r="DD147">
            <v>0</v>
          </cell>
          <cell r="DE147">
            <v>264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</row>
        <row r="148">
          <cell r="A148">
            <v>142</v>
          </cell>
          <cell r="B148" t="str">
            <v>E2634</v>
          </cell>
          <cell r="C148" t="str">
            <v>SD</v>
          </cell>
          <cell r="D148" t="str">
            <v>E</v>
          </cell>
          <cell r="E148" t="str">
            <v>Kings Lynn &amp; West Norfolk</v>
          </cell>
          <cell r="F148">
            <v>561736.97</v>
          </cell>
          <cell r="G148">
            <v>0</v>
          </cell>
          <cell r="H148">
            <v>0</v>
          </cell>
          <cell r="I148">
            <v>561736.97</v>
          </cell>
          <cell r="J148">
            <v>-47262.84</v>
          </cell>
          <cell r="K148">
            <v>0</v>
          </cell>
          <cell r="L148">
            <v>0</v>
          </cell>
          <cell r="M148">
            <v>-47262.84</v>
          </cell>
          <cell r="N148">
            <v>23618.09</v>
          </cell>
          <cell r="O148">
            <v>0</v>
          </cell>
          <cell r="P148">
            <v>0</v>
          </cell>
          <cell r="Q148">
            <v>23618.09</v>
          </cell>
          <cell r="R148">
            <v>89517</v>
          </cell>
          <cell r="S148">
            <v>0</v>
          </cell>
          <cell r="T148">
            <v>0</v>
          </cell>
          <cell r="U148">
            <v>89517</v>
          </cell>
          <cell r="V148">
            <v>3079238</v>
          </cell>
          <cell r="W148">
            <v>0</v>
          </cell>
          <cell r="X148">
            <v>0</v>
          </cell>
          <cell r="Y148">
            <v>3079238</v>
          </cell>
          <cell r="Z148">
            <v>182046</v>
          </cell>
          <cell r="AA148">
            <v>0</v>
          </cell>
          <cell r="AB148">
            <v>0</v>
          </cell>
          <cell r="AC148">
            <v>182046</v>
          </cell>
          <cell r="AD148">
            <v>819845</v>
          </cell>
          <cell r="AE148">
            <v>0</v>
          </cell>
          <cell r="AF148">
            <v>0</v>
          </cell>
          <cell r="AG148">
            <v>819845</v>
          </cell>
          <cell r="AH148">
            <v>-7322</v>
          </cell>
          <cell r="AI148">
            <v>0</v>
          </cell>
          <cell r="AJ148">
            <v>0</v>
          </cell>
          <cell r="AK148">
            <v>-7322</v>
          </cell>
          <cell r="AL148">
            <v>2043324</v>
          </cell>
          <cell r="AM148">
            <v>0</v>
          </cell>
          <cell r="AN148">
            <v>0</v>
          </cell>
          <cell r="AO148">
            <v>2043324</v>
          </cell>
          <cell r="AP148">
            <v>52230</v>
          </cell>
          <cell r="AQ148">
            <v>0</v>
          </cell>
          <cell r="AR148">
            <v>0</v>
          </cell>
          <cell r="AS148">
            <v>52230</v>
          </cell>
          <cell r="AT148">
            <v>22802</v>
          </cell>
          <cell r="AU148">
            <v>0</v>
          </cell>
          <cell r="AV148">
            <v>0</v>
          </cell>
          <cell r="AW148">
            <v>22802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74776</v>
          </cell>
          <cell r="BC148">
            <v>0</v>
          </cell>
          <cell r="BD148">
            <v>0</v>
          </cell>
          <cell r="BE148">
            <v>74776</v>
          </cell>
          <cell r="BF148">
            <v>2054</v>
          </cell>
          <cell r="BG148">
            <v>0</v>
          </cell>
          <cell r="BH148">
            <v>0</v>
          </cell>
          <cell r="BI148">
            <v>2054</v>
          </cell>
          <cell r="BJ148">
            <v>10980</v>
          </cell>
          <cell r="BK148">
            <v>0</v>
          </cell>
          <cell r="BL148">
            <v>0</v>
          </cell>
          <cell r="BM148">
            <v>10980</v>
          </cell>
          <cell r="BN148">
            <v>-214</v>
          </cell>
          <cell r="BO148">
            <v>0</v>
          </cell>
          <cell r="BP148">
            <v>0</v>
          </cell>
          <cell r="BQ148">
            <v>-214</v>
          </cell>
          <cell r="BR148">
            <v>1359194</v>
          </cell>
          <cell r="BS148">
            <v>0</v>
          </cell>
          <cell r="BT148">
            <v>0</v>
          </cell>
          <cell r="BU148">
            <v>1359194</v>
          </cell>
          <cell r="BV148">
            <v>11789</v>
          </cell>
          <cell r="BW148">
            <v>0</v>
          </cell>
          <cell r="BX148">
            <v>0</v>
          </cell>
          <cell r="BY148">
            <v>11789</v>
          </cell>
          <cell r="BZ148">
            <v>93790</v>
          </cell>
          <cell r="CA148">
            <v>0</v>
          </cell>
          <cell r="CB148">
            <v>0</v>
          </cell>
          <cell r="CC148">
            <v>93790</v>
          </cell>
          <cell r="CD148">
            <v>1476</v>
          </cell>
          <cell r="CE148">
            <v>0</v>
          </cell>
          <cell r="CF148">
            <v>0</v>
          </cell>
          <cell r="CG148">
            <v>1476</v>
          </cell>
          <cell r="CH148">
            <v>52840</v>
          </cell>
          <cell r="CI148">
            <v>0</v>
          </cell>
          <cell r="CJ148">
            <v>0</v>
          </cell>
          <cell r="CK148">
            <v>52840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31869</v>
          </cell>
          <cell r="CY148">
            <v>0</v>
          </cell>
          <cell r="CZ148">
            <v>0</v>
          </cell>
          <cell r="DA148">
            <v>31869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26403</v>
          </cell>
          <cell r="DG148">
            <v>0</v>
          </cell>
          <cell r="DH148">
            <v>0</v>
          </cell>
          <cell r="DI148">
            <v>26403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900</v>
          </cell>
          <cell r="DY148">
            <v>0</v>
          </cell>
          <cell r="DZ148">
            <v>0</v>
          </cell>
          <cell r="EA148">
            <v>900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45679</v>
          </cell>
          <cell r="EG148">
            <v>0</v>
          </cell>
          <cell r="EH148">
            <v>0</v>
          </cell>
          <cell r="EI148">
            <v>45679</v>
          </cell>
          <cell r="EJ148">
            <v>24</v>
          </cell>
          <cell r="EK148">
            <v>0</v>
          </cell>
          <cell r="EL148">
            <v>0</v>
          </cell>
          <cell r="EM148">
            <v>24</v>
          </cell>
        </row>
        <row r="149">
          <cell r="A149">
            <v>143</v>
          </cell>
          <cell r="B149" t="str">
            <v>E2002</v>
          </cell>
          <cell r="C149" t="str">
            <v>UA</v>
          </cell>
          <cell r="D149" t="str">
            <v>YH</v>
          </cell>
          <cell r="E149" t="str">
            <v>Kingston upon Hull UA</v>
          </cell>
          <cell r="F149">
            <v>271513</v>
          </cell>
          <cell r="G149">
            <v>0</v>
          </cell>
          <cell r="H149">
            <v>0</v>
          </cell>
          <cell r="I149">
            <v>271513</v>
          </cell>
          <cell r="J149">
            <v>-347652</v>
          </cell>
          <cell r="K149">
            <v>0</v>
          </cell>
          <cell r="L149">
            <v>0</v>
          </cell>
          <cell r="M149">
            <v>-347652</v>
          </cell>
          <cell r="N149">
            <v>924740</v>
          </cell>
          <cell r="O149">
            <v>0</v>
          </cell>
          <cell r="P149">
            <v>0</v>
          </cell>
          <cell r="Q149">
            <v>924740</v>
          </cell>
          <cell r="R149">
            <v>2058731</v>
          </cell>
          <cell r="S149">
            <v>0</v>
          </cell>
          <cell r="T149">
            <v>0</v>
          </cell>
          <cell r="U149">
            <v>2058731</v>
          </cell>
          <cell r="V149">
            <v>5207245</v>
          </cell>
          <cell r="W149">
            <v>0</v>
          </cell>
          <cell r="X149">
            <v>0</v>
          </cell>
          <cell r="Y149">
            <v>5207245</v>
          </cell>
          <cell r="Z149">
            <v>317731</v>
          </cell>
          <cell r="AA149">
            <v>0</v>
          </cell>
          <cell r="AB149">
            <v>0</v>
          </cell>
          <cell r="AC149">
            <v>317731</v>
          </cell>
          <cell r="AD149">
            <v>1761071</v>
          </cell>
          <cell r="AE149">
            <v>0</v>
          </cell>
          <cell r="AF149">
            <v>657</v>
          </cell>
          <cell r="AG149">
            <v>1761728</v>
          </cell>
          <cell r="AH149">
            <v>-676690</v>
          </cell>
          <cell r="AI149">
            <v>0</v>
          </cell>
          <cell r="AJ149">
            <v>0</v>
          </cell>
          <cell r="AK149">
            <v>-676690</v>
          </cell>
          <cell r="AL149">
            <v>5589432</v>
          </cell>
          <cell r="AM149">
            <v>0</v>
          </cell>
          <cell r="AN149">
            <v>0</v>
          </cell>
          <cell r="AO149">
            <v>5589432</v>
          </cell>
          <cell r="AP149">
            <v>-165233</v>
          </cell>
          <cell r="AQ149">
            <v>0</v>
          </cell>
          <cell r="AR149">
            <v>0</v>
          </cell>
          <cell r="AS149">
            <v>-165233</v>
          </cell>
          <cell r="AT149">
            <v>24285</v>
          </cell>
          <cell r="AU149">
            <v>0</v>
          </cell>
          <cell r="AV149">
            <v>0</v>
          </cell>
          <cell r="AW149">
            <v>24285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16251</v>
          </cell>
          <cell r="BK149">
            <v>0</v>
          </cell>
          <cell r="BL149">
            <v>0</v>
          </cell>
          <cell r="BM149">
            <v>16251</v>
          </cell>
          <cell r="BN149">
            <v>-4624</v>
          </cell>
          <cell r="BO149">
            <v>0</v>
          </cell>
          <cell r="BP149">
            <v>0</v>
          </cell>
          <cell r="BQ149">
            <v>-4624</v>
          </cell>
          <cell r="BR149">
            <v>4064418</v>
          </cell>
          <cell r="BS149">
            <v>0</v>
          </cell>
          <cell r="BT149">
            <v>0</v>
          </cell>
          <cell r="BU149">
            <v>4064418</v>
          </cell>
          <cell r="BV149">
            <v>223111</v>
          </cell>
          <cell r="BW149">
            <v>0</v>
          </cell>
          <cell r="BX149">
            <v>0</v>
          </cell>
          <cell r="BY149">
            <v>223111</v>
          </cell>
          <cell r="BZ149">
            <v>5630</v>
          </cell>
          <cell r="CA149">
            <v>0</v>
          </cell>
          <cell r="CB149">
            <v>0</v>
          </cell>
          <cell r="CC149">
            <v>5630</v>
          </cell>
          <cell r="CD149">
            <v>951</v>
          </cell>
          <cell r="CE149">
            <v>0</v>
          </cell>
          <cell r="CF149">
            <v>0</v>
          </cell>
          <cell r="CG149">
            <v>951</v>
          </cell>
          <cell r="CH149">
            <v>6953</v>
          </cell>
          <cell r="CI149">
            <v>0</v>
          </cell>
          <cell r="CJ149">
            <v>0</v>
          </cell>
          <cell r="CK149">
            <v>6953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157147</v>
          </cell>
          <cell r="EC149">
            <v>0</v>
          </cell>
          <cell r="ED149">
            <v>0</v>
          </cell>
          <cell r="EE149">
            <v>157147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</row>
        <row r="150">
          <cell r="A150">
            <v>144</v>
          </cell>
          <cell r="B150" t="str">
            <v>E5043</v>
          </cell>
          <cell r="C150" t="str">
            <v>OLB</v>
          </cell>
          <cell r="D150" t="str">
            <v>L</v>
          </cell>
          <cell r="E150" t="str">
            <v>Kingston upon Thames</v>
          </cell>
          <cell r="F150">
            <v>43823.95</v>
          </cell>
          <cell r="G150">
            <v>0</v>
          </cell>
          <cell r="H150">
            <v>0</v>
          </cell>
          <cell r="I150">
            <v>43823.95</v>
          </cell>
          <cell r="J150">
            <v>-165797.82999999999</v>
          </cell>
          <cell r="K150">
            <v>0</v>
          </cell>
          <cell r="L150">
            <v>0</v>
          </cell>
          <cell r="M150">
            <v>-165797.82999999999</v>
          </cell>
          <cell r="N150">
            <v>33951.81</v>
          </cell>
          <cell r="O150">
            <v>0</v>
          </cell>
          <cell r="P150">
            <v>0</v>
          </cell>
          <cell r="Q150">
            <v>33951.81</v>
          </cell>
          <cell r="R150">
            <v>379500.81</v>
          </cell>
          <cell r="S150">
            <v>0</v>
          </cell>
          <cell r="T150">
            <v>0</v>
          </cell>
          <cell r="U150">
            <v>379500.81</v>
          </cell>
          <cell r="V150">
            <v>2292187.38</v>
          </cell>
          <cell r="W150">
            <v>0</v>
          </cell>
          <cell r="X150">
            <v>0</v>
          </cell>
          <cell r="Y150">
            <v>2292187.38</v>
          </cell>
          <cell r="Z150">
            <v>102606.32</v>
          </cell>
          <cell r="AA150">
            <v>0</v>
          </cell>
          <cell r="AB150">
            <v>0</v>
          </cell>
          <cell r="AC150">
            <v>102606.32</v>
          </cell>
          <cell r="AD150">
            <v>1576838.35</v>
          </cell>
          <cell r="AE150">
            <v>0</v>
          </cell>
          <cell r="AF150">
            <v>0</v>
          </cell>
          <cell r="AG150">
            <v>1576838.35</v>
          </cell>
          <cell r="AH150">
            <v>-23895.96</v>
          </cell>
          <cell r="AI150">
            <v>0</v>
          </cell>
          <cell r="AJ150">
            <v>0</v>
          </cell>
          <cell r="AK150">
            <v>-23895.96</v>
          </cell>
          <cell r="AL150">
            <v>5537819.0999999996</v>
          </cell>
          <cell r="AM150">
            <v>0</v>
          </cell>
          <cell r="AN150">
            <v>0</v>
          </cell>
          <cell r="AO150">
            <v>5537819.0999999996</v>
          </cell>
          <cell r="AP150">
            <v>-93055.93</v>
          </cell>
          <cell r="AQ150">
            <v>0</v>
          </cell>
          <cell r="AR150">
            <v>0</v>
          </cell>
          <cell r="AS150">
            <v>-93055.93</v>
          </cell>
          <cell r="AT150">
            <v>66279.12</v>
          </cell>
          <cell r="AU150">
            <v>0</v>
          </cell>
          <cell r="AV150">
            <v>0</v>
          </cell>
          <cell r="AW150">
            <v>66279.12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28927.79</v>
          </cell>
          <cell r="BK150">
            <v>0</v>
          </cell>
          <cell r="BL150">
            <v>0</v>
          </cell>
          <cell r="BM150">
            <v>28927.79</v>
          </cell>
          <cell r="BN150">
            <v>-746.23</v>
          </cell>
          <cell r="BO150">
            <v>0</v>
          </cell>
          <cell r="BP150">
            <v>0</v>
          </cell>
          <cell r="BQ150">
            <v>-746.23</v>
          </cell>
          <cell r="BR150">
            <v>2972844.72</v>
          </cell>
          <cell r="BS150">
            <v>0</v>
          </cell>
          <cell r="BT150">
            <v>0</v>
          </cell>
          <cell r="BU150">
            <v>2972844.72</v>
          </cell>
          <cell r="BV150">
            <v>25003.16</v>
          </cell>
          <cell r="BW150">
            <v>0</v>
          </cell>
          <cell r="BX150">
            <v>0</v>
          </cell>
          <cell r="BY150">
            <v>25003.16</v>
          </cell>
          <cell r="BZ150">
            <v>39820.71</v>
          </cell>
          <cell r="CA150">
            <v>0</v>
          </cell>
          <cell r="CB150">
            <v>0</v>
          </cell>
          <cell r="CC150">
            <v>39820.71</v>
          </cell>
          <cell r="CD150">
            <v>-42.16</v>
          </cell>
          <cell r="CE150">
            <v>0</v>
          </cell>
          <cell r="CF150">
            <v>0</v>
          </cell>
          <cell r="CG150">
            <v>-42.16</v>
          </cell>
          <cell r="CH150">
            <v>384031.14</v>
          </cell>
          <cell r="CI150">
            <v>0</v>
          </cell>
          <cell r="CJ150">
            <v>0</v>
          </cell>
          <cell r="CK150">
            <v>384031.14</v>
          </cell>
          <cell r="CL150">
            <v>-3687.18</v>
          </cell>
          <cell r="CM150">
            <v>0</v>
          </cell>
          <cell r="CN150">
            <v>0</v>
          </cell>
          <cell r="CO150">
            <v>-3687.18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</row>
        <row r="151">
          <cell r="A151">
            <v>145</v>
          </cell>
          <cell r="B151" t="str">
            <v>E4703</v>
          </cell>
          <cell r="C151" t="str">
            <v>Met</v>
          </cell>
          <cell r="D151" t="str">
            <v>YH</v>
          </cell>
          <cell r="E151" t="str">
            <v>Kirklees</v>
          </cell>
          <cell r="F151">
            <v>297084</v>
          </cell>
          <cell r="G151">
            <v>0</v>
          </cell>
          <cell r="H151">
            <v>0</v>
          </cell>
          <cell r="I151">
            <v>297084</v>
          </cell>
          <cell r="J151">
            <v>-409916</v>
          </cell>
          <cell r="K151">
            <v>0</v>
          </cell>
          <cell r="L151">
            <v>0</v>
          </cell>
          <cell r="M151">
            <v>-409916</v>
          </cell>
          <cell r="N151">
            <v>73561</v>
          </cell>
          <cell r="O151">
            <v>0</v>
          </cell>
          <cell r="P151">
            <v>0</v>
          </cell>
          <cell r="Q151">
            <v>73561</v>
          </cell>
          <cell r="R151">
            <v>391277</v>
          </cell>
          <cell r="S151">
            <v>0</v>
          </cell>
          <cell r="T151">
            <v>0</v>
          </cell>
          <cell r="U151">
            <v>391277</v>
          </cell>
          <cell r="V151">
            <v>11250232</v>
          </cell>
          <cell r="W151">
            <v>0</v>
          </cell>
          <cell r="X151">
            <v>0</v>
          </cell>
          <cell r="Y151">
            <v>11250232</v>
          </cell>
          <cell r="Z151">
            <v>312951</v>
          </cell>
          <cell r="AA151">
            <v>0</v>
          </cell>
          <cell r="AB151">
            <v>0</v>
          </cell>
          <cell r="AC151">
            <v>312951</v>
          </cell>
          <cell r="AD151">
            <v>2042345</v>
          </cell>
          <cell r="AE151">
            <v>0</v>
          </cell>
          <cell r="AF151">
            <v>0</v>
          </cell>
          <cell r="AG151">
            <v>2042345</v>
          </cell>
          <cell r="AH151">
            <v>-10533</v>
          </cell>
          <cell r="AI151">
            <v>0</v>
          </cell>
          <cell r="AJ151">
            <v>0</v>
          </cell>
          <cell r="AK151">
            <v>-10533</v>
          </cell>
          <cell r="AL151">
            <v>5988085</v>
          </cell>
          <cell r="AM151">
            <v>0</v>
          </cell>
          <cell r="AN151">
            <v>0</v>
          </cell>
          <cell r="AO151">
            <v>5988085</v>
          </cell>
          <cell r="AP151">
            <v>36810</v>
          </cell>
          <cell r="AQ151">
            <v>0</v>
          </cell>
          <cell r="AR151">
            <v>0</v>
          </cell>
          <cell r="AS151">
            <v>36810</v>
          </cell>
          <cell r="AT151">
            <v>160311</v>
          </cell>
          <cell r="AU151">
            <v>0</v>
          </cell>
          <cell r="AV151">
            <v>0</v>
          </cell>
          <cell r="AW151">
            <v>160311</v>
          </cell>
          <cell r="AX151">
            <v>498</v>
          </cell>
          <cell r="AY151">
            <v>0</v>
          </cell>
          <cell r="AZ151">
            <v>0</v>
          </cell>
          <cell r="BA151">
            <v>498</v>
          </cell>
          <cell r="BB151">
            <v>4004</v>
          </cell>
          <cell r="BC151">
            <v>0</v>
          </cell>
          <cell r="BD151">
            <v>0</v>
          </cell>
          <cell r="BE151">
            <v>4004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37903</v>
          </cell>
          <cell r="BK151">
            <v>0</v>
          </cell>
          <cell r="BL151">
            <v>0</v>
          </cell>
          <cell r="BM151">
            <v>37903</v>
          </cell>
          <cell r="BN151">
            <v>53878</v>
          </cell>
          <cell r="BO151">
            <v>0</v>
          </cell>
          <cell r="BP151">
            <v>0</v>
          </cell>
          <cell r="BQ151">
            <v>53878</v>
          </cell>
          <cell r="BR151">
            <v>6599855</v>
          </cell>
          <cell r="BS151">
            <v>0</v>
          </cell>
          <cell r="BT151">
            <v>0</v>
          </cell>
          <cell r="BU151">
            <v>6599855</v>
          </cell>
          <cell r="BV151">
            <v>109519</v>
          </cell>
          <cell r="BW151">
            <v>0</v>
          </cell>
          <cell r="BX151">
            <v>0</v>
          </cell>
          <cell r="BY151">
            <v>109519</v>
          </cell>
          <cell r="BZ151">
            <v>230071</v>
          </cell>
          <cell r="CA151">
            <v>0</v>
          </cell>
          <cell r="CB151">
            <v>0</v>
          </cell>
          <cell r="CC151">
            <v>230071</v>
          </cell>
          <cell r="CD151">
            <v>430</v>
          </cell>
          <cell r="CE151">
            <v>0</v>
          </cell>
          <cell r="CF151">
            <v>0</v>
          </cell>
          <cell r="CG151">
            <v>430</v>
          </cell>
          <cell r="CH151">
            <v>107398</v>
          </cell>
          <cell r="CI151">
            <v>0</v>
          </cell>
          <cell r="CJ151">
            <v>0</v>
          </cell>
          <cell r="CK151">
            <v>107398</v>
          </cell>
          <cell r="CL151">
            <v>916</v>
          </cell>
          <cell r="CM151">
            <v>0</v>
          </cell>
          <cell r="CN151">
            <v>0</v>
          </cell>
          <cell r="CO151">
            <v>916</v>
          </cell>
          <cell r="CP151">
            <v>1130</v>
          </cell>
          <cell r="CQ151">
            <v>0</v>
          </cell>
          <cell r="CR151">
            <v>0</v>
          </cell>
          <cell r="CS151">
            <v>1130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2773</v>
          </cell>
          <cell r="CY151">
            <v>0</v>
          </cell>
          <cell r="CZ151">
            <v>0</v>
          </cell>
          <cell r="DA151">
            <v>2773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116573</v>
          </cell>
          <cell r="DG151">
            <v>0</v>
          </cell>
          <cell r="DH151">
            <v>0</v>
          </cell>
          <cell r="DI151">
            <v>116573</v>
          </cell>
          <cell r="DJ151">
            <v>-10</v>
          </cell>
          <cell r="DK151">
            <v>0</v>
          </cell>
          <cell r="DL151">
            <v>0</v>
          </cell>
          <cell r="DM151">
            <v>-10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25251</v>
          </cell>
          <cell r="EG151">
            <v>0</v>
          </cell>
          <cell r="EH151">
            <v>0</v>
          </cell>
          <cell r="EI151">
            <v>25251</v>
          </cell>
          <cell r="EJ151">
            <v>-14975</v>
          </cell>
          <cell r="EK151">
            <v>0</v>
          </cell>
          <cell r="EL151">
            <v>0</v>
          </cell>
          <cell r="EM151">
            <v>-14975</v>
          </cell>
        </row>
        <row r="152">
          <cell r="A152">
            <v>146</v>
          </cell>
          <cell r="B152" t="str">
            <v>E4301</v>
          </cell>
          <cell r="C152" t="str">
            <v>Met</v>
          </cell>
          <cell r="D152" t="str">
            <v>NW</v>
          </cell>
          <cell r="E152" t="str">
            <v>Knowsley</v>
          </cell>
          <cell r="F152">
            <v>44127.29</v>
          </cell>
          <cell r="G152">
            <v>0</v>
          </cell>
          <cell r="H152">
            <v>0</v>
          </cell>
          <cell r="I152">
            <v>44127.29</v>
          </cell>
          <cell r="J152">
            <v>-93240.47</v>
          </cell>
          <cell r="K152">
            <v>0</v>
          </cell>
          <cell r="L152">
            <v>0</v>
          </cell>
          <cell r="M152">
            <v>-93240.47</v>
          </cell>
          <cell r="N152">
            <v>72095.89</v>
          </cell>
          <cell r="O152">
            <v>0</v>
          </cell>
          <cell r="P152">
            <v>0</v>
          </cell>
          <cell r="Q152">
            <v>72095.89</v>
          </cell>
          <cell r="R152">
            <v>392672.05</v>
          </cell>
          <cell r="S152">
            <v>0</v>
          </cell>
          <cell r="T152">
            <v>0</v>
          </cell>
          <cell r="U152">
            <v>392672.05</v>
          </cell>
          <cell r="V152">
            <v>1653305.85</v>
          </cell>
          <cell r="W152">
            <v>0</v>
          </cell>
          <cell r="X152">
            <v>0</v>
          </cell>
          <cell r="Y152">
            <v>1653305.85</v>
          </cell>
          <cell r="Z152">
            <v>68176.399999999994</v>
          </cell>
          <cell r="AA152">
            <v>0</v>
          </cell>
          <cell r="AB152">
            <v>0</v>
          </cell>
          <cell r="AC152">
            <v>68176.399999999994</v>
          </cell>
          <cell r="AD152">
            <v>821998.26</v>
          </cell>
          <cell r="AE152">
            <v>0</v>
          </cell>
          <cell r="AF152">
            <v>0</v>
          </cell>
          <cell r="AG152">
            <v>821998.26</v>
          </cell>
          <cell r="AH152">
            <v>-28428.080000000002</v>
          </cell>
          <cell r="AI152">
            <v>0</v>
          </cell>
          <cell r="AJ152">
            <v>0</v>
          </cell>
          <cell r="AK152">
            <v>-28428.080000000002</v>
          </cell>
          <cell r="AL152">
            <v>2060379.35</v>
          </cell>
          <cell r="AM152">
            <v>0</v>
          </cell>
          <cell r="AN152">
            <v>0</v>
          </cell>
          <cell r="AO152">
            <v>2060379.35</v>
          </cell>
          <cell r="AP152">
            <v>-211858.9</v>
          </cell>
          <cell r="AQ152">
            <v>0</v>
          </cell>
          <cell r="AR152">
            <v>0</v>
          </cell>
          <cell r="AS152">
            <v>-211858.9</v>
          </cell>
          <cell r="AT152">
            <v>15034.32</v>
          </cell>
          <cell r="AU152">
            <v>0</v>
          </cell>
          <cell r="AV152">
            <v>0</v>
          </cell>
          <cell r="AW152">
            <v>15034.32</v>
          </cell>
          <cell r="AX152">
            <v>85.83</v>
          </cell>
          <cell r="AY152">
            <v>0</v>
          </cell>
          <cell r="AZ152">
            <v>0</v>
          </cell>
          <cell r="BA152">
            <v>85.83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1740.64</v>
          </cell>
          <cell r="BK152">
            <v>0</v>
          </cell>
          <cell r="BL152">
            <v>0</v>
          </cell>
          <cell r="BM152">
            <v>1740.64</v>
          </cell>
          <cell r="BN152">
            <v>-236874.46</v>
          </cell>
          <cell r="BO152">
            <v>0</v>
          </cell>
          <cell r="BP152">
            <v>0</v>
          </cell>
          <cell r="BQ152">
            <v>-236874.46</v>
          </cell>
          <cell r="BR152">
            <v>1999193.58</v>
          </cell>
          <cell r="BS152">
            <v>0</v>
          </cell>
          <cell r="BT152">
            <v>0</v>
          </cell>
          <cell r="BU152">
            <v>1999193.58</v>
          </cell>
          <cell r="BV152">
            <v>-18199.150000000001</v>
          </cell>
          <cell r="BW152">
            <v>0</v>
          </cell>
          <cell r="BX152">
            <v>0</v>
          </cell>
          <cell r="BY152">
            <v>-18199.150000000001</v>
          </cell>
          <cell r="BZ152">
            <v>208380.57</v>
          </cell>
          <cell r="CA152">
            <v>0</v>
          </cell>
          <cell r="CB152">
            <v>0</v>
          </cell>
          <cell r="CC152">
            <v>208380.57</v>
          </cell>
          <cell r="CD152">
            <v>-57008.74</v>
          </cell>
          <cell r="CE152">
            <v>0</v>
          </cell>
          <cell r="CF152">
            <v>0</v>
          </cell>
          <cell r="CG152">
            <v>-57008.74</v>
          </cell>
          <cell r="CH152">
            <v>40819.58</v>
          </cell>
          <cell r="CI152">
            <v>0</v>
          </cell>
          <cell r="CJ152">
            <v>0</v>
          </cell>
          <cell r="CK152">
            <v>40819.58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21.46</v>
          </cell>
          <cell r="CU152">
            <v>0</v>
          </cell>
          <cell r="CV152">
            <v>0</v>
          </cell>
          <cell r="CW152">
            <v>21.46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6142.36</v>
          </cell>
          <cell r="DY152">
            <v>0</v>
          </cell>
          <cell r="DZ152">
            <v>0</v>
          </cell>
          <cell r="EA152">
            <v>6142.36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</row>
        <row r="153">
          <cell r="A153">
            <v>147</v>
          </cell>
          <cell r="B153" t="str">
            <v>E5017</v>
          </cell>
          <cell r="C153" t="str">
            <v>ILB</v>
          </cell>
          <cell r="D153" t="str">
            <v>L</v>
          </cell>
          <cell r="E153" t="str">
            <v>Lambeth</v>
          </cell>
          <cell r="F153">
            <v>821584</v>
          </cell>
          <cell r="G153">
            <v>0</v>
          </cell>
          <cell r="H153">
            <v>0</v>
          </cell>
          <cell r="I153">
            <v>821584</v>
          </cell>
          <cell r="J153">
            <v>-759041</v>
          </cell>
          <cell r="K153">
            <v>0</v>
          </cell>
          <cell r="L153">
            <v>0</v>
          </cell>
          <cell r="M153">
            <v>-759041</v>
          </cell>
          <cell r="N153">
            <v>25860</v>
          </cell>
          <cell r="O153">
            <v>0</v>
          </cell>
          <cell r="P153">
            <v>0</v>
          </cell>
          <cell r="Q153">
            <v>25860</v>
          </cell>
          <cell r="R153">
            <v>80566</v>
          </cell>
          <cell r="S153">
            <v>0</v>
          </cell>
          <cell r="T153">
            <v>0</v>
          </cell>
          <cell r="U153">
            <v>80566</v>
          </cell>
          <cell r="V153">
            <v>5164930</v>
          </cell>
          <cell r="W153">
            <v>0</v>
          </cell>
          <cell r="X153">
            <v>0</v>
          </cell>
          <cell r="Y153">
            <v>5164930</v>
          </cell>
          <cell r="Z153">
            <v>80711</v>
          </cell>
          <cell r="AA153">
            <v>0</v>
          </cell>
          <cell r="AB153">
            <v>0</v>
          </cell>
          <cell r="AC153">
            <v>80711</v>
          </cell>
          <cell r="AD153">
            <v>2408343</v>
          </cell>
          <cell r="AE153">
            <v>0</v>
          </cell>
          <cell r="AF153">
            <v>0</v>
          </cell>
          <cell r="AG153">
            <v>2408343</v>
          </cell>
          <cell r="AH153">
            <v>-38648</v>
          </cell>
          <cell r="AI153">
            <v>0</v>
          </cell>
          <cell r="AJ153">
            <v>0</v>
          </cell>
          <cell r="AK153">
            <v>-38648</v>
          </cell>
          <cell r="AL153">
            <v>14793631</v>
          </cell>
          <cell r="AM153">
            <v>0</v>
          </cell>
          <cell r="AN153">
            <v>0</v>
          </cell>
          <cell r="AO153">
            <v>14793631</v>
          </cell>
          <cell r="AP153">
            <v>-570625</v>
          </cell>
          <cell r="AQ153">
            <v>0</v>
          </cell>
          <cell r="AR153">
            <v>0</v>
          </cell>
          <cell r="AS153">
            <v>-570625</v>
          </cell>
          <cell r="AT153">
            <v>7442</v>
          </cell>
          <cell r="AU153">
            <v>0</v>
          </cell>
          <cell r="AV153">
            <v>0</v>
          </cell>
          <cell r="AW153">
            <v>7442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57070</v>
          </cell>
          <cell r="BK153">
            <v>0</v>
          </cell>
          <cell r="BL153">
            <v>0</v>
          </cell>
          <cell r="BM153">
            <v>57070</v>
          </cell>
          <cell r="BN153">
            <v>-57870</v>
          </cell>
          <cell r="BO153">
            <v>0</v>
          </cell>
          <cell r="BP153">
            <v>0</v>
          </cell>
          <cell r="BQ153">
            <v>-57870</v>
          </cell>
          <cell r="BR153">
            <v>2955604</v>
          </cell>
          <cell r="BS153">
            <v>0</v>
          </cell>
          <cell r="BT153">
            <v>0</v>
          </cell>
          <cell r="BU153">
            <v>2955604</v>
          </cell>
          <cell r="BV153">
            <v>-232318</v>
          </cell>
          <cell r="BW153">
            <v>0</v>
          </cell>
          <cell r="BX153">
            <v>0</v>
          </cell>
          <cell r="BY153">
            <v>-232318</v>
          </cell>
          <cell r="BZ153">
            <v>210169</v>
          </cell>
          <cell r="CA153">
            <v>0</v>
          </cell>
          <cell r="CB153">
            <v>0</v>
          </cell>
          <cell r="CC153">
            <v>210169</v>
          </cell>
          <cell r="CD153">
            <v>636</v>
          </cell>
          <cell r="CE153">
            <v>0</v>
          </cell>
          <cell r="CF153">
            <v>0</v>
          </cell>
          <cell r="CG153">
            <v>636</v>
          </cell>
          <cell r="CH153">
            <v>339981</v>
          </cell>
          <cell r="CI153">
            <v>0</v>
          </cell>
          <cell r="CJ153">
            <v>0</v>
          </cell>
          <cell r="CK153">
            <v>339981</v>
          </cell>
          <cell r="CL153">
            <v>3909</v>
          </cell>
          <cell r="CM153">
            <v>0</v>
          </cell>
          <cell r="CN153">
            <v>0</v>
          </cell>
          <cell r="CO153">
            <v>3909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-529</v>
          </cell>
          <cell r="EK153">
            <v>0</v>
          </cell>
          <cell r="EL153">
            <v>0</v>
          </cell>
          <cell r="EM153">
            <v>-529</v>
          </cell>
        </row>
        <row r="154">
          <cell r="A154">
            <v>148</v>
          </cell>
          <cell r="B154" t="str">
            <v>E2337</v>
          </cell>
          <cell r="C154" t="str">
            <v>SD</v>
          </cell>
          <cell r="D154" t="str">
            <v>NW</v>
          </cell>
          <cell r="E154" t="str">
            <v>Lancaster</v>
          </cell>
          <cell r="F154">
            <v>19781439</v>
          </cell>
          <cell r="G154">
            <v>0</v>
          </cell>
          <cell r="H154">
            <v>0</v>
          </cell>
          <cell r="I154">
            <v>19781439</v>
          </cell>
          <cell r="J154">
            <v>-93514</v>
          </cell>
          <cell r="K154">
            <v>0</v>
          </cell>
          <cell r="L154">
            <v>0</v>
          </cell>
          <cell r="M154">
            <v>-93514</v>
          </cell>
          <cell r="N154">
            <v>3785</v>
          </cell>
          <cell r="O154">
            <v>0</v>
          </cell>
          <cell r="P154">
            <v>0</v>
          </cell>
          <cell r="Q154">
            <v>3785</v>
          </cell>
          <cell r="R154">
            <v>304482</v>
          </cell>
          <cell r="S154">
            <v>0</v>
          </cell>
          <cell r="T154">
            <v>0</v>
          </cell>
          <cell r="U154">
            <v>304482</v>
          </cell>
          <cell r="V154">
            <v>3105157</v>
          </cell>
          <cell r="W154">
            <v>0</v>
          </cell>
          <cell r="X154">
            <v>0</v>
          </cell>
          <cell r="Y154">
            <v>3105157</v>
          </cell>
          <cell r="Z154">
            <v>23296</v>
          </cell>
          <cell r="AA154">
            <v>0</v>
          </cell>
          <cell r="AB154">
            <v>0</v>
          </cell>
          <cell r="AC154">
            <v>23296</v>
          </cell>
          <cell r="AD154">
            <v>1315697</v>
          </cell>
          <cell r="AE154">
            <v>0</v>
          </cell>
          <cell r="AF154">
            <v>0</v>
          </cell>
          <cell r="AG154">
            <v>1315697</v>
          </cell>
          <cell r="AH154">
            <v>17914</v>
          </cell>
          <cell r="AI154">
            <v>0</v>
          </cell>
          <cell r="AJ154">
            <v>0</v>
          </cell>
          <cell r="AK154">
            <v>17914</v>
          </cell>
          <cell r="AL154">
            <v>3246985</v>
          </cell>
          <cell r="AM154">
            <v>0</v>
          </cell>
          <cell r="AN154">
            <v>0</v>
          </cell>
          <cell r="AO154">
            <v>3246985</v>
          </cell>
          <cell r="AP154">
            <v>-7039</v>
          </cell>
          <cell r="AQ154">
            <v>0</v>
          </cell>
          <cell r="AR154">
            <v>0</v>
          </cell>
          <cell r="AS154">
            <v>-7039</v>
          </cell>
          <cell r="AT154">
            <v>27450</v>
          </cell>
          <cell r="AU154">
            <v>0</v>
          </cell>
          <cell r="AV154">
            <v>0</v>
          </cell>
          <cell r="AW154">
            <v>27450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29154</v>
          </cell>
          <cell r="BC154">
            <v>0</v>
          </cell>
          <cell r="BD154">
            <v>0</v>
          </cell>
          <cell r="BE154">
            <v>29154</v>
          </cell>
          <cell r="BF154">
            <v>-453</v>
          </cell>
          <cell r="BG154">
            <v>0</v>
          </cell>
          <cell r="BH154">
            <v>0</v>
          </cell>
          <cell r="BI154">
            <v>-453</v>
          </cell>
          <cell r="BJ154">
            <v>6636</v>
          </cell>
          <cell r="BK154">
            <v>0</v>
          </cell>
          <cell r="BL154">
            <v>0</v>
          </cell>
          <cell r="BM154">
            <v>6636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1273581</v>
          </cell>
          <cell r="BS154">
            <v>0</v>
          </cell>
          <cell r="BT154">
            <v>0</v>
          </cell>
          <cell r="BU154">
            <v>1273581</v>
          </cell>
          <cell r="BV154">
            <v>-229919</v>
          </cell>
          <cell r="BW154">
            <v>0</v>
          </cell>
          <cell r="BX154">
            <v>0</v>
          </cell>
          <cell r="BY154">
            <v>-229919</v>
          </cell>
          <cell r="BZ154">
            <v>100966</v>
          </cell>
          <cell r="CA154">
            <v>0</v>
          </cell>
          <cell r="CB154">
            <v>0</v>
          </cell>
          <cell r="CC154">
            <v>100966</v>
          </cell>
          <cell r="CD154">
            <v>662</v>
          </cell>
          <cell r="CE154">
            <v>0</v>
          </cell>
          <cell r="CF154">
            <v>0</v>
          </cell>
          <cell r="CG154">
            <v>662</v>
          </cell>
          <cell r="CH154">
            <v>25656</v>
          </cell>
          <cell r="CI154">
            <v>0</v>
          </cell>
          <cell r="CJ154">
            <v>0</v>
          </cell>
          <cell r="CK154">
            <v>25656</v>
          </cell>
          <cell r="CL154">
            <v>184</v>
          </cell>
          <cell r="CM154">
            <v>0</v>
          </cell>
          <cell r="CN154">
            <v>0</v>
          </cell>
          <cell r="CO154">
            <v>184</v>
          </cell>
          <cell r="CP154">
            <v>1154</v>
          </cell>
          <cell r="CQ154">
            <v>0</v>
          </cell>
          <cell r="CR154">
            <v>0</v>
          </cell>
          <cell r="CS154">
            <v>1154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3721</v>
          </cell>
          <cell r="CY154">
            <v>0</v>
          </cell>
          <cell r="CZ154">
            <v>0</v>
          </cell>
          <cell r="DA154">
            <v>3721</v>
          </cell>
          <cell r="DB154">
            <v>-341</v>
          </cell>
          <cell r="DC154">
            <v>0</v>
          </cell>
          <cell r="DD154">
            <v>0</v>
          </cell>
          <cell r="DE154">
            <v>-341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325</v>
          </cell>
          <cell r="DY154">
            <v>0</v>
          </cell>
          <cell r="DZ154">
            <v>0</v>
          </cell>
          <cell r="EA154">
            <v>325</v>
          </cell>
          <cell r="EB154">
            <v>10336</v>
          </cell>
          <cell r="EC154">
            <v>0</v>
          </cell>
          <cell r="ED154">
            <v>0</v>
          </cell>
          <cell r="EE154">
            <v>10336</v>
          </cell>
          <cell r="EF154">
            <v>57461</v>
          </cell>
          <cell r="EG154">
            <v>0</v>
          </cell>
          <cell r="EH154">
            <v>0</v>
          </cell>
          <cell r="EI154">
            <v>57461</v>
          </cell>
          <cell r="EJ154">
            <v>20857</v>
          </cell>
          <cell r="EK154">
            <v>0</v>
          </cell>
          <cell r="EL154">
            <v>0</v>
          </cell>
          <cell r="EM154">
            <v>20857</v>
          </cell>
        </row>
        <row r="155">
          <cell r="A155">
            <v>149</v>
          </cell>
          <cell r="B155" t="str">
            <v>E4704</v>
          </cell>
          <cell r="C155" t="str">
            <v>Met</v>
          </cell>
          <cell r="D155" t="str">
            <v>YH</v>
          </cell>
          <cell r="E155" t="str">
            <v>Leeds</v>
          </cell>
          <cell r="F155">
            <v>954796</v>
          </cell>
          <cell r="G155">
            <v>0</v>
          </cell>
          <cell r="H155">
            <v>0</v>
          </cell>
          <cell r="I155">
            <v>954796</v>
          </cell>
          <cell r="J155">
            <v>-1264460</v>
          </cell>
          <cell r="K155">
            <v>0</v>
          </cell>
          <cell r="L155">
            <v>0</v>
          </cell>
          <cell r="M155">
            <v>-1264460</v>
          </cell>
          <cell r="N155">
            <v>280070</v>
          </cell>
          <cell r="O155">
            <v>0</v>
          </cell>
          <cell r="P155">
            <v>0</v>
          </cell>
          <cell r="Q155">
            <v>280070</v>
          </cell>
          <cell r="R155">
            <v>688806</v>
          </cell>
          <cell r="S155">
            <v>0</v>
          </cell>
          <cell r="T155">
            <v>0</v>
          </cell>
          <cell r="U155">
            <v>688806</v>
          </cell>
          <cell r="V155">
            <v>15140153</v>
          </cell>
          <cell r="W155">
            <v>0</v>
          </cell>
          <cell r="X155">
            <v>0</v>
          </cell>
          <cell r="Y155">
            <v>15140153</v>
          </cell>
          <cell r="Z155">
            <v>357588</v>
          </cell>
          <cell r="AA155">
            <v>0</v>
          </cell>
          <cell r="AB155">
            <v>0</v>
          </cell>
          <cell r="AC155">
            <v>357588</v>
          </cell>
          <cell r="AD155">
            <v>7483782</v>
          </cell>
          <cell r="AE155">
            <v>0</v>
          </cell>
          <cell r="AF155">
            <v>17505</v>
          </cell>
          <cell r="AG155">
            <v>7501287</v>
          </cell>
          <cell r="AH155">
            <v>-152248</v>
          </cell>
          <cell r="AI155">
            <v>0</v>
          </cell>
          <cell r="AJ155">
            <v>0</v>
          </cell>
          <cell r="AK155">
            <v>-152248</v>
          </cell>
          <cell r="AL155">
            <v>21651716</v>
          </cell>
          <cell r="AM155">
            <v>0</v>
          </cell>
          <cell r="AN155">
            <v>0</v>
          </cell>
          <cell r="AO155">
            <v>21651716</v>
          </cell>
          <cell r="AP155">
            <v>49687</v>
          </cell>
          <cell r="AQ155">
            <v>0</v>
          </cell>
          <cell r="AR155">
            <v>0</v>
          </cell>
          <cell r="AS155">
            <v>49687</v>
          </cell>
          <cell r="AT155">
            <v>293368</v>
          </cell>
          <cell r="AU155">
            <v>0</v>
          </cell>
          <cell r="AV155">
            <v>0</v>
          </cell>
          <cell r="AW155">
            <v>293368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10880</v>
          </cell>
          <cell r="BC155">
            <v>0</v>
          </cell>
          <cell r="BD155">
            <v>0</v>
          </cell>
          <cell r="BE155">
            <v>10880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312423</v>
          </cell>
          <cell r="BK155">
            <v>0</v>
          </cell>
          <cell r="BL155">
            <v>0</v>
          </cell>
          <cell r="BM155">
            <v>312423</v>
          </cell>
          <cell r="BN155">
            <v>125767</v>
          </cell>
          <cell r="BO155">
            <v>0</v>
          </cell>
          <cell r="BP155">
            <v>0</v>
          </cell>
          <cell r="BQ155">
            <v>125767</v>
          </cell>
          <cell r="BR155">
            <v>22874019</v>
          </cell>
          <cell r="BS155">
            <v>0</v>
          </cell>
          <cell r="BT155">
            <v>0</v>
          </cell>
          <cell r="BU155">
            <v>22874019</v>
          </cell>
          <cell r="BV155">
            <v>-1110457</v>
          </cell>
          <cell r="BW155">
            <v>0</v>
          </cell>
          <cell r="BX155">
            <v>0</v>
          </cell>
          <cell r="BY155">
            <v>-1110457</v>
          </cell>
          <cell r="BZ155">
            <v>48848</v>
          </cell>
          <cell r="CA155">
            <v>0</v>
          </cell>
          <cell r="CB155">
            <v>0</v>
          </cell>
          <cell r="CC155">
            <v>48848</v>
          </cell>
          <cell r="CD155">
            <v>368</v>
          </cell>
          <cell r="CE155">
            <v>0</v>
          </cell>
          <cell r="CF155">
            <v>0</v>
          </cell>
          <cell r="CG155">
            <v>368</v>
          </cell>
          <cell r="CH155">
            <v>434734</v>
          </cell>
          <cell r="CI155">
            <v>0</v>
          </cell>
          <cell r="CJ155">
            <v>0</v>
          </cell>
          <cell r="CK155">
            <v>434734</v>
          </cell>
          <cell r="CL155">
            <v>42098</v>
          </cell>
          <cell r="CM155">
            <v>0</v>
          </cell>
          <cell r="CN155">
            <v>0</v>
          </cell>
          <cell r="CO155">
            <v>42098</v>
          </cell>
          <cell r="CP155">
            <v>20064</v>
          </cell>
          <cell r="CQ155">
            <v>0</v>
          </cell>
          <cell r="CR155">
            <v>0</v>
          </cell>
          <cell r="CS155">
            <v>20064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6123</v>
          </cell>
          <cell r="CY155">
            <v>0</v>
          </cell>
          <cell r="CZ155">
            <v>0</v>
          </cell>
          <cell r="DA155">
            <v>6123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7860.21</v>
          </cell>
          <cell r="DG155">
            <v>0</v>
          </cell>
          <cell r="DH155">
            <v>0</v>
          </cell>
          <cell r="DI155">
            <v>7860.21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165000</v>
          </cell>
          <cell r="DQ155">
            <v>165000</v>
          </cell>
          <cell r="DR155">
            <v>0</v>
          </cell>
          <cell r="DS155">
            <v>0</v>
          </cell>
          <cell r="DT155">
            <v>109990</v>
          </cell>
          <cell r="DU155">
            <v>109990</v>
          </cell>
          <cell r="DV155">
            <v>274990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246714</v>
          </cell>
          <cell r="EG155">
            <v>0</v>
          </cell>
          <cell r="EH155">
            <v>0</v>
          </cell>
          <cell r="EI155">
            <v>246714</v>
          </cell>
          <cell r="EJ155">
            <v>21229</v>
          </cell>
          <cell r="EK155">
            <v>0</v>
          </cell>
          <cell r="EL155">
            <v>0</v>
          </cell>
          <cell r="EM155">
            <v>21229</v>
          </cell>
        </row>
        <row r="156">
          <cell r="A156">
            <v>150</v>
          </cell>
          <cell r="B156" t="str">
            <v>E2401</v>
          </cell>
          <cell r="C156" t="str">
            <v>UA</v>
          </cell>
          <cell r="D156" t="str">
            <v>EM</v>
          </cell>
          <cell r="E156" t="str">
            <v>Leicester UA</v>
          </cell>
          <cell r="F156">
            <v>46733</v>
          </cell>
          <cell r="G156">
            <v>0</v>
          </cell>
          <cell r="H156">
            <v>0</v>
          </cell>
          <cell r="I156">
            <v>46733</v>
          </cell>
          <cell r="J156">
            <v>-143165</v>
          </cell>
          <cell r="K156">
            <v>0</v>
          </cell>
          <cell r="L156">
            <v>0</v>
          </cell>
          <cell r="M156">
            <v>-143165</v>
          </cell>
          <cell r="N156">
            <v>98420</v>
          </cell>
          <cell r="O156">
            <v>0</v>
          </cell>
          <cell r="P156">
            <v>0</v>
          </cell>
          <cell r="Q156">
            <v>98420</v>
          </cell>
          <cell r="R156">
            <v>185335</v>
          </cell>
          <cell r="S156">
            <v>0</v>
          </cell>
          <cell r="T156">
            <v>0</v>
          </cell>
          <cell r="U156">
            <v>185335</v>
          </cell>
          <cell r="V156">
            <v>7804500</v>
          </cell>
          <cell r="W156">
            <v>0</v>
          </cell>
          <cell r="X156">
            <v>0</v>
          </cell>
          <cell r="Y156">
            <v>7804500</v>
          </cell>
          <cell r="Z156">
            <v>319647</v>
          </cell>
          <cell r="AA156">
            <v>0</v>
          </cell>
          <cell r="AB156">
            <v>0</v>
          </cell>
          <cell r="AC156">
            <v>319647</v>
          </cell>
          <cell r="AD156">
            <v>1947003</v>
          </cell>
          <cell r="AE156">
            <v>0</v>
          </cell>
          <cell r="AF156">
            <v>0</v>
          </cell>
          <cell r="AG156">
            <v>1947003</v>
          </cell>
          <cell r="AH156">
            <v>-28539</v>
          </cell>
          <cell r="AI156">
            <v>0</v>
          </cell>
          <cell r="AJ156">
            <v>0</v>
          </cell>
          <cell r="AK156">
            <v>-28539</v>
          </cell>
          <cell r="AL156">
            <v>7459006</v>
          </cell>
          <cell r="AM156">
            <v>0</v>
          </cell>
          <cell r="AN156">
            <v>0</v>
          </cell>
          <cell r="AO156">
            <v>7459006</v>
          </cell>
          <cell r="AP156">
            <v>46097</v>
          </cell>
          <cell r="AQ156">
            <v>0</v>
          </cell>
          <cell r="AR156">
            <v>0</v>
          </cell>
          <cell r="AS156">
            <v>46097</v>
          </cell>
          <cell r="AT156">
            <v>41392</v>
          </cell>
          <cell r="AU156">
            <v>0</v>
          </cell>
          <cell r="AV156">
            <v>0</v>
          </cell>
          <cell r="AW156">
            <v>41392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73033</v>
          </cell>
          <cell r="BK156">
            <v>0</v>
          </cell>
          <cell r="BL156">
            <v>0</v>
          </cell>
          <cell r="BM156">
            <v>73033</v>
          </cell>
          <cell r="BN156">
            <v>18651</v>
          </cell>
          <cell r="BO156">
            <v>0</v>
          </cell>
          <cell r="BP156">
            <v>0</v>
          </cell>
          <cell r="BQ156">
            <v>18651</v>
          </cell>
          <cell r="BR156">
            <v>4770187</v>
          </cell>
          <cell r="BS156">
            <v>0</v>
          </cell>
          <cell r="BT156">
            <v>0</v>
          </cell>
          <cell r="BU156">
            <v>4770187</v>
          </cell>
          <cell r="BV156">
            <v>-180418</v>
          </cell>
          <cell r="BW156">
            <v>0</v>
          </cell>
          <cell r="BX156">
            <v>0</v>
          </cell>
          <cell r="BY156">
            <v>-180418</v>
          </cell>
          <cell r="BZ156">
            <v>327022</v>
          </cell>
          <cell r="CA156">
            <v>0</v>
          </cell>
          <cell r="CB156">
            <v>0</v>
          </cell>
          <cell r="CC156">
            <v>327022</v>
          </cell>
          <cell r="CD156">
            <v>-2528</v>
          </cell>
          <cell r="CE156">
            <v>0</v>
          </cell>
          <cell r="CF156">
            <v>0</v>
          </cell>
          <cell r="CG156">
            <v>-2528</v>
          </cell>
          <cell r="CH156">
            <v>156997</v>
          </cell>
          <cell r="CI156">
            <v>0</v>
          </cell>
          <cell r="CJ156">
            <v>0</v>
          </cell>
          <cell r="CK156">
            <v>156997</v>
          </cell>
          <cell r="CL156">
            <v>-46018</v>
          </cell>
          <cell r="CM156">
            <v>0</v>
          </cell>
          <cell r="CN156">
            <v>0</v>
          </cell>
          <cell r="CO156">
            <v>-46018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8079</v>
          </cell>
          <cell r="DY156">
            <v>0</v>
          </cell>
          <cell r="DZ156">
            <v>0</v>
          </cell>
          <cell r="EA156">
            <v>8079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20711</v>
          </cell>
          <cell r="EG156">
            <v>0</v>
          </cell>
          <cell r="EH156">
            <v>0</v>
          </cell>
          <cell r="EI156">
            <v>20711</v>
          </cell>
          <cell r="EJ156">
            <v>755</v>
          </cell>
          <cell r="EK156">
            <v>0</v>
          </cell>
          <cell r="EL156">
            <v>0</v>
          </cell>
          <cell r="EM156">
            <v>755</v>
          </cell>
        </row>
        <row r="157">
          <cell r="A157">
            <v>151</v>
          </cell>
          <cell r="B157" t="str">
            <v>E1435</v>
          </cell>
          <cell r="C157" t="str">
            <v>SD</v>
          </cell>
          <cell r="D157" t="str">
            <v>SE</v>
          </cell>
          <cell r="E157" t="str">
            <v>Lewes</v>
          </cell>
          <cell r="F157">
            <v>179413</v>
          </cell>
          <cell r="G157">
            <v>0</v>
          </cell>
          <cell r="H157">
            <v>0</v>
          </cell>
          <cell r="I157">
            <v>179413</v>
          </cell>
          <cell r="J157">
            <v>-71695</v>
          </cell>
          <cell r="K157">
            <v>0</v>
          </cell>
          <cell r="L157">
            <v>0</v>
          </cell>
          <cell r="M157">
            <v>-71695</v>
          </cell>
          <cell r="N157">
            <v>18529</v>
          </cell>
          <cell r="O157">
            <v>0</v>
          </cell>
          <cell r="P157">
            <v>0</v>
          </cell>
          <cell r="Q157">
            <v>18529</v>
          </cell>
          <cell r="R157">
            <v>67389</v>
          </cell>
          <cell r="S157">
            <v>0</v>
          </cell>
          <cell r="T157">
            <v>0</v>
          </cell>
          <cell r="U157">
            <v>67389</v>
          </cell>
          <cell r="V157">
            <v>2093869</v>
          </cell>
          <cell r="W157">
            <v>0</v>
          </cell>
          <cell r="X157">
            <v>0</v>
          </cell>
          <cell r="Y157">
            <v>2093869</v>
          </cell>
          <cell r="Z157">
            <v>112213</v>
          </cell>
          <cell r="AA157">
            <v>0</v>
          </cell>
          <cell r="AB157">
            <v>0</v>
          </cell>
          <cell r="AC157">
            <v>112213</v>
          </cell>
          <cell r="AD157">
            <v>446303</v>
          </cell>
          <cell r="AE157">
            <v>0</v>
          </cell>
          <cell r="AF157">
            <v>0</v>
          </cell>
          <cell r="AG157">
            <v>446303</v>
          </cell>
          <cell r="AH157">
            <v>-7836</v>
          </cell>
          <cell r="AI157">
            <v>0</v>
          </cell>
          <cell r="AJ157">
            <v>0</v>
          </cell>
          <cell r="AK157">
            <v>-7836</v>
          </cell>
          <cell r="AL157">
            <v>1917322</v>
          </cell>
          <cell r="AM157">
            <v>0</v>
          </cell>
          <cell r="AN157">
            <v>0</v>
          </cell>
          <cell r="AO157">
            <v>1917322</v>
          </cell>
          <cell r="AP157">
            <v>1516</v>
          </cell>
          <cell r="AQ157">
            <v>0</v>
          </cell>
          <cell r="AR157">
            <v>0</v>
          </cell>
          <cell r="AS157">
            <v>1516</v>
          </cell>
          <cell r="AT157">
            <v>82378</v>
          </cell>
          <cell r="AU157">
            <v>0</v>
          </cell>
          <cell r="AV157">
            <v>0</v>
          </cell>
          <cell r="AW157">
            <v>82378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11610</v>
          </cell>
          <cell r="BC157">
            <v>0</v>
          </cell>
          <cell r="BD157">
            <v>0</v>
          </cell>
          <cell r="BE157">
            <v>11610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19147</v>
          </cell>
          <cell r="BK157">
            <v>0</v>
          </cell>
          <cell r="BL157">
            <v>0</v>
          </cell>
          <cell r="BM157">
            <v>19147</v>
          </cell>
          <cell r="BN157">
            <v>-1918</v>
          </cell>
          <cell r="BO157">
            <v>0</v>
          </cell>
          <cell r="BP157">
            <v>0</v>
          </cell>
          <cell r="BQ157">
            <v>-1918</v>
          </cell>
          <cell r="BR157">
            <v>815910</v>
          </cell>
          <cell r="BS157">
            <v>0</v>
          </cell>
          <cell r="BT157">
            <v>0</v>
          </cell>
          <cell r="BU157">
            <v>815910</v>
          </cell>
          <cell r="BV157">
            <v>17734</v>
          </cell>
          <cell r="BW157">
            <v>0</v>
          </cell>
          <cell r="BX157">
            <v>0</v>
          </cell>
          <cell r="BY157">
            <v>17734</v>
          </cell>
          <cell r="BZ157">
            <v>156452</v>
          </cell>
          <cell r="CA157">
            <v>0</v>
          </cell>
          <cell r="CB157">
            <v>0</v>
          </cell>
          <cell r="CC157">
            <v>156452</v>
          </cell>
          <cell r="CD157">
            <v>807</v>
          </cell>
          <cell r="CE157">
            <v>0</v>
          </cell>
          <cell r="CF157">
            <v>0</v>
          </cell>
          <cell r="CG157">
            <v>807</v>
          </cell>
          <cell r="CH157">
            <v>13975</v>
          </cell>
          <cell r="CI157">
            <v>0</v>
          </cell>
          <cell r="CJ157">
            <v>0</v>
          </cell>
          <cell r="CK157">
            <v>13975</v>
          </cell>
          <cell r="CL157">
            <v>1666</v>
          </cell>
          <cell r="CM157">
            <v>0</v>
          </cell>
          <cell r="CN157">
            <v>0</v>
          </cell>
          <cell r="CO157">
            <v>1666</v>
          </cell>
          <cell r="CP157">
            <v>518</v>
          </cell>
          <cell r="CQ157">
            <v>0</v>
          </cell>
          <cell r="CR157">
            <v>0</v>
          </cell>
          <cell r="CS157">
            <v>518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35742</v>
          </cell>
          <cell r="EC157">
            <v>0</v>
          </cell>
          <cell r="ED157">
            <v>0</v>
          </cell>
          <cell r="EE157">
            <v>35742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</row>
        <row r="158">
          <cell r="A158">
            <v>152</v>
          </cell>
          <cell r="B158" t="str">
            <v>E5018</v>
          </cell>
          <cell r="C158" t="str">
            <v>ILB</v>
          </cell>
          <cell r="D158" t="str">
            <v>L</v>
          </cell>
          <cell r="E158" t="str">
            <v>Lewisham</v>
          </cell>
          <cell r="F158">
            <v>176522</v>
          </cell>
          <cell r="G158">
            <v>0</v>
          </cell>
          <cell r="H158">
            <v>0</v>
          </cell>
          <cell r="I158">
            <v>176522</v>
          </cell>
          <cell r="J158">
            <v>-10819</v>
          </cell>
          <cell r="K158">
            <v>0</v>
          </cell>
          <cell r="L158">
            <v>0</v>
          </cell>
          <cell r="M158">
            <v>-10819</v>
          </cell>
          <cell r="N158">
            <v>108550</v>
          </cell>
          <cell r="O158">
            <v>0</v>
          </cell>
          <cell r="P158">
            <v>0</v>
          </cell>
          <cell r="Q158">
            <v>108550</v>
          </cell>
          <cell r="R158">
            <v>25966</v>
          </cell>
          <cell r="S158">
            <v>0</v>
          </cell>
          <cell r="T158">
            <v>0</v>
          </cell>
          <cell r="U158">
            <v>25966</v>
          </cell>
          <cell r="V158">
            <v>4589828</v>
          </cell>
          <cell r="W158">
            <v>0</v>
          </cell>
          <cell r="X158">
            <v>0</v>
          </cell>
          <cell r="Y158">
            <v>4589828</v>
          </cell>
          <cell r="Z158">
            <v>283879</v>
          </cell>
          <cell r="AA158">
            <v>0</v>
          </cell>
          <cell r="AB158">
            <v>0</v>
          </cell>
          <cell r="AC158">
            <v>283879</v>
          </cell>
          <cell r="AD158">
            <v>931424</v>
          </cell>
          <cell r="AE158">
            <v>0</v>
          </cell>
          <cell r="AF158">
            <v>0</v>
          </cell>
          <cell r="AG158">
            <v>931424</v>
          </cell>
          <cell r="AH158">
            <v>33762</v>
          </cell>
          <cell r="AI158">
            <v>0</v>
          </cell>
          <cell r="AJ158">
            <v>0</v>
          </cell>
          <cell r="AK158">
            <v>33762</v>
          </cell>
          <cell r="AL158">
            <v>5815240</v>
          </cell>
          <cell r="AM158">
            <v>0</v>
          </cell>
          <cell r="AN158">
            <v>0</v>
          </cell>
          <cell r="AO158">
            <v>5815240</v>
          </cell>
          <cell r="AP158">
            <v>-250060</v>
          </cell>
          <cell r="AQ158">
            <v>0</v>
          </cell>
          <cell r="AR158">
            <v>0</v>
          </cell>
          <cell r="AS158">
            <v>-250060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-11514</v>
          </cell>
          <cell r="BO158">
            <v>0</v>
          </cell>
          <cell r="BP158">
            <v>0</v>
          </cell>
          <cell r="BQ158">
            <v>-11514</v>
          </cell>
          <cell r="BR158">
            <v>1747094</v>
          </cell>
          <cell r="BS158">
            <v>0</v>
          </cell>
          <cell r="BT158">
            <v>0</v>
          </cell>
          <cell r="BU158">
            <v>1747094</v>
          </cell>
          <cell r="BV158">
            <v>66279</v>
          </cell>
          <cell r="BW158">
            <v>0</v>
          </cell>
          <cell r="BX158">
            <v>0</v>
          </cell>
          <cell r="BY158">
            <v>66279</v>
          </cell>
          <cell r="BZ158">
            <v>253452</v>
          </cell>
          <cell r="CA158">
            <v>0</v>
          </cell>
          <cell r="CB158">
            <v>0</v>
          </cell>
          <cell r="CC158">
            <v>253452</v>
          </cell>
          <cell r="CD158">
            <v>-1003</v>
          </cell>
          <cell r="CE158">
            <v>0</v>
          </cell>
          <cell r="CF158">
            <v>0</v>
          </cell>
          <cell r="CG158">
            <v>-1003</v>
          </cell>
          <cell r="CH158">
            <v>39940</v>
          </cell>
          <cell r="CI158">
            <v>0</v>
          </cell>
          <cell r="CJ158">
            <v>0</v>
          </cell>
          <cell r="CK158">
            <v>39940</v>
          </cell>
          <cell r="CL158">
            <v>-4157</v>
          </cell>
          <cell r="CM158">
            <v>0</v>
          </cell>
          <cell r="CN158">
            <v>0</v>
          </cell>
          <cell r="CO158">
            <v>-4157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</row>
        <row r="159">
          <cell r="A159">
            <v>153</v>
          </cell>
          <cell r="B159" t="str">
            <v>E3433</v>
          </cell>
          <cell r="C159" t="str">
            <v>SD</v>
          </cell>
          <cell r="D159" t="str">
            <v>WM</v>
          </cell>
          <cell r="E159" t="str">
            <v>Lichfield</v>
          </cell>
          <cell r="F159">
            <v>96859</v>
          </cell>
          <cell r="G159">
            <v>0</v>
          </cell>
          <cell r="H159">
            <v>0</v>
          </cell>
          <cell r="I159">
            <v>96859</v>
          </cell>
          <cell r="J159">
            <v>96424</v>
          </cell>
          <cell r="K159">
            <v>0</v>
          </cell>
          <cell r="L159">
            <v>0</v>
          </cell>
          <cell r="M159">
            <v>96424</v>
          </cell>
          <cell r="N159">
            <v>2524</v>
          </cell>
          <cell r="O159">
            <v>0</v>
          </cell>
          <cell r="P159">
            <v>0</v>
          </cell>
          <cell r="Q159">
            <v>2524</v>
          </cell>
          <cell r="R159">
            <v>76477</v>
          </cell>
          <cell r="S159">
            <v>0</v>
          </cell>
          <cell r="T159">
            <v>0</v>
          </cell>
          <cell r="U159">
            <v>76477</v>
          </cell>
          <cell r="V159">
            <v>1548071.86</v>
          </cell>
          <cell r="W159">
            <v>0</v>
          </cell>
          <cell r="X159">
            <v>0</v>
          </cell>
          <cell r="Y159">
            <v>1548071.86</v>
          </cell>
          <cell r="Z159">
            <v>86720.7</v>
          </cell>
          <cell r="AA159">
            <v>0</v>
          </cell>
          <cell r="AB159">
            <v>0</v>
          </cell>
          <cell r="AC159">
            <v>86720.7</v>
          </cell>
          <cell r="AD159">
            <v>627144.26</v>
          </cell>
          <cell r="AE159">
            <v>0</v>
          </cell>
          <cell r="AF159">
            <v>0</v>
          </cell>
          <cell r="AG159">
            <v>627144.26</v>
          </cell>
          <cell r="AH159">
            <v>2818.15</v>
          </cell>
          <cell r="AI159">
            <v>0</v>
          </cell>
          <cell r="AJ159">
            <v>0</v>
          </cell>
          <cell r="AK159">
            <v>2818.15</v>
          </cell>
          <cell r="AL159">
            <v>984033.01</v>
          </cell>
          <cell r="AM159">
            <v>0</v>
          </cell>
          <cell r="AN159">
            <v>0</v>
          </cell>
          <cell r="AO159">
            <v>984033.01</v>
          </cell>
          <cell r="AP159">
            <v>7834.57</v>
          </cell>
          <cell r="AQ159">
            <v>0</v>
          </cell>
          <cell r="AR159">
            <v>0</v>
          </cell>
          <cell r="AS159">
            <v>7834.57</v>
          </cell>
          <cell r="AT159">
            <v>55143.46</v>
          </cell>
          <cell r="AU159">
            <v>0</v>
          </cell>
          <cell r="AV159">
            <v>0</v>
          </cell>
          <cell r="AW159">
            <v>55143.46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6281.98</v>
          </cell>
          <cell r="BC159">
            <v>0</v>
          </cell>
          <cell r="BD159">
            <v>0</v>
          </cell>
          <cell r="BE159">
            <v>6281.98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563101</v>
          </cell>
          <cell r="BK159">
            <v>0</v>
          </cell>
          <cell r="BL159">
            <v>0</v>
          </cell>
          <cell r="BM159">
            <v>563101</v>
          </cell>
          <cell r="BN159">
            <v>124868</v>
          </cell>
          <cell r="BO159">
            <v>0</v>
          </cell>
          <cell r="BP159">
            <v>0</v>
          </cell>
          <cell r="BQ159">
            <v>124868</v>
          </cell>
          <cell r="BR159">
            <v>1667039</v>
          </cell>
          <cell r="BS159">
            <v>0</v>
          </cell>
          <cell r="BT159">
            <v>0</v>
          </cell>
          <cell r="BU159">
            <v>1667039</v>
          </cell>
          <cell r="BV159">
            <v>31794</v>
          </cell>
          <cell r="BW159">
            <v>0</v>
          </cell>
          <cell r="BX159">
            <v>0</v>
          </cell>
          <cell r="BY159">
            <v>31794</v>
          </cell>
          <cell r="BZ159">
            <v>31829</v>
          </cell>
          <cell r="CA159">
            <v>0</v>
          </cell>
          <cell r="CB159">
            <v>0</v>
          </cell>
          <cell r="CC159">
            <v>31829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37278</v>
          </cell>
          <cell r="CI159">
            <v>0</v>
          </cell>
          <cell r="CJ159">
            <v>0</v>
          </cell>
          <cell r="CK159">
            <v>37278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3768</v>
          </cell>
          <cell r="CY159">
            <v>0</v>
          </cell>
          <cell r="CZ159">
            <v>0</v>
          </cell>
          <cell r="DA159">
            <v>3768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</row>
        <row r="160">
          <cell r="A160">
            <v>154</v>
          </cell>
          <cell r="B160" t="str">
            <v>E2533</v>
          </cell>
          <cell r="C160" t="str">
            <v>SD</v>
          </cell>
          <cell r="D160" t="str">
            <v>EM</v>
          </cell>
          <cell r="E160" t="str">
            <v>Lincoln</v>
          </cell>
          <cell r="F160">
            <v>46396</v>
          </cell>
          <cell r="G160">
            <v>0</v>
          </cell>
          <cell r="H160">
            <v>0</v>
          </cell>
          <cell r="I160">
            <v>46396</v>
          </cell>
          <cell r="J160">
            <v>-20475</v>
          </cell>
          <cell r="K160">
            <v>0</v>
          </cell>
          <cell r="L160">
            <v>0</v>
          </cell>
          <cell r="M160">
            <v>-20475</v>
          </cell>
          <cell r="N160">
            <v>54370</v>
          </cell>
          <cell r="O160">
            <v>0</v>
          </cell>
          <cell r="P160">
            <v>0</v>
          </cell>
          <cell r="Q160">
            <v>54370</v>
          </cell>
          <cell r="R160">
            <v>217205</v>
          </cell>
          <cell r="S160">
            <v>0</v>
          </cell>
          <cell r="T160">
            <v>0</v>
          </cell>
          <cell r="U160">
            <v>217205</v>
          </cell>
          <cell r="V160">
            <v>1760897</v>
          </cell>
          <cell r="W160">
            <v>0</v>
          </cell>
          <cell r="X160">
            <v>0</v>
          </cell>
          <cell r="Y160">
            <v>1760897</v>
          </cell>
          <cell r="Z160">
            <v>42415</v>
          </cell>
          <cell r="AA160">
            <v>0</v>
          </cell>
          <cell r="AB160">
            <v>0</v>
          </cell>
          <cell r="AC160">
            <v>42415</v>
          </cell>
          <cell r="AD160">
            <v>809151</v>
          </cell>
          <cell r="AE160">
            <v>0</v>
          </cell>
          <cell r="AF160">
            <v>0</v>
          </cell>
          <cell r="AG160">
            <v>809151</v>
          </cell>
          <cell r="AH160">
            <v>4309</v>
          </cell>
          <cell r="AI160">
            <v>0</v>
          </cell>
          <cell r="AJ160">
            <v>0</v>
          </cell>
          <cell r="AK160">
            <v>4309</v>
          </cell>
          <cell r="AL160">
            <v>3644057</v>
          </cell>
          <cell r="AM160">
            <v>0</v>
          </cell>
          <cell r="AN160">
            <v>0</v>
          </cell>
          <cell r="AO160">
            <v>3644057</v>
          </cell>
          <cell r="AP160">
            <v>-36294</v>
          </cell>
          <cell r="AQ160">
            <v>0</v>
          </cell>
          <cell r="AR160">
            <v>0</v>
          </cell>
          <cell r="AS160">
            <v>-36294</v>
          </cell>
          <cell r="AT160">
            <v>74739</v>
          </cell>
          <cell r="AU160">
            <v>0</v>
          </cell>
          <cell r="AV160">
            <v>0</v>
          </cell>
          <cell r="AW160">
            <v>74739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1904</v>
          </cell>
          <cell r="BK160">
            <v>0</v>
          </cell>
          <cell r="BL160">
            <v>0</v>
          </cell>
          <cell r="BM160">
            <v>1904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1529310</v>
          </cell>
          <cell r="BS160">
            <v>0</v>
          </cell>
          <cell r="BT160">
            <v>0</v>
          </cell>
          <cell r="BU160">
            <v>1529310</v>
          </cell>
          <cell r="BV160">
            <v>-19940</v>
          </cell>
          <cell r="BW160">
            <v>0</v>
          </cell>
          <cell r="BX160">
            <v>0</v>
          </cell>
          <cell r="BY160">
            <v>-19940</v>
          </cell>
          <cell r="BZ160">
            <v>33525</v>
          </cell>
          <cell r="CA160">
            <v>0</v>
          </cell>
          <cell r="CB160">
            <v>0</v>
          </cell>
          <cell r="CC160">
            <v>33525</v>
          </cell>
          <cell r="CD160">
            <v>-18</v>
          </cell>
          <cell r="CE160">
            <v>0</v>
          </cell>
          <cell r="CF160">
            <v>0</v>
          </cell>
          <cell r="CG160">
            <v>-18</v>
          </cell>
          <cell r="CH160">
            <v>289</v>
          </cell>
          <cell r="CI160">
            <v>0</v>
          </cell>
          <cell r="CJ160">
            <v>0</v>
          </cell>
          <cell r="CK160">
            <v>289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3631</v>
          </cell>
          <cell r="CQ160">
            <v>0</v>
          </cell>
          <cell r="CR160">
            <v>0</v>
          </cell>
          <cell r="CS160">
            <v>3631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2958</v>
          </cell>
          <cell r="DY160">
            <v>0</v>
          </cell>
          <cell r="DZ160">
            <v>0</v>
          </cell>
          <cell r="EA160">
            <v>2958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</row>
        <row r="161">
          <cell r="A161">
            <v>155</v>
          </cell>
          <cell r="B161" t="str">
            <v>E4302</v>
          </cell>
          <cell r="C161" t="str">
            <v>Met</v>
          </cell>
          <cell r="D161" t="str">
            <v>NW</v>
          </cell>
          <cell r="E161" t="str">
            <v>Liverpool</v>
          </cell>
          <cell r="F161">
            <v>569648</v>
          </cell>
          <cell r="G161">
            <v>0</v>
          </cell>
          <cell r="H161">
            <v>92436</v>
          </cell>
          <cell r="I161">
            <v>662084</v>
          </cell>
          <cell r="J161">
            <v>-1991024</v>
          </cell>
          <cell r="K161">
            <v>0</v>
          </cell>
          <cell r="L161">
            <v>-43829</v>
          </cell>
          <cell r="M161">
            <v>-2034853</v>
          </cell>
          <cell r="N161">
            <v>172534</v>
          </cell>
          <cell r="O161">
            <v>0</v>
          </cell>
          <cell r="P161">
            <v>28952</v>
          </cell>
          <cell r="Q161">
            <v>201486</v>
          </cell>
          <cell r="R161">
            <v>599399</v>
          </cell>
          <cell r="S161">
            <v>0</v>
          </cell>
          <cell r="T161">
            <v>15649</v>
          </cell>
          <cell r="U161">
            <v>615048</v>
          </cell>
          <cell r="V161">
            <v>7303095</v>
          </cell>
          <cell r="W161">
            <v>0</v>
          </cell>
          <cell r="X161">
            <v>420392</v>
          </cell>
          <cell r="Y161">
            <v>7723487</v>
          </cell>
          <cell r="Z161">
            <v>528900</v>
          </cell>
          <cell r="AA161">
            <v>0</v>
          </cell>
          <cell r="AB161">
            <v>54785</v>
          </cell>
          <cell r="AC161">
            <v>583685</v>
          </cell>
          <cell r="AD161">
            <v>4115383</v>
          </cell>
          <cell r="AE161">
            <v>0</v>
          </cell>
          <cell r="AF161">
            <v>49536</v>
          </cell>
          <cell r="AG161">
            <v>4164919</v>
          </cell>
          <cell r="AH161">
            <v>4733</v>
          </cell>
          <cell r="AI161">
            <v>0</v>
          </cell>
          <cell r="AJ161">
            <v>0</v>
          </cell>
          <cell r="AK161">
            <v>4733</v>
          </cell>
          <cell r="AL161">
            <v>14822242</v>
          </cell>
          <cell r="AM161">
            <v>0</v>
          </cell>
          <cell r="AN161">
            <v>776347</v>
          </cell>
          <cell r="AO161">
            <v>15598589</v>
          </cell>
          <cell r="AP161">
            <v>-1083803</v>
          </cell>
          <cell r="AQ161">
            <v>0</v>
          </cell>
          <cell r="AR161">
            <v>575507</v>
          </cell>
          <cell r="AS161">
            <v>-508296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72149</v>
          </cell>
          <cell r="BK161">
            <v>0</v>
          </cell>
          <cell r="BL161">
            <v>1724</v>
          </cell>
          <cell r="BM161">
            <v>73873</v>
          </cell>
          <cell r="BN161">
            <v>66516</v>
          </cell>
          <cell r="BO161">
            <v>0</v>
          </cell>
          <cell r="BP161">
            <v>-13752</v>
          </cell>
          <cell r="BQ161">
            <v>52764</v>
          </cell>
          <cell r="BR161">
            <v>11743193</v>
          </cell>
          <cell r="BS161">
            <v>0</v>
          </cell>
          <cell r="BT161">
            <v>8579431</v>
          </cell>
          <cell r="BU161">
            <v>20322624</v>
          </cell>
          <cell r="BV161">
            <v>91734</v>
          </cell>
          <cell r="BW161">
            <v>0</v>
          </cell>
          <cell r="BX161">
            <v>74794</v>
          </cell>
          <cell r="BY161">
            <v>166528</v>
          </cell>
          <cell r="BZ161">
            <v>37596</v>
          </cell>
          <cell r="CA161">
            <v>0</v>
          </cell>
          <cell r="CB161">
            <v>0</v>
          </cell>
          <cell r="CC161">
            <v>37596</v>
          </cell>
          <cell r="CD161">
            <v>29664</v>
          </cell>
          <cell r="CE161">
            <v>0</v>
          </cell>
          <cell r="CF161">
            <v>0</v>
          </cell>
          <cell r="CG161">
            <v>29664</v>
          </cell>
          <cell r="CH161">
            <v>89797</v>
          </cell>
          <cell r="CI161">
            <v>0</v>
          </cell>
          <cell r="CJ161">
            <v>9655.5</v>
          </cell>
          <cell r="CK161">
            <v>99452.5</v>
          </cell>
          <cell r="CL161">
            <v>-38958</v>
          </cell>
          <cell r="CM161">
            <v>0</v>
          </cell>
          <cell r="CN161">
            <v>454</v>
          </cell>
          <cell r="CO161">
            <v>-38504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</row>
        <row r="162">
          <cell r="A162">
            <v>156</v>
          </cell>
          <cell r="B162" t="str">
            <v>E0201</v>
          </cell>
          <cell r="C162" t="str">
            <v>UA</v>
          </cell>
          <cell r="D162" t="str">
            <v>E</v>
          </cell>
          <cell r="E162" t="str">
            <v>Luton UA</v>
          </cell>
          <cell r="F162">
            <v>102868.56</v>
          </cell>
          <cell r="G162">
            <v>0</v>
          </cell>
          <cell r="H162">
            <v>0</v>
          </cell>
          <cell r="I162">
            <v>102868.56</v>
          </cell>
          <cell r="J162">
            <v>-280532.77</v>
          </cell>
          <cell r="K162">
            <v>0</v>
          </cell>
          <cell r="L162">
            <v>0</v>
          </cell>
          <cell r="M162">
            <v>-280532.77</v>
          </cell>
          <cell r="N162">
            <v>168504.61</v>
          </cell>
          <cell r="O162">
            <v>0</v>
          </cell>
          <cell r="P162">
            <v>0</v>
          </cell>
          <cell r="Q162">
            <v>168504.61</v>
          </cell>
          <cell r="R162">
            <v>320637.64</v>
          </cell>
          <cell r="S162">
            <v>0</v>
          </cell>
          <cell r="T162">
            <v>0</v>
          </cell>
          <cell r="U162">
            <v>320637.64</v>
          </cell>
          <cell r="V162">
            <v>2602700.2599999998</v>
          </cell>
          <cell r="W162">
            <v>0</v>
          </cell>
          <cell r="X162">
            <v>0</v>
          </cell>
          <cell r="Y162">
            <v>2602700.2599999998</v>
          </cell>
          <cell r="Z162">
            <v>243982.36</v>
          </cell>
          <cell r="AA162">
            <v>0</v>
          </cell>
          <cell r="AB162">
            <v>0</v>
          </cell>
          <cell r="AC162">
            <v>243982.36</v>
          </cell>
          <cell r="AD162">
            <v>1349644.42</v>
          </cell>
          <cell r="AE162">
            <v>0</v>
          </cell>
          <cell r="AF162">
            <v>0</v>
          </cell>
          <cell r="AG162">
            <v>1349644.42</v>
          </cell>
          <cell r="AH162">
            <v>25305.87</v>
          </cell>
          <cell r="AI162">
            <v>0</v>
          </cell>
          <cell r="AJ162">
            <v>0</v>
          </cell>
          <cell r="AK162">
            <v>25305.87</v>
          </cell>
          <cell r="AL162">
            <v>4721405.8</v>
          </cell>
          <cell r="AM162">
            <v>0</v>
          </cell>
          <cell r="AN162">
            <v>0</v>
          </cell>
          <cell r="AO162">
            <v>4721405.8</v>
          </cell>
          <cell r="AP162">
            <v>40802.949999999997</v>
          </cell>
          <cell r="AQ162">
            <v>0</v>
          </cell>
          <cell r="AR162">
            <v>0</v>
          </cell>
          <cell r="AS162">
            <v>40802.949999999997</v>
          </cell>
          <cell r="AT162">
            <v>39234.69</v>
          </cell>
          <cell r="AU162">
            <v>0</v>
          </cell>
          <cell r="AV162">
            <v>0</v>
          </cell>
          <cell r="AW162">
            <v>39234.69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54929.89</v>
          </cell>
          <cell r="BK162">
            <v>0</v>
          </cell>
          <cell r="BL162">
            <v>0</v>
          </cell>
          <cell r="BM162">
            <v>54929.89</v>
          </cell>
          <cell r="BN162">
            <v>37412.68</v>
          </cell>
          <cell r="BO162">
            <v>0</v>
          </cell>
          <cell r="BP162">
            <v>0</v>
          </cell>
          <cell r="BQ162">
            <v>37412.68</v>
          </cell>
          <cell r="BR162">
            <v>2753992.99</v>
          </cell>
          <cell r="BS162">
            <v>0</v>
          </cell>
          <cell r="BT162">
            <v>0</v>
          </cell>
          <cell r="BU162">
            <v>2753992.99</v>
          </cell>
          <cell r="BV162">
            <v>48900.87</v>
          </cell>
          <cell r="BW162">
            <v>0</v>
          </cell>
          <cell r="BX162">
            <v>0</v>
          </cell>
          <cell r="BY162">
            <v>48900.87</v>
          </cell>
          <cell r="BZ162">
            <v>127884.32</v>
          </cell>
          <cell r="CA162">
            <v>0</v>
          </cell>
          <cell r="CB162">
            <v>0</v>
          </cell>
          <cell r="CC162">
            <v>127884.32</v>
          </cell>
          <cell r="CD162">
            <v>10717.96</v>
          </cell>
          <cell r="CE162">
            <v>0</v>
          </cell>
          <cell r="CF162">
            <v>0</v>
          </cell>
          <cell r="CG162">
            <v>10717.96</v>
          </cell>
          <cell r="CH162">
            <v>62981.54</v>
          </cell>
          <cell r="CI162">
            <v>0</v>
          </cell>
          <cell r="CJ162">
            <v>0</v>
          </cell>
          <cell r="CK162">
            <v>62981.54</v>
          </cell>
          <cell r="CL162">
            <v>3002.74</v>
          </cell>
          <cell r="CM162">
            <v>0</v>
          </cell>
          <cell r="CN162">
            <v>0</v>
          </cell>
          <cell r="CO162">
            <v>3002.74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394.29</v>
          </cell>
          <cell r="DO162">
            <v>0</v>
          </cell>
          <cell r="DP162">
            <v>0</v>
          </cell>
          <cell r="DQ162">
            <v>394.29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4958.22</v>
          </cell>
          <cell r="EG162">
            <v>0</v>
          </cell>
          <cell r="EH162">
            <v>0</v>
          </cell>
          <cell r="EI162">
            <v>4958.22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</row>
        <row r="163">
          <cell r="A163">
            <v>157</v>
          </cell>
          <cell r="B163" t="str">
            <v>E2237</v>
          </cell>
          <cell r="C163" t="str">
            <v>SD</v>
          </cell>
          <cell r="D163" t="str">
            <v>SE</v>
          </cell>
          <cell r="E163" t="str">
            <v>Maidstone</v>
          </cell>
          <cell r="F163">
            <v>73170.91</v>
          </cell>
          <cell r="G163">
            <v>0</v>
          </cell>
          <cell r="H163">
            <v>0</v>
          </cell>
          <cell r="I163">
            <v>73170.91</v>
          </cell>
          <cell r="J163">
            <v>66373.289999999994</v>
          </cell>
          <cell r="K163">
            <v>0</v>
          </cell>
          <cell r="L163">
            <v>0</v>
          </cell>
          <cell r="M163">
            <v>66373.289999999994</v>
          </cell>
          <cell r="N163">
            <v>99254.76</v>
          </cell>
          <cell r="O163">
            <v>0</v>
          </cell>
          <cell r="P163">
            <v>0</v>
          </cell>
          <cell r="Q163">
            <v>99254.76</v>
          </cell>
          <cell r="R163">
            <v>62926.8</v>
          </cell>
          <cell r="S163">
            <v>0</v>
          </cell>
          <cell r="T163">
            <v>0</v>
          </cell>
          <cell r="U163">
            <v>62926.8</v>
          </cell>
          <cell r="V163">
            <v>2193901.12</v>
          </cell>
          <cell r="W163">
            <v>0</v>
          </cell>
          <cell r="X163">
            <v>0</v>
          </cell>
          <cell r="Y163">
            <v>2193901.12</v>
          </cell>
          <cell r="Z163">
            <v>154102.04999999999</v>
          </cell>
          <cell r="AA163">
            <v>0</v>
          </cell>
          <cell r="AB163">
            <v>0</v>
          </cell>
          <cell r="AC163">
            <v>154102.04999999999</v>
          </cell>
          <cell r="AD163">
            <v>1107025.8799999999</v>
          </cell>
          <cell r="AE163">
            <v>0</v>
          </cell>
          <cell r="AF163">
            <v>0</v>
          </cell>
          <cell r="AG163">
            <v>1107025.8799999999</v>
          </cell>
          <cell r="AH163">
            <v>-19169.54</v>
          </cell>
          <cell r="AI163">
            <v>0</v>
          </cell>
          <cell r="AJ163">
            <v>0</v>
          </cell>
          <cell r="AK163">
            <v>-19169.54</v>
          </cell>
          <cell r="AL163">
            <v>3626717.26</v>
          </cell>
          <cell r="AM163">
            <v>0</v>
          </cell>
          <cell r="AN163">
            <v>0</v>
          </cell>
          <cell r="AO163">
            <v>3626717.26</v>
          </cell>
          <cell r="AP163">
            <v>-9478.25</v>
          </cell>
          <cell r="AQ163">
            <v>0</v>
          </cell>
          <cell r="AR163">
            <v>0</v>
          </cell>
          <cell r="AS163">
            <v>-9478.25</v>
          </cell>
          <cell r="AT163">
            <v>86911.58</v>
          </cell>
          <cell r="AU163">
            <v>0</v>
          </cell>
          <cell r="AV163">
            <v>0</v>
          </cell>
          <cell r="AW163">
            <v>86911.58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5304.63</v>
          </cell>
          <cell r="BC163">
            <v>0</v>
          </cell>
          <cell r="BD163">
            <v>0</v>
          </cell>
          <cell r="BE163">
            <v>5304.63</v>
          </cell>
          <cell r="BF163">
            <v>-1004.04</v>
          </cell>
          <cell r="BG163">
            <v>0</v>
          </cell>
          <cell r="BH163">
            <v>0</v>
          </cell>
          <cell r="BI163">
            <v>-1004.04</v>
          </cell>
          <cell r="BJ163">
            <v>46986.239999999998</v>
          </cell>
          <cell r="BK163">
            <v>0</v>
          </cell>
          <cell r="BL163">
            <v>0</v>
          </cell>
          <cell r="BM163">
            <v>46986.239999999998</v>
          </cell>
          <cell r="BN163">
            <v>-1488.45</v>
          </cell>
          <cell r="BO163">
            <v>0</v>
          </cell>
          <cell r="BP163">
            <v>0</v>
          </cell>
          <cell r="BQ163">
            <v>-1488.45</v>
          </cell>
          <cell r="BR163">
            <v>2692269.8</v>
          </cell>
          <cell r="BS163">
            <v>0</v>
          </cell>
          <cell r="BT163">
            <v>0</v>
          </cell>
          <cell r="BU163">
            <v>2692269.8</v>
          </cell>
          <cell r="BV163">
            <v>213283.16</v>
          </cell>
          <cell r="BW163">
            <v>0</v>
          </cell>
          <cell r="BX163">
            <v>0</v>
          </cell>
          <cell r="BY163">
            <v>213283.16</v>
          </cell>
          <cell r="BZ163">
            <v>114039</v>
          </cell>
          <cell r="CA163">
            <v>0</v>
          </cell>
          <cell r="CB163">
            <v>0</v>
          </cell>
          <cell r="CC163">
            <v>114039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8748.1</v>
          </cell>
          <cell r="CI163">
            <v>0</v>
          </cell>
          <cell r="CJ163">
            <v>0</v>
          </cell>
          <cell r="CK163">
            <v>8748.1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4316</v>
          </cell>
          <cell r="CQ163">
            <v>0</v>
          </cell>
          <cell r="CR163">
            <v>0</v>
          </cell>
          <cell r="CS163">
            <v>4316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3285.22</v>
          </cell>
          <cell r="CY163">
            <v>0</v>
          </cell>
          <cell r="CZ163">
            <v>0</v>
          </cell>
          <cell r="DA163">
            <v>3285.22</v>
          </cell>
          <cell r="DB163">
            <v>-1004.04</v>
          </cell>
          <cell r="DC163">
            <v>0</v>
          </cell>
          <cell r="DD163">
            <v>0</v>
          </cell>
          <cell r="DE163">
            <v>-1004.04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</row>
        <row r="164">
          <cell r="A164">
            <v>158</v>
          </cell>
          <cell r="B164" t="str">
            <v>E1539</v>
          </cell>
          <cell r="C164" t="str">
            <v>SD</v>
          </cell>
          <cell r="D164" t="str">
            <v>E</v>
          </cell>
          <cell r="E164" t="str">
            <v>Maldon</v>
          </cell>
          <cell r="F164">
            <v>48551.31</v>
          </cell>
          <cell r="G164">
            <v>0</v>
          </cell>
          <cell r="H164">
            <v>0</v>
          </cell>
          <cell r="I164">
            <v>48551.31</v>
          </cell>
          <cell r="J164">
            <v>-36177.29</v>
          </cell>
          <cell r="K164">
            <v>0</v>
          </cell>
          <cell r="L164">
            <v>0</v>
          </cell>
          <cell r="M164">
            <v>-36177.29</v>
          </cell>
          <cell r="N164">
            <v>1088.19</v>
          </cell>
          <cell r="O164">
            <v>0</v>
          </cell>
          <cell r="P164">
            <v>0</v>
          </cell>
          <cell r="Q164">
            <v>1088.19</v>
          </cell>
          <cell r="R164">
            <v>43732.39</v>
          </cell>
          <cell r="S164">
            <v>0</v>
          </cell>
          <cell r="T164">
            <v>0</v>
          </cell>
          <cell r="U164">
            <v>43732.39</v>
          </cell>
          <cell r="V164">
            <v>1697274.46</v>
          </cell>
          <cell r="W164">
            <v>0</v>
          </cell>
          <cell r="X164">
            <v>0</v>
          </cell>
          <cell r="Y164">
            <v>1697274.46</v>
          </cell>
          <cell r="Z164">
            <v>64554.11</v>
          </cell>
          <cell r="AA164">
            <v>0</v>
          </cell>
          <cell r="AB164">
            <v>0</v>
          </cell>
          <cell r="AC164">
            <v>64554.11</v>
          </cell>
          <cell r="AD164">
            <v>226263</v>
          </cell>
          <cell r="AE164">
            <v>0</v>
          </cell>
          <cell r="AF164">
            <v>0</v>
          </cell>
          <cell r="AG164">
            <v>226263</v>
          </cell>
          <cell r="AH164">
            <v>3860.79</v>
          </cell>
          <cell r="AI164">
            <v>0</v>
          </cell>
          <cell r="AJ164">
            <v>0</v>
          </cell>
          <cell r="AK164">
            <v>3860.79</v>
          </cell>
          <cell r="AL164">
            <v>759122.27</v>
          </cell>
          <cell r="AM164">
            <v>0</v>
          </cell>
          <cell r="AN164">
            <v>0</v>
          </cell>
          <cell r="AO164">
            <v>759122.27</v>
          </cell>
          <cell r="AP164">
            <v>6486.55</v>
          </cell>
          <cell r="AQ164">
            <v>0</v>
          </cell>
          <cell r="AR164">
            <v>0</v>
          </cell>
          <cell r="AS164">
            <v>6486.55</v>
          </cell>
          <cell r="AT164">
            <v>24241.86</v>
          </cell>
          <cell r="AU164">
            <v>0</v>
          </cell>
          <cell r="AV164">
            <v>0</v>
          </cell>
          <cell r="AW164">
            <v>24241.86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14879.18</v>
          </cell>
          <cell r="BC164">
            <v>0</v>
          </cell>
          <cell r="BD164">
            <v>0</v>
          </cell>
          <cell r="BE164">
            <v>14879.18</v>
          </cell>
          <cell r="BF164">
            <v>0.02</v>
          </cell>
          <cell r="BG164">
            <v>0</v>
          </cell>
          <cell r="BH164">
            <v>0</v>
          </cell>
          <cell r="BI164">
            <v>0.02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-12610.36</v>
          </cell>
          <cell r="BO164">
            <v>0</v>
          </cell>
          <cell r="BP164">
            <v>0</v>
          </cell>
          <cell r="BQ164">
            <v>-12610.36</v>
          </cell>
          <cell r="BR164">
            <v>408424.17</v>
          </cell>
          <cell r="BS164">
            <v>0</v>
          </cell>
          <cell r="BT164">
            <v>0</v>
          </cell>
          <cell r="BU164">
            <v>408424.17</v>
          </cell>
          <cell r="BV164">
            <v>-4632.21</v>
          </cell>
          <cell r="BW164">
            <v>0</v>
          </cell>
          <cell r="BX164">
            <v>0</v>
          </cell>
          <cell r="BY164">
            <v>-4632.21</v>
          </cell>
          <cell r="BZ164">
            <v>33518.69</v>
          </cell>
          <cell r="CA164">
            <v>0</v>
          </cell>
          <cell r="CB164">
            <v>0</v>
          </cell>
          <cell r="CC164">
            <v>33518.69</v>
          </cell>
          <cell r="CD164">
            <v>720.25</v>
          </cell>
          <cell r="CE164">
            <v>0</v>
          </cell>
          <cell r="CF164">
            <v>0</v>
          </cell>
          <cell r="CG164">
            <v>720.25</v>
          </cell>
          <cell r="CH164">
            <v>12946.64</v>
          </cell>
          <cell r="CI164">
            <v>0</v>
          </cell>
          <cell r="CJ164">
            <v>0</v>
          </cell>
          <cell r="CK164">
            <v>12946.64</v>
          </cell>
          <cell r="CL164">
            <v>501.55</v>
          </cell>
          <cell r="CM164">
            <v>0</v>
          </cell>
          <cell r="CN164">
            <v>0</v>
          </cell>
          <cell r="CO164">
            <v>501.55</v>
          </cell>
          <cell r="CP164">
            <v>165.9</v>
          </cell>
          <cell r="CQ164">
            <v>0</v>
          </cell>
          <cell r="CR164">
            <v>0</v>
          </cell>
          <cell r="CS164">
            <v>165.9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818.62</v>
          </cell>
          <cell r="CY164">
            <v>0</v>
          </cell>
          <cell r="CZ164">
            <v>0</v>
          </cell>
          <cell r="DA164">
            <v>818.62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</row>
        <row r="165">
          <cell r="A165">
            <v>159</v>
          </cell>
          <cell r="B165" t="str">
            <v>E1851</v>
          </cell>
          <cell r="C165" t="str">
            <v>SD</v>
          </cell>
          <cell r="D165" t="str">
            <v>WM</v>
          </cell>
          <cell r="E165" t="str">
            <v>Malvern Hills (new)</v>
          </cell>
          <cell r="F165">
            <v>81742</v>
          </cell>
          <cell r="G165">
            <v>0</v>
          </cell>
          <cell r="H165">
            <v>0</v>
          </cell>
          <cell r="I165">
            <v>81742</v>
          </cell>
          <cell r="J165">
            <v>-99816</v>
          </cell>
          <cell r="K165">
            <v>0</v>
          </cell>
          <cell r="L165">
            <v>0</v>
          </cell>
          <cell r="M165">
            <v>-99816</v>
          </cell>
          <cell r="N165">
            <v>2670</v>
          </cell>
          <cell r="O165">
            <v>0</v>
          </cell>
          <cell r="P165">
            <v>0</v>
          </cell>
          <cell r="Q165">
            <v>2670</v>
          </cell>
          <cell r="R165">
            <v>-591</v>
          </cell>
          <cell r="S165">
            <v>0</v>
          </cell>
          <cell r="T165">
            <v>0</v>
          </cell>
          <cell r="U165">
            <v>-591</v>
          </cell>
          <cell r="V165">
            <v>1884369</v>
          </cell>
          <cell r="W165">
            <v>0</v>
          </cell>
          <cell r="X165">
            <v>0</v>
          </cell>
          <cell r="Y165">
            <v>1884369</v>
          </cell>
          <cell r="Z165">
            <v>31512</v>
          </cell>
          <cell r="AA165">
            <v>0</v>
          </cell>
          <cell r="AB165">
            <v>0</v>
          </cell>
          <cell r="AC165">
            <v>31512</v>
          </cell>
          <cell r="AD165">
            <v>281728</v>
          </cell>
          <cell r="AE165">
            <v>0</v>
          </cell>
          <cell r="AF165">
            <v>0</v>
          </cell>
          <cell r="AG165">
            <v>281728</v>
          </cell>
          <cell r="AH165">
            <v>-13255</v>
          </cell>
          <cell r="AI165">
            <v>0</v>
          </cell>
          <cell r="AJ165">
            <v>0</v>
          </cell>
          <cell r="AK165">
            <v>-13255</v>
          </cell>
          <cell r="AL165">
            <v>1617731</v>
          </cell>
          <cell r="AM165">
            <v>0</v>
          </cell>
          <cell r="AN165">
            <v>0</v>
          </cell>
          <cell r="AO165">
            <v>1617731</v>
          </cell>
          <cell r="AP165">
            <v>-816</v>
          </cell>
          <cell r="AQ165">
            <v>0</v>
          </cell>
          <cell r="AR165">
            <v>0</v>
          </cell>
          <cell r="AS165">
            <v>-816</v>
          </cell>
          <cell r="AT165">
            <v>41373</v>
          </cell>
          <cell r="AU165">
            <v>0</v>
          </cell>
          <cell r="AV165">
            <v>0</v>
          </cell>
          <cell r="AW165">
            <v>41373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56743</v>
          </cell>
          <cell r="BC165">
            <v>0</v>
          </cell>
          <cell r="BD165">
            <v>0</v>
          </cell>
          <cell r="BE165">
            <v>56743</v>
          </cell>
          <cell r="BF165">
            <v>-0.02</v>
          </cell>
          <cell r="BG165">
            <v>0</v>
          </cell>
          <cell r="BH165">
            <v>0</v>
          </cell>
          <cell r="BI165">
            <v>-0.02</v>
          </cell>
          <cell r="BJ165">
            <v>17753</v>
          </cell>
          <cell r="BK165">
            <v>0</v>
          </cell>
          <cell r="BL165">
            <v>0</v>
          </cell>
          <cell r="BM165">
            <v>17753</v>
          </cell>
          <cell r="BN165">
            <v>2192</v>
          </cell>
          <cell r="BO165">
            <v>0</v>
          </cell>
          <cell r="BP165">
            <v>0</v>
          </cell>
          <cell r="BQ165">
            <v>2192</v>
          </cell>
          <cell r="BR165">
            <v>365241</v>
          </cell>
          <cell r="BS165">
            <v>0</v>
          </cell>
          <cell r="BT165">
            <v>0</v>
          </cell>
          <cell r="BU165">
            <v>365241</v>
          </cell>
          <cell r="BV165">
            <v>8557</v>
          </cell>
          <cell r="BW165">
            <v>0</v>
          </cell>
          <cell r="BX165">
            <v>0</v>
          </cell>
          <cell r="BY165">
            <v>8557</v>
          </cell>
          <cell r="BZ165">
            <v>89597</v>
          </cell>
          <cell r="CA165">
            <v>0</v>
          </cell>
          <cell r="CB165">
            <v>0</v>
          </cell>
          <cell r="CC165">
            <v>89597</v>
          </cell>
          <cell r="CD165">
            <v>8370</v>
          </cell>
          <cell r="CE165">
            <v>0</v>
          </cell>
          <cell r="CF165">
            <v>0</v>
          </cell>
          <cell r="CG165">
            <v>8370</v>
          </cell>
          <cell r="CH165">
            <v>54723</v>
          </cell>
          <cell r="CI165">
            <v>0</v>
          </cell>
          <cell r="CJ165">
            <v>0</v>
          </cell>
          <cell r="CK165">
            <v>54723</v>
          </cell>
          <cell r="CL165">
            <v>277</v>
          </cell>
          <cell r="CM165">
            <v>0</v>
          </cell>
          <cell r="CN165">
            <v>0</v>
          </cell>
          <cell r="CO165">
            <v>277</v>
          </cell>
          <cell r="CP165">
            <v>10256</v>
          </cell>
          <cell r="CQ165">
            <v>0</v>
          </cell>
          <cell r="CR165">
            <v>0</v>
          </cell>
          <cell r="CS165">
            <v>10256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34707</v>
          </cell>
          <cell r="CY165">
            <v>0</v>
          </cell>
          <cell r="CZ165">
            <v>0</v>
          </cell>
          <cell r="DA165">
            <v>34707</v>
          </cell>
          <cell r="DB165">
            <v>1444</v>
          </cell>
          <cell r="DC165">
            <v>0</v>
          </cell>
          <cell r="DD165">
            <v>0</v>
          </cell>
          <cell r="DE165">
            <v>1444</v>
          </cell>
          <cell r="DF165">
            <v>30827</v>
          </cell>
          <cell r="DG165">
            <v>0</v>
          </cell>
          <cell r="DH165">
            <v>0</v>
          </cell>
          <cell r="DI165">
            <v>30827</v>
          </cell>
          <cell r="DJ165">
            <v>3038</v>
          </cell>
          <cell r="DK165">
            <v>0</v>
          </cell>
          <cell r="DL165">
            <v>0</v>
          </cell>
          <cell r="DM165">
            <v>3038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13865</v>
          </cell>
          <cell r="EC165">
            <v>0</v>
          </cell>
          <cell r="ED165">
            <v>0</v>
          </cell>
          <cell r="EE165">
            <v>13865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</row>
        <row r="166">
          <cell r="A166">
            <v>160</v>
          </cell>
          <cell r="B166" t="str">
            <v>E4203</v>
          </cell>
          <cell r="C166" t="str">
            <v>Met</v>
          </cell>
          <cell r="D166" t="str">
            <v>NW</v>
          </cell>
          <cell r="E166" t="str">
            <v>Manchester</v>
          </cell>
          <cell r="F166">
            <v>1171779</v>
          </cell>
          <cell r="G166">
            <v>0</v>
          </cell>
          <cell r="H166">
            <v>5166</v>
          </cell>
          <cell r="I166">
            <v>1176945</v>
          </cell>
          <cell r="J166">
            <v>-2290660</v>
          </cell>
          <cell r="K166">
            <v>0</v>
          </cell>
          <cell r="L166">
            <v>-23996</v>
          </cell>
          <cell r="M166">
            <v>-2314656</v>
          </cell>
          <cell r="N166">
            <v>365108</v>
          </cell>
          <cell r="O166">
            <v>0</v>
          </cell>
          <cell r="P166">
            <v>7239</v>
          </cell>
          <cell r="Q166">
            <v>372347</v>
          </cell>
          <cell r="R166">
            <v>2174888</v>
          </cell>
          <cell r="S166">
            <v>0</v>
          </cell>
          <cell r="T166">
            <v>29543</v>
          </cell>
          <cell r="U166">
            <v>2204431</v>
          </cell>
          <cell r="V166">
            <v>9029375</v>
          </cell>
          <cell r="W166">
            <v>0</v>
          </cell>
          <cell r="X166">
            <v>22398</v>
          </cell>
          <cell r="Y166">
            <v>9051773</v>
          </cell>
          <cell r="Z166">
            <v>717178</v>
          </cell>
          <cell r="AA166">
            <v>0</v>
          </cell>
          <cell r="AB166">
            <v>2491</v>
          </cell>
          <cell r="AC166">
            <v>719669</v>
          </cell>
          <cell r="AD166">
            <v>6868215</v>
          </cell>
          <cell r="AE166">
            <v>0</v>
          </cell>
          <cell r="AF166">
            <v>105965</v>
          </cell>
          <cell r="AG166">
            <v>6974180</v>
          </cell>
          <cell r="AH166">
            <v>-284889</v>
          </cell>
          <cell r="AI166">
            <v>0</v>
          </cell>
          <cell r="AJ166">
            <v>-13631</v>
          </cell>
          <cell r="AK166">
            <v>-298520</v>
          </cell>
          <cell r="AL166">
            <v>23955626</v>
          </cell>
          <cell r="AM166">
            <v>0</v>
          </cell>
          <cell r="AN166">
            <v>0</v>
          </cell>
          <cell r="AO166">
            <v>23955626</v>
          </cell>
          <cell r="AP166">
            <v>-205162</v>
          </cell>
          <cell r="AQ166">
            <v>0</v>
          </cell>
          <cell r="AR166">
            <v>-29955</v>
          </cell>
          <cell r="AS166">
            <v>-235117</v>
          </cell>
          <cell r="AT166">
            <v>105496</v>
          </cell>
          <cell r="AU166">
            <v>0</v>
          </cell>
          <cell r="AV166">
            <v>0</v>
          </cell>
          <cell r="AW166">
            <v>105496</v>
          </cell>
          <cell r="AX166">
            <v>944</v>
          </cell>
          <cell r="AY166">
            <v>0</v>
          </cell>
          <cell r="AZ166">
            <v>0</v>
          </cell>
          <cell r="BA166">
            <v>944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26228</v>
          </cell>
          <cell r="BK166">
            <v>0</v>
          </cell>
          <cell r="BL166">
            <v>0</v>
          </cell>
          <cell r="BM166">
            <v>26228</v>
          </cell>
          <cell r="BN166">
            <v>81070</v>
          </cell>
          <cell r="BO166">
            <v>0</v>
          </cell>
          <cell r="BP166">
            <v>0</v>
          </cell>
          <cell r="BQ166">
            <v>81070</v>
          </cell>
          <cell r="BR166">
            <v>30619620</v>
          </cell>
          <cell r="BS166">
            <v>0</v>
          </cell>
          <cell r="BT166">
            <v>553811</v>
          </cell>
          <cell r="BU166">
            <v>31173431</v>
          </cell>
          <cell r="BV166">
            <v>645382</v>
          </cell>
          <cell r="BW166">
            <v>0</v>
          </cell>
          <cell r="BX166">
            <v>-22197</v>
          </cell>
          <cell r="BY166">
            <v>623185</v>
          </cell>
          <cell r="BZ166">
            <v>703349</v>
          </cell>
          <cell r="CA166">
            <v>0</v>
          </cell>
          <cell r="CB166">
            <v>0</v>
          </cell>
          <cell r="CC166">
            <v>703349</v>
          </cell>
          <cell r="CD166">
            <v>-41821</v>
          </cell>
          <cell r="CE166">
            <v>0</v>
          </cell>
          <cell r="CF166">
            <v>0</v>
          </cell>
          <cell r="CG166">
            <v>-41821</v>
          </cell>
          <cell r="CH166">
            <v>543914</v>
          </cell>
          <cell r="CI166">
            <v>0</v>
          </cell>
          <cell r="CJ166">
            <v>0</v>
          </cell>
          <cell r="CK166">
            <v>543914</v>
          </cell>
          <cell r="CL166">
            <v>-39915</v>
          </cell>
          <cell r="CM166">
            <v>0</v>
          </cell>
          <cell r="CN166">
            <v>0</v>
          </cell>
          <cell r="CO166">
            <v>-39915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303999</v>
          </cell>
          <cell r="DQ166">
            <v>303999</v>
          </cell>
          <cell r="DR166">
            <v>0</v>
          </cell>
          <cell r="DS166">
            <v>0</v>
          </cell>
          <cell r="DT166">
            <v>-1354</v>
          </cell>
          <cell r="DU166">
            <v>-1354</v>
          </cell>
          <cell r="DV166">
            <v>302645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4061</v>
          </cell>
          <cell r="EK166">
            <v>0</v>
          </cell>
          <cell r="EL166">
            <v>0</v>
          </cell>
          <cell r="EM166">
            <v>4061</v>
          </cell>
        </row>
        <row r="167">
          <cell r="A167">
            <v>161</v>
          </cell>
          <cell r="B167" t="str">
            <v>E3035</v>
          </cell>
          <cell r="C167" t="str">
            <v>SD</v>
          </cell>
          <cell r="D167" t="str">
            <v>EM</v>
          </cell>
          <cell r="E167" t="str">
            <v>Mansfield</v>
          </cell>
          <cell r="F167">
            <v>37534</v>
          </cell>
          <cell r="G167">
            <v>0</v>
          </cell>
          <cell r="H167">
            <v>0</v>
          </cell>
          <cell r="I167">
            <v>37534</v>
          </cell>
          <cell r="J167">
            <v>-4556</v>
          </cell>
          <cell r="K167">
            <v>0</v>
          </cell>
          <cell r="L167">
            <v>0</v>
          </cell>
          <cell r="M167">
            <v>-4556</v>
          </cell>
          <cell r="N167">
            <v>142677</v>
          </cell>
          <cell r="O167">
            <v>0</v>
          </cell>
          <cell r="P167">
            <v>0</v>
          </cell>
          <cell r="Q167">
            <v>142677</v>
          </cell>
          <cell r="R167">
            <v>-1103</v>
          </cell>
          <cell r="S167">
            <v>0</v>
          </cell>
          <cell r="T167">
            <v>0</v>
          </cell>
          <cell r="U167">
            <v>-1103</v>
          </cell>
          <cell r="V167">
            <v>1606596</v>
          </cell>
          <cell r="W167">
            <v>0</v>
          </cell>
          <cell r="X167">
            <v>0</v>
          </cell>
          <cell r="Y167">
            <v>1606596</v>
          </cell>
          <cell r="Z167">
            <v>140544</v>
          </cell>
          <cell r="AA167">
            <v>0</v>
          </cell>
          <cell r="AB167">
            <v>0</v>
          </cell>
          <cell r="AC167">
            <v>140544</v>
          </cell>
          <cell r="AD167">
            <v>554595</v>
          </cell>
          <cell r="AE167">
            <v>0</v>
          </cell>
          <cell r="AF167">
            <v>0</v>
          </cell>
          <cell r="AG167">
            <v>554595</v>
          </cell>
          <cell r="AH167">
            <v>10460</v>
          </cell>
          <cell r="AI167">
            <v>0</v>
          </cell>
          <cell r="AJ167">
            <v>0</v>
          </cell>
          <cell r="AK167">
            <v>10460</v>
          </cell>
          <cell r="AL167">
            <v>1881539</v>
          </cell>
          <cell r="AM167">
            <v>0</v>
          </cell>
          <cell r="AN167">
            <v>0</v>
          </cell>
          <cell r="AO167">
            <v>1881539</v>
          </cell>
          <cell r="AP167">
            <v>5910</v>
          </cell>
          <cell r="AQ167">
            <v>0</v>
          </cell>
          <cell r="AR167">
            <v>0</v>
          </cell>
          <cell r="AS167">
            <v>5910</v>
          </cell>
          <cell r="AT167">
            <v>15072</v>
          </cell>
          <cell r="AU167">
            <v>0</v>
          </cell>
          <cell r="AV167">
            <v>0</v>
          </cell>
          <cell r="AW167">
            <v>15072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17685</v>
          </cell>
          <cell r="BK167">
            <v>0</v>
          </cell>
          <cell r="BL167">
            <v>0</v>
          </cell>
          <cell r="BM167">
            <v>17685</v>
          </cell>
          <cell r="BN167">
            <v>-39407</v>
          </cell>
          <cell r="BO167">
            <v>0</v>
          </cell>
          <cell r="BP167">
            <v>0</v>
          </cell>
          <cell r="BQ167">
            <v>-39407</v>
          </cell>
          <cell r="BR167">
            <v>1130181</v>
          </cell>
          <cell r="BS167">
            <v>0</v>
          </cell>
          <cell r="BT167">
            <v>0</v>
          </cell>
          <cell r="BU167">
            <v>1130181</v>
          </cell>
          <cell r="BV167">
            <v>86279</v>
          </cell>
          <cell r="BW167">
            <v>0</v>
          </cell>
          <cell r="BX167">
            <v>0</v>
          </cell>
          <cell r="BY167">
            <v>86279</v>
          </cell>
          <cell r="BZ167">
            <v>7710</v>
          </cell>
          <cell r="CA167">
            <v>0</v>
          </cell>
          <cell r="CB167">
            <v>0</v>
          </cell>
          <cell r="CC167">
            <v>7710</v>
          </cell>
          <cell r="CD167">
            <v>346</v>
          </cell>
          <cell r="CE167">
            <v>0</v>
          </cell>
          <cell r="CF167">
            <v>0</v>
          </cell>
          <cell r="CG167">
            <v>346</v>
          </cell>
          <cell r="CH167">
            <v>83591</v>
          </cell>
          <cell r="CI167">
            <v>0</v>
          </cell>
          <cell r="CJ167">
            <v>0</v>
          </cell>
          <cell r="CK167">
            <v>83591</v>
          </cell>
          <cell r="CL167">
            <v>748</v>
          </cell>
          <cell r="CM167">
            <v>0</v>
          </cell>
          <cell r="CN167">
            <v>0</v>
          </cell>
          <cell r="CO167">
            <v>748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82134</v>
          </cell>
          <cell r="EG167">
            <v>0</v>
          </cell>
          <cell r="EH167">
            <v>0</v>
          </cell>
          <cell r="EI167">
            <v>82134</v>
          </cell>
          <cell r="EJ167">
            <v>-30701</v>
          </cell>
          <cell r="EK167">
            <v>0</v>
          </cell>
          <cell r="EL167">
            <v>0</v>
          </cell>
          <cell r="EM167">
            <v>-30701</v>
          </cell>
        </row>
        <row r="168">
          <cell r="A168">
            <v>162</v>
          </cell>
          <cell r="B168" t="str">
            <v>E2201</v>
          </cell>
          <cell r="C168" t="str">
            <v>UA</v>
          </cell>
          <cell r="D168" t="str">
            <v>SE</v>
          </cell>
          <cell r="E168" t="str">
            <v>Medway UA</v>
          </cell>
          <cell r="F168">
            <v>2117930</v>
          </cell>
          <cell r="G168">
            <v>0</v>
          </cell>
          <cell r="H168">
            <v>0</v>
          </cell>
          <cell r="I168">
            <v>2117930</v>
          </cell>
          <cell r="J168">
            <v>-147704</v>
          </cell>
          <cell r="K168">
            <v>0</v>
          </cell>
          <cell r="L168">
            <v>0</v>
          </cell>
          <cell r="M168">
            <v>-147704</v>
          </cell>
          <cell r="N168">
            <v>89861</v>
          </cell>
          <cell r="O168">
            <v>0</v>
          </cell>
          <cell r="P168">
            <v>0</v>
          </cell>
          <cell r="Q168">
            <v>89861</v>
          </cell>
          <cell r="R168">
            <v>342755</v>
          </cell>
          <cell r="S168">
            <v>0</v>
          </cell>
          <cell r="T168">
            <v>0</v>
          </cell>
          <cell r="U168">
            <v>342755</v>
          </cell>
          <cell r="V168">
            <v>3630405</v>
          </cell>
          <cell r="W168">
            <v>0</v>
          </cell>
          <cell r="X168">
            <v>0</v>
          </cell>
          <cell r="Y168">
            <v>3630405</v>
          </cell>
          <cell r="Z168">
            <v>335405</v>
          </cell>
          <cell r="AA168">
            <v>0</v>
          </cell>
          <cell r="AB168">
            <v>0</v>
          </cell>
          <cell r="AC168">
            <v>335405</v>
          </cell>
          <cell r="AD168">
            <v>1878175</v>
          </cell>
          <cell r="AE168">
            <v>0</v>
          </cell>
          <cell r="AF168">
            <v>0</v>
          </cell>
          <cell r="AG168">
            <v>1878175</v>
          </cell>
          <cell r="AH168">
            <v>59669</v>
          </cell>
          <cell r="AI168">
            <v>0</v>
          </cell>
          <cell r="AJ168">
            <v>0</v>
          </cell>
          <cell r="AK168">
            <v>59669</v>
          </cell>
          <cell r="AL168">
            <v>6456361</v>
          </cell>
          <cell r="AM168">
            <v>0</v>
          </cell>
          <cell r="AN168">
            <v>0</v>
          </cell>
          <cell r="AO168">
            <v>6456361</v>
          </cell>
          <cell r="AP168">
            <v>93881</v>
          </cell>
          <cell r="AQ168">
            <v>0</v>
          </cell>
          <cell r="AR168">
            <v>0</v>
          </cell>
          <cell r="AS168">
            <v>93881</v>
          </cell>
          <cell r="AT168">
            <v>103520</v>
          </cell>
          <cell r="AU168">
            <v>0</v>
          </cell>
          <cell r="AV168">
            <v>0</v>
          </cell>
          <cell r="AW168">
            <v>103520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6082</v>
          </cell>
          <cell r="BC168">
            <v>0</v>
          </cell>
          <cell r="BD168">
            <v>0</v>
          </cell>
          <cell r="BE168">
            <v>6082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3482</v>
          </cell>
          <cell r="BK168">
            <v>0</v>
          </cell>
          <cell r="BL168">
            <v>0</v>
          </cell>
          <cell r="BM168">
            <v>3482</v>
          </cell>
          <cell r="BN168">
            <v>-9704</v>
          </cell>
          <cell r="BO168">
            <v>0</v>
          </cell>
          <cell r="BP168">
            <v>0</v>
          </cell>
          <cell r="BQ168">
            <v>-9704</v>
          </cell>
          <cell r="BR168">
            <v>3278244</v>
          </cell>
          <cell r="BS168">
            <v>0</v>
          </cell>
          <cell r="BT168">
            <v>0</v>
          </cell>
          <cell r="BU168">
            <v>3278244</v>
          </cell>
          <cell r="BV168">
            <v>-2458795</v>
          </cell>
          <cell r="BW168">
            <v>0</v>
          </cell>
          <cell r="BX168">
            <v>0</v>
          </cell>
          <cell r="BY168">
            <v>-2458795</v>
          </cell>
          <cell r="BZ168">
            <v>305280</v>
          </cell>
          <cell r="CA168">
            <v>0</v>
          </cell>
          <cell r="CB168">
            <v>0</v>
          </cell>
          <cell r="CC168">
            <v>305280</v>
          </cell>
          <cell r="CD168">
            <v>11126</v>
          </cell>
          <cell r="CE168">
            <v>0</v>
          </cell>
          <cell r="CF168">
            <v>0</v>
          </cell>
          <cell r="CG168">
            <v>11126</v>
          </cell>
          <cell r="CH168">
            <v>189742</v>
          </cell>
          <cell r="CI168">
            <v>0</v>
          </cell>
          <cell r="CJ168">
            <v>0</v>
          </cell>
          <cell r="CK168">
            <v>189742</v>
          </cell>
          <cell r="CL168">
            <v>-24576</v>
          </cell>
          <cell r="CM168">
            <v>0</v>
          </cell>
          <cell r="CN168">
            <v>0</v>
          </cell>
          <cell r="CO168">
            <v>-24576</v>
          </cell>
          <cell r="CP168">
            <v>24467</v>
          </cell>
          <cell r="CQ168">
            <v>0</v>
          </cell>
          <cell r="CR168">
            <v>0</v>
          </cell>
          <cell r="CS168">
            <v>24467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2310</v>
          </cell>
          <cell r="CY168">
            <v>0</v>
          </cell>
          <cell r="CZ168">
            <v>0</v>
          </cell>
          <cell r="DA168">
            <v>2310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</row>
        <row r="169">
          <cell r="A169">
            <v>163</v>
          </cell>
          <cell r="B169" t="str">
            <v>E2436</v>
          </cell>
          <cell r="C169" t="str">
            <v>SD</v>
          </cell>
          <cell r="D169" t="str">
            <v>EM</v>
          </cell>
          <cell r="E169" t="str">
            <v>Melton</v>
          </cell>
          <cell r="F169">
            <v>76523</v>
          </cell>
          <cell r="G169">
            <v>0</v>
          </cell>
          <cell r="H169">
            <v>0</v>
          </cell>
          <cell r="I169">
            <v>76523</v>
          </cell>
          <cell r="J169">
            <v>-4434</v>
          </cell>
          <cell r="K169">
            <v>0</v>
          </cell>
          <cell r="L169">
            <v>0</v>
          </cell>
          <cell r="M169">
            <v>-4434</v>
          </cell>
          <cell r="N169">
            <v>3957</v>
          </cell>
          <cell r="O169">
            <v>0</v>
          </cell>
          <cell r="P169">
            <v>0</v>
          </cell>
          <cell r="Q169">
            <v>3957</v>
          </cell>
          <cell r="R169">
            <v>8645</v>
          </cell>
          <cell r="S169">
            <v>0</v>
          </cell>
          <cell r="T169">
            <v>0</v>
          </cell>
          <cell r="U169">
            <v>8645</v>
          </cell>
          <cell r="V169">
            <v>1007684</v>
          </cell>
          <cell r="W169">
            <v>0</v>
          </cell>
          <cell r="X169">
            <v>0</v>
          </cell>
          <cell r="Y169">
            <v>1007684</v>
          </cell>
          <cell r="Z169">
            <v>121270</v>
          </cell>
          <cell r="AA169">
            <v>0</v>
          </cell>
          <cell r="AB169">
            <v>0</v>
          </cell>
          <cell r="AC169">
            <v>121270</v>
          </cell>
          <cell r="AD169">
            <v>246205</v>
          </cell>
          <cell r="AE169">
            <v>0</v>
          </cell>
          <cell r="AF169">
            <v>0</v>
          </cell>
          <cell r="AG169">
            <v>246205</v>
          </cell>
          <cell r="AH169">
            <v>-1923</v>
          </cell>
          <cell r="AI169">
            <v>0</v>
          </cell>
          <cell r="AJ169">
            <v>0</v>
          </cell>
          <cell r="AK169">
            <v>-1923</v>
          </cell>
          <cell r="AL169">
            <v>860650</v>
          </cell>
          <cell r="AM169">
            <v>0</v>
          </cell>
          <cell r="AN169">
            <v>0</v>
          </cell>
          <cell r="AO169">
            <v>860650</v>
          </cell>
          <cell r="AP169">
            <v>5161</v>
          </cell>
          <cell r="AQ169">
            <v>0</v>
          </cell>
          <cell r="AR169">
            <v>0</v>
          </cell>
          <cell r="AS169">
            <v>5161</v>
          </cell>
          <cell r="AT169">
            <v>35127</v>
          </cell>
          <cell r="AU169">
            <v>0</v>
          </cell>
          <cell r="AV169">
            <v>0</v>
          </cell>
          <cell r="AW169">
            <v>35127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23847</v>
          </cell>
          <cell r="BC169">
            <v>0</v>
          </cell>
          <cell r="BD169">
            <v>0</v>
          </cell>
          <cell r="BE169">
            <v>23847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12073</v>
          </cell>
          <cell r="BK169">
            <v>0</v>
          </cell>
          <cell r="BL169">
            <v>0</v>
          </cell>
          <cell r="BM169">
            <v>12073</v>
          </cell>
          <cell r="BN169">
            <v>447</v>
          </cell>
          <cell r="BO169">
            <v>0</v>
          </cell>
          <cell r="BP169">
            <v>0</v>
          </cell>
          <cell r="BQ169">
            <v>447</v>
          </cell>
          <cell r="BR169">
            <v>413163</v>
          </cell>
          <cell r="BS169">
            <v>0</v>
          </cell>
          <cell r="BT169">
            <v>0</v>
          </cell>
          <cell r="BU169">
            <v>413163</v>
          </cell>
          <cell r="BV169">
            <v>41662</v>
          </cell>
          <cell r="BW169">
            <v>0</v>
          </cell>
          <cell r="BX169">
            <v>0</v>
          </cell>
          <cell r="BY169">
            <v>41662</v>
          </cell>
          <cell r="BZ169">
            <v>13714</v>
          </cell>
          <cell r="CA169">
            <v>0</v>
          </cell>
          <cell r="CB169">
            <v>0</v>
          </cell>
          <cell r="CC169">
            <v>13714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14413</v>
          </cell>
          <cell r="CI169">
            <v>0</v>
          </cell>
          <cell r="CJ169">
            <v>0</v>
          </cell>
          <cell r="CK169">
            <v>14413</v>
          </cell>
          <cell r="CL169">
            <v>8000</v>
          </cell>
          <cell r="CM169">
            <v>0</v>
          </cell>
          <cell r="CN169">
            <v>0</v>
          </cell>
          <cell r="CO169">
            <v>8000</v>
          </cell>
          <cell r="CP169">
            <v>94</v>
          </cell>
          <cell r="CQ169">
            <v>0</v>
          </cell>
          <cell r="CR169">
            <v>0</v>
          </cell>
          <cell r="CS169">
            <v>94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6369</v>
          </cell>
          <cell r="CY169">
            <v>0</v>
          </cell>
          <cell r="CZ169">
            <v>0</v>
          </cell>
          <cell r="DA169">
            <v>6369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1167</v>
          </cell>
          <cell r="DG169">
            <v>0</v>
          </cell>
          <cell r="DH169">
            <v>0</v>
          </cell>
          <cell r="DI169">
            <v>1167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</row>
        <row r="170">
          <cell r="A170">
            <v>164</v>
          </cell>
          <cell r="B170" t="str">
            <v>E3331</v>
          </cell>
          <cell r="C170" t="str">
            <v>SD</v>
          </cell>
          <cell r="D170" t="str">
            <v>SW</v>
          </cell>
          <cell r="E170" t="str">
            <v>Mendip</v>
          </cell>
          <cell r="F170">
            <v>248460</v>
          </cell>
          <cell r="G170">
            <v>0</v>
          </cell>
          <cell r="H170">
            <v>0</v>
          </cell>
          <cell r="I170">
            <v>248460</v>
          </cell>
          <cell r="J170">
            <v>-203102</v>
          </cell>
          <cell r="K170">
            <v>0</v>
          </cell>
          <cell r="L170">
            <v>0</v>
          </cell>
          <cell r="M170">
            <v>-203102</v>
          </cell>
          <cell r="N170">
            <v>38751</v>
          </cell>
          <cell r="O170">
            <v>0</v>
          </cell>
          <cell r="P170">
            <v>0</v>
          </cell>
          <cell r="Q170">
            <v>38751</v>
          </cell>
          <cell r="R170">
            <v>53786</v>
          </cell>
          <cell r="S170">
            <v>0</v>
          </cell>
          <cell r="T170">
            <v>0</v>
          </cell>
          <cell r="U170">
            <v>53786</v>
          </cell>
          <cell r="V170">
            <v>2842547</v>
          </cell>
          <cell r="W170">
            <v>0</v>
          </cell>
          <cell r="X170">
            <v>0</v>
          </cell>
          <cell r="Y170">
            <v>2842547</v>
          </cell>
          <cell r="Z170">
            <v>148319</v>
          </cell>
          <cell r="AA170">
            <v>0</v>
          </cell>
          <cell r="AB170">
            <v>0</v>
          </cell>
          <cell r="AC170">
            <v>148319</v>
          </cell>
          <cell r="AD170">
            <v>617946</v>
          </cell>
          <cell r="AE170">
            <v>0</v>
          </cell>
          <cell r="AF170">
            <v>0</v>
          </cell>
          <cell r="AG170">
            <v>617946</v>
          </cell>
          <cell r="AH170">
            <v>-2456</v>
          </cell>
          <cell r="AI170">
            <v>0</v>
          </cell>
          <cell r="AJ170">
            <v>0</v>
          </cell>
          <cell r="AK170">
            <v>-2456</v>
          </cell>
          <cell r="AL170">
            <v>2730414</v>
          </cell>
          <cell r="AM170">
            <v>0</v>
          </cell>
          <cell r="AN170">
            <v>0</v>
          </cell>
          <cell r="AO170">
            <v>2730414</v>
          </cell>
          <cell r="AP170">
            <v>23920</v>
          </cell>
          <cell r="AQ170">
            <v>0</v>
          </cell>
          <cell r="AR170">
            <v>0</v>
          </cell>
          <cell r="AS170">
            <v>23920</v>
          </cell>
          <cell r="AT170">
            <v>78413</v>
          </cell>
          <cell r="AU170">
            <v>0</v>
          </cell>
          <cell r="AV170">
            <v>0</v>
          </cell>
          <cell r="AW170">
            <v>78413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41006</v>
          </cell>
          <cell r="BC170">
            <v>0</v>
          </cell>
          <cell r="BD170">
            <v>0</v>
          </cell>
          <cell r="BE170">
            <v>41006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-2165</v>
          </cell>
          <cell r="BO170">
            <v>0</v>
          </cell>
          <cell r="BP170">
            <v>0</v>
          </cell>
          <cell r="BQ170">
            <v>-2165</v>
          </cell>
          <cell r="BR170">
            <v>956054</v>
          </cell>
          <cell r="BS170">
            <v>0</v>
          </cell>
          <cell r="BT170">
            <v>0</v>
          </cell>
          <cell r="BU170">
            <v>956054</v>
          </cell>
          <cell r="BV170">
            <v>-145374</v>
          </cell>
          <cell r="BW170">
            <v>0</v>
          </cell>
          <cell r="BX170">
            <v>0</v>
          </cell>
          <cell r="BY170">
            <v>-145374</v>
          </cell>
          <cell r="BZ170">
            <v>38665</v>
          </cell>
          <cell r="CA170">
            <v>0</v>
          </cell>
          <cell r="CB170">
            <v>0</v>
          </cell>
          <cell r="CC170">
            <v>38665</v>
          </cell>
          <cell r="CD170">
            <v>-585</v>
          </cell>
          <cell r="CE170">
            <v>0</v>
          </cell>
          <cell r="CF170">
            <v>0</v>
          </cell>
          <cell r="CG170">
            <v>-585</v>
          </cell>
          <cell r="CH170">
            <v>21937</v>
          </cell>
          <cell r="CI170">
            <v>0</v>
          </cell>
          <cell r="CJ170">
            <v>0</v>
          </cell>
          <cell r="CK170">
            <v>21937</v>
          </cell>
          <cell r="CL170">
            <v>-4111</v>
          </cell>
          <cell r="CM170">
            <v>0</v>
          </cell>
          <cell r="CN170">
            <v>0</v>
          </cell>
          <cell r="CO170">
            <v>-4111</v>
          </cell>
          <cell r="CP170">
            <v>2651</v>
          </cell>
          <cell r="CQ170">
            <v>0</v>
          </cell>
          <cell r="CR170">
            <v>0</v>
          </cell>
          <cell r="CS170">
            <v>2651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23051</v>
          </cell>
          <cell r="CY170">
            <v>0</v>
          </cell>
          <cell r="CZ170">
            <v>0</v>
          </cell>
          <cell r="DA170">
            <v>23051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19566</v>
          </cell>
          <cell r="DG170">
            <v>0</v>
          </cell>
          <cell r="DH170">
            <v>0</v>
          </cell>
          <cell r="DI170">
            <v>19566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3206</v>
          </cell>
          <cell r="EK170">
            <v>0</v>
          </cell>
          <cell r="EL170">
            <v>0</v>
          </cell>
          <cell r="EM170">
            <v>3206</v>
          </cell>
        </row>
        <row r="171">
          <cell r="A171">
            <v>165</v>
          </cell>
          <cell r="B171" t="str">
            <v>E5044</v>
          </cell>
          <cell r="C171" t="str">
            <v>OLB</v>
          </cell>
          <cell r="D171" t="str">
            <v>L</v>
          </cell>
          <cell r="E171" t="str">
            <v>Merton</v>
          </cell>
          <cell r="F171">
            <v>141292.41</v>
          </cell>
          <cell r="G171">
            <v>0</v>
          </cell>
          <cell r="H171">
            <v>0</v>
          </cell>
          <cell r="I171">
            <v>141292.41</v>
          </cell>
          <cell r="J171">
            <v>-17737</v>
          </cell>
          <cell r="K171">
            <v>0</v>
          </cell>
          <cell r="L171">
            <v>0</v>
          </cell>
          <cell r="M171">
            <v>-17737</v>
          </cell>
          <cell r="N171">
            <v>45886.03</v>
          </cell>
          <cell r="O171">
            <v>0</v>
          </cell>
          <cell r="P171">
            <v>0</v>
          </cell>
          <cell r="Q171">
            <v>45886.03</v>
          </cell>
          <cell r="R171">
            <v>248332.55</v>
          </cell>
          <cell r="S171">
            <v>0</v>
          </cell>
          <cell r="T171">
            <v>0</v>
          </cell>
          <cell r="U171">
            <v>248332.55</v>
          </cell>
          <cell r="V171">
            <v>2671907.9500000002</v>
          </cell>
          <cell r="W171">
            <v>0</v>
          </cell>
          <cell r="X171">
            <v>0</v>
          </cell>
          <cell r="Y171">
            <v>2671907.9500000002</v>
          </cell>
          <cell r="Z171">
            <v>90449.22</v>
          </cell>
          <cell r="AA171">
            <v>0</v>
          </cell>
          <cell r="AB171">
            <v>0</v>
          </cell>
          <cell r="AC171">
            <v>90449.22</v>
          </cell>
          <cell r="AD171">
            <v>1580653.77</v>
          </cell>
          <cell r="AE171">
            <v>0</v>
          </cell>
          <cell r="AF171">
            <v>0</v>
          </cell>
          <cell r="AG171">
            <v>1580653.77</v>
          </cell>
          <cell r="AH171">
            <v>-26670.91</v>
          </cell>
          <cell r="AI171">
            <v>0</v>
          </cell>
          <cell r="AJ171">
            <v>0</v>
          </cell>
          <cell r="AK171">
            <v>-26670.91</v>
          </cell>
          <cell r="AL171">
            <v>4888912.17</v>
          </cell>
          <cell r="AM171">
            <v>0</v>
          </cell>
          <cell r="AN171">
            <v>0</v>
          </cell>
          <cell r="AO171">
            <v>4888912.17</v>
          </cell>
          <cell r="AP171">
            <v>263598.96000000002</v>
          </cell>
          <cell r="AQ171">
            <v>0</v>
          </cell>
          <cell r="AR171">
            <v>0</v>
          </cell>
          <cell r="AS171">
            <v>263598.96000000002</v>
          </cell>
          <cell r="AT171">
            <v>95839.08</v>
          </cell>
          <cell r="AU171">
            <v>0</v>
          </cell>
          <cell r="AV171">
            <v>0</v>
          </cell>
          <cell r="AW171">
            <v>95839.08</v>
          </cell>
          <cell r="AX171">
            <v>-4650.9799999999996</v>
          </cell>
          <cell r="AY171">
            <v>0</v>
          </cell>
          <cell r="AZ171">
            <v>0</v>
          </cell>
          <cell r="BA171">
            <v>-4650.9799999999996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4439.43</v>
          </cell>
          <cell r="BK171">
            <v>0</v>
          </cell>
          <cell r="BL171">
            <v>0</v>
          </cell>
          <cell r="BM171">
            <v>4439.43</v>
          </cell>
          <cell r="BN171">
            <v>13520.03</v>
          </cell>
          <cell r="BO171">
            <v>0</v>
          </cell>
          <cell r="BP171">
            <v>0</v>
          </cell>
          <cell r="BQ171">
            <v>13520.03</v>
          </cell>
          <cell r="BR171">
            <v>1927468.5</v>
          </cell>
          <cell r="BS171">
            <v>0</v>
          </cell>
          <cell r="BT171">
            <v>0</v>
          </cell>
          <cell r="BU171">
            <v>1927468.5</v>
          </cell>
          <cell r="BV171">
            <v>113283.98</v>
          </cell>
          <cell r="BW171">
            <v>0</v>
          </cell>
          <cell r="BX171">
            <v>0</v>
          </cell>
          <cell r="BY171">
            <v>113283.98</v>
          </cell>
          <cell r="BZ171">
            <v>447530.63</v>
          </cell>
          <cell r="CA171">
            <v>0</v>
          </cell>
          <cell r="CB171">
            <v>0</v>
          </cell>
          <cell r="CC171">
            <v>447530.63</v>
          </cell>
          <cell r="CD171">
            <v>-12948.79</v>
          </cell>
          <cell r="CE171">
            <v>0</v>
          </cell>
          <cell r="CF171">
            <v>0</v>
          </cell>
          <cell r="CG171">
            <v>-12948.79</v>
          </cell>
          <cell r="CH171">
            <v>94505.17</v>
          </cell>
          <cell r="CI171">
            <v>0</v>
          </cell>
          <cell r="CJ171">
            <v>0</v>
          </cell>
          <cell r="CK171">
            <v>94505.17</v>
          </cell>
          <cell r="CL171">
            <v>2317.36</v>
          </cell>
          <cell r="CM171">
            <v>0</v>
          </cell>
          <cell r="CN171">
            <v>0</v>
          </cell>
          <cell r="CO171">
            <v>2317.36</v>
          </cell>
          <cell r="CP171">
            <v>183.69</v>
          </cell>
          <cell r="CQ171">
            <v>0</v>
          </cell>
          <cell r="CR171">
            <v>0</v>
          </cell>
          <cell r="CS171">
            <v>183.69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22803.51</v>
          </cell>
          <cell r="EG171">
            <v>0</v>
          </cell>
          <cell r="EH171">
            <v>0</v>
          </cell>
          <cell r="EI171">
            <v>22803.51</v>
          </cell>
          <cell r="EJ171">
            <v>5236.03</v>
          </cell>
          <cell r="EK171">
            <v>0</v>
          </cell>
          <cell r="EL171">
            <v>0</v>
          </cell>
          <cell r="EM171">
            <v>5236.03</v>
          </cell>
        </row>
        <row r="172">
          <cell r="A172">
            <v>166</v>
          </cell>
          <cell r="B172" t="str">
            <v>E1133</v>
          </cell>
          <cell r="C172" t="str">
            <v>SD</v>
          </cell>
          <cell r="D172" t="str">
            <v>SW</v>
          </cell>
          <cell r="E172" t="str">
            <v>Mid Devon</v>
          </cell>
          <cell r="F172">
            <v>133533</v>
          </cell>
          <cell r="G172">
            <v>0</v>
          </cell>
          <cell r="H172">
            <v>0</v>
          </cell>
          <cell r="I172">
            <v>133533</v>
          </cell>
          <cell r="J172">
            <v>-42428</v>
          </cell>
          <cell r="K172">
            <v>0</v>
          </cell>
          <cell r="L172">
            <v>0</v>
          </cell>
          <cell r="M172">
            <v>-42428</v>
          </cell>
          <cell r="N172">
            <v>12696</v>
          </cell>
          <cell r="O172">
            <v>0</v>
          </cell>
          <cell r="P172">
            <v>0</v>
          </cell>
          <cell r="Q172">
            <v>12696</v>
          </cell>
          <cell r="R172">
            <v>532</v>
          </cell>
          <cell r="S172">
            <v>0</v>
          </cell>
          <cell r="T172">
            <v>0</v>
          </cell>
          <cell r="U172">
            <v>532</v>
          </cell>
          <cell r="V172">
            <v>1853639</v>
          </cell>
          <cell r="W172">
            <v>0</v>
          </cell>
          <cell r="X172">
            <v>0</v>
          </cell>
          <cell r="Y172">
            <v>1853639</v>
          </cell>
          <cell r="Z172">
            <v>57563</v>
          </cell>
          <cell r="AA172">
            <v>0</v>
          </cell>
          <cell r="AB172">
            <v>0</v>
          </cell>
          <cell r="AC172">
            <v>57563</v>
          </cell>
          <cell r="AD172">
            <v>301312</v>
          </cell>
          <cell r="AE172">
            <v>0</v>
          </cell>
          <cell r="AF172">
            <v>0</v>
          </cell>
          <cell r="AG172">
            <v>301312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1151702</v>
          </cell>
          <cell r="AM172">
            <v>0</v>
          </cell>
          <cell r="AN172">
            <v>0</v>
          </cell>
          <cell r="AO172">
            <v>1151702</v>
          </cell>
          <cell r="AP172">
            <v>22103</v>
          </cell>
          <cell r="AQ172">
            <v>0</v>
          </cell>
          <cell r="AR172">
            <v>0</v>
          </cell>
          <cell r="AS172">
            <v>22103</v>
          </cell>
          <cell r="AT172">
            <v>23903</v>
          </cell>
          <cell r="AU172">
            <v>0</v>
          </cell>
          <cell r="AV172">
            <v>0</v>
          </cell>
          <cell r="AW172">
            <v>23903</v>
          </cell>
          <cell r="AX172">
            <v>868</v>
          </cell>
          <cell r="AY172">
            <v>0</v>
          </cell>
          <cell r="AZ172">
            <v>0</v>
          </cell>
          <cell r="BA172">
            <v>868</v>
          </cell>
          <cell r="BB172">
            <v>23903</v>
          </cell>
          <cell r="BC172">
            <v>0</v>
          </cell>
          <cell r="BD172">
            <v>0</v>
          </cell>
          <cell r="BE172">
            <v>23903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17190</v>
          </cell>
          <cell r="BK172">
            <v>0</v>
          </cell>
          <cell r="BL172">
            <v>0</v>
          </cell>
          <cell r="BM172">
            <v>17190</v>
          </cell>
          <cell r="BN172">
            <v>897</v>
          </cell>
          <cell r="BO172">
            <v>0</v>
          </cell>
          <cell r="BP172">
            <v>0</v>
          </cell>
          <cell r="BQ172">
            <v>897</v>
          </cell>
          <cell r="BR172">
            <v>555741</v>
          </cell>
          <cell r="BS172">
            <v>0</v>
          </cell>
          <cell r="BT172">
            <v>0</v>
          </cell>
          <cell r="BU172">
            <v>555741</v>
          </cell>
          <cell r="BV172">
            <v>-89151</v>
          </cell>
          <cell r="BW172">
            <v>0</v>
          </cell>
          <cell r="BX172">
            <v>0</v>
          </cell>
          <cell r="BY172">
            <v>-89151</v>
          </cell>
          <cell r="BZ172">
            <v>47349</v>
          </cell>
          <cell r="CA172">
            <v>0</v>
          </cell>
          <cell r="CB172">
            <v>0</v>
          </cell>
          <cell r="CC172">
            <v>47349</v>
          </cell>
          <cell r="CD172">
            <v>278</v>
          </cell>
          <cell r="CE172">
            <v>0</v>
          </cell>
          <cell r="CF172">
            <v>0</v>
          </cell>
          <cell r="CG172">
            <v>278</v>
          </cell>
          <cell r="CH172">
            <v>14220</v>
          </cell>
          <cell r="CI172">
            <v>0</v>
          </cell>
          <cell r="CJ172">
            <v>0</v>
          </cell>
          <cell r="CK172">
            <v>14220</v>
          </cell>
          <cell r="CL172">
            <v>-3322</v>
          </cell>
          <cell r="CM172">
            <v>0</v>
          </cell>
          <cell r="CN172">
            <v>0</v>
          </cell>
          <cell r="CO172">
            <v>-3322</v>
          </cell>
          <cell r="CP172">
            <v>2929</v>
          </cell>
          <cell r="CQ172">
            <v>0</v>
          </cell>
          <cell r="CR172">
            <v>0</v>
          </cell>
          <cell r="CS172">
            <v>2929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7382</v>
          </cell>
          <cell r="CY172">
            <v>0</v>
          </cell>
          <cell r="CZ172">
            <v>0</v>
          </cell>
          <cell r="DA172">
            <v>7382</v>
          </cell>
          <cell r="DB172">
            <v>-7</v>
          </cell>
          <cell r="DC172">
            <v>0</v>
          </cell>
          <cell r="DD172">
            <v>0</v>
          </cell>
          <cell r="DE172">
            <v>-7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12</v>
          </cell>
          <cell r="DO172">
            <v>0</v>
          </cell>
          <cell r="DP172">
            <v>0</v>
          </cell>
          <cell r="DQ172">
            <v>12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6689</v>
          </cell>
          <cell r="EG172">
            <v>0</v>
          </cell>
          <cell r="EH172">
            <v>0</v>
          </cell>
          <cell r="EI172">
            <v>6689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</row>
        <row r="173">
          <cell r="A173">
            <v>167</v>
          </cell>
          <cell r="B173" t="str">
            <v>E3534</v>
          </cell>
          <cell r="C173" t="str">
            <v>SD</v>
          </cell>
          <cell r="D173" t="str">
            <v>E</v>
          </cell>
          <cell r="E173" t="str">
            <v>Mid Suffolk</v>
          </cell>
          <cell r="F173">
            <v>78484.800000000003</v>
          </cell>
          <cell r="G173">
            <v>0</v>
          </cell>
          <cell r="H173">
            <v>0</v>
          </cell>
          <cell r="I173">
            <v>78484.800000000003</v>
          </cell>
          <cell r="J173">
            <v>-120799.29</v>
          </cell>
          <cell r="K173">
            <v>0</v>
          </cell>
          <cell r="L173">
            <v>0</v>
          </cell>
          <cell r="M173">
            <v>-120799.29</v>
          </cell>
          <cell r="N173">
            <v>9053.06</v>
          </cell>
          <cell r="O173">
            <v>0</v>
          </cell>
          <cell r="P173">
            <v>0</v>
          </cell>
          <cell r="Q173">
            <v>9053.06</v>
          </cell>
          <cell r="R173">
            <v>9613.39</v>
          </cell>
          <cell r="S173">
            <v>0</v>
          </cell>
          <cell r="T173">
            <v>0</v>
          </cell>
          <cell r="U173">
            <v>9613.39</v>
          </cell>
          <cell r="V173">
            <v>1794707.73</v>
          </cell>
          <cell r="W173">
            <v>0</v>
          </cell>
          <cell r="X173">
            <v>0</v>
          </cell>
          <cell r="Y173">
            <v>1794707.73</v>
          </cell>
          <cell r="Z173">
            <v>337838.32</v>
          </cell>
          <cell r="AA173">
            <v>0</v>
          </cell>
          <cell r="AB173">
            <v>0</v>
          </cell>
          <cell r="AC173">
            <v>337838.32</v>
          </cell>
          <cell r="AD173">
            <v>381824.49</v>
          </cell>
          <cell r="AE173">
            <v>0</v>
          </cell>
          <cell r="AF173">
            <v>0</v>
          </cell>
          <cell r="AG173">
            <v>381824.49</v>
          </cell>
          <cell r="AH173">
            <v>20824.75</v>
          </cell>
          <cell r="AI173">
            <v>0</v>
          </cell>
          <cell r="AJ173">
            <v>0</v>
          </cell>
          <cell r="AK173">
            <v>20824.75</v>
          </cell>
          <cell r="AL173">
            <v>861766.91</v>
          </cell>
          <cell r="AM173">
            <v>0</v>
          </cell>
          <cell r="AN173">
            <v>0</v>
          </cell>
          <cell r="AO173">
            <v>861766.91</v>
          </cell>
          <cell r="AP173">
            <v>-4683.74</v>
          </cell>
          <cell r="AQ173">
            <v>0</v>
          </cell>
          <cell r="AR173">
            <v>0</v>
          </cell>
          <cell r="AS173">
            <v>-4683.74</v>
          </cell>
          <cell r="AT173">
            <v>36329.17</v>
          </cell>
          <cell r="AU173">
            <v>0</v>
          </cell>
          <cell r="AV173">
            <v>0</v>
          </cell>
          <cell r="AW173">
            <v>36329.17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94075.01</v>
          </cell>
          <cell r="BC173">
            <v>0</v>
          </cell>
          <cell r="BD173">
            <v>0</v>
          </cell>
          <cell r="BE173">
            <v>94075.01</v>
          </cell>
          <cell r="BF173">
            <v>1219.02</v>
          </cell>
          <cell r="BG173">
            <v>0</v>
          </cell>
          <cell r="BH173">
            <v>0</v>
          </cell>
          <cell r="BI173">
            <v>1219.02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-146.13999999999999</v>
          </cell>
          <cell r="BO173">
            <v>0</v>
          </cell>
          <cell r="BP173">
            <v>0</v>
          </cell>
          <cell r="BQ173">
            <v>-146.13999999999999</v>
          </cell>
          <cell r="BR173">
            <v>683998.61</v>
          </cell>
          <cell r="BS173">
            <v>0</v>
          </cell>
          <cell r="BT173">
            <v>0</v>
          </cell>
          <cell r="BU173">
            <v>683998.61</v>
          </cell>
          <cell r="BV173">
            <v>-10931.45</v>
          </cell>
          <cell r="BW173">
            <v>0</v>
          </cell>
          <cell r="BX173">
            <v>0</v>
          </cell>
          <cell r="BY173">
            <v>-10931.45</v>
          </cell>
          <cell r="BZ173">
            <v>155260.79999999999</v>
          </cell>
          <cell r="CA173">
            <v>0</v>
          </cell>
          <cell r="CB173">
            <v>0</v>
          </cell>
          <cell r="CC173">
            <v>155260.79999999999</v>
          </cell>
          <cell r="CD173">
            <v>-416.53</v>
          </cell>
          <cell r="CE173">
            <v>0</v>
          </cell>
          <cell r="CF173">
            <v>0</v>
          </cell>
          <cell r="CG173">
            <v>-416.53</v>
          </cell>
          <cell r="CH173">
            <v>88039.51</v>
          </cell>
          <cell r="CI173">
            <v>0</v>
          </cell>
          <cell r="CJ173">
            <v>0</v>
          </cell>
          <cell r="CK173">
            <v>88039.51</v>
          </cell>
          <cell r="CL173">
            <v>36518.68</v>
          </cell>
          <cell r="CM173">
            <v>0</v>
          </cell>
          <cell r="CN173">
            <v>0</v>
          </cell>
          <cell r="CO173">
            <v>36518.68</v>
          </cell>
          <cell r="CP173">
            <v>6482.38</v>
          </cell>
          <cell r="CQ173">
            <v>0</v>
          </cell>
          <cell r="CR173">
            <v>0</v>
          </cell>
          <cell r="CS173">
            <v>6482.38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94074.7</v>
          </cell>
          <cell r="CY173">
            <v>0</v>
          </cell>
          <cell r="CZ173">
            <v>0</v>
          </cell>
          <cell r="DA173">
            <v>94074.7</v>
          </cell>
          <cell r="DB173">
            <v>1218.98</v>
          </cell>
          <cell r="DC173">
            <v>0</v>
          </cell>
          <cell r="DD173">
            <v>0</v>
          </cell>
          <cell r="DE173">
            <v>1218.98</v>
          </cell>
          <cell r="DF173">
            <v>78765.8</v>
          </cell>
          <cell r="DG173">
            <v>0</v>
          </cell>
          <cell r="DH173">
            <v>0</v>
          </cell>
          <cell r="DI173">
            <v>78765.8</v>
          </cell>
          <cell r="DJ173">
            <v>10724.19</v>
          </cell>
          <cell r="DK173">
            <v>0</v>
          </cell>
          <cell r="DL173">
            <v>0</v>
          </cell>
          <cell r="DM173">
            <v>10724.19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</row>
        <row r="174">
          <cell r="A174">
            <v>168</v>
          </cell>
          <cell r="B174" t="str">
            <v>E3836</v>
          </cell>
          <cell r="C174" t="str">
            <v>SD</v>
          </cell>
          <cell r="D174" t="str">
            <v>SE</v>
          </cell>
          <cell r="E174" t="str">
            <v>Mid Sussex</v>
          </cell>
          <cell r="F174">
            <v>82334</v>
          </cell>
          <cell r="G174">
            <v>0</v>
          </cell>
          <cell r="H174">
            <v>0</v>
          </cell>
          <cell r="I174">
            <v>82334</v>
          </cell>
          <cell r="J174">
            <v>-14656</v>
          </cell>
          <cell r="K174">
            <v>0</v>
          </cell>
          <cell r="L174">
            <v>0</v>
          </cell>
          <cell r="M174">
            <v>-14656</v>
          </cell>
          <cell r="N174">
            <v>32460</v>
          </cell>
          <cell r="O174">
            <v>0</v>
          </cell>
          <cell r="P174">
            <v>0</v>
          </cell>
          <cell r="Q174">
            <v>32460</v>
          </cell>
          <cell r="R174">
            <v>123360</v>
          </cell>
          <cell r="S174">
            <v>0</v>
          </cell>
          <cell r="T174">
            <v>0</v>
          </cell>
          <cell r="U174">
            <v>123360</v>
          </cell>
          <cell r="V174">
            <v>2178707</v>
          </cell>
          <cell r="W174">
            <v>0</v>
          </cell>
          <cell r="X174">
            <v>0</v>
          </cell>
          <cell r="Y174">
            <v>2178707</v>
          </cell>
          <cell r="Z174">
            <v>183452</v>
          </cell>
          <cell r="AA174">
            <v>0</v>
          </cell>
          <cell r="AB174">
            <v>0</v>
          </cell>
          <cell r="AC174">
            <v>183452</v>
          </cell>
          <cell r="AD174">
            <v>800288</v>
          </cell>
          <cell r="AE174">
            <v>0</v>
          </cell>
          <cell r="AF174">
            <v>0</v>
          </cell>
          <cell r="AG174">
            <v>800288</v>
          </cell>
          <cell r="AH174">
            <v>-5952</v>
          </cell>
          <cell r="AI174">
            <v>0</v>
          </cell>
          <cell r="AJ174">
            <v>0</v>
          </cell>
          <cell r="AK174">
            <v>-5952</v>
          </cell>
          <cell r="AL174">
            <v>3902528</v>
          </cell>
          <cell r="AM174">
            <v>0</v>
          </cell>
          <cell r="AN174">
            <v>0</v>
          </cell>
          <cell r="AO174">
            <v>3902528</v>
          </cell>
          <cell r="AP174">
            <v>58221</v>
          </cell>
          <cell r="AQ174">
            <v>0</v>
          </cell>
          <cell r="AR174">
            <v>0</v>
          </cell>
          <cell r="AS174">
            <v>58221</v>
          </cell>
          <cell r="AT174">
            <v>57349</v>
          </cell>
          <cell r="AU174">
            <v>0</v>
          </cell>
          <cell r="AV174">
            <v>0</v>
          </cell>
          <cell r="AW174">
            <v>57349</v>
          </cell>
          <cell r="AX174">
            <v>-2784</v>
          </cell>
          <cell r="AY174">
            <v>0</v>
          </cell>
          <cell r="AZ174">
            <v>0</v>
          </cell>
          <cell r="BA174">
            <v>-2784</v>
          </cell>
          <cell r="BB174">
            <v>5280</v>
          </cell>
          <cell r="BC174">
            <v>0</v>
          </cell>
          <cell r="BD174">
            <v>0</v>
          </cell>
          <cell r="BE174">
            <v>5280</v>
          </cell>
          <cell r="BF174">
            <v>-429</v>
          </cell>
          <cell r="BG174">
            <v>0</v>
          </cell>
          <cell r="BH174">
            <v>0</v>
          </cell>
          <cell r="BI174">
            <v>-429</v>
          </cell>
          <cell r="BJ174">
            <v>52096</v>
          </cell>
          <cell r="BK174">
            <v>0</v>
          </cell>
          <cell r="BL174">
            <v>0</v>
          </cell>
          <cell r="BM174">
            <v>52096</v>
          </cell>
          <cell r="BN174">
            <v>6998</v>
          </cell>
          <cell r="BO174">
            <v>0</v>
          </cell>
          <cell r="BP174">
            <v>0</v>
          </cell>
          <cell r="BQ174">
            <v>6998</v>
          </cell>
          <cell r="BR174">
            <v>1164049</v>
          </cell>
          <cell r="BS174">
            <v>0</v>
          </cell>
          <cell r="BT174">
            <v>0</v>
          </cell>
          <cell r="BU174">
            <v>1164049</v>
          </cell>
          <cell r="BV174">
            <v>114689</v>
          </cell>
          <cell r="BW174">
            <v>0</v>
          </cell>
          <cell r="BX174">
            <v>0</v>
          </cell>
          <cell r="BY174">
            <v>114689</v>
          </cell>
          <cell r="BZ174">
            <v>79673</v>
          </cell>
          <cell r="CA174">
            <v>0</v>
          </cell>
          <cell r="CB174">
            <v>0</v>
          </cell>
          <cell r="CC174">
            <v>79673</v>
          </cell>
          <cell r="CD174">
            <v>-1190</v>
          </cell>
          <cell r="CE174">
            <v>0</v>
          </cell>
          <cell r="CF174">
            <v>0</v>
          </cell>
          <cell r="CG174">
            <v>-1190</v>
          </cell>
          <cell r="CH174">
            <v>35661</v>
          </cell>
          <cell r="CI174">
            <v>0</v>
          </cell>
          <cell r="CJ174">
            <v>0</v>
          </cell>
          <cell r="CK174">
            <v>35661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4385</v>
          </cell>
          <cell r="CQ174">
            <v>0</v>
          </cell>
          <cell r="CR174">
            <v>0</v>
          </cell>
          <cell r="CS174">
            <v>4385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5280</v>
          </cell>
          <cell r="CY174">
            <v>0</v>
          </cell>
          <cell r="CZ174">
            <v>0</v>
          </cell>
          <cell r="DA174">
            <v>5280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10256</v>
          </cell>
          <cell r="EG174">
            <v>0</v>
          </cell>
          <cell r="EH174">
            <v>0</v>
          </cell>
          <cell r="EI174">
            <v>10256</v>
          </cell>
          <cell r="EJ174">
            <v>48</v>
          </cell>
          <cell r="EK174">
            <v>0</v>
          </cell>
          <cell r="EL174">
            <v>0</v>
          </cell>
          <cell r="EM174">
            <v>48</v>
          </cell>
        </row>
        <row r="175">
          <cell r="A175">
            <v>169</v>
          </cell>
          <cell r="B175" t="str">
            <v>E0702</v>
          </cell>
          <cell r="C175" t="str">
            <v>UA</v>
          </cell>
          <cell r="D175" t="str">
            <v>NE</v>
          </cell>
          <cell r="E175" t="str">
            <v>Middlesbrough UA</v>
          </cell>
          <cell r="F175">
            <v>63473.08</v>
          </cell>
          <cell r="G175">
            <v>0</v>
          </cell>
          <cell r="H175">
            <v>0</v>
          </cell>
          <cell r="I175">
            <v>63473.08</v>
          </cell>
          <cell r="J175">
            <v>-110572</v>
          </cell>
          <cell r="K175">
            <v>0</v>
          </cell>
          <cell r="L175">
            <v>0</v>
          </cell>
          <cell r="M175">
            <v>-110572</v>
          </cell>
          <cell r="N175">
            <v>71923</v>
          </cell>
          <cell r="O175">
            <v>0</v>
          </cell>
          <cell r="P175">
            <v>0</v>
          </cell>
          <cell r="Q175">
            <v>71923</v>
          </cell>
          <cell r="R175">
            <v>386545.16</v>
          </cell>
          <cell r="S175">
            <v>0</v>
          </cell>
          <cell r="T175">
            <v>0</v>
          </cell>
          <cell r="U175">
            <v>386545.16</v>
          </cell>
          <cell r="V175">
            <v>2220338.4900000002</v>
          </cell>
          <cell r="W175">
            <v>0</v>
          </cell>
          <cell r="X175">
            <v>0</v>
          </cell>
          <cell r="Y175">
            <v>2220338.4900000002</v>
          </cell>
          <cell r="Z175">
            <v>115006.78</v>
          </cell>
          <cell r="AA175">
            <v>0</v>
          </cell>
          <cell r="AB175">
            <v>0</v>
          </cell>
          <cell r="AC175">
            <v>115006.78</v>
          </cell>
          <cell r="AD175">
            <v>861250.54</v>
          </cell>
          <cell r="AE175">
            <v>0</v>
          </cell>
          <cell r="AF175">
            <v>0</v>
          </cell>
          <cell r="AG175">
            <v>861250.54</v>
          </cell>
          <cell r="AH175">
            <v>-17465.77</v>
          </cell>
          <cell r="AI175">
            <v>0</v>
          </cell>
          <cell r="AJ175">
            <v>0</v>
          </cell>
          <cell r="AK175">
            <v>-17465.77</v>
          </cell>
          <cell r="AL175">
            <v>4448862.5199999996</v>
          </cell>
          <cell r="AM175">
            <v>0</v>
          </cell>
          <cell r="AN175">
            <v>0</v>
          </cell>
          <cell r="AO175">
            <v>4448862.5199999996</v>
          </cell>
          <cell r="AP175">
            <v>-23927.25</v>
          </cell>
          <cell r="AQ175">
            <v>0</v>
          </cell>
          <cell r="AR175">
            <v>0</v>
          </cell>
          <cell r="AS175">
            <v>-23927.25</v>
          </cell>
          <cell r="AT175">
            <v>31383.84</v>
          </cell>
          <cell r="AU175">
            <v>0</v>
          </cell>
          <cell r="AV175">
            <v>0</v>
          </cell>
          <cell r="AW175">
            <v>31383.84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3174.49</v>
          </cell>
          <cell r="BK175">
            <v>0</v>
          </cell>
          <cell r="BL175">
            <v>0</v>
          </cell>
          <cell r="BM175">
            <v>3174.49</v>
          </cell>
          <cell r="BN175">
            <v>10988.94</v>
          </cell>
          <cell r="BO175">
            <v>0</v>
          </cell>
          <cell r="BP175">
            <v>0</v>
          </cell>
          <cell r="BQ175">
            <v>10988.94</v>
          </cell>
          <cell r="BR175">
            <v>3003972.45</v>
          </cell>
          <cell r="BS175">
            <v>0</v>
          </cell>
          <cell r="BT175">
            <v>0</v>
          </cell>
          <cell r="BU175">
            <v>3003972.45</v>
          </cell>
          <cell r="BV175">
            <v>-247082.47</v>
          </cell>
          <cell r="BW175">
            <v>0</v>
          </cell>
          <cell r="BX175">
            <v>0</v>
          </cell>
          <cell r="BY175">
            <v>-247082.47</v>
          </cell>
          <cell r="BZ175">
            <v>5062.4799999999996</v>
          </cell>
          <cell r="CA175">
            <v>0</v>
          </cell>
          <cell r="CB175">
            <v>0</v>
          </cell>
          <cell r="CC175">
            <v>5062.4799999999996</v>
          </cell>
          <cell r="CD175">
            <v>2522.13</v>
          </cell>
          <cell r="CE175">
            <v>0</v>
          </cell>
          <cell r="CF175">
            <v>0</v>
          </cell>
          <cell r="CG175">
            <v>2522.13</v>
          </cell>
          <cell r="CH175">
            <v>43856.25</v>
          </cell>
          <cell r="CI175">
            <v>0</v>
          </cell>
          <cell r="CJ175">
            <v>0</v>
          </cell>
          <cell r="CK175">
            <v>43856.25</v>
          </cell>
          <cell r="CL175">
            <v>1206.68</v>
          </cell>
          <cell r="CM175">
            <v>0</v>
          </cell>
          <cell r="CN175">
            <v>0</v>
          </cell>
          <cell r="CO175">
            <v>1206.68</v>
          </cell>
          <cell r="CP175">
            <v>7505.4</v>
          </cell>
          <cell r="CQ175">
            <v>0</v>
          </cell>
          <cell r="CR175">
            <v>0</v>
          </cell>
          <cell r="CS175">
            <v>7505.4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968847</v>
          </cell>
          <cell r="EG175">
            <v>0</v>
          </cell>
          <cell r="EH175">
            <v>0</v>
          </cell>
          <cell r="EI175">
            <v>968847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</row>
        <row r="176">
          <cell r="A176">
            <v>170</v>
          </cell>
          <cell r="B176" t="str">
            <v>E0401</v>
          </cell>
          <cell r="C176" t="str">
            <v>UA</v>
          </cell>
          <cell r="D176" t="str">
            <v>SE</v>
          </cell>
          <cell r="E176" t="str">
            <v>Milton Keynes UA</v>
          </cell>
          <cell r="F176">
            <v>197854</v>
          </cell>
          <cell r="G176">
            <v>0</v>
          </cell>
          <cell r="H176">
            <v>0</v>
          </cell>
          <cell r="I176">
            <v>197854</v>
          </cell>
          <cell r="J176">
            <v>-360754</v>
          </cell>
          <cell r="K176">
            <v>0</v>
          </cell>
          <cell r="L176">
            <v>0</v>
          </cell>
          <cell r="M176">
            <v>-360754</v>
          </cell>
          <cell r="N176">
            <v>311345</v>
          </cell>
          <cell r="O176">
            <v>0</v>
          </cell>
          <cell r="P176">
            <v>0</v>
          </cell>
          <cell r="Q176">
            <v>311345</v>
          </cell>
          <cell r="R176">
            <v>1471640</v>
          </cell>
          <cell r="S176">
            <v>0</v>
          </cell>
          <cell r="T176">
            <v>0</v>
          </cell>
          <cell r="U176">
            <v>1471640</v>
          </cell>
          <cell r="V176">
            <v>2994068</v>
          </cell>
          <cell r="W176">
            <v>0</v>
          </cell>
          <cell r="X176">
            <v>0</v>
          </cell>
          <cell r="Y176">
            <v>2994068</v>
          </cell>
          <cell r="Z176">
            <v>78517</v>
          </cell>
          <cell r="AA176">
            <v>0</v>
          </cell>
          <cell r="AB176">
            <v>0</v>
          </cell>
          <cell r="AC176">
            <v>78517</v>
          </cell>
          <cell r="AD176">
            <v>3016411</v>
          </cell>
          <cell r="AE176">
            <v>0</v>
          </cell>
          <cell r="AF176">
            <v>0</v>
          </cell>
          <cell r="AG176">
            <v>3016411</v>
          </cell>
          <cell r="AH176">
            <v>29118</v>
          </cell>
          <cell r="AI176">
            <v>0</v>
          </cell>
          <cell r="AJ176">
            <v>0</v>
          </cell>
          <cell r="AK176">
            <v>29118</v>
          </cell>
          <cell r="AL176">
            <v>7713349</v>
          </cell>
          <cell r="AM176">
            <v>0</v>
          </cell>
          <cell r="AN176">
            <v>0</v>
          </cell>
          <cell r="AO176">
            <v>7713349</v>
          </cell>
          <cell r="AP176">
            <v>91599</v>
          </cell>
          <cell r="AQ176">
            <v>0</v>
          </cell>
          <cell r="AR176">
            <v>0</v>
          </cell>
          <cell r="AS176">
            <v>91599</v>
          </cell>
          <cell r="AT176">
            <v>55964</v>
          </cell>
          <cell r="AU176">
            <v>0</v>
          </cell>
          <cell r="AV176">
            <v>0</v>
          </cell>
          <cell r="AW176">
            <v>55964</v>
          </cell>
          <cell r="AX176">
            <v>-6</v>
          </cell>
          <cell r="AY176">
            <v>0</v>
          </cell>
          <cell r="AZ176">
            <v>0</v>
          </cell>
          <cell r="BA176">
            <v>-6</v>
          </cell>
          <cell r="BB176">
            <v>12523</v>
          </cell>
          <cell r="BC176">
            <v>0</v>
          </cell>
          <cell r="BD176">
            <v>0</v>
          </cell>
          <cell r="BE176">
            <v>12523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55701</v>
          </cell>
          <cell r="BK176">
            <v>0</v>
          </cell>
          <cell r="BL176">
            <v>0</v>
          </cell>
          <cell r="BM176">
            <v>55701</v>
          </cell>
          <cell r="BN176">
            <v>-52864</v>
          </cell>
          <cell r="BO176">
            <v>0</v>
          </cell>
          <cell r="BP176">
            <v>0</v>
          </cell>
          <cell r="BQ176">
            <v>-52864</v>
          </cell>
          <cell r="BR176">
            <v>5325112</v>
          </cell>
          <cell r="BS176">
            <v>0</v>
          </cell>
          <cell r="BT176">
            <v>0</v>
          </cell>
          <cell r="BU176">
            <v>5325112</v>
          </cell>
          <cell r="BV176">
            <v>9561</v>
          </cell>
          <cell r="BW176">
            <v>0</v>
          </cell>
          <cell r="BX176">
            <v>0</v>
          </cell>
          <cell r="BY176">
            <v>9561</v>
          </cell>
          <cell r="BZ176">
            <v>442395</v>
          </cell>
          <cell r="CA176">
            <v>0</v>
          </cell>
          <cell r="CB176">
            <v>0</v>
          </cell>
          <cell r="CC176">
            <v>442395</v>
          </cell>
          <cell r="CD176">
            <v>-7378</v>
          </cell>
          <cell r="CE176">
            <v>0</v>
          </cell>
          <cell r="CF176">
            <v>0</v>
          </cell>
          <cell r="CG176">
            <v>-7378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14008</v>
          </cell>
          <cell r="CQ176">
            <v>0</v>
          </cell>
          <cell r="CR176">
            <v>0</v>
          </cell>
          <cell r="CS176">
            <v>14008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35471</v>
          </cell>
          <cell r="DO176">
            <v>0</v>
          </cell>
          <cell r="DP176">
            <v>0</v>
          </cell>
          <cell r="DQ176">
            <v>35471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1109</v>
          </cell>
          <cell r="EG176">
            <v>0</v>
          </cell>
          <cell r="EH176">
            <v>0</v>
          </cell>
          <cell r="EI176">
            <v>1109</v>
          </cell>
          <cell r="EJ176">
            <v>266</v>
          </cell>
          <cell r="EK176">
            <v>0</v>
          </cell>
          <cell r="EL176">
            <v>0</v>
          </cell>
          <cell r="EM176">
            <v>266</v>
          </cell>
        </row>
        <row r="177">
          <cell r="A177">
            <v>171</v>
          </cell>
          <cell r="B177" t="str">
            <v>E3634</v>
          </cell>
          <cell r="C177" t="str">
            <v>SD</v>
          </cell>
          <cell r="D177" t="str">
            <v>SE</v>
          </cell>
          <cell r="E177" t="str">
            <v>Mole Valley</v>
          </cell>
          <cell r="F177">
            <v>32087.02</v>
          </cell>
          <cell r="G177">
            <v>0</v>
          </cell>
          <cell r="H177">
            <v>0</v>
          </cell>
          <cell r="I177">
            <v>32087.02</v>
          </cell>
          <cell r="J177">
            <v>-17254.14</v>
          </cell>
          <cell r="K177">
            <v>0</v>
          </cell>
          <cell r="L177">
            <v>0</v>
          </cell>
          <cell r="M177">
            <v>-17254.14</v>
          </cell>
          <cell r="N177">
            <v>24849.119999999999</v>
          </cell>
          <cell r="O177">
            <v>0</v>
          </cell>
          <cell r="P177">
            <v>0</v>
          </cell>
          <cell r="Q177">
            <v>24849.119999999999</v>
          </cell>
          <cell r="R177">
            <v>124763.38</v>
          </cell>
          <cell r="S177">
            <v>0</v>
          </cell>
          <cell r="T177">
            <v>0</v>
          </cell>
          <cell r="U177">
            <v>124763.38</v>
          </cell>
          <cell r="V177">
            <v>1682806.3</v>
          </cell>
          <cell r="W177">
            <v>0</v>
          </cell>
          <cell r="X177">
            <v>0</v>
          </cell>
          <cell r="Y177">
            <v>1682806.3</v>
          </cell>
          <cell r="Z177">
            <v>142185.66</v>
          </cell>
          <cell r="AA177">
            <v>0</v>
          </cell>
          <cell r="AB177">
            <v>0</v>
          </cell>
          <cell r="AC177">
            <v>142185.66</v>
          </cell>
          <cell r="AD177">
            <v>691617.98</v>
          </cell>
          <cell r="AE177">
            <v>0</v>
          </cell>
          <cell r="AF177">
            <v>0</v>
          </cell>
          <cell r="AG177">
            <v>691617.98</v>
          </cell>
          <cell r="AH177">
            <v>-12130.78</v>
          </cell>
          <cell r="AI177">
            <v>0</v>
          </cell>
          <cell r="AJ177">
            <v>0</v>
          </cell>
          <cell r="AK177">
            <v>-12130.78</v>
          </cell>
          <cell r="AL177">
            <v>1955923.26</v>
          </cell>
          <cell r="AM177">
            <v>0</v>
          </cell>
          <cell r="AN177">
            <v>0</v>
          </cell>
          <cell r="AO177">
            <v>1955923.26</v>
          </cell>
          <cell r="AP177">
            <v>-833.75</v>
          </cell>
          <cell r="AQ177">
            <v>0</v>
          </cell>
          <cell r="AR177">
            <v>0</v>
          </cell>
          <cell r="AS177">
            <v>-833.75</v>
          </cell>
          <cell r="AT177">
            <v>32451.89</v>
          </cell>
          <cell r="AU177">
            <v>0</v>
          </cell>
          <cell r="AV177">
            <v>0</v>
          </cell>
          <cell r="AW177">
            <v>32451.89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11162.7</v>
          </cell>
          <cell r="BC177">
            <v>0</v>
          </cell>
          <cell r="BD177">
            <v>0</v>
          </cell>
          <cell r="BE177">
            <v>11162.7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55936.27</v>
          </cell>
          <cell r="BK177">
            <v>0</v>
          </cell>
          <cell r="BL177">
            <v>0</v>
          </cell>
          <cell r="BM177">
            <v>55936.27</v>
          </cell>
          <cell r="BN177">
            <v>-6005.26</v>
          </cell>
          <cell r="BO177">
            <v>0</v>
          </cell>
          <cell r="BP177">
            <v>0</v>
          </cell>
          <cell r="BQ177">
            <v>-6005.26</v>
          </cell>
          <cell r="BR177">
            <v>966466.47</v>
          </cell>
          <cell r="BS177">
            <v>0</v>
          </cell>
          <cell r="BT177">
            <v>0</v>
          </cell>
          <cell r="BU177">
            <v>966466.47</v>
          </cell>
          <cell r="BV177">
            <v>35562.199999999997</v>
          </cell>
          <cell r="BW177">
            <v>0</v>
          </cell>
          <cell r="BX177">
            <v>0</v>
          </cell>
          <cell r="BY177">
            <v>35562.199999999997</v>
          </cell>
          <cell r="BZ177">
            <v>21085.93</v>
          </cell>
          <cell r="CA177">
            <v>0</v>
          </cell>
          <cell r="CB177">
            <v>0</v>
          </cell>
          <cell r="CC177">
            <v>21085.93</v>
          </cell>
          <cell r="CD177">
            <v>1580.97</v>
          </cell>
          <cell r="CE177">
            <v>0</v>
          </cell>
          <cell r="CF177">
            <v>0</v>
          </cell>
          <cell r="CG177">
            <v>1580.97</v>
          </cell>
          <cell r="CH177">
            <v>10105.76</v>
          </cell>
          <cell r="CI177">
            <v>0</v>
          </cell>
          <cell r="CJ177">
            <v>0</v>
          </cell>
          <cell r="CK177">
            <v>10105.76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1705.93</v>
          </cell>
          <cell r="CQ177">
            <v>0</v>
          </cell>
          <cell r="CR177">
            <v>0</v>
          </cell>
          <cell r="CS177">
            <v>1705.93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9867.4500000000007</v>
          </cell>
          <cell r="CY177">
            <v>0</v>
          </cell>
          <cell r="CZ177">
            <v>0</v>
          </cell>
          <cell r="DA177">
            <v>9867.4500000000007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27109.81</v>
          </cell>
          <cell r="DG177">
            <v>0</v>
          </cell>
          <cell r="DH177">
            <v>0</v>
          </cell>
          <cell r="DI177">
            <v>27109.81</v>
          </cell>
          <cell r="DJ177">
            <v>6187.5</v>
          </cell>
          <cell r="DK177">
            <v>0</v>
          </cell>
          <cell r="DL177">
            <v>0</v>
          </cell>
          <cell r="DM177">
            <v>6187.5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</row>
        <row r="178">
          <cell r="A178">
            <v>172</v>
          </cell>
          <cell r="B178" t="str">
            <v>E1738</v>
          </cell>
          <cell r="C178" t="str">
            <v>SD</v>
          </cell>
          <cell r="D178" t="str">
            <v>SE</v>
          </cell>
          <cell r="E178" t="str">
            <v>New Forest</v>
          </cell>
          <cell r="F178">
            <v>1512948</v>
          </cell>
          <cell r="G178">
            <v>0</v>
          </cell>
          <cell r="H178">
            <v>0</v>
          </cell>
          <cell r="I178">
            <v>1512948</v>
          </cell>
          <cell r="J178">
            <v>-208197</v>
          </cell>
          <cell r="K178">
            <v>0</v>
          </cell>
          <cell r="L178">
            <v>0</v>
          </cell>
          <cell r="M178">
            <v>-208197</v>
          </cell>
          <cell r="N178">
            <v>81993</v>
          </cell>
          <cell r="O178">
            <v>0</v>
          </cell>
          <cell r="P178">
            <v>0</v>
          </cell>
          <cell r="Q178">
            <v>81993</v>
          </cell>
          <cell r="R178">
            <v>64213</v>
          </cell>
          <cell r="S178">
            <v>0</v>
          </cell>
          <cell r="T178">
            <v>0</v>
          </cell>
          <cell r="U178">
            <v>64213</v>
          </cell>
          <cell r="V178">
            <v>3995061</v>
          </cell>
          <cell r="W178">
            <v>0</v>
          </cell>
          <cell r="X178">
            <v>0</v>
          </cell>
          <cell r="Y178">
            <v>3995061</v>
          </cell>
          <cell r="Z178">
            <v>110074</v>
          </cell>
          <cell r="AA178">
            <v>0</v>
          </cell>
          <cell r="AB178">
            <v>0</v>
          </cell>
          <cell r="AC178">
            <v>110074</v>
          </cell>
          <cell r="AD178">
            <v>1188390</v>
          </cell>
          <cell r="AE178">
            <v>0</v>
          </cell>
          <cell r="AF178">
            <v>0</v>
          </cell>
          <cell r="AG178">
            <v>1188390</v>
          </cell>
          <cell r="AH178">
            <v>-26403</v>
          </cell>
          <cell r="AI178">
            <v>0</v>
          </cell>
          <cell r="AJ178">
            <v>0</v>
          </cell>
          <cell r="AK178">
            <v>-26403</v>
          </cell>
          <cell r="AL178">
            <v>3068843</v>
          </cell>
          <cell r="AM178">
            <v>0</v>
          </cell>
          <cell r="AN178">
            <v>0</v>
          </cell>
          <cell r="AO178">
            <v>3068843</v>
          </cell>
          <cell r="AP178">
            <v>62612</v>
          </cell>
          <cell r="AQ178">
            <v>0</v>
          </cell>
          <cell r="AR178">
            <v>0</v>
          </cell>
          <cell r="AS178">
            <v>62612</v>
          </cell>
          <cell r="AT178">
            <v>125948</v>
          </cell>
          <cell r="AU178">
            <v>0</v>
          </cell>
          <cell r="AV178">
            <v>0</v>
          </cell>
          <cell r="AW178">
            <v>125948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19000</v>
          </cell>
          <cell r="BC178">
            <v>0</v>
          </cell>
          <cell r="BD178">
            <v>0</v>
          </cell>
          <cell r="BE178">
            <v>19000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298968</v>
          </cell>
          <cell r="BK178">
            <v>0</v>
          </cell>
          <cell r="BL178">
            <v>0</v>
          </cell>
          <cell r="BM178">
            <v>298968</v>
          </cell>
          <cell r="BN178">
            <v>-2368</v>
          </cell>
          <cell r="BO178">
            <v>0</v>
          </cell>
          <cell r="BP178">
            <v>0</v>
          </cell>
          <cell r="BQ178">
            <v>-2368</v>
          </cell>
          <cell r="BR178">
            <v>1529461</v>
          </cell>
          <cell r="BS178">
            <v>0</v>
          </cell>
          <cell r="BT178">
            <v>0</v>
          </cell>
          <cell r="BU178">
            <v>1529461</v>
          </cell>
          <cell r="BV178">
            <v>38510</v>
          </cell>
          <cell r="BW178">
            <v>0</v>
          </cell>
          <cell r="BX178">
            <v>0</v>
          </cell>
          <cell r="BY178">
            <v>38510</v>
          </cell>
          <cell r="BZ178">
            <v>94285</v>
          </cell>
          <cell r="CA178">
            <v>0</v>
          </cell>
          <cell r="CB178">
            <v>0</v>
          </cell>
          <cell r="CC178">
            <v>94285</v>
          </cell>
          <cell r="CD178">
            <v>1228</v>
          </cell>
          <cell r="CE178">
            <v>0</v>
          </cell>
          <cell r="CF178">
            <v>0</v>
          </cell>
          <cell r="CG178">
            <v>1228</v>
          </cell>
          <cell r="CH178">
            <v>82592</v>
          </cell>
          <cell r="CI178">
            <v>0</v>
          </cell>
          <cell r="CJ178">
            <v>0</v>
          </cell>
          <cell r="CK178">
            <v>82592</v>
          </cell>
          <cell r="CL178">
            <v>-7</v>
          </cell>
          <cell r="CM178">
            <v>0</v>
          </cell>
          <cell r="CN178">
            <v>0</v>
          </cell>
          <cell r="CO178">
            <v>-7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9048</v>
          </cell>
          <cell r="CY178">
            <v>0</v>
          </cell>
          <cell r="CZ178">
            <v>0</v>
          </cell>
          <cell r="DA178">
            <v>9048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5198</v>
          </cell>
          <cell r="DG178">
            <v>0</v>
          </cell>
          <cell r="DH178">
            <v>0</v>
          </cell>
          <cell r="DI178">
            <v>5198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14701</v>
          </cell>
          <cell r="EC178">
            <v>0</v>
          </cell>
          <cell r="ED178">
            <v>0</v>
          </cell>
          <cell r="EE178">
            <v>14701</v>
          </cell>
          <cell r="EF178">
            <v>2428</v>
          </cell>
          <cell r="EG178">
            <v>0</v>
          </cell>
          <cell r="EH178">
            <v>0</v>
          </cell>
          <cell r="EI178">
            <v>2428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</row>
        <row r="179">
          <cell r="A179">
            <v>173</v>
          </cell>
          <cell r="B179" t="str">
            <v>E3036</v>
          </cell>
          <cell r="C179" t="str">
            <v>SD</v>
          </cell>
          <cell r="D179" t="str">
            <v>EM</v>
          </cell>
          <cell r="E179" t="str">
            <v>Newark &amp; Sherwood</v>
          </cell>
          <cell r="F179">
            <v>79240</v>
          </cell>
          <cell r="G179">
            <v>0</v>
          </cell>
          <cell r="H179">
            <v>0</v>
          </cell>
          <cell r="I179">
            <v>79240</v>
          </cell>
          <cell r="J179">
            <v>-18518</v>
          </cell>
          <cell r="K179">
            <v>0</v>
          </cell>
          <cell r="L179">
            <v>0</v>
          </cell>
          <cell r="M179">
            <v>-18518</v>
          </cell>
          <cell r="N179">
            <v>131670</v>
          </cell>
          <cell r="O179">
            <v>0</v>
          </cell>
          <cell r="P179">
            <v>0</v>
          </cell>
          <cell r="Q179">
            <v>131670</v>
          </cell>
          <cell r="R179">
            <v>45626</v>
          </cell>
          <cell r="S179">
            <v>0</v>
          </cell>
          <cell r="T179">
            <v>0</v>
          </cell>
          <cell r="U179">
            <v>45626</v>
          </cell>
          <cell r="V179">
            <v>2267208</v>
          </cell>
          <cell r="W179">
            <v>0</v>
          </cell>
          <cell r="X179">
            <v>0</v>
          </cell>
          <cell r="Y179">
            <v>2267208</v>
          </cell>
          <cell r="Z179">
            <v>86059</v>
          </cell>
          <cell r="AA179">
            <v>0</v>
          </cell>
          <cell r="AB179">
            <v>0</v>
          </cell>
          <cell r="AC179">
            <v>86059</v>
          </cell>
          <cell r="AD179">
            <v>710246</v>
          </cell>
          <cell r="AE179">
            <v>0</v>
          </cell>
          <cell r="AF179">
            <v>0</v>
          </cell>
          <cell r="AG179">
            <v>710246</v>
          </cell>
          <cell r="AH179">
            <v>3569</v>
          </cell>
          <cell r="AI179">
            <v>0</v>
          </cell>
          <cell r="AJ179">
            <v>0</v>
          </cell>
          <cell r="AK179">
            <v>3569</v>
          </cell>
          <cell r="AL179">
            <v>1480052</v>
          </cell>
          <cell r="AM179">
            <v>0</v>
          </cell>
          <cell r="AN179">
            <v>0</v>
          </cell>
          <cell r="AO179">
            <v>1480052</v>
          </cell>
          <cell r="AP179">
            <v>-15180</v>
          </cell>
          <cell r="AQ179">
            <v>0</v>
          </cell>
          <cell r="AR179">
            <v>0</v>
          </cell>
          <cell r="AS179">
            <v>-15180</v>
          </cell>
          <cell r="AT179">
            <v>84108</v>
          </cell>
          <cell r="AU179">
            <v>0</v>
          </cell>
          <cell r="AV179">
            <v>0</v>
          </cell>
          <cell r="AW179">
            <v>84108</v>
          </cell>
          <cell r="AX179">
            <v>3784</v>
          </cell>
          <cell r="AY179">
            <v>0</v>
          </cell>
          <cell r="AZ179">
            <v>0</v>
          </cell>
          <cell r="BA179">
            <v>3784</v>
          </cell>
          <cell r="BB179">
            <v>25437</v>
          </cell>
          <cell r="BC179">
            <v>0</v>
          </cell>
          <cell r="BD179">
            <v>0</v>
          </cell>
          <cell r="BE179">
            <v>25437</v>
          </cell>
          <cell r="BF179">
            <v>-2</v>
          </cell>
          <cell r="BG179">
            <v>0</v>
          </cell>
          <cell r="BH179">
            <v>0</v>
          </cell>
          <cell r="BI179">
            <v>-2</v>
          </cell>
          <cell r="BJ179">
            <v>11056</v>
          </cell>
          <cell r="BK179">
            <v>0</v>
          </cell>
          <cell r="BL179">
            <v>0</v>
          </cell>
          <cell r="BM179">
            <v>11056</v>
          </cell>
          <cell r="BN179">
            <v>901</v>
          </cell>
          <cell r="BO179">
            <v>0</v>
          </cell>
          <cell r="BP179">
            <v>0</v>
          </cell>
          <cell r="BQ179">
            <v>901</v>
          </cell>
          <cell r="BR179">
            <v>946661</v>
          </cell>
          <cell r="BS179">
            <v>0</v>
          </cell>
          <cell r="BT179">
            <v>0</v>
          </cell>
          <cell r="BU179">
            <v>946661</v>
          </cell>
          <cell r="BV179">
            <v>19955</v>
          </cell>
          <cell r="BW179">
            <v>0</v>
          </cell>
          <cell r="BX179">
            <v>0</v>
          </cell>
          <cell r="BY179">
            <v>19955</v>
          </cell>
          <cell r="BZ179">
            <v>44971</v>
          </cell>
          <cell r="CA179">
            <v>0</v>
          </cell>
          <cell r="CB179">
            <v>0</v>
          </cell>
          <cell r="CC179">
            <v>44971</v>
          </cell>
          <cell r="CD179">
            <v>64</v>
          </cell>
          <cell r="CE179">
            <v>0</v>
          </cell>
          <cell r="CF179">
            <v>0</v>
          </cell>
          <cell r="CG179">
            <v>64</v>
          </cell>
          <cell r="CH179">
            <v>25157</v>
          </cell>
          <cell r="CI179">
            <v>0</v>
          </cell>
          <cell r="CJ179">
            <v>0</v>
          </cell>
          <cell r="CK179">
            <v>25157</v>
          </cell>
          <cell r="CL179">
            <v>-1925</v>
          </cell>
          <cell r="CM179">
            <v>0</v>
          </cell>
          <cell r="CN179">
            <v>0</v>
          </cell>
          <cell r="CO179">
            <v>-1925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4585</v>
          </cell>
          <cell r="CY179">
            <v>0</v>
          </cell>
          <cell r="CZ179">
            <v>0</v>
          </cell>
          <cell r="DA179">
            <v>4585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17247</v>
          </cell>
          <cell r="EG179">
            <v>0</v>
          </cell>
          <cell r="EH179">
            <v>0</v>
          </cell>
          <cell r="EI179">
            <v>17247</v>
          </cell>
          <cell r="EJ179">
            <v>-847</v>
          </cell>
          <cell r="EK179">
            <v>0</v>
          </cell>
          <cell r="EL179">
            <v>0</v>
          </cell>
          <cell r="EM179">
            <v>-847</v>
          </cell>
        </row>
        <row r="180">
          <cell r="A180">
            <v>174</v>
          </cell>
          <cell r="B180" t="str">
            <v>E4502</v>
          </cell>
          <cell r="C180" t="str">
            <v>Met</v>
          </cell>
          <cell r="D180" t="str">
            <v>NE</v>
          </cell>
          <cell r="E180" t="str">
            <v>Newcastle upon Tyne</v>
          </cell>
          <cell r="F180">
            <v>271073</v>
          </cell>
          <cell r="G180">
            <v>5370</v>
          </cell>
          <cell r="H180">
            <v>0</v>
          </cell>
          <cell r="I180">
            <v>276443</v>
          </cell>
          <cell r="J180">
            <v>135125</v>
          </cell>
          <cell r="K180">
            <v>0</v>
          </cell>
          <cell r="L180">
            <v>0</v>
          </cell>
          <cell r="M180">
            <v>135125</v>
          </cell>
          <cell r="N180">
            <v>136129</v>
          </cell>
          <cell r="O180">
            <v>7009</v>
          </cell>
          <cell r="P180">
            <v>0</v>
          </cell>
          <cell r="Q180">
            <v>143138</v>
          </cell>
          <cell r="R180">
            <v>381143</v>
          </cell>
          <cell r="S180">
            <v>0</v>
          </cell>
          <cell r="T180">
            <v>0</v>
          </cell>
          <cell r="U180">
            <v>381143</v>
          </cell>
          <cell r="V180">
            <v>4513339</v>
          </cell>
          <cell r="W180">
            <v>14634</v>
          </cell>
          <cell r="X180">
            <v>0</v>
          </cell>
          <cell r="Y180">
            <v>4527973</v>
          </cell>
          <cell r="Z180">
            <v>244514</v>
          </cell>
          <cell r="AA180">
            <v>0</v>
          </cell>
          <cell r="AB180">
            <v>0</v>
          </cell>
          <cell r="AC180">
            <v>244514</v>
          </cell>
          <cell r="AD180">
            <v>2926256</v>
          </cell>
          <cell r="AE180">
            <v>155023</v>
          </cell>
          <cell r="AF180">
            <v>0</v>
          </cell>
          <cell r="AG180">
            <v>3081279</v>
          </cell>
          <cell r="AH180">
            <v>69092</v>
          </cell>
          <cell r="AI180">
            <v>0</v>
          </cell>
          <cell r="AJ180">
            <v>0</v>
          </cell>
          <cell r="AK180">
            <v>69092</v>
          </cell>
          <cell r="AL180">
            <v>11698519</v>
          </cell>
          <cell r="AM180">
            <v>413460</v>
          </cell>
          <cell r="AN180">
            <v>0</v>
          </cell>
          <cell r="AO180">
            <v>12111979</v>
          </cell>
          <cell r="AP180">
            <v>-282883</v>
          </cell>
          <cell r="AQ180">
            <v>0</v>
          </cell>
          <cell r="AR180">
            <v>0</v>
          </cell>
          <cell r="AS180">
            <v>-282883</v>
          </cell>
          <cell r="AT180">
            <v>122009</v>
          </cell>
          <cell r="AU180">
            <v>0</v>
          </cell>
          <cell r="AV180">
            <v>0</v>
          </cell>
          <cell r="AW180">
            <v>122009</v>
          </cell>
          <cell r="AX180">
            <v>-800</v>
          </cell>
          <cell r="AY180">
            <v>0</v>
          </cell>
          <cell r="AZ180">
            <v>0</v>
          </cell>
          <cell r="BA180">
            <v>-800</v>
          </cell>
          <cell r="BB180">
            <v>2107.73</v>
          </cell>
          <cell r="BC180">
            <v>0</v>
          </cell>
          <cell r="BD180">
            <v>0</v>
          </cell>
          <cell r="BE180">
            <v>2107.73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1117</v>
          </cell>
          <cell r="BK180">
            <v>85707</v>
          </cell>
          <cell r="BL180">
            <v>0</v>
          </cell>
          <cell r="BM180">
            <v>86824</v>
          </cell>
          <cell r="BN180">
            <v>-6307</v>
          </cell>
          <cell r="BO180">
            <v>0</v>
          </cell>
          <cell r="BP180">
            <v>0</v>
          </cell>
          <cell r="BQ180">
            <v>-6307</v>
          </cell>
          <cell r="BR180">
            <v>8788807</v>
          </cell>
          <cell r="BS180">
            <v>956878</v>
          </cell>
          <cell r="BT180">
            <v>53140</v>
          </cell>
          <cell r="BU180">
            <v>9798825</v>
          </cell>
          <cell r="BV180">
            <v>-183837</v>
          </cell>
          <cell r="BW180">
            <v>0</v>
          </cell>
          <cell r="BX180">
            <v>0</v>
          </cell>
          <cell r="BY180">
            <v>-183837</v>
          </cell>
          <cell r="BZ180">
            <v>247591</v>
          </cell>
          <cell r="CA180">
            <v>0</v>
          </cell>
          <cell r="CB180">
            <v>0</v>
          </cell>
          <cell r="CC180">
            <v>247591</v>
          </cell>
          <cell r="CD180">
            <v>-71295</v>
          </cell>
          <cell r="CE180">
            <v>0</v>
          </cell>
          <cell r="CF180">
            <v>0</v>
          </cell>
          <cell r="CG180">
            <v>-71295</v>
          </cell>
          <cell r="CH180">
            <v>426740</v>
          </cell>
          <cell r="CI180">
            <v>0</v>
          </cell>
          <cell r="CJ180">
            <v>0</v>
          </cell>
          <cell r="CK180">
            <v>426740</v>
          </cell>
          <cell r="CL180">
            <v>2158</v>
          </cell>
          <cell r="CM180">
            <v>0</v>
          </cell>
          <cell r="CN180">
            <v>0</v>
          </cell>
          <cell r="CO180">
            <v>2158</v>
          </cell>
          <cell r="CP180">
            <v>19960</v>
          </cell>
          <cell r="CQ180">
            <v>0</v>
          </cell>
          <cell r="CR180">
            <v>0</v>
          </cell>
          <cell r="CS180">
            <v>19960</v>
          </cell>
          <cell r="CT180">
            <v>5089</v>
          </cell>
          <cell r="CU180">
            <v>0</v>
          </cell>
          <cell r="CV180">
            <v>0</v>
          </cell>
          <cell r="CW180">
            <v>5089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3588</v>
          </cell>
          <cell r="EG180">
            <v>0</v>
          </cell>
          <cell r="EH180">
            <v>0</v>
          </cell>
          <cell r="EI180">
            <v>3588</v>
          </cell>
          <cell r="EJ180">
            <v>9710</v>
          </cell>
          <cell r="EK180">
            <v>0</v>
          </cell>
          <cell r="EL180">
            <v>0</v>
          </cell>
          <cell r="EM180">
            <v>9710</v>
          </cell>
        </row>
        <row r="181">
          <cell r="A181">
            <v>175</v>
          </cell>
          <cell r="B181" t="str">
            <v>E3434</v>
          </cell>
          <cell r="C181" t="str">
            <v>SD</v>
          </cell>
          <cell r="D181" t="str">
            <v>WM</v>
          </cell>
          <cell r="E181" t="str">
            <v>Newcastle-under-Lyme</v>
          </cell>
          <cell r="F181">
            <v>73581.66</v>
          </cell>
          <cell r="G181">
            <v>0</v>
          </cell>
          <cell r="H181">
            <v>0</v>
          </cell>
          <cell r="I181">
            <v>73581.66</v>
          </cell>
          <cell r="J181">
            <v>-215.58</v>
          </cell>
          <cell r="K181">
            <v>0</v>
          </cell>
          <cell r="L181">
            <v>0</v>
          </cell>
          <cell r="M181">
            <v>-215.58</v>
          </cell>
          <cell r="N181">
            <v>29285.119999999999</v>
          </cell>
          <cell r="O181">
            <v>0</v>
          </cell>
          <cell r="P181">
            <v>0</v>
          </cell>
          <cell r="Q181">
            <v>29285.119999999999</v>
          </cell>
          <cell r="R181">
            <v>-32234.73</v>
          </cell>
          <cell r="S181">
            <v>0</v>
          </cell>
          <cell r="T181">
            <v>0</v>
          </cell>
          <cell r="U181">
            <v>-32234.73</v>
          </cell>
          <cell r="V181">
            <v>2057450.85</v>
          </cell>
          <cell r="W181">
            <v>0</v>
          </cell>
          <cell r="X181">
            <v>0</v>
          </cell>
          <cell r="Y181">
            <v>2057450.85</v>
          </cell>
          <cell r="Z181">
            <v>169634.08</v>
          </cell>
          <cell r="AA181">
            <v>0</v>
          </cell>
          <cell r="AB181">
            <v>0</v>
          </cell>
          <cell r="AC181">
            <v>169634.08</v>
          </cell>
          <cell r="AD181">
            <v>635780.61</v>
          </cell>
          <cell r="AE181">
            <v>0</v>
          </cell>
          <cell r="AF181">
            <v>0</v>
          </cell>
          <cell r="AG181">
            <v>635780.61</v>
          </cell>
          <cell r="AH181">
            <v>33228.43</v>
          </cell>
          <cell r="AI181">
            <v>0</v>
          </cell>
          <cell r="AJ181">
            <v>0</v>
          </cell>
          <cell r="AK181">
            <v>33228.43</v>
          </cell>
          <cell r="AL181">
            <v>2295257.89</v>
          </cell>
          <cell r="AM181">
            <v>0</v>
          </cell>
          <cell r="AN181">
            <v>0</v>
          </cell>
          <cell r="AO181">
            <v>2295257.89</v>
          </cell>
          <cell r="AP181">
            <v>92312.56</v>
          </cell>
          <cell r="AQ181">
            <v>0</v>
          </cell>
          <cell r="AR181">
            <v>0</v>
          </cell>
          <cell r="AS181">
            <v>92312.56</v>
          </cell>
          <cell r="AT181">
            <v>14111.16</v>
          </cell>
          <cell r="AU181">
            <v>0</v>
          </cell>
          <cell r="AV181">
            <v>0</v>
          </cell>
          <cell r="AW181">
            <v>14111.16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15202.21</v>
          </cell>
          <cell r="BC181">
            <v>0</v>
          </cell>
          <cell r="BD181">
            <v>0</v>
          </cell>
          <cell r="BE181">
            <v>15202.21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334308.57</v>
          </cell>
          <cell r="BK181">
            <v>0</v>
          </cell>
          <cell r="BL181">
            <v>0</v>
          </cell>
          <cell r="BM181">
            <v>334308.57</v>
          </cell>
          <cell r="BN181">
            <v>96208.15</v>
          </cell>
          <cell r="BO181">
            <v>0</v>
          </cell>
          <cell r="BP181">
            <v>0</v>
          </cell>
          <cell r="BQ181">
            <v>96208.15</v>
          </cell>
          <cell r="BR181">
            <v>1047886.2</v>
          </cell>
          <cell r="BS181">
            <v>0</v>
          </cell>
          <cell r="BT181">
            <v>0</v>
          </cell>
          <cell r="BU181">
            <v>1047886.2</v>
          </cell>
          <cell r="BV181">
            <v>19788.25</v>
          </cell>
          <cell r="BW181">
            <v>0</v>
          </cell>
          <cell r="BX181">
            <v>0</v>
          </cell>
          <cell r="BY181">
            <v>19788.25</v>
          </cell>
          <cell r="BZ181">
            <v>24564.54</v>
          </cell>
          <cell r="CA181">
            <v>0</v>
          </cell>
          <cell r="CB181">
            <v>0</v>
          </cell>
          <cell r="CC181">
            <v>24564.54</v>
          </cell>
          <cell r="CD181">
            <v>-897.68</v>
          </cell>
          <cell r="CE181">
            <v>0</v>
          </cell>
          <cell r="CF181">
            <v>0</v>
          </cell>
          <cell r="CG181">
            <v>-897.68</v>
          </cell>
          <cell r="CH181">
            <v>73637.320000000007</v>
          </cell>
          <cell r="CI181">
            <v>0</v>
          </cell>
          <cell r="CJ181">
            <v>0</v>
          </cell>
          <cell r="CK181">
            <v>73637.320000000007</v>
          </cell>
          <cell r="CL181">
            <v>720</v>
          </cell>
          <cell r="CM181">
            <v>0</v>
          </cell>
          <cell r="CN181">
            <v>0</v>
          </cell>
          <cell r="CO181">
            <v>720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</row>
        <row r="182">
          <cell r="A182">
            <v>176</v>
          </cell>
          <cell r="B182" t="str">
            <v>E5045</v>
          </cell>
          <cell r="C182" t="str">
            <v>OLB</v>
          </cell>
          <cell r="D182" t="str">
            <v>L</v>
          </cell>
          <cell r="E182" t="str">
            <v>Newham</v>
          </cell>
          <cell r="F182">
            <v>1323133</v>
          </cell>
          <cell r="G182">
            <v>0</v>
          </cell>
          <cell r="H182">
            <v>394</v>
          </cell>
          <cell r="I182">
            <v>1323527</v>
          </cell>
          <cell r="J182">
            <v>-574471</v>
          </cell>
          <cell r="K182">
            <v>0</v>
          </cell>
          <cell r="L182">
            <v>0</v>
          </cell>
          <cell r="M182">
            <v>-574471</v>
          </cell>
          <cell r="N182">
            <v>177018</v>
          </cell>
          <cell r="O182">
            <v>0</v>
          </cell>
          <cell r="P182">
            <v>0</v>
          </cell>
          <cell r="Q182">
            <v>177018</v>
          </cell>
          <cell r="R182">
            <v>186410</v>
          </cell>
          <cell r="S182">
            <v>0</v>
          </cell>
          <cell r="T182">
            <v>0</v>
          </cell>
          <cell r="U182">
            <v>186410</v>
          </cell>
          <cell r="V182">
            <v>4149322</v>
          </cell>
          <cell r="W182">
            <v>0</v>
          </cell>
          <cell r="X182">
            <v>4512</v>
          </cell>
          <cell r="Y182">
            <v>4153834</v>
          </cell>
          <cell r="Z182">
            <v>383231</v>
          </cell>
          <cell r="AA182">
            <v>0</v>
          </cell>
          <cell r="AB182">
            <v>0</v>
          </cell>
          <cell r="AC182">
            <v>383231</v>
          </cell>
          <cell r="AD182">
            <v>2439434</v>
          </cell>
          <cell r="AE182">
            <v>0</v>
          </cell>
          <cell r="AF182">
            <v>10847</v>
          </cell>
          <cell r="AG182">
            <v>2450281</v>
          </cell>
          <cell r="AH182">
            <v>-40828</v>
          </cell>
          <cell r="AI182">
            <v>0</v>
          </cell>
          <cell r="AJ182">
            <v>0</v>
          </cell>
          <cell r="AK182">
            <v>-40828</v>
          </cell>
          <cell r="AL182">
            <v>7017346</v>
          </cell>
          <cell r="AM182">
            <v>0</v>
          </cell>
          <cell r="AN182">
            <v>78751</v>
          </cell>
          <cell r="AO182">
            <v>7096097</v>
          </cell>
          <cell r="AP182">
            <v>-277456</v>
          </cell>
          <cell r="AQ182">
            <v>0</v>
          </cell>
          <cell r="AR182">
            <v>0</v>
          </cell>
          <cell r="AS182">
            <v>-277456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124729</v>
          </cell>
          <cell r="BK182">
            <v>0</v>
          </cell>
          <cell r="BL182">
            <v>0</v>
          </cell>
          <cell r="BM182">
            <v>124729</v>
          </cell>
          <cell r="BN182">
            <v>113751</v>
          </cell>
          <cell r="BO182">
            <v>0</v>
          </cell>
          <cell r="BP182">
            <v>0</v>
          </cell>
          <cell r="BQ182">
            <v>113751</v>
          </cell>
          <cell r="BR182">
            <v>5379268</v>
          </cell>
          <cell r="BS182">
            <v>0</v>
          </cell>
          <cell r="BT182">
            <v>748</v>
          </cell>
          <cell r="BU182">
            <v>5380016</v>
          </cell>
          <cell r="BV182">
            <v>854305</v>
          </cell>
          <cell r="BW182">
            <v>0</v>
          </cell>
          <cell r="BX182">
            <v>0</v>
          </cell>
          <cell r="BY182">
            <v>854305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101389</v>
          </cell>
          <cell r="DQ182">
            <v>101389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101389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</row>
        <row r="183">
          <cell r="A183">
            <v>177</v>
          </cell>
          <cell r="B183" t="str">
            <v>E1134</v>
          </cell>
          <cell r="C183" t="str">
            <v>SD</v>
          </cell>
          <cell r="D183" t="str">
            <v>SW</v>
          </cell>
          <cell r="E183" t="str">
            <v>North Devon</v>
          </cell>
          <cell r="F183">
            <v>252424</v>
          </cell>
          <cell r="G183">
            <v>0</v>
          </cell>
          <cell r="H183">
            <v>0</v>
          </cell>
          <cell r="I183">
            <v>252424</v>
          </cell>
          <cell r="J183">
            <v>-24111</v>
          </cell>
          <cell r="K183">
            <v>0</v>
          </cell>
          <cell r="L183">
            <v>0</v>
          </cell>
          <cell r="M183">
            <v>-24111</v>
          </cell>
          <cell r="N183">
            <v>13103</v>
          </cell>
          <cell r="O183">
            <v>0</v>
          </cell>
          <cell r="P183">
            <v>0</v>
          </cell>
          <cell r="Q183">
            <v>13103</v>
          </cell>
          <cell r="R183">
            <v>58634</v>
          </cell>
          <cell r="S183">
            <v>0</v>
          </cell>
          <cell r="T183">
            <v>0</v>
          </cell>
          <cell r="U183">
            <v>58634</v>
          </cell>
          <cell r="V183">
            <v>3745940</v>
          </cell>
          <cell r="W183">
            <v>0</v>
          </cell>
          <cell r="X183">
            <v>0</v>
          </cell>
          <cell r="Y183">
            <v>3745940</v>
          </cell>
          <cell r="Z183">
            <v>279336</v>
          </cell>
          <cell r="AA183">
            <v>0</v>
          </cell>
          <cell r="AB183">
            <v>0</v>
          </cell>
          <cell r="AC183">
            <v>279336</v>
          </cell>
          <cell r="AD183">
            <v>571690</v>
          </cell>
          <cell r="AE183">
            <v>0</v>
          </cell>
          <cell r="AF183">
            <v>0</v>
          </cell>
          <cell r="AG183">
            <v>571690</v>
          </cell>
          <cell r="AH183">
            <v>-13033</v>
          </cell>
          <cell r="AI183">
            <v>0</v>
          </cell>
          <cell r="AJ183">
            <v>0</v>
          </cell>
          <cell r="AK183">
            <v>-13033</v>
          </cell>
          <cell r="AL183">
            <v>1915697</v>
          </cell>
          <cell r="AM183">
            <v>0</v>
          </cell>
          <cell r="AN183">
            <v>0</v>
          </cell>
          <cell r="AO183">
            <v>1915697</v>
          </cell>
          <cell r="AP183">
            <v>89241</v>
          </cell>
          <cell r="AQ183">
            <v>0</v>
          </cell>
          <cell r="AR183">
            <v>0</v>
          </cell>
          <cell r="AS183">
            <v>89241</v>
          </cell>
          <cell r="AT183">
            <v>121190</v>
          </cell>
          <cell r="AU183">
            <v>0</v>
          </cell>
          <cell r="AV183">
            <v>0</v>
          </cell>
          <cell r="AW183">
            <v>121190</v>
          </cell>
          <cell r="AX183">
            <v>616</v>
          </cell>
          <cell r="AY183">
            <v>0</v>
          </cell>
          <cell r="AZ183">
            <v>0</v>
          </cell>
          <cell r="BA183">
            <v>616</v>
          </cell>
          <cell r="BB183">
            <v>35200</v>
          </cell>
          <cell r="BC183">
            <v>0</v>
          </cell>
          <cell r="BD183">
            <v>0</v>
          </cell>
          <cell r="BE183">
            <v>35200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1359</v>
          </cell>
          <cell r="BK183">
            <v>0</v>
          </cell>
          <cell r="BL183">
            <v>0</v>
          </cell>
          <cell r="BM183">
            <v>1359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880278</v>
          </cell>
          <cell r="BS183">
            <v>0</v>
          </cell>
          <cell r="BT183">
            <v>0</v>
          </cell>
          <cell r="BU183">
            <v>880278</v>
          </cell>
          <cell r="BV183">
            <v>26467</v>
          </cell>
          <cell r="BW183">
            <v>0</v>
          </cell>
          <cell r="BX183">
            <v>0</v>
          </cell>
          <cell r="BY183">
            <v>26467</v>
          </cell>
          <cell r="BZ183">
            <v>109141</v>
          </cell>
          <cell r="CA183">
            <v>0</v>
          </cell>
          <cell r="CB183">
            <v>0</v>
          </cell>
          <cell r="CC183">
            <v>109141</v>
          </cell>
          <cell r="CD183">
            <v>19</v>
          </cell>
          <cell r="CE183">
            <v>0</v>
          </cell>
          <cell r="CF183">
            <v>0</v>
          </cell>
          <cell r="CG183">
            <v>19</v>
          </cell>
          <cell r="CH183">
            <v>149197</v>
          </cell>
          <cell r="CI183">
            <v>0</v>
          </cell>
          <cell r="CJ183">
            <v>0</v>
          </cell>
          <cell r="CK183">
            <v>149197</v>
          </cell>
          <cell r="CL183">
            <v>-238</v>
          </cell>
          <cell r="CM183">
            <v>0</v>
          </cell>
          <cell r="CN183">
            <v>0</v>
          </cell>
          <cell r="CO183">
            <v>-238</v>
          </cell>
          <cell r="CP183">
            <v>9487</v>
          </cell>
          <cell r="CQ183">
            <v>0</v>
          </cell>
          <cell r="CR183">
            <v>0</v>
          </cell>
          <cell r="CS183">
            <v>9487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14219</v>
          </cell>
          <cell r="CY183">
            <v>0</v>
          </cell>
          <cell r="CZ183">
            <v>0</v>
          </cell>
          <cell r="DA183">
            <v>14219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9727</v>
          </cell>
          <cell r="DG183">
            <v>0</v>
          </cell>
          <cell r="DH183">
            <v>0</v>
          </cell>
          <cell r="DI183">
            <v>9727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</row>
        <row r="184">
          <cell r="A184">
            <v>178</v>
          </cell>
          <cell r="B184" t="str">
            <v>E1234</v>
          </cell>
          <cell r="C184" t="str">
            <v>SD</v>
          </cell>
          <cell r="D184" t="str">
            <v>SW</v>
          </cell>
          <cell r="E184" t="str">
            <v>North Dorset</v>
          </cell>
          <cell r="F184">
            <v>93012</v>
          </cell>
          <cell r="G184">
            <v>0</v>
          </cell>
          <cell r="H184">
            <v>0</v>
          </cell>
          <cell r="I184">
            <v>93012</v>
          </cell>
          <cell r="J184">
            <v>-29008</v>
          </cell>
          <cell r="K184">
            <v>0</v>
          </cell>
          <cell r="L184">
            <v>0</v>
          </cell>
          <cell r="M184">
            <v>-29008</v>
          </cell>
          <cell r="N184">
            <v>18372</v>
          </cell>
          <cell r="O184">
            <v>0</v>
          </cell>
          <cell r="P184">
            <v>0</v>
          </cell>
          <cell r="Q184">
            <v>18372</v>
          </cell>
          <cell r="R184">
            <v>34251</v>
          </cell>
          <cell r="S184">
            <v>0</v>
          </cell>
          <cell r="T184">
            <v>0</v>
          </cell>
          <cell r="U184">
            <v>34251</v>
          </cell>
          <cell r="V184">
            <v>1641159</v>
          </cell>
          <cell r="W184">
            <v>0</v>
          </cell>
          <cell r="X184">
            <v>0</v>
          </cell>
          <cell r="Y184">
            <v>1641159</v>
          </cell>
          <cell r="Z184">
            <v>73988</v>
          </cell>
          <cell r="AA184">
            <v>0</v>
          </cell>
          <cell r="AB184">
            <v>0</v>
          </cell>
          <cell r="AC184">
            <v>73988</v>
          </cell>
          <cell r="AD184">
            <v>256431</v>
          </cell>
          <cell r="AE184">
            <v>0</v>
          </cell>
          <cell r="AF184">
            <v>0</v>
          </cell>
          <cell r="AG184">
            <v>256431</v>
          </cell>
          <cell r="AH184">
            <v>-4081</v>
          </cell>
          <cell r="AI184">
            <v>0</v>
          </cell>
          <cell r="AJ184">
            <v>0</v>
          </cell>
          <cell r="AK184">
            <v>-4081</v>
          </cell>
          <cell r="AL184">
            <v>2397096</v>
          </cell>
          <cell r="AM184">
            <v>0</v>
          </cell>
          <cell r="AN184">
            <v>0</v>
          </cell>
          <cell r="AO184">
            <v>2397096</v>
          </cell>
          <cell r="AP184">
            <v>120897</v>
          </cell>
          <cell r="AQ184">
            <v>0</v>
          </cell>
          <cell r="AR184">
            <v>0</v>
          </cell>
          <cell r="AS184">
            <v>120897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37708</v>
          </cell>
          <cell r="BC184">
            <v>0</v>
          </cell>
          <cell r="BD184">
            <v>0</v>
          </cell>
          <cell r="BE184">
            <v>37708</v>
          </cell>
          <cell r="BF184">
            <v>-2587</v>
          </cell>
          <cell r="BG184">
            <v>0</v>
          </cell>
          <cell r="BH184">
            <v>0</v>
          </cell>
          <cell r="BI184">
            <v>-2587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354388</v>
          </cell>
          <cell r="BS184">
            <v>0</v>
          </cell>
          <cell r="BT184">
            <v>0</v>
          </cell>
          <cell r="BU184">
            <v>354388</v>
          </cell>
          <cell r="BV184">
            <v>17499</v>
          </cell>
          <cell r="BW184">
            <v>0</v>
          </cell>
          <cell r="BX184">
            <v>0</v>
          </cell>
          <cell r="BY184">
            <v>17499</v>
          </cell>
          <cell r="BZ184">
            <v>30783</v>
          </cell>
          <cell r="CA184">
            <v>0</v>
          </cell>
          <cell r="CB184">
            <v>0</v>
          </cell>
          <cell r="CC184">
            <v>30783</v>
          </cell>
          <cell r="CD184">
            <v>352</v>
          </cell>
          <cell r="CE184">
            <v>0</v>
          </cell>
          <cell r="CF184">
            <v>0</v>
          </cell>
          <cell r="CG184">
            <v>352</v>
          </cell>
          <cell r="CH184">
            <v>14299</v>
          </cell>
          <cell r="CI184">
            <v>0</v>
          </cell>
          <cell r="CJ184">
            <v>0</v>
          </cell>
          <cell r="CK184">
            <v>14299</v>
          </cell>
          <cell r="CL184">
            <v>1121</v>
          </cell>
          <cell r="CM184">
            <v>0</v>
          </cell>
          <cell r="CN184">
            <v>0</v>
          </cell>
          <cell r="CO184">
            <v>1121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4157</v>
          </cell>
          <cell r="CY184">
            <v>0</v>
          </cell>
          <cell r="CZ184">
            <v>0</v>
          </cell>
          <cell r="DA184">
            <v>4157</v>
          </cell>
          <cell r="DB184">
            <v>-21</v>
          </cell>
          <cell r="DC184">
            <v>0</v>
          </cell>
          <cell r="DD184">
            <v>0</v>
          </cell>
          <cell r="DE184">
            <v>-21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-538</v>
          </cell>
          <cell r="EK184">
            <v>0</v>
          </cell>
          <cell r="EL184">
            <v>0</v>
          </cell>
          <cell r="EM184">
            <v>-538</v>
          </cell>
        </row>
        <row r="185">
          <cell r="A185">
            <v>179</v>
          </cell>
          <cell r="B185" t="str">
            <v>E1038</v>
          </cell>
          <cell r="C185" t="str">
            <v>SD</v>
          </cell>
          <cell r="D185" t="str">
            <v>EM</v>
          </cell>
          <cell r="E185" t="str">
            <v>North East Derbyshire</v>
          </cell>
          <cell r="F185">
            <v>75621</v>
          </cell>
          <cell r="G185">
            <v>0</v>
          </cell>
          <cell r="H185">
            <v>0</v>
          </cell>
          <cell r="I185">
            <v>75621</v>
          </cell>
          <cell r="J185">
            <v>-7369.35</v>
          </cell>
          <cell r="K185">
            <v>0</v>
          </cell>
          <cell r="L185">
            <v>0</v>
          </cell>
          <cell r="M185">
            <v>-7369.35</v>
          </cell>
          <cell r="N185">
            <v>14817.94</v>
          </cell>
          <cell r="O185">
            <v>0</v>
          </cell>
          <cell r="P185">
            <v>0</v>
          </cell>
          <cell r="Q185">
            <v>14817.94</v>
          </cell>
          <cell r="R185">
            <v>13726.5</v>
          </cell>
          <cell r="S185">
            <v>0</v>
          </cell>
          <cell r="T185">
            <v>0</v>
          </cell>
          <cell r="U185">
            <v>13726.5</v>
          </cell>
          <cell r="V185">
            <v>1562410.82</v>
          </cell>
          <cell r="W185">
            <v>0</v>
          </cell>
          <cell r="X185">
            <v>0</v>
          </cell>
          <cell r="Y185">
            <v>1562410.82</v>
          </cell>
          <cell r="Z185">
            <v>79247.17</v>
          </cell>
          <cell r="AA185">
            <v>0</v>
          </cell>
          <cell r="AB185">
            <v>0</v>
          </cell>
          <cell r="AC185">
            <v>79247.17</v>
          </cell>
          <cell r="AD185">
            <v>270719.14</v>
          </cell>
          <cell r="AE185">
            <v>0</v>
          </cell>
          <cell r="AF185">
            <v>0</v>
          </cell>
          <cell r="AG185">
            <v>270719.14</v>
          </cell>
          <cell r="AH185">
            <v>459.34</v>
          </cell>
          <cell r="AI185">
            <v>0</v>
          </cell>
          <cell r="AJ185">
            <v>0</v>
          </cell>
          <cell r="AK185">
            <v>459.34</v>
          </cell>
          <cell r="AL185">
            <v>449086.97</v>
          </cell>
          <cell r="AM185">
            <v>0</v>
          </cell>
          <cell r="AN185">
            <v>0</v>
          </cell>
          <cell r="AO185">
            <v>449086.97</v>
          </cell>
          <cell r="AP185">
            <v>3032.52</v>
          </cell>
          <cell r="AQ185">
            <v>0</v>
          </cell>
          <cell r="AR185">
            <v>0</v>
          </cell>
          <cell r="AS185">
            <v>3032.52</v>
          </cell>
          <cell r="AT185">
            <v>9777.9599999999991</v>
          </cell>
          <cell r="AU185">
            <v>0</v>
          </cell>
          <cell r="AV185">
            <v>0</v>
          </cell>
          <cell r="AW185">
            <v>9777.9599999999991</v>
          </cell>
          <cell r="AX185">
            <v>-5389.8</v>
          </cell>
          <cell r="AY185">
            <v>0</v>
          </cell>
          <cell r="AZ185">
            <v>0</v>
          </cell>
          <cell r="BA185">
            <v>-5389.8</v>
          </cell>
          <cell r="BB185">
            <v>5027.24</v>
          </cell>
          <cell r="BC185">
            <v>0</v>
          </cell>
          <cell r="BD185">
            <v>0</v>
          </cell>
          <cell r="BE185">
            <v>5027.24</v>
          </cell>
          <cell r="BF185">
            <v>-17.63</v>
          </cell>
          <cell r="BG185">
            <v>0</v>
          </cell>
          <cell r="BH185">
            <v>0</v>
          </cell>
          <cell r="BI185">
            <v>-17.63</v>
          </cell>
          <cell r="BJ185">
            <v>230036.58</v>
          </cell>
          <cell r="BK185">
            <v>0</v>
          </cell>
          <cell r="BL185">
            <v>0</v>
          </cell>
          <cell r="BM185">
            <v>230036.58</v>
          </cell>
          <cell r="BN185">
            <v>63001</v>
          </cell>
          <cell r="BO185">
            <v>0</v>
          </cell>
          <cell r="BP185">
            <v>0</v>
          </cell>
          <cell r="BQ185">
            <v>63001</v>
          </cell>
          <cell r="BR185">
            <v>594859.86</v>
          </cell>
          <cell r="BS185">
            <v>0</v>
          </cell>
          <cell r="BT185">
            <v>0</v>
          </cell>
          <cell r="BU185">
            <v>594859.86</v>
          </cell>
          <cell r="BV185">
            <v>19487.990000000002</v>
          </cell>
          <cell r="BW185">
            <v>0</v>
          </cell>
          <cell r="BX185">
            <v>0</v>
          </cell>
          <cell r="BY185">
            <v>19487.990000000002</v>
          </cell>
          <cell r="BZ185">
            <v>24334.2</v>
          </cell>
          <cell r="CA185">
            <v>0</v>
          </cell>
          <cell r="CB185">
            <v>0</v>
          </cell>
          <cell r="CC185">
            <v>24334.2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17019.759999999998</v>
          </cell>
          <cell r="CI185">
            <v>0</v>
          </cell>
          <cell r="CJ185">
            <v>0</v>
          </cell>
          <cell r="CK185">
            <v>17019.759999999998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216.66</v>
          </cell>
          <cell r="CQ185">
            <v>0</v>
          </cell>
          <cell r="CR185">
            <v>0</v>
          </cell>
          <cell r="CS185">
            <v>216.66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1206.93</v>
          </cell>
          <cell r="CY185">
            <v>0</v>
          </cell>
          <cell r="CZ185">
            <v>0</v>
          </cell>
          <cell r="DA185">
            <v>1206.93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</row>
        <row r="186">
          <cell r="A186">
            <v>180</v>
          </cell>
          <cell r="B186" t="str">
            <v>E2003</v>
          </cell>
          <cell r="C186" t="str">
            <v>UA</v>
          </cell>
          <cell r="D186" t="str">
            <v>YH</v>
          </cell>
          <cell r="E186" t="str">
            <v>North East Lincolnshire UA</v>
          </cell>
          <cell r="F186">
            <v>859174</v>
          </cell>
          <cell r="G186">
            <v>0</v>
          </cell>
          <cell r="H186">
            <v>0</v>
          </cell>
          <cell r="I186">
            <v>859174</v>
          </cell>
          <cell r="J186">
            <v>-125457</v>
          </cell>
          <cell r="K186">
            <v>0</v>
          </cell>
          <cell r="L186">
            <v>0</v>
          </cell>
          <cell r="M186">
            <v>-125457</v>
          </cell>
          <cell r="N186">
            <v>228259</v>
          </cell>
          <cell r="O186">
            <v>0</v>
          </cell>
          <cell r="P186">
            <v>0</v>
          </cell>
          <cell r="Q186">
            <v>228259</v>
          </cell>
          <cell r="R186">
            <v>290266</v>
          </cell>
          <cell r="S186">
            <v>0</v>
          </cell>
          <cell r="T186">
            <v>0</v>
          </cell>
          <cell r="U186">
            <v>290266</v>
          </cell>
          <cell r="V186">
            <v>3048929</v>
          </cell>
          <cell r="W186">
            <v>0</v>
          </cell>
          <cell r="X186">
            <v>0</v>
          </cell>
          <cell r="Y186">
            <v>3048929</v>
          </cell>
          <cell r="Z186">
            <v>188923</v>
          </cell>
          <cell r="AA186">
            <v>0</v>
          </cell>
          <cell r="AB186">
            <v>0</v>
          </cell>
          <cell r="AC186">
            <v>188923</v>
          </cell>
          <cell r="AD186">
            <v>1189624</v>
          </cell>
          <cell r="AE186">
            <v>0</v>
          </cell>
          <cell r="AF186">
            <v>0</v>
          </cell>
          <cell r="AG186">
            <v>1189624</v>
          </cell>
          <cell r="AH186">
            <v>37903</v>
          </cell>
          <cell r="AI186">
            <v>0</v>
          </cell>
          <cell r="AJ186">
            <v>0</v>
          </cell>
          <cell r="AK186">
            <v>37903</v>
          </cell>
          <cell r="AL186">
            <v>2654107</v>
          </cell>
          <cell r="AM186">
            <v>0</v>
          </cell>
          <cell r="AN186">
            <v>0</v>
          </cell>
          <cell r="AO186">
            <v>2654107</v>
          </cell>
          <cell r="AP186">
            <v>-69928</v>
          </cell>
          <cell r="AQ186">
            <v>0</v>
          </cell>
          <cell r="AR186">
            <v>0</v>
          </cell>
          <cell r="AS186">
            <v>-69928</v>
          </cell>
          <cell r="AT186">
            <v>87455</v>
          </cell>
          <cell r="AU186">
            <v>0</v>
          </cell>
          <cell r="AV186">
            <v>0</v>
          </cell>
          <cell r="AW186">
            <v>87455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565</v>
          </cell>
          <cell r="BC186">
            <v>0</v>
          </cell>
          <cell r="BD186">
            <v>0</v>
          </cell>
          <cell r="BE186">
            <v>565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136495</v>
          </cell>
          <cell r="BK186">
            <v>0</v>
          </cell>
          <cell r="BL186">
            <v>0</v>
          </cell>
          <cell r="BM186">
            <v>136495</v>
          </cell>
          <cell r="BN186">
            <v>132872</v>
          </cell>
          <cell r="BO186">
            <v>0</v>
          </cell>
          <cell r="BP186">
            <v>0</v>
          </cell>
          <cell r="BQ186">
            <v>132872</v>
          </cell>
          <cell r="BR186">
            <v>2166144</v>
          </cell>
          <cell r="BS186">
            <v>0</v>
          </cell>
          <cell r="BT186">
            <v>0</v>
          </cell>
          <cell r="BU186">
            <v>2166144</v>
          </cell>
          <cell r="BV186">
            <v>366202</v>
          </cell>
          <cell r="BW186">
            <v>0</v>
          </cell>
          <cell r="BX186">
            <v>0</v>
          </cell>
          <cell r="BY186">
            <v>366202</v>
          </cell>
          <cell r="BZ186">
            <v>39579</v>
          </cell>
          <cell r="CA186">
            <v>0</v>
          </cell>
          <cell r="CB186">
            <v>0</v>
          </cell>
          <cell r="CC186">
            <v>39579</v>
          </cell>
          <cell r="CD186">
            <v>97</v>
          </cell>
          <cell r="CE186">
            <v>0</v>
          </cell>
          <cell r="CF186">
            <v>0</v>
          </cell>
          <cell r="CG186">
            <v>97</v>
          </cell>
          <cell r="CH186">
            <v>436846</v>
          </cell>
          <cell r="CI186">
            <v>0</v>
          </cell>
          <cell r="CJ186">
            <v>0</v>
          </cell>
          <cell r="CK186">
            <v>436846</v>
          </cell>
          <cell r="CL186">
            <v>9680</v>
          </cell>
          <cell r="CM186">
            <v>0</v>
          </cell>
          <cell r="CN186">
            <v>0</v>
          </cell>
          <cell r="CO186">
            <v>9680</v>
          </cell>
          <cell r="CP186">
            <v>2714</v>
          </cell>
          <cell r="CQ186">
            <v>0</v>
          </cell>
          <cell r="CR186">
            <v>0</v>
          </cell>
          <cell r="CS186">
            <v>2714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565</v>
          </cell>
          <cell r="CY186">
            <v>0</v>
          </cell>
          <cell r="CZ186">
            <v>0</v>
          </cell>
          <cell r="DA186">
            <v>565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917932</v>
          </cell>
          <cell r="EC186">
            <v>0</v>
          </cell>
          <cell r="ED186">
            <v>0</v>
          </cell>
          <cell r="EE186">
            <v>917932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</row>
        <row r="187">
          <cell r="A187">
            <v>181</v>
          </cell>
          <cell r="B187" t="str">
            <v>E1935</v>
          </cell>
          <cell r="C187" t="str">
            <v>SD</v>
          </cell>
          <cell r="D187" t="str">
            <v>E</v>
          </cell>
          <cell r="E187" t="str">
            <v>North Hertfordshire</v>
          </cell>
          <cell r="F187">
            <v>143119</v>
          </cell>
          <cell r="G187">
            <v>0</v>
          </cell>
          <cell r="H187">
            <v>0</v>
          </cell>
          <cell r="I187">
            <v>143119</v>
          </cell>
          <cell r="J187">
            <v>-199611</v>
          </cell>
          <cell r="K187">
            <v>0</v>
          </cell>
          <cell r="L187">
            <v>0</v>
          </cell>
          <cell r="M187">
            <v>-199611</v>
          </cell>
          <cell r="N187">
            <v>79357</v>
          </cell>
          <cell r="O187">
            <v>0</v>
          </cell>
          <cell r="P187">
            <v>0</v>
          </cell>
          <cell r="Q187">
            <v>79357</v>
          </cell>
          <cell r="R187">
            <v>217675</v>
          </cell>
          <cell r="S187">
            <v>0</v>
          </cell>
          <cell r="T187">
            <v>0</v>
          </cell>
          <cell r="U187">
            <v>217675</v>
          </cell>
          <cell r="V187">
            <v>2223924</v>
          </cell>
          <cell r="W187">
            <v>0</v>
          </cell>
          <cell r="X187">
            <v>0</v>
          </cell>
          <cell r="Y187">
            <v>2223924</v>
          </cell>
          <cell r="Z187">
            <v>147803</v>
          </cell>
          <cell r="AA187">
            <v>0</v>
          </cell>
          <cell r="AB187">
            <v>0</v>
          </cell>
          <cell r="AC187">
            <v>147803</v>
          </cell>
          <cell r="AD187">
            <v>701803</v>
          </cell>
          <cell r="AE187">
            <v>0</v>
          </cell>
          <cell r="AF187">
            <v>0</v>
          </cell>
          <cell r="AG187">
            <v>701803</v>
          </cell>
          <cell r="AH187">
            <v>-6870</v>
          </cell>
          <cell r="AI187">
            <v>0</v>
          </cell>
          <cell r="AJ187">
            <v>0</v>
          </cell>
          <cell r="AK187">
            <v>-6870</v>
          </cell>
          <cell r="AL187">
            <v>2408916</v>
          </cell>
          <cell r="AM187">
            <v>0</v>
          </cell>
          <cell r="AN187">
            <v>0</v>
          </cell>
          <cell r="AO187">
            <v>2408916</v>
          </cell>
          <cell r="AP187">
            <v>4451</v>
          </cell>
          <cell r="AQ187">
            <v>0</v>
          </cell>
          <cell r="AR187">
            <v>0</v>
          </cell>
          <cell r="AS187">
            <v>4451</v>
          </cell>
          <cell r="AT187">
            <v>125386</v>
          </cell>
          <cell r="AU187">
            <v>0</v>
          </cell>
          <cell r="AV187">
            <v>0</v>
          </cell>
          <cell r="AW187">
            <v>125386</v>
          </cell>
          <cell r="AX187">
            <v>-1026</v>
          </cell>
          <cell r="AY187">
            <v>0</v>
          </cell>
          <cell r="AZ187">
            <v>0</v>
          </cell>
          <cell r="BA187">
            <v>-1026</v>
          </cell>
          <cell r="BB187">
            <v>11732</v>
          </cell>
          <cell r="BC187">
            <v>0</v>
          </cell>
          <cell r="BD187">
            <v>0</v>
          </cell>
          <cell r="BE187">
            <v>11732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15114</v>
          </cell>
          <cell r="BK187">
            <v>0</v>
          </cell>
          <cell r="BL187">
            <v>0</v>
          </cell>
          <cell r="BM187">
            <v>15114</v>
          </cell>
          <cell r="BN187">
            <v>-4173</v>
          </cell>
          <cell r="BO187">
            <v>0</v>
          </cell>
          <cell r="BP187">
            <v>0</v>
          </cell>
          <cell r="BQ187">
            <v>-4173</v>
          </cell>
          <cell r="BR187">
            <v>1807412</v>
          </cell>
          <cell r="BS187">
            <v>0</v>
          </cell>
          <cell r="BT187">
            <v>0</v>
          </cell>
          <cell r="BU187">
            <v>1807412</v>
          </cell>
          <cell r="BV187">
            <v>306936</v>
          </cell>
          <cell r="BW187">
            <v>0</v>
          </cell>
          <cell r="BX187">
            <v>0</v>
          </cell>
          <cell r="BY187">
            <v>306936</v>
          </cell>
          <cell r="BZ187">
            <v>169843</v>
          </cell>
          <cell r="CA187">
            <v>0</v>
          </cell>
          <cell r="CB187">
            <v>0</v>
          </cell>
          <cell r="CC187">
            <v>169843</v>
          </cell>
          <cell r="CD187">
            <v>-1067</v>
          </cell>
          <cell r="CE187">
            <v>0</v>
          </cell>
          <cell r="CF187">
            <v>0</v>
          </cell>
          <cell r="CG187">
            <v>-1067</v>
          </cell>
          <cell r="CH187">
            <v>100439</v>
          </cell>
          <cell r="CI187">
            <v>0</v>
          </cell>
          <cell r="CJ187">
            <v>0</v>
          </cell>
          <cell r="CK187">
            <v>100439</v>
          </cell>
          <cell r="CL187">
            <v>1104</v>
          </cell>
          <cell r="CM187">
            <v>0</v>
          </cell>
          <cell r="CN187">
            <v>0</v>
          </cell>
          <cell r="CO187">
            <v>1104</v>
          </cell>
          <cell r="CP187">
            <v>14847</v>
          </cell>
          <cell r="CQ187">
            <v>0</v>
          </cell>
          <cell r="CR187">
            <v>0</v>
          </cell>
          <cell r="CS187">
            <v>14847</v>
          </cell>
          <cell r="CT187">
            <v>-257</v>
          </cell>
          <cell r="CU187">
            <v>0</v>
          </cell>
          <cell r="CV187">
            <v>0</v>
          </cell>
          <cell r="CW187">
            <v>-257</v>
          </cell>
          <cell r="CX187">
            <v>9286</v>
          </cell>
          <cell r="CY187">
            <v>0</v>
          </cell>
          <cell r="CZ187">
            <v>0</v>
          </cell>
          <cell r="DA187">
            <v>9286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10846</v>
          </cell>
          <cell r="DG187">
            <v>0</v>
          </cell>
          <cell r="DH187">
            <v>0</v>
          </cell>
          <cell r="DI187">
            <v>10846</v>
          </cell>
          <cell r="DJ187">
            <v>1766</v>
          </cell>
          <cell r="DK187">
            <v>0</v>
          </cell>
          <cell r="DL187">
            <v>0</v>
          </cell>
          <cell r="DM187">
            <v>1766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</row>
        <row r="188">
          <cell r="A188">
            <v>182</v>
          </cell>
          <cell r="B188" t="str">
            <v>E2534</v>
          </cell>
          <cell r="C188" t="str">
            <v>SD</v>
          </cell>
          <cell r="D188" t="str">
            <v>EM</v>
          </cell>
          <cell r="E188" t="str">
            <v>North Kesteven</v>
          </cell>
          <cell r="F188">
            <v>65825</v>
          </cell>
          <cell r="G188">
            <v>0</v>
          </cell>
          <cell r="H188">
            <v>0</v>
          </cell>
          <cell r="I188">
            <v>65825</v>
          </cell>
          <cell r="J188">
            <v>-31888.82</v>
          </cell>
          <cell r="K188">
            <v>0</v>
          </cell>
          <cell r="L188">
            <v>0</v>
          </cell>
          <cell r="M188">
            <v>-31888.82</v>
          </cell>
          <cell r="N188">
            <v>17026.669999999998</v>
          </cell>
          <cell r="O188">
            <v>0</v>
          </cell>
          <cell r="P188">
            <v>0</v>
          </cell>
          <cell r="Q188">
            <v>17026.669999999998</v>
          </cell>
          <cell r="R188">
            <v>74514.28</v>
          </cell>
          <cell r="S188">
            <v>0</v>
          </cell>
          <cell r="T188">
            <v>0</v>
          </cell>
          <cell r="U188">
            <v>74514.28</v>
          </cell>
          <cell r="V188">
            <v>2103031.04</v>
          </cell>
          <cell r="W188">
            <v>0</v>
          </cell>
          <cell r="X188">
            <v>0</v>
          </cell>
          <cell r="Y188">
            <v>2103031.04</v>
          </cell>
          <cell r="Z188">
            <v>40878.120000000003</v>
          </cell>
          <cell r="AA188">
            <v>0</v>
          </cell>
          <cell r="AB188">
            <v>0</v>
          </cell>
          <cell r="AC188">
            <v>40878.120000000003</v>
          </cell>
          <cell r="AD188">
            <v>395129.3</v>
          </cell>
          <cell r="AE188">
            <v>0</v>
          </cell>
          <cell r="AF188">
            <v>0</v>
          </cell>
          <cell r="AG188">
            <v>395129.3</v>
          </cell>
          <cell r="AH188">
            <v>21717.96</v>
          </cell>
          <cell r="AI188">
            <v>0</v>
          </cell>
          <cell r="AJ188">
            <v>0</v>
          </cell>
          <cell r="AK188">
            <v>21717.96</v>
          </cell>
          <cell r="AL188">
            <v>1518378.92</v>
          </cell>
          <cell r="AM188">
            <v>0</v>
          </cell>
          <cell r="AN188">
            <v>0</v>
          </cell>
          <cell r="AO188">
            <v>1518378.92</v>
          </cell>
          <cell r="AP188">
            <v>28483.1</v>
          </cell>
          <cell r="AQ188">
            <v>0</v>
          </cell>
          <cell r="AR188">
            <v>0</v>
          </cell>
          <cell r="AS188">
            <v>28483.1</v>
          </cell>
          <cell r="AT188">
            <v>43200.12</v>
          </cell>
          <cell r="AU188">
            <v>0</v>
          </cell>
          <cell r="AV188">
            <v>0</v>
          </cell>
          <cell r="AW188">
            <v>43200.12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47878.27</v>
          </cell>
          <cell r="BC188">
            <v>0</v>
          </cell>
          <cell r="BD188">
            <v>0</v>
          </cell>
          <cell r="BE188">
            <v>47878.27</v>
          </cell>
          <cell r="BF188">
            <v>-62.67</v>
          </cell>
          <cell r="BG188">
            <v>0</v>
          </cell>
          <cell r="BH188">
            <v>0</v>
          </cell>
          <cell r="BI188">
            <v>-62.67</v>
          </cell>
          <cell r="BJ188">
            <v>11352.39</v>
          </cell>
          <cell r="BK188">
            <v>0</v>
          </cell>
          <cell r="BL188">
            <v>0</v>
          </cell>
          <cell r="BM188">
            <v>11352.39</v>
          </cell>
          <cell r="BN188">
            <v>-19167.150000000001</v>
          </cell>
          <cell r="BO188">
            <v>0</v>
          </cell>
          <cell r="BP188">
            <v>0</v>
          </cell>
          <cell r="BQ188">
            <v>-19167.150000000001</v>
          </cell>
          <cell r="BR188">
            <v>742369.48</v>
          </cell>
          <cell r="BS188">
            <v>0</v>
          </cell>
          <cell r="BT188">
            <v>0</v>
          </cell>
          <cell r="BU188">
            <v>742369.48</v>
          </cell>
          <cell r="BV188">
            <v>2599.44</v>
          </cell>
          <cell r="BW188">
            <v>0</v>
          </cell>
          <cell r="BX188">
            <v>0</v>
          </cell>
          <cell r="BY188">
            <v>2599.44</v>
          </cell>
          <cell r="BZ188">
            <v>62929.32</v>
          </cell>
          <cell r="CA188">
            <v>0</v>
          </cell>
          <cell r="CB188">
            <v>0</v>
          </cell>
          <cell r="CC188">
            <v>62929.32</v>
          </cell>
          <cell r="CD188">
            <v>4492.96</v>
          </cell>
          <cell r="CE188">
            <v>0</v>
          </cell>
          <cell r="CF188">
            <v>0</v>
          </cell>
          <cell r="CG188">
            <v>4492.96</v>
          </cell>
          <cell r="CH188">
            <v>2632.02</v>
          </cell>
          <cell r="CI188">
            <v>0</v>
          </cell>
          <cell r="CJ188">
            <v>0</v>
          </cell>
          <cell r="CK188">
            <v>2632.02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9922.4</v>
          </cell>
          <cell r="CY188">
            <v>0</v>
          </cell>
          <cell r="CZ188">
            <v>0</v>
          </cell>
          <cell r="DA188">
            <v>9922.4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</row>
        <row r="189">
          <cell r="A189">
            <v>183</v>
          </cell>
          <cell r="B189" t="str">
            <v>E2004</v>
          </cell>
          <cell r="C189" t="str">
            <v>UA</v>
          </cell>
          <cell r="D189" t="str">
            <v>YH</v>
          </cell>
          <cell r="E189" t="str">
            <v>North Lincolnshire UA</v>
          </cell>
          <cell r="F189">
            <v>3028486</v>
          </cell>
          <cell r="G189">
            <v>0</v>
          </cell>
          <cell r="H189">
            <v>0</v>
          </cell>
          <cell r="I189">
            <v>3028486</v>
          </cell>
          <cell r="J189">
            <v>-98463</v>
          </cell>
          <cell r="K189">
            <v>0</v>
          </cell>
          <cell r="L189">
            <v>0</v>
          </cell>
          <cell r="M189">
            <v>-98463</v>
          </cell>
          <cell r="N189">
            <v>19893</v>
          </cell>
          <cell r="O189">
            <v>0</v>
          </cell>
          <cell r="P189">
            <v>0</v>
          </cell>
          <cell r="Q189">
            <v>19893</v>
          </cell>
          <cell r="R189">
            <v>122223</v>
          </cell>
          <cell r="S189">
            <v>0</v>
          </cell>
          <cell r="T189">
            <v>0</v>
          </cell>
          <cell r="U189">
            <v>122223</v>
          </cell>
          <cell r="V189">
            <v>3198887</v>
          </cell>
          <cell r="W189">
            <v>0</v>
          </cell>
          <cell r="X189">
            <v>0</v>
          </cell>
          <cell r="Y189">
            <v>3198887</v>
          </cell>
          <cell r="Z189">
            <v>135593</v>
          </cell>
          <cell r="AA189">
            <v>0</v>
          </cell>
          <cell r="AB189">
            <v>0</v>
          </cell>
          <cell r="AC189">
            <v>135593</v>
          </cell>
          <cell r="AD189">
            <v>1749955</v>
          </cell>
          <cell r="AE189">
            <v>0</v>
          </cell>
          <cell r="AF189">
            <v>0</v>
          </cell>
          <cell r="AG189">
            <v>1749955</v>
          </cell>
          <cell r="AH189">
            <v>140046</v>
          </cell>
          <cell r="AI189">
            <v>0</v>
          </cell>
          <cell r="AJ189">
            <v>0</v>
          </cell>
          <cell r="AK189">
            <v>140046</v>
          </cell>
          <cell r="AL189">
            <v>1883587</v>
          </cell>
          <cell r="AM189">
            <v>0</v>
          </cell>
          <cell r="AN189">
            <v>0</v>
          </cell>
          <cell r="AO189">
            <v>1883587</v>
          </cell>
          <cell r="AP189">
            <v>-64269</v>
          </cell>
          <cell r="AQ189">
            <v>0</v>
          </cell>
          <cell r="AR189">
            <v>0</v>
          </cell>
          <cell r="AS189">
            <v>-64269</v>
          </cell>
          <cell r="AT189">
            <v>33898</v>
          </cell>
          <cell r="AU189">
            <v>0</v>
          </cell>
          <cell r="AV189">
            <v>0</v>
          </cell>
          <cell r="AW189">
            <v>33898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23815</v>
          </cell>
          <cell r="BC189">
            <v>0</v>
          </cell>
          <cell r="BD189">
            <v>0</v>
          </cell>
          <cell r="BE189">
            <v>23815</v>
          </cell>
          <cell r="BF189">
            <v>-326</v>
          </cell>
          <cell r="BG189">
            <v>0</v>
          </cell>
          <cell r="BH189">
            <v>0</v>
          </cell>
          <cell r="BI189">
            <v>-326</v>
          </cell>
          <cell r="BJ189">
            <v>17632</v>
          </cell>
          <cell r="BK189">
            <v>0</v>
          </cell>
          <cell r="BL189">
            <v>0</v>
          </cell>
          <cell r="BM189">
            <v>17632</v>
          </cell>
          <cell r="BN189">
            <v>98507</v>
          </cell>
          <cell r="BO189">
            <v>0</v>
          </cell>
          <cell r="BP189">
            <v>0</v>
          </cell>
          <cell r="BQ189">
            <v>98507</v>
          </cell>
          <cell r="BR189">
            <v>3435773</v>
          </cell>
          <cell r="BS189">
            <v>0</v>
          </cell>
          <cell r="BT189">
            <v>0</v>
          </cell>
          <cell r="BU189">
            <v>3435773</v>
          </cell>
          <cell r="BV189">
            <v>5083</v>
          </cell>
          <cell r="BW189">
            <v>0</v>
          </cell>
          <cell r="BX189">
            <v>0</v>
          </cell>
          <cell r="BY189">
            <v>5083</v>
          </cell>
          <cell r="BZ189">
            <v>70640</v>
          </cell>
          <cell r="CA189">
            <v>0</v>
          </cell>
          <cell r="CB189">
            <v>0</v>
          </cell>
          <cell r="CC189">
            <v>70640</v>
          </cell>
          <cell r="CD189">
            <v>-887</v>
          </cell>
          <cell r="CE189">
            <v>0</v>
          </cell>
          <cell r="CF189">
            <v>0</v>
          </cell>
          <cell r="CG189">
            <v>-887</v>
          </cell>
          <cell r="CH189">
            <v>60133</v>
          </cell>
          <cell r="CI189">
            <v>0</v>
          </cell>
          <cell r="CJ189">
            <v>0</v>
          </cell>
          <cell r="CK189">
            <v>60133</v>
          </cell>
          <cell r="CL189">
            <v>-17016</v>
          </cell>
          <cell r="CM189">
            <v>0</v>
          </cell>
          <cell r="CN189">
            <v>0</v>
          </cell>
          <cell r="CO189">
            <v>-17016</v>
          </cell>
          <cell r="CP189">
            <v>3843</v>
          </cell>
          <cell r="CQ189">
            <v>0</v>
          </cell>
          <cell r="CR189">
            <v>0</v>
          </cell>
          <cell r="CS189">
            <v>3843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21611</v>
          </cell>
          <cell r="CY189">
            <v>0</v>
          </cell>
          <cell r="CZ189">
            <v>0</v>
          </cell>
          <cell r="DA189">
            <v>21611</v>
          </cell>
          <cell r="DB189">
            <v>-326</v>
          </cell>
          <cell r="DC189">
            <v>0</v>
          </cell>
          <cell r="DD189">
            <v>0</v>
          </cell>
          <cell r="DE189">
            <v>-326</v>
          </cell>
          <cell r="DF189">
            <v>4960</v>
          </cell>
          <cell r="DG189">
            <v>0</v>
          </cell>
          <cell r="DH189">
            <v>0</v>
          </cell>
          <cell r="DI189">
            <v>4960</v>
          </cell>
          <cell r="DJ189">
            <v>534</v>
          </cell>
          <cell r="DK189">
            <v>0</v>
          </cell>
          <cell r="DL189">
            <v>0</v>
          </cell>
          <cell r="DM189">
            <v>534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</row>
        <row r="190">
          <cell r="A190">
            <v>184</v>
          </cell>
          <cell r="B190" t="str">
            <v>E2635</v>
          </cell>
          <cell r="C190" t="str">
            <v>SD</v>
          </cell>
          <cell r="D190" t="str">
            <v>E</v>
          </cell>
          <cell r="E190" t="str">
            <v>North Norfolk</v>
          </cell>
          <cell r="F190">
            <v>333177.90000000002</v>
          </cell>
          <cell r="G190">
            <v>0</v>
          </cell>
          <cell r="H190">
            <v>0</v>
          </cell>
          <cell r="I190">
            <v>333177.90000000002</v>
          </cell>
          <cell r="J190">
            <v>-52104.01</v>
          </cell>
          <cell r="K190">
            <v>0</v>
          </cell>
          <cell r="L190">
            <v>0</v>
          </cell>
          <cell r="M190">
            <v>-52104.01</v>
          </cell>
          <cell r="N190">
            <v>10095.93</v>
          </cell>
          <cell r="O190">
            <v>0</v>
          </cell>
          <cell r="P190">
            <v>0</v>
          </cell>
          <cell r="Q190">
            <v>10095.93</v>
          </cell>
          <cell r="R190">
            <v>-2997.09</v>
          </cell>
          <cell r="S190">
            <v>0</v>
          </cell>
          <cell r="T190">
            <v>0</v>
          </cell>
          <cell r="U190">
            <v>-2997.09</v>
          </cell>
          <cell r="V190">
            <v>3960525.41</v>
          </cell>
          <cell r="W190">
            <v>0</v>
          </cell>
          <cell r="X190">
            <v>0</v>
          </cell>
          <cell r="Y190">
            <v>3960525.41</v>
          </cell>
          <cell r="Z190">
            <v>211783.27</v>
          </cell>
          <cell r="AA190">
            <v>0</v>
          </cell>
          <cell r="AB190">
            <v>0</v>
          </cell>
          <cell r="AC190">
            <v>211783.27</v>
          </cell>
          <cell r="AD190">
            <v>400162.43</v>
          </cell>
          <cell r="AE190">
            <v>0</v>
          </cell>
          <cell r="AF190">
            <v>0</v>
          </cell>
          <cell r="AG190">
            <v>400162.43</v>
          </cell>
          <cell r="AH190">
            <v>-1883.82</v>
          </cell>
          <cell r="AI190">
            <v>0</v>
          </cell>
          <cell r="AJ190">
            <v>0</v>
          </cell>
          <cell r="AK190">
            <v>-1883.82</v>
          </cell>
          <cell r="AL190">
            <v>1329566.58</v>
          </cell>
          <cell r="AM190">
            <v>0</v>
          </cell>
          <cell r="AN190">
            <v>0</v>
          </cell>
          <cell r="AO190">
            <v>1329566.58</v>
          </cell>
          <cell r="AP190">
            <v>7713.92</v>
          </cell>
          <cell r="AQ190">
            <v>0</v>
          </cell>
          <cell r="AR190">
            <v>0</v>
          </cell>
          <cell r="AS190">
            <v>7713.92</v>
          </cell>
          <cell r="AT190">
            <v>57179.41</v>
          </cell>
          <cell r="AU190">
            <v>0</v>
          </cell>
          <cell r="AV190">
            <v>0</v>
          </cell>
          <cell r="AW190">
            <v>57179.41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96366.93</v>
          </cell>
          <cell r="BC190">
            <v>0</v>
          </cell>
          <cell r="BD190">
            <v>0</v>
          </cell>
          <cell r="BE190">
            <v>96366.93</v>
          </cell>
          <cell r="BF190">
            <v>2516.65</v>
          </cell>
          <cell r="BG190">
            <v>0</v>
          </cell>
          <cell r="BH190">
            <v>0</v>
          </cell>
          <cell r="BI190">
            <v>2516.65</v>
          </cell>
          <cell r="BJ190">
            <v>2236.63</v>
          </cell>
          <cell r="BK190">
            <v>0</v>
          </cell>
          <cell r="BL190">
            <v>0</v>
          </cell>
          <cell r="BM190">
            <v>2236.63</v>
          </cell>
          <cell r="BN190">
            <v>2460.73</v>
          </cell>
          <cell r="BO190">
            <v>0</v>
          </cell>
          <cell r="BP190">
            <v>0</v>
          </cell>
          <cell r="BQ190">
            <v>2460.73</v>
          </cell>
          <cell r="BR190">
            <v>450816.22</v>
          </cell>
          <cell r="BS190">
            <v>0</v>
          </cell>
          <cell r="BT190">
            <v>0</v>
          </cell>
          <cell r="BU190">
            <v>450816.22</v>
          </cell>
          <cell r="BV190">
            <v>8355.7199999999993</v>
          </cell>
          <cell r="BW190">
            <v>0</v>
          </cell>
          <cell r="BX190">
            <v>0</v>
          </cell>
          <cell r="BY190">
            <v>8355.7199999999993</v>
          </cell>
          <cell r="BZ190">
            <v>20495.900000000001</v>
          </cell>
          <cell r="CA190">
            <v>0</v>
          </cell>
          <cell r="CB190">
            <v>0</v>
          </cell>
          <cell r="CC190">
            <v>20495.900000000001</v>
          </cell>
          <cell r="CD190">
            <v>1885.3</v>
          </cell>
          <cell r="CE190">
            <v>0</v>
          </cell>
          <cell r="CF190">
            <v>0</v>
          </cell>
          <cell r="CG190">
            <v>1885.3</v>
          </cell>
          <cell r="CH190">
            <v>177178.8</v>
          </cell>
          <cell r="CI190">
            <v>0</v>
          </cell>
          <cell r="CJ190">
            <v>0</v>
          </cell>
          <cell r="CK190">
            <v>177178.8</v>
          </cell>
          <cell r="CL190">
            <v>6188.84</v>
          </cell>
          <cell r="CM190">
            <v>0</v>
          </cell>
          <cell r="CN190">
            <v>0</v>
          </cell>
          <cell r="CO190">
            <v>6188.84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12905.72</v>
          </cell>
          <cell r="CY190">
            <v>0</v>
          </cell>
          <cell r="CZ190">
            <v>0</v>
          </cell>
          <cell r="DA190">
            <v>12905.72</v>
          </cell>
          <cell r="DB190">
            <v>1005.63</v>
          </cell>
          <cell r="DC190">
            <v>0</v>
          </cell>
          <cell r="DD190">
            <v>0</v>
          </cell>
          <cell r="DE190">
            <v>1005.63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718.11</v>
          </cell>
          <cell r="DY190">
            <v>0</v>
          </cell>
          <cell r="DZ190">
            <v>0</v>
          </cell>
          <cell r="EA190">
            <v>718.11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</row>
        <row r="191">
          <cell r="A191">
            <v>185</v>
          </cell>
          <cell r="B191" t="str">
            <v>E0104</v>
          </cell>
          <cell r="C191" t="str">
            <v>UA</v>
          </cell>
          <cell r="D191" t="str">
            <v>SW</v>
          </cell>
          <cell r="E191" t="str">
            <v>North Somerset UA</v>
          </cell>
          <cell r="F191">
            <v>228046</v>
          </cell>
          <cell r="G191">
            <v>0</v>
          </cell>
          <cell r="H191">
            <v>0</v>
          </cell>
          <cell r="I191">
            <v>228046</v>
          </cell>
          <cell r="J191">
            <v>-103046</v>
          </cell>
          <cell r="K191">
            <v>0</v>
          </cell>
          <cell r="L191">
            <v>0</v>
          </cell>
          <cell r="M191">
            <v>-103046</v>
          </cell>
          <cell r="N191">
            <v>23476</v>
          </cell>
          <cell r="O191">
            <v>0</v>
          </cell>
          <cell r="P191">
            <v>0</v>
          </cell>
          <cell r="Q191">
            <v>23476</v>
          </cell>
          <cell r="R191">
            <v>17760</v>
          </cell>
          <cell r="S191">
            <v>0</v>
          </cell>
          <cell r="T191">
            <v>0</v>
          </cell>
          <cell r="U191">
            <v>17760</v>
          </cell>
          <cell r="V191">
            <v>3647005</v>
          </cell>
          <cell r="W191">
            <v>0</v>
          </cell>
          <cell r="X191">
            <v>0</v>
          </cell>
          <cell r="Y191">
            <v>3647005</v>
          </cell>
          <cell r="Z191">
            <v>187824</v>
          </cell>
          <cell r="AA191">
            <v>0</v>
          </cell>
          <cell r="AB191">
            <v>0</v>
          </cell>
          <cell r="AC191">
            <v>187824</v>
          </cell>
          <cell r="AD191">
            <v>1109662</v>
          </cell>
          <cell r="AE191">
            <v>0</v>
          </cell>
          <cell r="AF191">
            <v>0</v>
          </cell>
          <cell r="AG191">
            <v>1109662</v>
          </cell>
          <cell r="AH191">
            <v>48883</v>
          </cell>
          <cell r="AI191">
            <v>0</v>
          </cell>
          <cell r="AJ191">
            <v>0</v>
          </cell>
          <cell r="AK191">
            <v>48883</v>
          </cell>
          <cell r="AL191">
            <v>3720466</v>
          </cell>
          <cell r="AM191">
            <v>0</v>
          </cell>
          <cell r="AN191">
            <v>0</v>
          </cell>
          <cell r="AO191">
            <v>3720466</v>
          </cell>
          <cell r="AP191">
            <v>-34130</v>
          </cell>
          <cell r="AQ191">
            <v>0</v>
          </cell>
          <cell r="AR191">
            <v>0</v>
          </cell>
          <cell r="AS191">
            <v>-34130</v>
          </cell>
          <cell r="AT191">
            <v>106415</v>
          </cell>
          <cell r="AU191">
            <v>0</v>
          </cell>
          <cell r="AV191">
            <v>0</v>
          </cell>
          <cell r="AW191">
            <v>106415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17608</v>
          </cell>
          <cell r="BC191">
            <v>0</v>
          </cell>
          <cell r="BD191">
            <v>0</v>
          </cell>
          <cell r="BE191">
            <v>17608</v>
          </cell>
          <cell r="BF191">
            <v>24925</v>
          </cell>
          <cell r="BG191">
            <v>0</v>
          </cell>
          <cell r="BH191">
            <v>0</v>
          </cell>
          <cell r="BI191">
            <v>24925</v>
          </cell>
          <cell r="BJ191">
            <v>43869</v>
          </cell>
          <cell r="BK191">
            <v>0</v>
          </cell>
          <cell r="BL191">
            <v>0</v>
          </cell>
          <cell r="BM191">
            <v>43869</v>
          </cell>
          <cell r="BN191">
            <v>-86743</v>
          </cell>
          <cell r="BO191">
            <v>0</v>
          </cell>
          <cell r="BP191">
            <v>0</v>
          </cell>
          <cell r="BQ191">
            <v>-86743</v>
          </cell>
          <cell r="BR191">
            <v>2752135</v>
          </cell>
          <cell r="BS191">
            <v>0</v>
          </cell>
          <cell r="BT191">
            <v>0</v>
          </cell>
          <cell r="BU191">
            <v>2752135</v>
          </cell>
          <cell r="BV191">
            <v>-588155</v>
          </cell>
          <cell r="BW191">
            <v>0</v>
          </cell>
          <cell r="BX191">
            <v>0</v>
          </cell>
          <cell r="BY191">
            <v>-588155</v>
          </cell>
          <cell r="BZ191">
            <v>62902</v>
          </cell>
          <cell r="CA191">
            <v>0</v>
          </cell>
          <cell r="CB191">
            <v>0</v>
          </cell>
          <cell r="CC191">
            <v>62902</v>
          </cell>
          <cell r="CD191">
            <v>158</v>
          </cell>
          <cell r="CE191">
            <v>0</v>
          </cell>
          <cell r="CF191">
            <v>0</v>
          </cell>
          <cell r="CG191">
            <v>158</v>
          </cell>
          <cell r="CH191">
            <v>635530</v>
          </cell>
          <cell r="CI191">
            <v>0</v>
          </cell>
          <cell r="CJ191">
            <v>0</v>
          </cell>
          <cell r="CK191">
            <v>635530</v>
          </cell>
          <cell r="CL191">
            <v>-944</v>
          </cell>
          <cell r="CM191">
            <v>0</v>
          </cell>
          <cell r="CN191">
            <v>0</v>
          </cell>
          <cell r="CO191">
            <v>-944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5025</v>
          </cell>
          <cell r="CY191">
            <v>0</v>
          </cell>
          <cell r="CZ191">
            <v>0</v>
          </cell>
          <cell r="DA191">
            <v>5025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290</v>
          </cell>
          <cell r="DG191">
            <v>0</v>
          </cell>
          <cell r="DH191">
            <v>0</v>
          </cell>
          <cell r="DI191">
            <v>290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42493</v>
          </cell>
          <cell r="DY191">
            <v>0</v>
          </cell>
          <cell r="DZ191">
            <v>0</v>
          </cell>
          <cell r="EA191">
            <v>42493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</row>
        <row r="192">
          <cell r="A192">
            <v>186</v>
          </cell>
          <cell r="B192" t="str">
            <v>E4503</v>
          </cell>
          <cell r="C192" t="str">
            <v>Met</v>
          </cell>
          <cell r="D192" t="str">
            <v>NE</v>
          </cell>
          <cell r="E192" t="str">
            <v>North Tyneside</v>
          </cell>
          <cell r="F192">
            <v>78962</v>
          </cell>
          <cell r="G192">
            <v>0</v>
          </cell>
          <cell r="H192">
            <v>0</v>
          </cell>
          <cell r="I192">
            <v>78962</v>
          </cell>
          <cell r="J192">
            <v>-178619.8</v>
          </cell>
          <cell r="K192">
            <v>0</v>
          </cell>
          <cell r="L192">
            <v>0</v>
          </cell>
          <cell r="M192">
            <v>-178619.8</v>
          </cell>
          <cell r="N192">
            <v>157978.19</v>
          </cell>
          <cell r="O192">
            <v>0</v>
          </cell>
          <cell r="P192">
            <v>0</v>
          </cell>
          <cell r="Q192">
            <v>157978.19</v>
          </cell>
          <cell r="R192">
            <v>-80707.08</v>
          </cell>
          <cell r="S192">
            <v>0</v>
          </cell>
          <cell r="T192">
            <v>0</v>
          </cell>
          <cell r="U192">
            <v>-80707.08</v>
          </cell>
          <cell r="V192">
            <v>3202553</v>
          </cell>
          <cell r="W192">
            <v>0</v>
          </cell>
          <cell r="X192">
            <v>4773</v>
          </cell>
          <cell r="Y192">
            <v>3207326</v>
          </cell>
          <cell r="Z192">
            <v>204812.62</v>
          </cell>
          <cell r="AA192">
            <v>0</v>
          </cell>
          <cell r="AB192">
            <v>0</v>
          </cell>
          <cell r="AC192">
            <v>204812.62</v>
          </cell>
          <cell r="AD192">
            <v>1148206</v>
          </cell>
          <cell r="AE192">
            <v>0</v>
          </cell>
          <cell r="AF192">
            <v>9644</v>
          </cell>
          <cell r="AG192">
            <v>1157850</v>
          </cell>
          <cell r="AH192">
            <v>8964.36</v>
          </cell>
          <cell r="AI192">
            <v>0</v>
          </cell>
          <cell r="AJ192">
            <v>0</v>
          </cell>
          <cell r="AK192">
            <v>8964.36</v>
          </cell>
          <cell r="AL192">
            <v>3654879</v>
          </cell>
          <cell r="AM192">
            <v>0</v>
          </cell>
          <cell r="AN192">
            <v>0</v>
          </cell>
          <cell r="AO192">
            <v>3654879</v>
          </cell>
          <cell r="AP192">
            <v>-107706</v>
          </cell>
          <cell r="AQ192">
            <v>0</v>
          </cell>
          <cell r="AR192">
            <v>0</v>
          </cell>
          <cell r="AS192">
            <v>-107706</v>
          </cell>
          <cell r="AT192">
            <v>57423</v>
          </cell>
          <cell r="AU192">
            <v>0</v>
          </cell>
          <cell r="AV192">
            <v>0</v>
          </cell>
          <cell r="AW192">
            <v>57423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175051</v>
          </cell>
          <cell r="BK192">
            <v>0</v>
          </cell>
          <cell r="BL192">
            <v>0</v>
          </cell>
          <cell r="BM192">
            <v>175051</v>
          </cell>
          <cell r="BN192">
            <v>-44796</v>
          </cell>
          <cell r="BO192">
            <v>0</v>
          </cell>
          <cell r="BP192">
            <v>0</v>
          </cell>
          <cell r="BQ192">
            <v>-44796</v>
          </cell>
          <cell r="BR192">
            <v>3025870</v>
          </cell>
          <cell r="BS192">
            <v>0</v>
          </cell>
          <cell r="BT192">
            <v>713</v>
          </cell>
          <cell r="BU192">
            <v>3026583</v>
          </cell>
          <cell r="BV192">
            <v>128419</v>
          </cell>
          <cell r="BW192">
            <v>0</v>
          </cell>
          <cell r="BX192">
            <v>0</v>
          </cell>
          <cell r="BY192">
            <v>128419</v>
          </cell>
          <cell r="BZ192">
            <v>273842</v>
          </cell>
          <cell r="CA192">
            <v>0</v>
          </cell>
          <cell r="CB192">
            <v>0</v>
          </cell>
          <cell r="CC192">
            <v>273842</v>
          </cell>
          <cell r="CD192">
            <v>-1986</v>
          </cell>
          <cell r="CE192">
            <v>0</v>
          </cell>
          <cell r="CF192">
            <v>0</v>
          </cell>
          <cell r="CG192">
            <v>-1986</v>
          </cell>
          <cell r="CH192">
            <v>24645</v>
          </cell>
          <cell r="CI192">
            <v>0</v>
          </cell>
          <cell r="CJ192">
            <v>0</v>
          </cell>
          <cell r="CK192">
            <v>24645</v>
          </cell>
          <cell r="CL192">
            <v>-3149</v>
          </cell>
          <cell r="CM192">
            <v>0</v>
          </cell>
          <cell r="CN192">
            <v>0</v>
          </cell>
          <cell r="CO192">
            <v>-3149</v>
          </cell>
          <cell r="CP192">
            <v>14356</v>
          </cell>
          <cell r="CQ192">
            <v>0</v>
          </cell>
          <cell r="CR192">
            <v>0</v>
          </cell>
          <cell r="CS192">
            <v>14356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38943</v>
          </cell>
          <cell r="EG192">
            <v>0</v>
          </cell>
          <cell r="EH192">
            <v>0</v>
          </cell>
          <cell r="EI192">
            <v>38943</v>
          </cell>
          <cell r="EJ192">
            <v>464</v>
          </cell>
          <cell r="EK192">
            <v>0</v>
          </cell>
          <cell r="EL192">
            <v>0</v>
          </cell>
          <cell r="EM192">
            <v>464</v>
          </cell>
        </row>
        <row r="193">
          <cell r="A193">
            <v>187</v>
          </cell>
          <cell r="B193" t="str">
            <v>E3731</v>
          </cell>
          <cell r="C193" t="str">
            <v>SD</v>
          </cell>
          <cell r="D193" t="str">
            <v>WM</v>
          </cell>
          <cell r="E193" t="str">
            <v>North Warwickshire</v>
          </cell>
          <cell r="F193">
            <v>67774</v>
          </cell>
          <cell r="G193">
            <v>0</v>
          </cell>
          <cell r="H193">
            <v>0</v>
          </cell>
          <cell r="I193">
            <v>67774</v>
          </cell>
          <cell r="J193">
            <v>90052</v>
          </cell>
          <cell r="K193">
            <v>0</v>
          </cell>
          <cell r="L193">
            <v>0</v>
          </cell>
          <cell r="M193">
            <v>90052</v>
          </cell>
          <cell r="N193">
            <v>97726</v>
          </cell>
          <cell r="O193">
            <v>0</v>
          </cell>
          <cell r="P193">
            <v>0</v>
          </cell>
          <cell r="Q193">
            <v>97726</v>
          </cell>
          <cell r="R193">
            <v>976250</v>
          </cell>
          <cell r="S193">
            <v>0</v>
          </cell>
          <cell r="T193">
            <v>0</v>
          </cell>
          <cell r="U193">
            <v>976250</v>
          </cell>
          <cell r="V193">
            <v>1201587.33</v>
          </cell>
          <cell r="W193">
            <v>0</v>
          </cell>
          <cell r="X193">
            <v>0</v>
          </cell>
          <cell r="Y193">
            <v>1201587.33</v>
          </cell>
          <cell r="Z193">
            <v>47422</v>
          </cell>
          <cell r="AA193">
            <v>0</v>
          </cell>
          <cell r="AB193">
            <v>0</v>
          </cell>
          <cell r="AC193">
            <v>47422</v>
          </cell>
          <cell r="AD193">
            <v>793498</v>
          </cell>
          <cell r="AE193">
            <v>0</v>
          </cell>
          <cell r="AF193">
            <v>0</v>
          </cell>
          <cell r="AG193">
            <v>793498</v>
          </cell>
          <cell r="AH193">
            <v>-33010.019999999997</v>
          </cell>
          <cell r="AI193">
            <v>0</v>
          </cell>
          <cell r="AJ193">
            <v>0</v>
          </cell>
          <cell r="AK193">
            <v>-33010.019999999997</v>
          </cell>
          <cell r="AL193">
            <v>747101</v>
          </cell>
          <cell r="AM193">
            <v>0</v>
          </cell>
          <cell r="AN193">
            <v>0</v>
          </cell>
          <cell r="AO193">
            <v>747101</v>
          </cell>
          <cell r="AP193">
            <v>2844</v>
          </cell>
          <cell r="AQ193">
            <v>0</v>
          </cell>
          <cell r="AR193">
            <v>0</v>
          </cell>
          <cell r="AS193">
            <v>2844</v>
          </cell>
          <cell r="AT193">
            <v>27440</v>
          </cell>
          <cell r="AU193">
            <v>0</v>
          </cell>
          <cell r="AV193">
            <v>0</v>
          </cell>
          <cell r="AW193">
            <v>27440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16944</v>
          </cell>
          <cell r="BC193">
            <v>0</v>
          </cell>
          <cell r="BD193">
            <v>0</v>
          </cell>
          <cell r="BE193">
            <v>16944</v>
          </cell>
          <cell r="BF193">
            <v>30</v>
          </cell>
          <cell r="BG193">
            <v>0</v>
          </cell>
          <cell r="BH193">
            <v>0</v>
          </cell>
          <cell r="BI193">
            <v>30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106130</v>
          </cell>
          <cell r="BO193">
            <v>0</v>
          </cell>
          <cell r="BP193">
            <v>0</v>
          </cell>
          <cell r="BQ193">
            <v>106130</v>
          </cell>
          <cell r="BR193">
            <v>1259849</v>
          </cell>
          <cell r="BS193">
            <v>0</v>
          </cell>
          <cell r="BT193">
            <v>0</v>
          </cell>
          <cell r="BU193">
            <v>1259849</v>
          </cell>
          <cell r="BV193">
            <v>48383</v>
          </cell>
          <cell r="BW193">
            <v>0</v>
          </cell>
          <cell r="BX193">
            <v>0</v>
          </cell>
          <cell r="BY193">
            <v>48383</v>
          </cell>
          <cell r="BZ193">
            <v>12611</v>
          </cell>
          <cell r="CA193">
            <v>0</v>
          </cell>
          <cell r="CB193">
            <v>0</v>
          </cell>
          <cell r="CC193">
            <v>12611</v>
          </cell>
          <cell r="CD193">
            <v>801</v>
          </cell>
          <cell r="CE193">
            <v>0</v>
          </cell>
          <cell r="CF193">
            <v>0</v>
          </cell>
          <cell r="CG193">
            <v>801</v>
          </cell>
          <cell r="CH193">
            <v>578</v>
          </cell>
          <cell r="CI193">
            <v>0</v>
          </cell>
          <cell r="CJ193">
            <v>0</v>
          </cell>
          <cell r="CK193">
            <v>578</v>
          </cell>
          <cell r="CL193">
            <v>-340</v>
          </cell>
          <cell r="CM193">
            <v>0</v>
          </cell>
          <cell r="CN193">
            <v>0</v>
          </cell>
          <cell r="CO193">
            <v>-340</v>
          </cell>
          <cell r="CP193">
            <v>854</v>
          </cell>
          <cell r="CQ193">
            <v>0</v>
          </cell>
          <cell r="CR193">
            <v>0</v>
          </cell>
          <cell r="CS193">
            <v>854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</row>
        <row r="194">
          <cell r="A194">
            <v>188</v>
          </cell>
          <cell r="B194" t="str">
            <v>E2437</v>
          </cell>
          <cell r="C194" t="str">
            <v>SD</v>
          </cell>
          <cell r="D194" t="str">
            <v>EM</v>
          </cell>
          <cell r="E194" t="str">
            <v>North West Leicestershire</v>
          </cell>
          <cell r="F194">
            <v>59068.17</v>
          </cell>
          <cell r="G194">
            <v>0</v>
          </cell>
          <cell r="H194">
            <v>0</v>
          </cell>
          <cell r="I194">
            <v>59068.17</v>
          </cell>
          <cell r="J194">
            <v>-30941.01</v>
          </cell>
          <cell r="K194">
            <v>0</v>
          </cell>
          <cell r="L194">
            <v>0</v>
          </cell>
          <cell r="M194">
            <v>-30941.01</v>
          </cell>
          <cell r="N194">
            <v>61697.43</v>
          </cell>
          <cell r="O194">
            <v>0</v>
          </cell>
          <cell r="P194">
            <v>0</v>
          </cell>
          <cell r="Q194">
            <v>61697.43</v>
          </cell>
          <cell r="R194">
            <v>-172038.52</v>
          </cell>
          <cell r="S194">
            <v>0</v>
          </cell>
          <cell r="T194">
            <v>0</v>
          </cell>
          <cell r="U194">
            <v>-172038.52</v>
          </cell>
          <cell r="V194">
            <v>1723442.65</v>
          </cell>
          <cell r="W194">
            <v>0</v>
          </cell>
          <cell r="X194">
            <v>0</v>
          </cell>
          <cell r="Y194">
            <v>1723442.65</v>
          </cell>
          <cell r="Z194">
            <v>45779.62</v>
          </cell>
          <cell r="AA194">
            <v>0</v>
          </cell>
          <cell r="AB194">
            <v>0</v>
          </cell>
          <cell r="AC194">
            <v>45779.62</v>
          </cell>
          <cell r="AD194">
            <v>949885.55</v>
          </cell>
          <cell r="AE194">
            <v>0</v>
          </cell>
          <cell r="AF194">
            <v>0</v>
          </cell>
          <cell r="AG194">
            <v>949885.55</v>
          </cell>
          <cell r="AH194">
            <v>-9503.59</v>
          </cell>
          <cell r="AI194">
            <v>0</v>
          </cell>
          <cell r="AJ194">
            <v>0</v>
          </cell>
          <cell r="AK194">
            <v>-9503.59</v>
          </cell>
          <cell r="AL194">
            <v>1189490.1299999999</v>
          </cell>
          <cell r="AM194">
            <v>0</v>
          </cell>
          <cell r="AN194">
            <v>0</v>
          </cell>
          <cell r="AO194">
            <v>1189490.1299999999</v>
          </cell>
          <cell r="AP194">
            <v>29273.82</v>
          </cell>
          <cell r="AQ194">
            <v>0</v>
          </cell>
          <cell r="AR194">
            <v>0</v>
          </cell>
          <cell r="AS194">
            <v>29273.82</v>
          </cell>
          <cell r="AT194">
            <v>16541.52</v>
          </cell>
          <cell r="AU194">
            <v>0</v>
          </cell>
          <cell r="AV194">
            <v>0</v>
          </cell>
          <cell r="AW194">
            <v>16541.52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10487.63</v>
          </cell>
          <cell r="BC194">
            <v>0</v>
          </cell>
          <cell r="BD194">
            <v>0</v>
          </cell>
          <cell r="BE194">
            <v>10487.63</v>
          </cell>
          <cell r="BF194">
            <v>64.06</v>
          </cell>
          <cell r="BG194">
            <v>0</v>
          </cell>
          <cell r="BH194">
            <v>0</v>
          </cell>
          <cell r="BI194">
            <v>64.06</v>
          </cell>
          <cell r="BJ194">
            <v>291350.46000000002</v>
          </cell>
          <cell r="BK194">
            <v>0</v>
          </cell>
          <cell r="BL194">
            <v>0</v>
          </cell>
          <cell r="BM194">
            <v>291350.46000000002</v>
          </cell>
          <cell r="BN194">
            <v>87562.89</v>
          </cell>
          <cell r="BO194">
            <v>0</v>
          </cell>
          <cell r="BP194">
            <v>0</v>
          </cell>
          <cell r="BQ194">
            <v>87562.89</v>
          </cell>
          <cell r="BR194">
            <v>1852387.39</v>
          </cell>
          <cell r="BS194">
            <v>0</v>
          </cell>
          <cell r="BT194">
            <v>0</v>
          </cell>
          <cell r="BU194">
            <v>1852387.39</v>
          </cell>
          <cell r="BV194">
            <v>-9735.69</v>
          </cell>
          <cell r="BW194">
            <v>0</v>
          </cell>
          <cell r="BX194">
            <v>0</v>
          </cell>
          <cell r="BY194">
            <v>-9735.69</v>
          </cell>
          <cell r="BZ194">
            <v>43478.080000000002</v>
          </cell>
          <cell r="CA194">
            <v>0</v>
          </cell>
          <cell r="CB194">
            <v>0</v>
          </cell>
          <cell r="CC194">
            <v>43478.080000000002</v>
          </cell>
          <cell r="CD194">
            <v>830.78</v>
          </cell>
          <cell r="CE194">
            <v>0</v>
          </cell>
          <cell r="CF194">
            <v>0</v>
          </cell>
          <cell r="CG194">
            <v>830.78</v>
          </cell>
          <cell r="CH194">
            <v>70924.89</v>
          </cell>
          <cell r="CI194">
            <v>0</v>
          </cell>
          <cell r="CJ194">
            <v>0</v>
          </cell>
          <cell r="CK194">
            <v>70924.89</v>
          </cell>
          <cell r="CL194">
            <v>-2204.8000000000002</v>
          </cell>
          <cell r="CM194">
            <v>0</v>
          </cell>
          <cell r="CN194">
            <v>0</v>
          </cell>
          <cell r="CO194">
            <v>-2204.8000000000002</v>
          </cell>
          <cell r="CP194">
            <v>1538.99</v>
          </cell>
          <cell r="CQ194">
            <v>0</v>
          </cell>
          <cell r="CR194">
            <v>0</v>
          </cell>
          <cell r="CS194">
            <v>1538.99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10487.63</v>
          </cell>
          <cell r="CY194">
            <v>0</v>
          </cell>
          <cell r="CZ194">
            <v>0</v>
          </cell>
          <cell r="DA194">
            <v>10487.63</v>
          </cell>
          <cell r="DB194">
            <v>64.06</v>
          </cell>
          <cell r="DC194">
            <v>0</v>
          </cell>
          <cell r="DD194">
            <v>0</v>
          </cell>
          <cell r="DE194">
            <v>64.06</v>
          </cell>
          <cell r="DF194">
            <v>228.69</v>
          </cell>
          <cell r="DG194">
            <v>0</v>
          </cell>
          <cell r="DH194">
            <v>0</v>
          </cell>
          <cell r="DI194">
            <v>228.69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</row>
        <row r="195">
          <cell r="A195">
            <v>189</v>
          </cell>
          <cell r="B195" t="str">
            <v>E2835</v>
          </cell>
          <cell r="C195" t="str">
            <v>SD</v>
          </cell>
          <cell r="D195" t="str">
            <v>EM</v>
          </cell>
          <cell r="E195" t="str">
            <v>Northampton</v>
          </cell>
          <cell r="F195">
            <v>68982.69</v>
          </cell>
          <cell r="G195">
            <v>0</v>
          </cell>
          <cell r="H195">
            <v>0</v>
          </cell>
          <cell r="I195">
            <v>68982.69</v>
          </cell>
          <cell r="J195">
            <v>-194635.93</v>
          </cell>
          <cell r="K195">
            <v>0</v>
          </cell>
          <cell r="L195">
            <v>0</v>
          </cell>
          <cell r="M195">
            <v>-194635.93</v>
          </cell>
          <cell r="N195">
            <v>718808.18</v>
          </cell>
          <cell r="O195">
            <v>0</v>
          </cell>
          <cell r="P195">
            <v>9781.48</v>
          </cell>
          <cell r="Q195">
            <v>728589.66</v>
          </cell>
          <cell r="R195">
            <v>1949811.4</v>
          </cell>
          <cell r="S195">
            <v>0</v>
          </cell>
          <cell r="T195">
            <v>67104.740000000005</v>
          </cell>
          <cell r="U195">
            <v>2016916.14</v>
          </cell>
          <cell r="V195">
            <v>3300685.1</v>
          </cell>
          <cell r="W195">
            <v>0</v>
          </cell>
          <cell r="X195">
            <v>65205.16</v>
          </cell>
          <cell r="Y195">
            <v>3365890.26</v>
          </cell>
          <cell r="Z195">
            <v>138152.24</v>
          </cell>
          <cell r="AA195">
            <v>0</v>
          </cell>
          <cell r="AB195">
            <v>0</v>
          </cell>
          <cell r="AC195">
            <v>138152.24</v>
          </cell>
          <cell r="AD195">
            <v>1911572.93</v>
          </cell>
          <cell r="AE195">
            <v>0</v>
          </cell>
          <cell r="AF195">
            <v>80859.88</v>
          </cell>
          <cell r="AG195">
            <v>1992432.81</v>
          </cell>
          <cell r="AH195">
            <v>-44235.54</v>
          </cell>
          <cell r="AI195">
            <v>0</v>
          </cell>
          <cell r="AJ195">
            <v>-4203.12</v>
          </cell>
          <cell r="AK195">
            <v>-48438.66</v>
          </cell>
          <cell r="AL195">
            <v>6244840.0899999999</v>
          </cell>
          <cell r="AM195">
            <v>0</v>
          </cell>
          <cell r="AN195">
            <v>86833.56</v>
          </cell>
          <cell r="AO195">
            <v>6331673.6500000004</v>
          </cell>
          <cell r="AP195">
            <v>-7394.1</v>
          </cell>
          <cell r="AQ195">
            <v>0</v>
          </cell>
          <cell r="AR195">
            <v>0</v>
          </cell>
          <cell r="AS195">
            <v>-7394.1</v>
          </cell>
          <cell r="AT195">
            <v>15072</v>
          </cell>
          <cell r="AU195">
            <v>0</v>
          </cell>
          <cell r="AV195">
            <v>0</v>
          </cell>
          <cell r="AW195">
            <v>15072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622221.21</v>
          </cell>
          <cell r="BK195">
            <v>0</v>
          </cell>
          <cell r="BL195">
            <v>132291.88</v>
          </cell>
          <cell r="BM195">
            <v>754513.09</v>
          </cell>
          <cell r="BN195">
            <v>178487.46</v>
          </cell>
          <cell r="BO195">
            <v>0</v>
          </cell>
          <cell r="BP195">
            <v>6369.53</v>
          </cell>
          <cell r="BQ195">
            <v>184856.99</v>
          </cell>
          <cell r="BR195">
            <v>5029832.33</v>
          </cell>
          <cell r="BS195">
            <v>0</v>
          </cell>
          <cell r="BT195">
            <v>80034.06</v>
          </cell>
          <cell r="BU195">
            <v>5109866.3899999997</v>
          </cell>
          <cell r="BV195">
            <v>228450.52</v>
          </cell>
          <cell r="BW195">
            <v>0</v>
          </cell>
          <cell r="BX195">
            <v>-40973.440000000002</v>
          </cell>
          <cell r="BY195">
            <v>187477.08</v>
          </cell>
          <cell r="BZ195">
            <v>216179.9</v>
          </cell>
          <cell r="CA195">
            <v>0</v>
          </cell>
          <cell r="CB195">
            <v>5118.58</v>
          </cell>
          <cell r="CC195">
            <v>221298.48</v>
          </cell>
          <cell r="CD195">
            <v>-4040.59</v>
          </cell>
          <cell r="CE195">
            <v>0</v>
          </cell>
          <cell r="CF195">
            <v>0</v>
          </cell>
          <cell r="CG195">
            <v>-4040.59</v>
          </cell>
          <cell r="CH195">
            <v>184290.12</v>
          </cell>
          <cell r="CI195">
            <v>0</v>
          </cell>
          <cell r="CJ195">
            <v>0</v>
          </cell>
          <cell r="CK195">
            <v>184290.12</v>
          </cell>
          <cell r="CL195">
            <v>-10917.76</v>
          </cell>
          <cell r="CM195">
            <v>0</v>
          </cell>
          <cell r="CN195">
            <v>0</v>
          </cell>
          <cell r="CO195">
            <v>-10917.76</v>
          </cell>
          <cell r="CP195">
            <v>2826</v>
          </cell>
          <cell r="CQ195">
            <v>0</v>
          </cell>
          <cell r="CR195">
            <v>0</v>
          </cell>
          <cell r="CS195">
            <v>2826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1961148</v>
          </cell>
          <cell r="DQ195">
            <v>1961148</v>
          </cell>
          <cell r="DR195">
            <v>0</v>
          </cell>
          <cell r="DS195">
            <v>0</v>
          </cell>
          <cell r="DT195">
            <v>144501</v>
          </cell>
          <cell r="DU195">
            <v>144501</v>
          </cell>
          <cell r="DV195">
            <v>2105648.5099999998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</row>
        <row r="196">
          <cell r="A196">
            <v>190</v>
          </cell>
          <cell r="B196" t="str">
            <v>E2901</v>
          </cell>
          <cell r="C196" t="str">
            <v>UA</v>
          </cell>
          <cell r="D196" t="str">
            <v>NE</v>
          </cell>
          <cell r="E196" t="str">
            <v>Northumberland UA</v>
          </cell>
          <cell r="F196">
            <v>436042.57</v>
          </cell>
          <cell r="G196">
            <v>0</v>
          </cell>
          <cell r="H196">
            <v>0</v>
          </cell>
          <cell r="I196">
            <v>436042.57</v>
          </cell>
          <cell r="J196">
            <v>-263461.43</v>
          </cell>
          <cell r="K196">
            <v>0</v>
          </cell>
          <cell r="L196">
            <v>0</v>
          </cell>
          <cell r="M196">
            <v>-263461.43</v>
          </cell>
          <cell r="N196">
            <v>12117.06</v>
          </cell>
          <cell r="O196">
            <v>0</v>
          </cell>
          <cell r="P196">
            <v>0</v>
          </cell>
          <cell r="Q196">
            <v>12117.06</v>
          </cell>
          <cell r="R196">
            <v>-280978.44</v>
          </cell>
          <cell r="S196">
            <v>0</v>
          </cell>
          <cell r="T196">
            <v>0</v>
          </cell>
          <cell r="U196">
            <v>-280978.44</v>
          </cell>
          <cell r="V196">
            <v>7067365.2999999998</v>
          </cell>
          <cell r="W196">
            <v>0</v>
          </cell>
          <cell r="X196">
            <v>0</v>
          </cell>
          <cell r="Y196">
            <v>7067365.2999999998</v>
          </cell>
          <cell r="Z196">
            <v>477102.39</v>
          </cell>
          <cell r="AA196">
            <v>0</v>
          </cell>
          <cell r="AB196">
            <v>0</v>
          </cell>
          <cell r="AC196">
            <v>477102.39</v>
          </cell>
          <cell r="AD196">
            <v>1410803.86</v>
          </cell>
          <cell r="AE196">
            <v>0</v>
          </cell>
          <cell r="AF196">
            <v>0</v>
          </cell>
          <cell r="AG196">
            <v>1410803.86</v>
          </cell>
          <cell r="AH196">
            <v>51789.11</v>
          </cell>
          <cell r="AI196">
            <v>0</v>
          </cell>
          <cell r="AJ196">
            <v>0</v>
          </cell>
          <cell r="AK196">
            <v>51789.11</v>
          </cell>
          <cell r="AL196">
            <v>5677638.7000000002</v>
          </cell>
          <cell r="AM196">
            <v>0</v>
          </cell>
          <cell r="AN196">
            <v>0</v>
          </cell>
          <cell r="AO196">
            <v>5677638.7000000002</v>
          </cell>
          <cell r="AP196">
            <v>-61707.45</v>
          </cell>
          <cell r="AQ196">
            <v>0</v>
          </cell>
          <cell r="AR196">
            <v>0</v>
          </cell>
          <cell r="AS196">
            <v>-61707.45</v>
          </cell>
          <cell r="AT196">
            <v>177664.91</v>
          </cell>
          <cell r="AU196">
            <v>0</v>
          </cell>
          <cell r="AV196">
            <v>0</v>
          </cell>
          <cell r="AW196">
            <v>177664.91</v>
          </cell>
          <cell r="AX196">
            <v>-4764.4399999999996</v>
          </cell>
          <cell r="AY196">
            <v>0</v>
          </cell>
          <cell r="AZ196">
            <v>0</v>
          </cell>
          <cell r="BA196">
            <v>-4764.4399999999996</v>
          </cell>
          <cell r="BB196">
            <v>97502.02</v>
          </cell>
          <cell r="BC196">
            <v>0</v>
          </cell>
          <cell r="BD196">
            <v>0</v>
          </cell>
          <cell r="BE196">
            <v>97502.02</v>
          </cell>
          <cell r="BF196">
            <v>7341.04</v>
          </cell>
          <cell r="BG196">
            <v>0</v>
          </cell>
          <cell r="BH196">
            <v>0</v>
          </cell>
          <cell r="BI196">
            <v>7341.04</v>
          </cell>
          <cell r="BJ196">
            <v>40044.339999999997</v>
          </cell>
          <cell r="BK196">
            <v>0</v>
          </cell>
          <cell r="BL196">
            <v>0</v>
          </cell>
          <cell r="BM196">
            <v>40044.339999999997</v>
          </cell>
          <cell r="BN196">
            <v>22596.14</v>
          </cell>
          <cell r="BO196">
            <v>0</v>
          </cell>
          <cell r="BP196">
            <v>0</v>
          </cell>
          <cell r="BQ196">
            <v>22596.14</v>
          </cell>
          <cell r="BR196">
            <v>2513349.23</v>
          </cell>
          <cell r="BS196">
            <v>0</v>
          </cell>
          <cell r="BT196">
            <v>0</v>
          </cell>
          <cell r="BU196">
            <v>2513349.23</v>
          </cell>
          <cell r="BV196">
            <v>-55109.36</v>
          </cell>
          <cell r="BW196">
            <v>0</v>
          </cell>
          <cell r="BX196">
            <v>0</v>
          </cell>
          <cell r="BY196">
            <v>-55109.36</v>
          </cell>
          <cell r="BZ196">
            <v>546936.63</v>
          </cell>
          <cell r="CA196">
            <v>0</v>
          </cell>
          <cell r="CB196">
            <v>0</v>
          </cell>
          <cell r="CC196">
            <v>546936.63</v>
          </cell>
          <cell r="CD196">
            <v>6840.81</v>
          </cell>
          <cell r="CE196">
            <v>0</v>
          </cell>
          <cell r="CF196">
            <v>0</v>
          </cell>
          <cell r="CG196">
            <v>6840.81</v>
          </cell>
          <cell r="CH196">
            <v>342366.16</v>
          </cell>
          <cell r="CI196">
            <v>0</v>
          </cell>
          <cell r="CJ196">
            <v>0</v>
          </cell>
          <cell r="CK196">
            <v>342366.16</v>
          </cell>
          <cell r="CL196">
            <v>-2424.46</v>
          </cell>
          <cell r="CM196">
            <v>0</v>
          </cell>
          <cell r="CN196">
            <v>0</v>
          </cell>
          <cell r="CO196">
            <v>-2424.46</v>
          </cell>
          <cell r="CP196">
            <v>19312.37</v>
          </cell>
          <cell r="CQ196">
            <v>0</v>
          </cell>
          <cell r="CR196">
            <v>0</v>
          </cell>
          <cell r="CS196">
            <v>19312.37</v>
          </cell>
          <cell r="CT196">
            <v>1287.07</v>
          </cell>
          <cell r="CU196">
            <v>0</v>
          </cell>
          <cell r="CV196">
            <v>0</v>
          </cell>
          <cell r="CW196">
            <v>1287.07</v>
          </cell>
          <cell r="CX196">
            <v>9536.7199999999993</v>
          </cell>
          <cell r="CY196">
            <v>0</v>
          </cell>
          <cell r="CZ196">
            <v>0</v>
          </cell>
          <cell r="DA196">
            <v>9536.7199999999993</v>
          </cell>
          <cell r="DB196">
            <v>2863.93</v>
          </cell>
          <cell r="DC196">
            <v>0</v>
          </cell>
          <cell r="DD196">
            <v>0</v>
          </cell>
          <cell r="DE196">
            <v>2863.93</v>
          </cell>
          <cell r="DF196">
            <v>8374.6200000000008</v>
          </cell>
          <cell r="DG196">
            <v>0</v>
          </cell>
          <cell r="DH196">
            <v>0</v>
          </cell>
          <cell r="DI196">
            <v>8374.6200000000008</v>
          </cell>
          <cell r="DJ196">
            <v>-778.52</v>
          </cell>
          <cell r="DK196">
            <v>0</v>
          </cell>
          <cell r="DL196">
            <v>0</v>
          </cell>
          <cell r="DM196">
            <v>-778.52</v>
          </cell>
          <cell r="DN196">
            <v>0</v>
          </cell>
          <cell r="DO196">
            <v>0</v>
          </cell>
          <cell r="DP196">
            <v>12370.67</v>
          </cell>
          <cell r="DQ196">
            <v>12370.67</v>
          </cell>
          <cell r="DR196">
            <v>22556.5</v>
          </cell>
          <cell r="DS196">
            <v>0</v>
          </cell>
          <cell r="DT196">
            <v>-458</v>
          </cell>
          <cell r="DU196">
            <v>22098.5</v>
          </cell>
          <cell r="DV196">
            <v>11912.67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2124.7600000000002</v>
          </cell>
          <cell r="EK196">
            <v>0</v>
          </cell>
          <cell r="EL196">
            <v>0</v>
          </cell>
          <cell r="EM196">
            <v>2124.7600000000002</v>
          </cell>
        </row>
        <row r="197">
          <cell r="A197">
            <v>191</v>
          </cell>
          <cell r="B197" t="str">
            <v>E2636</v>
          </cell>
          <cell r="C197" t="str">
            <v>SD</v>
          </cell>
          <cell r="D197" t="str">
            <v>E</v>
          </cell>
          <cell r="E197" t="str">
            <v>Norwich</v>
          </cell>
          <cell r="F197">
            <v>114658</v>
          </cell>
          <cell r="G197">
            <v>0</v>
          </cell>
          <cell r="H197">
            <v>0</v>
          </cell>
          <cell r="I197">
            <v>114658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107693</v>
          </cell>
          <cell r="O197">
            <v>0</v>
          </cell>
          <cell r="P197">
            <v>0</v>
          </cell>
          <cell r="Q197">
            <v>107693</v>
          </cell>
          <cell r="R197">
            <v>950864</v>
          </cell>
          <cell r="S197">
            <v>0</v>
          </cell>
          <cell r="T197">
            <v>0</v>
          </cell>
          <cell r="U197">
            <v>950864</v>
          </cell>
          <cell r="V197">
            <v>3000844</v>
          </cell>
          <cell r="W197">
            <v>0</v>
          </cell>
          <cell r="X197">
            <v>0</v>
          </cell>
          <cell r="Y197">
            <v>3000844</v>
          </cell>
          <cell r="Z197">
            <v>114984</v>
          </cell>
          <cell r="AA197">
            <v>0</v>
          </cell>
          <cell r="AB197">
            <v>0</v>
          </cell>
          <cell r="AC197">
            <v>114984</v>
          </cell>
          <cell r="AD197">
            <v>1561537</v>
          </cell>
          <cell r="AE197">
            <v>0</v>
          </cell>
          <cell r="AF197">
            <v>0</v>
          </cell>
          <cell r="AG197">
            <v>1561537</v>
          </cell>
          <cell r="AH197">
            <v>14092</v>
          </cell>
          <cell r="AI197">
            <v>0</v>
          </cell>
          <cell r="AJ197">
            <v>0</v>
          </cell>
          <cell r="AK197">
            <v>14092</v>
          </cell>
          <cell r="AL197">
            <v>5051995</v>
          </cell>
          <cell r="AM197">
            <v>0</v>
          </cell>
          <cell r="AN197">
            <v>0</v>
          </cell>
          <cell r="AO197">
            <v>5051995</v>
          </cell>
          <cell r="AP197">
            <v>152789</v>
          </cell>
          <cell r="AQ197">
            <v>0</v>
          </cell>
          <cell r="AR197">
            <v>0</v>
          </cell>
          <cell r="AS197">
            <v>152789</v>
          </cell>
          <cell r="AT197">
            <v>23511</v>
          </cell>
          <cell r="AU197">
            <v>0</v>
          </cell>
          <cell r="AV197">
            <v>0</v>
          </cell>
          <cell r="AW197">
            <v>23511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23297</v>
          </cell>
          <cell r="BK197">
            <v>0</v>
          </cell>
          <cell r="BL197">
            <v>0</v>
          </cell>
          <cell r="BM197">
            <v>23297</v>
          </cell>
          <cell r="BN197">
            <v>25782</v>
          </cell>
          <cell r="BO197">
            <v>0</v>
          </cell>
          <cell r="BP197">
            <v>0</v>
          </cell>
          <cell r="BQ197">
            <v>25782</v>
          </cell>
          <cell r="BR197">
            <v>4227666</v>
          </cell>
          <cell r="BS197">
            <v>0</v>
          </cell>
          <cell r="BT197">
            <v>0</v>
          </cell>
          <cell r="BU197">
            <v>4227666</v>
          </cell>
          <cell r="BV197">
            <v>145611</v>
          </cell>
          <cell r="BW197">
            <v>0</v>
          </cell>
          <cell r="BX197">
            <v>0</v>
          </cell>
          <cell r="BY197">
            <v>145611</v>
          </cell>
          <cell r="BZ197">
            <v>106112</v>
          </cell>
          <cell r="CA197">
            <v>0</v>
          </cell>
          <cell r="CB197">
            <v>0</v>
          </cell>
          <cell r="CC197">
            <v>106112</v>
          </cell>
          <cell r="CD197">
            <v>-880</v>
          </cell>
          <cell r="CE197">
            <v>0</v>
          </cell>
          <cell r="CF197">
            <v>0</v>
          </cell>
          <cell r="CG197">
            <v>-880</v>
          </cell>
          <cell r="CH197">
            <v>56358</v>
          </cell>
          <cell r="CI197">
            <v>0</v>
          </cell>
          <cell r="CJ197">
            <v>0</v>
          </cell>
          <cell r="CK197">
            <v>56358</v>
          </cell>
          <cell r="CL197">
            <v>1377</v>
          </cell>
          <cell r="CM197">
            <v>0</v>
          </cell>
          <cell r="CN197">
            <v>0</v>
          </cell>
          <cell r="CO197">
            <v>1377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</row>
        <row r="198">
          <cell r="A198">
            <v>192</v>
          </cell>
          <cell r="B198" t="str">
            <v>E3001</v>
          </cell>
          <cell r="C198" t="str">
            <v>UA</v>
          </cell>
          <cell r="D198" t="str">
            <v>EM</v>
          </cell>
          <cell r="E198" t="str">
            <v>Nottingham UA</v>
          </cell>
          <cell r="F198">
            <v>101468</v>
          </cell>
          <cell r="G198">
            <v>4295</v>
          </cell>
          <cell r="H198">
            <v>0</v>
          </cell>
          <cell r="I198">
            <v>105763</v>
          </cell>
          <cell r="J198">
            <v>44029</v>
          </cell>
          <cell r="K198">
            <v>0</v>
          </cell>
          <cell r="L198">
            <v>0</v>
          </cell>
          <cell r="M198">
            <v>44029</v>
          </cell>
          <cell r="N198">
            <v>681763</v>
          </cell>
          <cell r="O198">
            <v>38923</v>
          </cell>
          <cell r="P198">
            <v>881</v>
          </cell>
          <cell r="Q198">
            <v>721567</v>
          </cell>
          <cell r="R198">
            <v>211920</v>
          </cell>
          <cell r="S198">
            <v>0</v>
          </cell>
          <cell r="T198">
            <v>409</v>
          </cell>
          <cell r="U198">
            <v>212329</v>
          </cell>
          <cell r="V198">
            <v>4637079</v>
          </cell>
          <cell r="W198">
            <v>197205</v>
          </cell>
          <cell r="X198">
            <v>2599</v>
          </cell>
          <cell r="Y198">
            <v>4836883</v>
          </cell>
          <cell r="Z198">
            <v>162066</v>
          </cell>
          <cell r="AA198">
            <v>0</v>
          </cell>
          <cell r="AB198">
            <v>0</v>
          </cell>
          <cell r="AC198">
            <v>162066</v>
          </cell>
          <cell r="AD198">
            <v>2466898</v>
          </cell>
          <cell r="AE198">
            <v>102787</v>
          </cell>
          <cell r="AF198">
            <v>75400</v>
          </cell>
          <cell r="AG198">
            <v>2645085</v>
          </cell>
          <cell r="AH198">
            <v>17931</v>
          </cell>
          <cell r="AI198">
            <v>0</v>
          </cell>
          <cell r="AJ198">
            <v>0</v>
          </cell>
          <cell r="AK198">
            <v>17931</v>
          </cell>
          <cell r="AL198">
            <v>11593231</v>
          </cell>
          <cell r="AM198">
            <v>521703</v>
          </cell>
          <cell r="AN198">
            <v>0</v>
          </cell>
          <cell r="AO198">
            <v>12114934</v>
          </cell>
          <cell r="AP198">
            <v>10908</v>
          </cell>
          <cell r="AQ198">
            <v>0</v>
          </cell>
          <cell r="AR198">
            <v>0</v>
          </cell>
          <cell r="AS198">
            <v>10908</v>
          </cell>
          <cell r="AT198">
            <v>45308</v>
          </cell>
          <cell r="AU198">
            <v>0</v>
          </cell>
          <cell r="AV198">
            <v>0</v>
          </cell>
          <cell r="AW198">
            <v>45308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111283</v>
          </cell>
          <cell r="BK198">
            <v>7922</v>
          </cell>
          <cell r="BL198">
            <v>17167</v>
          </cell>
          <cell r="BM198">
            <v>136372</v>
          </cell>
          <cell r="BN198">
            <v>239184</v>
          </cell>
          <cell r="BO198">
            <v>0</v>
          </cell>
          <cell r="BP198">
            <v>0</v>
          </cell>
          <cell r="BQ198">
            <v>239184</v>
          </cell>
          <cell r="BR198">
            <v>6219159</v>
          </cell>
          <cell r="BS198">
            <v>567331</v>
          </cell>
          <cell r="BT198">
            <v>0</v>
          </cell>
          <cell r="BU198">
            <v>6786490</v>
          </cell>
          <cell r="BV198">
            <v>301686</v>
          </cell>
          <cell r="BW198">
            <v>0</v>
          </cell>
          <cell r="BX198">
            <v>0</v>
          </cell>
          <cell r="BY198">
            <v>301686</v>
          </cell>
          <cell r="BZ198">
            <v>148161</v>
          </cell>
          <cell r="CA198">
            <v>1677</v>
          </cell>
          <cell r="CB198">
            <v>0</v>
          </cell>
          <cell r="CC198">
            <v>149838</v>
          </cell>
          <cell r="CD198">
            <v>4692</v>
          </cell>
          <cell r="CE198">
            <v>0</v>
          </cell>
          <cell r="CF198">
            <v>0</v>
          </cell>
          <cell r="CG198">
            <v>4692</v>
          </cell>
          <cell r="CH198">
            <v>247540</v>
          </cell>
          <cell r="CI198">
            <v>263194</v>
          </cell>
          <cell r="CJ198">
            <v>0</v>
          </cell>
          <cell r="CK198">
            <v>510734</v>
          </cell>
          <cell r="CL198">
            <v>25958</v>
          </cell>
          <cell r="CM198">
            <v>0</v>
          </cell>
          <cell r="CN198">
            <v>0</v>
          </cell>
          <cell r="CO198">
            <v>25958</v>
          </cell>
          <cell r="CP198">
            <v>819.4</v>
          </cell>
          <cell r="CQ198">
            <v>0</v>
          </cell>
          <cell r="CR198">
            <v>0</v>
          </cell>
          <cell r="CS198">
            <v>819.4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</row>
        <row r="199">
          <cell r="A199">
            <v>193</v>
          </cell>
          <cell r="B199" t="str">
            <v>E3732</v>
          </cell>
          <cell r="C199" t="str">
            <v>SD</v>
          </cell>
          <cell r="D199" t="str">
            <v>WM</v>
          </cell>
          <cell r="E199" t="str">
            <v>Nuneaton &amp; Bedworth</v>
          </cell>
          <cell r="F199">
            <v>35890</v>
          </cell>
          <cell r="G199">
            <v>0</v>
          </cell>
          <cell r="H199">
            <v>0</v>
          </cell>
          <cell r="I199">
            <v>35890</v>
          </cell>
          <cell r="J199">
            <v>-69540</v>
          </cell>
          <cell r="K199">
            <v>0</v>
          </cell>
          <cell r="L199">
            <v>0</v>
          </cell>
          <cell r="M199">
            <v>-69540</v>
          </cell>
          <cell r="N199">
            <v>54585</v>
          </cell>
          <cell r="O199">
            <v>0</v>
          </cell>
          <cell r="P199">
            <v>0</v>
          </cell>
          <cell r="Q199">
            <v>54585</v>
          </cell>
          <cell r="R199">
            <v>78811</v>
          </cell>
          <cell r="S199">
            <v>0</v>
          </cell>
          <cell r="T199">
            <v>0</v>
          </cell>
          <cell r="U199">
            <v>78811</v>
          </cell>
          <cell r="V199">
            <v>1714375</v>
          </cell>
          <cell r="W199">
            <v>0</v>
          </cell>
          <cell r="X199">
            <v>0</v>
          </cell>
          <cell r="Y199">
            <v>1714375</v>
          </cell>
          <cell r="Z199">
            <v>107482</v>
          </cell>
          <cell r="AA199">
            <v>0</v>
          </cell>
          <cell r="AB199">
            <v>0</v>
          </cell>
          <cell r="AC199">
            <v>107482</v>
          </cell>
          <cell r="AD199">
            <v>642392</v>
          </cell>
          <cell r="AE199">
            <v>0</v>
          </cell>
          <cell r="AF199">
            <v>0</v>
          </cell>
          <cell r="AG199">
            <v>642392</v>
          </cell>
          <cell r="AH199">
            <v>-16932</v>
          </cell>
          <cell r="AI199">
            <v>0</v>
          </cell>
          <cell r="AJ199">
            <v>0</v>
          </cell>
          <cell r="AK199">
            <v>-16932</v>
          </cell>
          <cell r="AL199">
            <v>1790973</v>
          </cell>
          <cell r="AM199">
            <v>0</v>
          </cell>
          <cell r="AN199">
            <v>0</v>
          </cell>
          <cell r="AO199">
            <v>1790973</v>
          </cell>
          <cell r="AP199">
            <v>-7906</v>
          </cell>
          <cell r="AQ199">
            <v>0</v>
          </cell>
          <cell r="AR199">
            <v>0</v>
          </cell>
          <cell r="AS199">
            <v>-7906</v>
          </cell>
          <cell r="AT199">
            <v>11605</v>
          </cell>
          <cell r="AU199">
            <v>0</v>
          </cell>
          <cell r="AV199">
            <v>0</v>
          </cell>
          <cell r="AW199">
            <v>11605</v>
          </cell>
          <cell r="AX199">
            <v>1258</v>
          </cell>
          <cell r="AY199">
            <v>0</v>
          </cell>
          <cell r="AZ199">
            <v>0</v>
          </cell>
          <cell r="BA199">
            <v>1258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13911</v>
          </cell>
          <cell r="BK199">
            <v>0</v>
          </cell>
          <cell r="BL199">
            <v>0</v>
          </cell>
          <cell r="BM199">
            <v>13911</v>
          </cell>
          <cell r="BN199">
            <v>-358</v>
          </cell>
          <cell r="BO199">
            <v>0</v>
          </cell>
          <cell r="BP199">
            <v>0</v>
          </cell>
          <cell r="BQ199">
            <v>-358</v>
          </cell>
          <cell r="BR199">
            <v>1115563</v>
          </cell>
          <cell r="BS199">
            <v>0</v>
          </cell>
          <cell r="BT199">
            <v>0</v>
          </cell>
          <cell r="BU199">
            <v>1115563</v>
          </cell>
          <cell r="BV199">
            <v>-20259</v>
          </cell>
          <cell r="BW199">
            <v>0</v>
          </cell>
          <cell r="BX199">
            <v>0</v>
          </cell>
          <cell r="BY199">
            <v>-20259</v>
          </cell>
          <cell r="BZ199">
            <v>110628</v>
          </cell>
          <cell r="CA199">
            <v>0</v>
          </cell>
          <cell r="CB199">
            <v>0</v>
          </cell>
          <cell r="CC199">
            <v>110628</v>
          </cell>
          <cell r="CD199">
            <v>-451</v>
          </cell>
          <cell r="CE199">
            <v>0</v>
          </cell>
          <cell r="CF199">
            <v>0</v>
          </cell>
          <cell r="CG199">
            <v>-451</v>
          </cell>
          <cell r="CH199">
            <v>86338</v>
          </cell>
          <cell r="CI199">
            <v>0</v>
          </cell>
          <cell r="CJ199">
            <v>0</v>
          </cell>
          <cell r="CK199">
            <v>86338</v>
          </cell>
          <cell r="CL199">
            <v>-2538</v>
          </cell>
          <cell r="CM199">
            <v>0</v>
          </cell>
          <cell r="CN199">
            <v>0</v>
          </cell>
          <cell r="CO199">
            <v>-2538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</row>
        <row r="200">
          <cell r="A200">
            <v>194</v>
          </cell>
          <cell r="B200" t="str">
            <v>E2438</v>
          </cell>
          <cell r="C200" t="str">
            <v>SD</v>
          </cell>
          <cell r="D200" t="str">
            <v>EM</v>
          </cell>
          <cell r="E200" t="str">
            <v>Oadby &amp; Wigston</v>
          </cell>
          <cell r="F200">
            <v>8166</v>
          </cell>
          <cell r="G200">
            <v>0</v>
          </cell>
          <cell r="H200">
            <v>0</v>
          </cell>
          <cell r="I200">
            <v>8166</v>
          </cell>
          <cell r="J200">
            <v>-5597</v>
          </cell>
          <cell r="K200">
            <v>0</v>
          </cell>
          <cell r="L200">
            <v>0</v>
          </cell>
          <cell r="M200">
            <v>-5597</v>
          </cell>
          <cell r="N200">
            <v>2550</v>
          </cell>
          <cell r="O200">
            <v>0</v>
          </cell>
          <cell r="P200">
            <v>0</v>
          </cell>
          <cell r="Q200">
            <v>2550</v>
          </cell>
          <cell r="R200">
            <v>-3776</v>
          </cell>
          <cell r="S200">
            <v>0</v>
          </cell>
          <cell r="T200">
            <v>0</v>
          </cell>
          <cell r="U200">
            <v>-3776</v>
          </cell>
          <cell r="V200">
            <v>992084</v>
          </cell>
          <cell r="W200">
            <v>0</v>
          </cell>
          <cell r="X200">
            <v>0</v>
          </cell>
          <cell r="Y200">
            <v>992084</v>
          </cell>
          <cell r="Z200">
            <v>18114</v>
          </cell>
          <cell r="AA200">
            <v>0</v>
          </cell>
          <cell r="AB200">
            <v>0</v>
          </cell>
          <cell r="AC200">
            <v>18114</v>
          </cell>
          <cell r="AD200">
            <v>227416</v>
          </cell>
          <cell r="AE200">
            <v>0</v>
          </cell>
          <cell r="AF200">
            <v>0</v>
          </cell>
          <cell r="AG200">
            <v>227416</v>
          </cell>
          <cell r="AH200">
            <v>-2417</v>
          </cell>
          <cell r="AI200">
            <v>0</v>
          </cell>
          <cell r="AJ200">
            <v>0</v>
          </cell>
          <cell r="AK200">
            <v>-2417</v>
          </cell>
          <cell r="AL200">
            <v>1374636</v>
          </cell>
          <cell r="AM200">
            <v>0</v>
          </cell>
          <cell r="AN200">
            <v>0</v>
          </cell>
          <cell r="AO200">
            <v>1374636</v>
          </cell>
          <cell r="AP200">
            <v>150124</v>
          </cell>
          <cell r="AQ200">
            <v>0</v>
          </cell>
          <cell r="AR200">
            <v>0</v>
          </cell>
          <cell r="AS200">
            <v>150124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1227</v>
          </cell>
          <cell r="BK200">
            <v>0</v>
          </cell>
          <cell r="BL200">
            <v>0</v>
          </cell>
          <cell r="BM200">
            <v>1227</v>
          </cell>
          <cell r="BN200">
            <v>12349</v>
          </cell>
          <cell r="BO200">
            <v>0</v>
          </cell>
          <cell r="BP200">
            <v>0</v>
          </cell>
          <cell r="BQ200">
            <v>12349</v>
          </cell>
          <cell r="BR200">
            <v>555945</v>
          </cell>
          <cell r="BS200">
            <v>0</v>
          </cell>
          <cell r="BT200">
            <v>0</v>
          </cell>
          <cell r="BU200">
            <v>555945</v>
          </cell>
          <cell r="BV200">
            <v>-13078</v>
          </cell>
          <cell r="BW200">
            <v>0</v>
          </cell>
          <cell r="BX200">
            <v>0</v>
          </cell>
          <cell r="BY200">
            <v>-13078</v>
          </cell>
          <cell r="BZ200">
            <v>54160</v>
          </cell>
          <cell r="CA200">
            <v>0</v>
          </cell>
          <cell r="CB200">
            <v>0</v>
          </cell>
          <cell r="CC200">
            <v>54160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12904</v>
          </cell>
          <cell r="CI200">
            <v>0</v>
          </cell>
          <cell r="CJ200">
            <v>0</v>
          </cell>
          <cell r="CK200">
            <v>12904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</row>
        <row r="201">
          <cell r="A201">
            <v>195</v>
          </cell>
          <cell r="B201" t="str">
            <v>E4204</v>
          </cell>
          <cell r="C201" t="str">
            <v>Met</v>
          </cell>
          <cell r="D201" t="str">
            <v>NW</v>
          </cell>
          <cell r="E201" t="str">
            <v>Oldham</v>
          </cell>
          <cell r="F201">
            <v>98072</v>
          </cell>
          <cell r="G201">
            <v>0</v>
          </cell>
          <cell r="H201">
            <v>0</v>
          </cell>
          <cell r="I201">
            <v>98072</v>
          </cell>
          <cell r="J201">
            <v>-165481</v>
          </cell>
          <cell r="K201">
            <v>0</v>
          </cell>
          <cell r="L201">
            <v>0</v>
          </cell>
          <cell r="M201">
            <v>-165481</v>
          </cell>
          <cell r="N201">
            <v>29571</v>
          </cell>
          <cell r="O201">
            <v>0</v>
          </cell>
          <cell r="P201">
            <v>0</v>
          </cell>
          <cell r="Q201">
            <v>29571</v>
          </cell>
          <cell r="R201">
            <v>259957</v>
          </cell>
          <cell r="S201">
            <v>0</v>
          </cell>
          <cell r="T201">
            <v>0</v>
          </cell>
          <cell r="U201">
            <v>259957</v>
          </cell>
          <cell r="V201">
            <v>5335242</v>
          </cell>
          <cell r="W201">
            <v>0</v>
          </cell>
          <cell r="X201">
            <v>0</v>
          </cell>
          <cell r="Y201">
            <v>5335242</v>
          </cell>
          <cell r="Z201">
            <v>235595</v>
          </cell>
          <cell r="AA201">
            <v>0</v>
          </cell>
          <cell r="AB201">
            <v>0</v>
          </cell>
          <cell r="AC201">
            <v>235595</v>
          </cell>
          <cell r="AD201">
            <v>1157618</v>
          </cell>
          <cell r="AE201">
            <v>0</v>
          </cell>
          <cell r="AF201">
            <v>0</v>
          </cell>
          <cell r="AG201">
            <v>1157618</v>
          </cell>
          <cell r="AH201">
            <v>-39117</v>
          </cell>
          <cell r="AI201">
            <v>0</v>
          </cell>
          <cell r="AJ201">
            <v>0</v>
          </cell>
          <cell r="AK201">
            <v>-39117</v>
          </cell>
          <cell r="AL201">
            <v>5286818</v>
          </cell>
          <cell r="AM201">
            <v>0</v>
          </cell>
          <cell r="AN201">
            <v>0</v>
          </cell>
          <cell r="AO201">
            <v>5286818</v>
          </cell>
          <cell r="AP201">
            <v>344142</v>
          </cell>
          <cell r="AQ201">
            <v>0</v>
          </cell>
          <cell r="AR201">
            <v>0</v>
          </cell>
          <cell r="AS201">
            <v>344142</v>
          </cell>
          <cell r="AT201">
            <v>85183</v>
          </cell>
          <cell r="AU201">
            <v>0</v>
          </cell>
          <cell r="AV201">
            <v>0</v>
          </cell>
          <cell r="AW201">
            <v>85183</v>
          </cell>
          <cell r="AX201">
            <v>5070</v>
          </cell>
          <cell r="AY201">
            <v>0</v>
          </cell>
          <cell r="AZ201">
            <v>0</v>
          </cell>
          <cell r="BA201">
            <v>5070</v>
          </cell>
          <cell r="BB201">
            <v>11822</v>
          </cell>
          <cell r="BC201">
            <v>0</v>
          </cell>
          <cell r="BD201">
            <v>0</v>
          </cell>
          <cell r="BE201">
            <v>11822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4511</v>
          </cell>
          <cell r="BK201">
            <v>0</v>
          </cell>
          <cell r="BL201">
            <v>0</v>
          </cell>
          <cell r="BM201">
            <v>4511</v>
          </cell>
          <cell r="BN201">
            <v>-2004</v>
          </cell>
          <cell r="BO201">
            <v>0</v>
          </cell>
          <cell r="BP201">
            <v>0</v>
          </cell>
          <cell r="BQ201">
            <v>-2004</v>
          </cell>
          <cell r="BR201">
            <v>3222610</v>
          </cell>
          <cell r="BS201">
            <v>0</v>
          </cell>
          <cell r="BT201">
            <v>0</v>
          </cell>
          <cell r="BU201">
            <v>3222610</v>
          </cell>
          <cell r="BV201">
            <v>-29947</v>
          </cell>
          <cell r="BW201">
            <v>0</v>
          </cell>
          <cell r="BX201">
            <v>0</v>
          </cell>
          <cell r="BY201">
            <v>-29947</v>
          </cell>
          <cell r="BZ201">
            <v>224228</v>
          </cell>
          <cell r="CA201">
            <v>0</v>
          </cell>
          <cell r="CB201">
            <v>0</v>
          </cell>
          <cell r="CC201">
            <v>224228</v>
          </cell>
          <cell r="CD201">
            <v>7249</v>
          </cell>
          <cell r="CE201">
            <v>0</v>
          </cell>
          <cell r="CF201">
            <v>0</v>
          </cell>
          <cell r="CG201">
            <v>7249</v>
          </cell>
          <cell r="CH201">
            <v>70862</v>
          </cell>
          <cell r="CI201">
            <v>0</v>
          </cell>
          <cell r="CJ201">
            <v>0</v>
          </cell>
          <cell r="CK201">
            <v>70862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337</v>
          </cell>
          <cell r="CQ201">
            <v>0</v>
          </cell>
          <cell r="CR201">
            <v>0</v>
          </cell>
          <cell r="CS201">
            <v>337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1625</v>
          </cell>
          <cell r="CY201">
            <v>0</v>
          </cell>
          <cell r="CZ201">
            <v>0</v>
          </cell>
          <cell r="DA201">
            <v>1625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10833</v>
          </cell>
          <cell r="EG201">
            <v>0</v>
          </cell>
          <cell r="EH201">
            <v>0</v>
          </cell>
          <cell r="EI201">
            <v>10833</v>
          </cell>
          <cell r="EJ201">
            <v>-534</v>
          </cell>
          <cell r="EK201">
            <v>0</v>
          </cell>
          <cell r="EL201">
            <v>0</v>
          </cell>
          <cell r="EM201">
            <v>-534</v>
          </cell>
        </row>
        <row r="202">
          <cell r="A202">
            <v>196</v>
          </cell>
          <cell r="B202" t="str">
            <v>E3132</v>
          </cell>
          <cell r="C202" t="str">
            <v>SD</v>
          </cell>
          <cell r="D202" t="str">
            <v>SE</v>
          </cell>
          <cell r="E202" t="str">
            <v>Oxford</v>
          </cell>
          <cell r="F202">
            <v>110436</v>
          </cell>
          <cell r="G202">
            <v>0</v>
          </cell>
          <cell r="H202">
            <v>0</v>
          </cell>
          <cell r="I202">
            <v>110436</v>
          </cell>
          <cell r="J202">
            <v>-91183</v>
          </cell>
          <cell r="K202">
            <v>0</v>
          </cell>
          <cell r="L202">
            <v>0</v>
          </cell>
          <cell r="M202">
            <v>-91183</v>
          </cell>
          <cell r="N202">
            <v>148935</v>
          </cell>
          <cell r="O202">
            <v>0</v>
          </cell>
          <cell r="P202">
            <v>0</v>
          </cell>
          <cell r="Q202">
            <v>148935</v>
          </cell>
          <cell r="R202">
            <v>184027</v>
          </cell>
          <cell r="S202">
            <v>0</v>
          </cell>
          <cell r="T202">
            <v>0</v>
          </cell>
          <cell r="U202">
            <v>184027</v>
          </cell>
          <cell r="V202">
            <v>1091472</v>
          </cell>
          <cell r="W202">
            <v>0</v>
          </cell>
          <cell r="X202">
            <v>0</v>
          </cell>
          <cell r="Y202">
            <v>1091472</v>
          </cell>
          <cell r="Z202">
            <v>39519</v>
          </cell>
          <cell r="AA202">
            <v>0</v>
          </cell>
          <cell r="AB202">
            <v>0</v>
          </cell>
          <cell r="AC202">
            <v>39519</v>
          </cell>
          <cell r="AD202">
            <v>1960723</v>
          </cell>
          <cell r="AE202">
            <v>0</v>
          </cell>
          <cell r="AF202">
            <v>0</v>
          </cell>
          <cell r="AG202">
            <v>1960723</v>
          </cell>
          <cell r="AH202">
            <v>-27896</v>
          </cell>
          <cell r="AI202">
            <v>0</v>
          </cell>
          <cell r="AJ202">
            <v>0</v>
          </cell>
          <cell r="AK202">
            <v>-27896</v>
          </cell>
          <cell r="AL202">
            <v>19578952</v>
          </cell>
          <cell r="AM202">
            <v>0</v>
          </cell>
          <cell r="AN202">
            <v>0</v>
          </cell>
          <cell r="AO202">
            <v>19578952</v>
          </cell>
          <cell r="AP202">
            <v>-396841</v>
          </cell>
          <cell r="AQ202">
            <v>0</v>
          </cell>
          <cell r="AR202">
            <v>0</v>
          </cell>
          <cell r="AS202">
            <v>-396841</v>
          </cell>
          <cell r="AT202">
            <v>33177</v>
          </cell>
          <cell r="AU202">
            <v>0</v>
          </cell>
          <cell r="AV202">
            <v>0</v>
          </cell>
          <cell r="AW202">
            <v>33177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68416</v>
          </cell>
          <cell r="BK202">
            <v>0</v>
          </cell>
          <cell r="BL202">
            <v>0</v>
          </cell>
          <cell r="BM202">
            <v>68416</v>
          </cell>
          <cell r="BN202">
            <v>104670</v>
          </cell>
          <cell r="BO202">
            <v>0</v>
          </cell>
          <cell r="BP202">
            <v>0</v>
          </cell>
          <cell r="BQ202">
            <v>104670</v>
          </cell>
          <cell r="BR202">
            <v>1898532</v>
          </cell>
          <cell r="BS202">
            <v>0</v>
          </cell>
          <cell r="BT202">
            <v>0</v>
          </cell>
          <cell r="BU202">
            <v>1898532</v>
          </cell>
          <cell r="BV202">
            <v>10533</v>
          </cell>
          <cell r="BW202">
            <v>0</v>
          </cell>
          <cell r="BX202">
            <v>0</v>
          </cell>
          <cell r="BY202">
            <v>10533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50862</v>
          </cell>
          <cell r="CI202">
            <v>0</v>
          </cell>
          <cell r="CJ202">
            <v>0</v>
          </cell>
          <cell r="CK202">
            <v>50862</v>
          </cell>
          <cell r="CL202">
            <v>-5633</v>
          </cell>
          <cell r="CM202">
            <v>0</v>
          </cell>
          <cell r="CN202">
            <v>0</v>
          </cell>
          <cell r="CO202">
            <v>-5633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</row>
        <row r="203">
          <cell r="A203">
            <v>197</v>
          </cell>
          <cell r="B203" t="str">
            <v>E2338</v>
          </cell>
          <cell r="C203" t="str">
            <v>SD</v>
          </cell>
          <cell r="D203" t="str">
            <v>NW</v>
          </cell>
          <cell r="E203" t="str">
            <v>Pendle</v>
          </cell>
          <cell r="F203">
            <v>90589</v>
          </cell>
          <cell r="G203">
            <v>0</v>
          </cell>
          <cell r="H203">
            <v>0</v>
          </cell>
          <cell r="I203">
            <v>90589</v>
          </cell>
          <cell r="J203">
            <v>34798</v>
          </cell>
          <cell r="K203">
            <v>0</v>
          </cell>
          <cell r="L203">
            <v>0</v>
          </cell>
          <cell r="M203">
            <v>34798</v>
          </cell>
          <cell r="N203">
            <v>54166</v>
          </cell>
          <cell r="O203">
            <v>0</v>
          </cell>
          <cell r="P203">
            <v>0</v>
          </cell>
          <cell r="Q203">
            <v>54166</v>
          </cell>
          <cell r="R203">
            <v>6117</v>
          </cell>
          <cell r="S203">
            <v>0</v>
          </cell>
          <cell r="T203">
            <v>0</v>
          </cell>
          <cell r="U203">
            <v>6117</v>
          </cell>
          <cell r="V203">
            <v>2487885</v>
          </cell>
          <cell r="W203">
            <v>0</v>
          </cell>
          <cell r="X203">
            <v>0</v>
          </cell>
          <cell r="Y203">
            <v>2487885</v>
          </cell>
          <cell r="Z203">
            <v>117881</v>
          </cell>
          <cell r="AA203">
            <v>0</v>
          </cell>
          <cell r="AB203">
            <v>0</v>
          </cell>
          <cell r="AC203">
            <v>117881</v>
          </cell>
          <cell r="AD203">
            <v>441276</v>
          </cell>
          <cell r="AE203">
            <v>0</v>
          </cell>
          <cell r="AF203">
            <v>0</v>
          </cell>
          <cell r="AG203">
            <v>441276</v>
          </cell>
          <cell r="AH203">
            <v>-1087</v>
          </cell>
          <cell r="AI203">
            <v>0</v>
          </cell>
          <cell r="AJ203">
            <v>0</v>
          </cell>
          <cell r="AK203">
            <v>-1087</v>
          </cell>
          <cell r="AL203">
            <v>995682</v>
          </cell>
          <cell r="AM203">
            <v>0</v>
          </cell>
          <cell r="AN203">
            <v>0</v>
          </cell>
          <cell r="AO203">
            <v>995682</v>
          </cell>
          <cell r="AP203">
            <v>19715</v>
          </cell>
          <cell r="AQ203">
            <v>0</v>
          </cell>
          <cell r="AR203">
            <v>0</v>
          </cell>
          <cell r="AS203">
            <v>19715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671</v>
          </cell>
          <cell r="BC203">
            <v>0</v>
          </cell>
          <cell r="BD203">
            <v>0</v>
          </cell>
          <cell r="BE203">
            <v>671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4741</v>
          </cell>
          <cell r="BK203">
            <v>0</v>
          </cell>
          <cell r="BL203">
            <v>0</v>
          </cell>
          <cell r="BM203">
            <v>4741</v>
          </cell>
          <cell r="BN203">
            <v>-3626</v>
          </cell>
          <cell r="BO203">
            <v>0</v>
          </cell>
          <cell r="BP203">
            <v>0</v>
          </cell>
          <cell r="BQ203">
            <v>-3626</v>
          </cell>
          <cell r="BR203">
            <v>1062548</v>
          </cell>
          <cell r="BS203">
            <v>0</v>
          </cell>
          <cell r="BT203">
            <v>0</v>
          </cell>
          <cell r="BU203">
            <v>1062548</v>
          </cell>
          <cell r="BV203">
            <v>50901</v>
          </cell>
          <cell r="BW203">
            <v>0</v>
          </cell>
          <cell r="BX203">
            <v>0</v>
          </cell>
          <cell r="BY203">
            <v>50901</v>
          </cell>
          <cell r="BZ203">
            <v>115631</v>
          </cell>
          <cell r="CA203">
            <v>0</v>
          </cell>
          <cell r="CB203">
            <v>0</v>
          </cell>
          <cell r="CC203">
            <v>115631</v>
          </cell>
          <cell r="CD203">
            <v>1055</v>
          </cell>
          <cell r="CE203">
            <v>0</v>
          </cell>
          <cell r="CF203">
            <v>0</v>
          </cell>
          <cell r="CG203">
            <v>1055</v>
          </cell>
          <cell r="CH203">
            <v>107330</v>
          </cell>
          <cell r="CI203">
            <v>0</v>
          </cell>
          <cell r="CJ203">
            <v>0</v>
          </cell>
          <cell r="CK203">
            <v>107330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671</v>
          </cell>
          <cell r="CY203">
            <v>0</v>
          </cell>
          <cell r="CZ203">
            <v>0</v>
          </cell>
          <cell r="DA203">
            <v>671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</row>
        <row r="204">
          <cell r="A204">
            <v>198</v>
          </cell>
          <cell r="B204" t="str">
            <v>E0501</v>
          </cell>
          <cell r="C204" t="str">
            <v>UA</v>
          </cell>
          <cell r="D204" t="str">
            <v>E</v>
          </cell>
          <cell r="E204" t="str">
            <v>Peterborough UA</v>
          </cell>
          <cell r="F204">
            <v>1601302</v>
          </cell>
          <cell r="G204">
            <v>0</v>
          </cell>
          <cell r="H204">
            <v>0</v>
          </cell>
          <cell r="I204">
            <v>1601302</v>
          </cell>
          <cell r="J204">
            <v>-45610</v>
          </cell>
          <cell r="K204">
            <v>0</v>
          </cell>
          <cell r="L204">
            <v>0</v>
          </cell>
          <cell r="M204">
            <v>-45610</v>
          </cell>
          <cell r="N204">
            <v>118123</v>
          </cell>
          <cell r="O204">
            <v>0</v>
          </cell>
          <cell r="P204">
            <v>0</v>
          </cell>
          <cell r="Q204">
            <v>118123</v>
          </cell>
          <cell r="R204">
            <v>274450</v>
          </cell>
          <cell r="S204">
            <v>0</v>
          </cell>
          <cell r="T204">
            <v>0</v>
          </cell>
          <cell r="U204">
            <v>274450</v>
          </cell>
          <cell r="V204">
            <v>2842941</v>
          </cell>
          <cell r="W204">
            <v>0</v>
          </cell>
          <cell r="X204">
            <v>0</v>
          </cell>
          <cell r="Y204">
            <v>2842941</v>
          </cell>
          <cell r="Z204">
            <v>119889</v>
          </cell>
          <cell r="AA204">
            <v>0</v>
          </cell>
          <cell r="AB204">
            <v>0</v>
          </cell>
          <cell r="AC204">
            <v>119889</v>
          </cell>
          <cell r="AD204">
            <v>1874638</v>
          </cell>
          <cell r="AE204">
            <v>0</v>
          </cell>
          <cell r="AF204">
            <v>0</v>
          </cell>
          <cell r="AG204">
            <v>1874638</v>
          </cell>
          <cell r="AH204">
            <v>-36021</v>
          </cell>
          <cell r="AI204">
            <v>0</v>
          </cell>
          <cell r="AJ204">
            <v>0</v>
          </cell>
          <cell r="AK204">
            <v>-36021</v>
          </cell>
          <cell r="AL204">
            <v>4967883</v>
          </cell>
          <cell r="AM204">
            <v>0</v>
          </cell>
          <cell r="AN204">
            <v>0</v>
          </cell>
          <cell r="AO204">
            <v>4967883</v>
          </cell>
          <cell r="AP204">
            <v>-31513</v>
          </cell>
          <cell r="AQ204">
            <v>0</v>
          </cell>
          <cell r="AR204">
            <v>0</v>
          </cell>
          <cell r="AS204">
            <v>-31513</v>
          </cell>
          <cell r="AT204">
            <v>53882</v>
          </cell>
          <cell r="AU204">
            <v>0</v>
          </cell>
          <cell r="AV204">
            <v>0</v>
          </cell>
          <cell r="AW204">
            <v>53882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15841</v>
          </cell>
          <cell r="BC204">
            <v>0</v>
          </cell>
          <cell r="BD204">
            <v>0</v>
          </cell>
          <cell r="BE204">
            <v>15841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22591</v>
          </cell>
          <cell r="BK204">
            <v>0</v>
          </cell>
          <cell r="BL204">
            <v>0</v>
          </cell>
          <cell r="BM204">
            <v>22591</v>
          </cell>
          <cell r="BN204">
            <v>201349</v>
          </cell>
          <cell r="BO204">
            <v>0</v>
          </cell>
          <cell r="BP204">
            <v>0</v>
          </cell>
          <cell r="BQ204">
            <v>201349</v>
          </cell>
          <cell r="BR204">
            <v>3763475</v>
          </cell>
          <cell r="BS204">
            <v>0</v>
          </cell>
          <cell r="BT204">
            <v>0</v>
          </cell>
          <cell r="BU204">
            <v>3763475</v>
          </cell>
          <cell r="BV204">
            <v>242959</v>
          </cell>
          <cell r="BW204">
            <v>0</v>
          </cell>
          <cell r="BX204">
            <v>0</v>
          </cell>
          <cell r="BY204">
            <v>242959</v>
          </cell>
          <cell r="BZ204">
            <v>283009</v>
          </cell>
          <cell r="CA204">
            <v>0</v>
          </cell>
          <cell r="CB204">
            <v>0</v>
          </cell>
          <cell r="CC204">
            <v>283009</v>
          </cell>
          <cell r="CD204">
            <v>21796</v>
          </cell>
          <cell r="CE204">
            <v>0</v>
          </cell>
          <cell r="CF204">
            <v>0</v>
          </cell>
          <cell r="CG204">
            <v>21796</v>
          </cell>
          <cell r="CH204">
            <v>69982</v>
          </cell>
          <cell r="CI204">
            <v>0</v>
          </cell>
          <cell r="CJ204">
            <v>0</v>
          </cell>
          <cell r="CK204">
            <v>69982</v>
          </cell>
          <cell r="CL204">
            <v>19902</v>
          </cell>
          <cell r="CM204">
            <v>0</v>
          </cell>
          <cell r="CN204">
            <v>0</v>
          </cell>
          <cell r="CO204">
            <v>19902</v>
          </cell>
          <cell r="CP204">
            <v>2532</v>
          </cell>
          <cell r="CQ204">
            <v>0</v>
          </cell>
          <cell r="CR204">
            <v>0</v>
          </cell>
          <cell r="CS204">
            <v>2532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7112</v>
          </cell>
          <cell r="CY204">
            <v>0</v>
          </cell>
          <cell r="CZ204">
            <v>0</v>
          </cell>
          <cell r="DA204">
            <v>7112</v>
          </cell>
          <cell r="DB204">
            <v>1472</v>
          </cell>
          <cell r="DC204">
            <v>0</v>
          </cell>
          <cell r="DD204">
            <v>0</v>
          </cell>
          <cell r="DE204">
            <v>1472</v>
          </cell>
          <cell r="DF204">
            <v>922</v>
          </cell>
          <cell r="DG204">
            <v>0</v>
          </cell>
          <cell r="DH204">
            <v>0</v>
          </cell>
          <cell r="DI204">
            <v>922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</row>
        <row r="205">
          <cell r="A205">
            <v>199</v>
          </cell>
          <cell r="B205" t="str">
            <v>E1101</v>
          </cell>
          <cell r="C205" t="str">
            <v>UA</v>
          </cell>
          <cell r="D205" t="str">
            <v>SW</v>
          </cell>
          <cell r="E205" t="str">
            <v>Plymouth UA</v>
          </cell>
          <cell r="F205">
            <v>189355</v>
          </cell>
          <cell r="G205">
            <v>0</v>
          </cell>
          <cell r="H205">
            <v>0</v>
          </cell>
          <cell r="I205">
            <v>189355</v>
          </cell>
          <cell r="J205">
            <v>-300886</v>
          </cell>
          <cell r="K205">
            <v>0</v>
          </cell>
          <cell r="L205">
            <v>0</v>
          </cell>
          <cell r="M205">
            <v>-300886</v>
          </cell>
          <cell r="N205">
            <v>369695</v>
          </cell>
          <cell r="O205">
            <v>0</v>
          </cell>
          <cell r="P205">
            <v>0</v>
          </cell>
          <cell r="Q205">
            <v>369695</v>
          </cell>
          <cell r="R205">
            <v>141666</v>
          </cell>
          <cell r="S205">
            <v>0</v>
          </cell>
          <cell r="T205">
            <v>0</v>
          </cell>
          <cell r="U205">
            <v>141666</v>
          </cell>
          <cell r="V205">
            <v>4099245</v>
          </cell>
          <cell r="W205">
            <v>0</v>
          </cell>
          <cell r="X205">
            <v>0</v>
          </cell>
          <cell r="Y205">
            <v>4099245</v>
          </cell>
          <cell r="Z205">
            <v>228651</v>
          </cell>
          <cell r="AA205">
            <v>0</v>
          </cell>
          <cell r="AB205">
            <v>0</v>
          </cell>
          <cell r="AC205">
            <v>228651</v>
          </cell>
          <cell r="AD205">
            <v>1770760</v>
          </cell>
          <cell r="AE205">
            <v>0</v>
          </cell>
          <cell r="AF205">
            <v>0</v>
          </cell>
          <cell r="AG205">
            <v>1770760</v>
          </cell>
          <cell r="AH205">
            <v>-21847</v>
          </cell>
          <cell r="AI205">
            <v>0</v>
          </cell>
          <cell r="AJ205">
            <v>0</v>
          </cell>
          <cell r="AK205">
            <v>-21847</v>
          </cell>
          <cell r="AL205">
            <v>8792721</v>
          </cell>
          <cell r="AM205">
            <v>0</v>
          </cell>
          <cell r="AN205">
            <v>0</v>
          </cell>
          <cell r="AO205">
            <v>8792721</v>
          </cell>
          <cell r="AP205">
            <v>16366</v>
          </cell>
          <cell r="AQ205">
            <v>0</v>
          </cell>
          <cell r="AR205">
            <v>0</v>
          </cell>
          <cell r="AS205">
            <v>16366</v>
          </cell>
          <cell r="AT205">
            <v>13126</v>
          </cell>
          <cell r="AU205">
            <v>0</v>
          </cell>
          <cell r="AV205">
            <v>0</v>
          </cell>
          <cell r="AW205">
            <v>13126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51454</v>
          </cell>
          <cell r="BK205">
            <v>0</v>
          </cell>
          <cell r="BL205">
            <v>0</v>
          </cell>
          <cell r="BM205">
            <v>51454</v>
          </cell>
          <cell r="BN205">
            <v>12750</v>
          </cell>
          <cell r="BO205">
            <v>0</v>
          </cell>
          <cell r="BP205">
            <v>0</v>
          </cell>
          <cell r="BQ205">
            <v>12750</v>
          </cell>
          <cell r="BR205">
            <v>2862111</v>
          </cell>
          <cell r="BS205">
            <v>0</v>
          </cell>
          <cell r="BT205">
            <v>0</v>
          </cell>
          <cell r="BU205">
            <v>2862111</v>
          </cell>
          <cell r="BV205">
            <v>155057</v>
          </cell>
          <cell r="BW205">
            <v>0</v>
          </cell>
          <cell r="BX205">
            <v>0</v>
          </cell>
          <cell r="BY205">
            <v>155057</v>
          </cell>
          <cell r="BZ205">
            <v>83645</v>
          </cell>
          <cell r="CA205">
            <v>0</v>
          </cell>
          <cell r="CB205">
            <v>0</v>
          </cell>
          <cell r="CC205">
            <v>83645</v>
          </cell>
          <cell r="CD205">
            <v>-3795</v>
          </cell>
          <cell r="CE205">
            <v>0</v>
          </cell>
          <cell r="CF205">
            <v>0</v>
          </cell>
          <cell r="CG205">
            <v>-3795</v>
          </cell>
          <cell r="CH205">
            <v>161503</v>
          </cell>
          <cell r="CI205">
            <v>0</v>
          </cell>
          <cell r="CJ205">
            <v>0</v>
          </cell>
          <cell r="CK205">
            <v>161503</v>
          </cell>
          <cell r="CL205">
            <v>-31149</v>
          </cell>
          <cell r="CM205">
            <v>0</v>
          </cell>
          <cell r="CN205">
            <v>0</v>
          </cell>
          <cell r="CO205">
            <v>-31149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51518</v>
          </cell>
          <cell r="DO205">
            <v>0</v>
          </cell>
          <cell r="DP205">
            <v>0</v>
          </cell>
          <cell r="DQ205">
            <v>51518</v>
          </cell>
          <cell r="DR205">
            <v>15648</v>
          </cell>
          <cell r="DS205">
            <v>0</v>
          </cell>
          <cell r="DT205">
            <v>0</v>
          </cell>
          <cell r="DU205">
            <v>15648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6582</v>
          </cell>
          <cell r="EC205">
            <v>0</v>
          </cell>
          <cell r="ED205">
            <v>0</v>
          </cell>
          <cell r="EE205">
            <v>6582</v>
          </cell>
          <cell r="EF205">
            <v>213971</v>
          </cell>
          <cell r="EG205">
            <v>0</v>
          </cell>
          <cell r="EH205">
            <v>0</v>
          </cell>
          <cell r="EI205">
            <v>213971</v>
          </cell>
          <cell r="EJ205">
            <v>-235</v>
          </cell>
          <cell r="EK205">
            <v>0</v>
          </cell>
          <cell r="EL205">
            <v>0</v>
          </cell>
          <cell r="EM205">
            <v>-235</v>
          </cell>
        </row>
        <row r="206">
          <cell r="A206">
            <v>200</v>
          </cell>
          <cell r="B206" t="str">
            <v>E1201</v>
          </cell>
          <cell r="C206" t="str">
            <v>UA</v>
          </cell>
          <cell r="D206" t="str">
            <v>SW</v>
          </cell>
          <cell r="E206" t="str">
            <v>Poole UA</v>
          </cell>
          <cell r="F206">
            <v>45736.63</v>
          </cell>
          <cell r="G206">
            <v>0</v>
          </cell>
          <cell r="H206">
            <v>0</v>
          </cell>
          <cell r="I206">
            <v>45736.63</v>
          </cell>
          <cell r="J206">
            <v>-180883.69</v>
          </cell>
          <cell r="K206">
            <v>0</v>
          </cell>
          <cell r="L206">
            <v>0</v>
          </cell>
          <cell r="M206">
            <v>-180883.69</v>
          </cell>
          <cell r="N206">
            <v>36239.919999999998</v>
          </cell>
          <cell r="O206">
            <v>0</v>
          </cell>
          <cell r="P206">
            <v>0</v>
          </cell>
          <cell r="Q206">
            <v>36239.919999999998</v>
          </cell>
          <cell r="R206">
            <v>440650.16</v>
          </cell>
          <cell r="S206">
            <v>0</v>
          </cell>
          <cell r="T206">
            <v>0</v>
          </cell>
          <cell r="U206">
            <v>440650.16</v>
          </cell>
          <cell r="V206">
            <v>2855817.82</v>
          </cell>
          <cell r="W206">
            <v>0</v>
          </cell>
          <cell r="X206">
            <v>0</v>
          </cell>
          <cell r="Y206">
            <v>2855817.82</v>
          </cell>
          <cell r="Z206">
            <v>108651.52</v>
          </cell>
          <cell r="AA206">
            <v>0</v>
          </cell>
          <cell r="AB206">
            <v>0</v>
          </cell>
          <cell r="AC206">
            <v>108651.52</v>
          </cell>
          <cell r="AD206">
            <v>1207098.24</v>
          </cell>
          <cell r="AE206">
            <v>0</v>
          </cell>
          <cell r="AF206">
            <v>0</v>
          </cell>
          <cell r="AG206">
            <v>1207098.24</v>
          </cell>
          <cell r="AH206">
            <v>-39461.629999999997</v>
          </cell>
          <cell r="AI206">
            <v>0</v>
          </cell>
          <cell r="AJ206">
            <v>0</v>
          </cell>
          <cell r="AK206">
            <v>-39461.629999999997</v>
          </cell>
          <cell r="AL206">
            <v>4368960.1900000004</v>
          </cell>
          <cell r="AM206">
            <v>0</v>
          </cell>
          <cell r="AN206">
            <v>0</v>
          </cell>
          <cell r="AO206">
            <v>4368960.1900000004</v>
          </cell>
          <cell r="AP206">
            <v>96674.87</v>
          </cell>
          <cell r="AQ206">
            <v>0</v>
          </cell>
          <cell r="AR206">
            <v>0</v>
          </cell>
          <cell r="AS206">
            <v>96674.87</v>
          </cell>
          <cell r="AT206">
            <v>35381.519999999997</v>
          </cell>
          <cell r="AU206">
            <v>0</v>
          </cell>
          <cell r="AV206">
            <v>0</v>
          </cell>
          <cell r="AW206">
            <v>35381.519999999997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15793.15</v>
          </cell>
          <cell r="BK206">
            <v>0</v>
          </cell>
          <cell r="BL206">
            <v>0</v>
          </cell>
          <cell r="BM206">
            <v>15793.15</v>
          </cell>
          <cell r="BN206">
            <v>97434.29</v>
          </cell>
          <cell r="BO206">
            <v>0</v>
          </cell>
          <cell r="BP206">
            <v>0</v>
          </cell>
          <cell r="BQ206">
            <v>97434.29</v>
          </cell>
          <cell r="BR206">
            <v>1862562.18</v>
          </cell>
          <cell r="BS206">
            <v>0</v>
          </cell>
          <cell r="BT206">
            <v>0</v>
          </cell>
          <cell r="BU206">
            <v>1862562.18</v>
          </cell>
          <cell r="BV206">
            <v>-20018.41</v>
          </cell>
          <cell r="BW206">
            <v>0</v>
          </cell>
          <cell r="BX206">
            <v>0</v>
          </cell>
          <cell r="BY206">
            <v>-20018.41</v>
          </cell>
          <cell r="BZ206">
            <v>269790.77</v>
          </cell>
          <cell r="CA206">
            <v>0</v>
          </cell>
          <cell r="CB206">
            <v>0</v>
          </cell>
          <cell r="CC206">
            <v>269790.77</v>
          </cell>
          <cell r="CD206">
            <v>3268.17</v>
          </cell>
          <cell r="CE206">
            <v>0</v>
          </cell>
          <cell r="CF206">
            <v>0</v>
          </cell>
          <cell r="CG206">
            <v>3268.17</v>
          </cell>
          <cell r="CH206">
            <v>35550</v>
          </cell>
          <cell r="CI206">
            <v>0</v>
          </cell>
          <cell r="CJ206">
            <v>0</v>
          </cell>
          <cell r="CK206">
            <v>35550</v>
          </cell>
          <cell r="CL206">
            <v>-2376.64</v>
          </cell>
          <cell r="CM206">
            <v>0</v>
          </cell>
          <cell r="CN206">
            <v>0</v>
          </cell>
          <cell r="CO206">
            <v>-2376.64</v>
          </cell>
          <cell r="CP206">
            <v>2684.69</v>
          </cell>
          <cell r="CQ206">
            <v>0</v>
          </cell>
          <cell r="CR206">
            <v>0</v>
          </cell>
          <cell r="CS206">
            <v>2684.69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</row>
        <row r="207">
          <cell r="A207">
            <v>201</v>
          </cell>
          <cell r="B207" t="str">
            <v>E1701</v>
          </cell>
          <cell r="C207" t="str">
            <v>UA</v>
          </cell>
          <cell r="D207" t="str">
            <v>SE</v>
          </cell>
          <cell r="E207" t="str">
            <v>Portsmouth UA</v>
          </cell>
          <cell r="F207">
            <v>580881</v>
          </cell>
          <cell r="G207">
            <v>0</v>
          </cell>
          <cell r="H207">
            <v>0</v>
          </cell>
          <cell r="I207">
            <v>580881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974438</v>
          </cell>
          <cell r="O207">
            <v>0</v>
          </cell>
          <cell r="P207">
            <v>0</v>
          </cell>
          <cell r="Q207">
            <v>974438</v>
          </cell>
          <cell r="R207">
            <v>2120888</v>
          </cell>
          <cell r="S207">
            <v>0</v>
          </cell>
          <cell r="T207">
            <v>0</v>
          </cell>
          <cell r="U207">
            <v>2120888</v>
          </cell>
          <cell r="V207">
            <v>3294878</v>
          </cell>
          <cell r="W207">
            <v>0</v>
          </cell>
          <cell r="X207">
            <v>0</v>
          </cell>
          <cell r="Y207">
            <v>3294878</v>
          </cell>
          <cell r="Z207">
            <v>220594</v>
          </cell>
          <cell r="AA207">
            <v>0</v>
          </cell>
          <cell r="AB207">
            <v>0</v>
          </cell>
          <cell r="AC207">
            <v>220594</v>
          </cell>
          <cell r="AD207">
            <v>1598816</v>
          </cell>
          <cell r="AE207">
            <v>0</v>
          </cell>
          <cell r="AF207">
            <v>0</v>
          </cell>
          <cell r="AG207">
            <v>1598816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5745576</v>
          </cell>
          <cell r="AM207">
            <v>0</v>
          </cell>
          <cell r="AN207">
            <v>0</v>
          </cell>
          <cell r="AO207">
            <v>5745576</v>
          </cell>
          <cell r="AP207">
            <v>-166447</v>
          </cell>
          <cell r="AQ207">
            <v>0</v>
          </cell>
          <cell r="AR207">
            <v>0</v>
          </cell>
          <cell r="AS207">
            <v>-166447</v>
          </cell>
          <cell r="AT207">
            <v>31962</v>
          </cell>
          <cell r="AU207">
            <v>0</v>
          </cell>
          <cell r="AV207">
            <v>0</v>
          </cell>
          <cell r="AW207">
            <v>31962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43340</v>
          </cell>
          <cell r="BK207">
            <v>0</v>
          </cell>
          <cell r="BL207">
            <v>0</v>
          </cell>
          <cell r="BM207">
            <v>43340</v>
          </cell>
          <cell r="BN207">
            <v>12383</v>
          </cell>
          <cell r="BO207">
            <v>0</v>
          </cell>
          <cell r="BP207">
            <v>0</v>
          </cell>
          <cell r="BQ207">
            <v>12383</v>
          </cell>
          <cell r="BR207">
            <v>1725359</v>
          </cell>
          <cell r="BS207">
            <v>0</v>
          </cell>
          <cell r="BT207">
            <v>0</v>
          </cell>
          <cell r="BU207">
            <v>1725359</v>
          </cell>
          <cell r="BV207">
            <v>481</v>
          </cell>
          <cell r="BW207">
            <v>0</v>
          </cell>
          <cell r="BX207">
            <v>0</v>
          </cell>
          <cell r="BY207">
            <v>481</v>
          </cell>
          <cell r="BZ207">
            <v>216142</v>
          </cell>
          <cell r="CA207">
            <v>0</v>
          </cell>
          <cell r="CB207">
            <v>0</v>
          </cell>
          <cell r="CC207">
            <v>216142</v>
          </cell>
          <cell r="CD207">
            <v>1000</v>
          </cell>
          <cell r="CE207">
            <v>0</v>
          </cell>
          <cell r="CF207">
            <v>0</v>
          </cell>
          <cell r="CG207">
            <v>1000</v>
          </cell>
          <cell r="CH207">
            <v>6080</v>
          </cell>
          <cell r="CI207">
            <v>0</v>
          </cell>
          <cell r="CJ207">
            <v>0</v>
          </cell>
          <cell r="CK207">
            <v>6080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</row>
        <row r="208">
          <cell r="A208">
            <v>202</v>
          </cell>
          <cell r="B208" t="str">
            <v>E2339</v>
          </cell>
          <cell r="C208" t="str">
            <v>SD</v>
          </cell>
          <cell r="D208" t="str">
            <v>NW</v>
          </cell>
          <cell r="E208" t="str">
            <v>Preston</v>
          </cell>
          <cell r="F208">
            <v>328321</v>
          </cell>
          <cell r="G208">
            <v>0</v>
          </cell>
          <cell r="H208">
            <v>0</v>
          </cell>
          <cell r="I208">
            <v>328321</v>
          </cell>
          <cell r="J208">
            <v>-416821.61</v>
          </cell>
          <cell r="K208">
            <v>0</v>
          </cell>
          <cell r="L208">
            <v>0</v>
          </cell>
          <cell r="M208">
            <v>-416821.61</v>
          </cell>
          <cell r="N208">
            <v>74164.61</v>
          </cell>
          <cell r="O208">
            <v>0</v>
          </cell>
          <cell r="P208">
            <v>0</v>
          </cell>
          <cell r="Q208">
            <v>74164.61</v>
          </cell>
          <cell r="R208">
            <v>290469.46000000002</v>
          </cell>
          <cell r="S208">
            <v>0</v>
          </cell>
          <cell r="T208">
            <v>0</v>
          </cell>
          <cell r="U208">
            <v>290469.46000000002</v>
          </cell>
          <cell r="V208">
            <v>3120892.23</v>
          </cell>
          <cell r="W208">
            <v>0</v>
          </cell>
          <cell r="X208">
            <v>0</v>
          </cell>
          <cell r="Y208">
            <v>3120892.23</v>
          </cell>
          <cell r="Z208">
            <v>152892.96</v>
          </cell>
          <cell r="AA208">
            <v>0</v>
          </cell>
          <cell r="AB208">
            <v>0</v>
          </cell>
          <cell r="AC208">
            <v>152892.96</v>
          </cell>
          <cell r="AD208">
            <v>1342716.42</v>
          </cell>
          <cell r="AE208">
            <v>0</v>
          </cell>
          <cell r="AF208">
            <v>0</v>
          </cell>
          <cell r="AG208">
            <v>1342716.42</v>
          </cell>
          <cell r="AH208">
            <v>-34753.730000000003</v>
          </cell>
          <cell r="AI208">
            <v>0</v>
          </cell>
          <cell r="AJ208">
            <v>0</v>
          </cell>
          <cell r="AK208">
            <v>-34753.730000000003</v>
          </cell>
          <cell r="AL208">
            <v>4477092.22</v>
          </cell>
          <cell r="AM208">
            <v>0</v>
          </cell>
          <cell r="AN208">
            <v>0</v>
          </cell>
          <cell r="AO208">
            <v>4477092.22</v>
          </cell>
          <cell r="AP208">
            <v>225154.2</v>
          </cell>
          <cell r="AQ208">
            <v>0</v>
          </cell>
          <cell r="AR208">
            <v>0</v>
          </cell>
          <cell r="AS208">
            <v>225154.2</v>
          </cell>
          <cell r="AT208">
            <v>71264.179999999993</v>
          </cell>
          <cell r="AU208">
            <v>0</v>
          </cell>
          <cell r="AV208">
            <v>0</v>
          </cell>
          <cell r="AW208">
            <v>71264.179999999993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2954.7</v>
          </cell>
          <cell r="BC208">
            <v>0</v>
          </cell>
          <cell r="BD208">
            <v>0</v>
          </cell>
          <cell r="BE208">
            <v>2954.7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443.47</v>
          </cell>
          <cell r="BK208">
            <v>0</v>
          </cell>
          <cell r="BL208">
            <v>0</v>
          </cell>
          <cell r="BM208">
            <v>443.47</v>
          </cell>
          <cell r="BN208">
            <v>366.17</v>
          </cell>
          <cell r="BO208">
            <v>0</v>
          </cell>
          <cell r="BP208">
            <v>0</v>
          </cell>
          <cell r="BQ208">
            <v>366.17</v>
          </cell>
          <cell r="BR208">
            <v>3196793.71</v>
          </cell>
          <cell r="BS208">
            <v>0</v>
          </cell>
          <cell r="BT208">
            <v>0</v>
          </cell>
          <cell r="BU208">
            <v>3196793.71</v>
          </cell>
          <cell r="BV208">
            <v>180178.36</v>
          </cell>
          <cell r="BW208">
            <v>0</v>
          </cell>
          <cell r="BX208">
            <v>0</v>
          </cell>
          <cell r="BY208">
            <v>180178.36</v>
          </cell>
          <cell r="BZ208">
            <v>57691.49</v>
          </cell>
          <cell r="CA208">
            <v>0</v>
          </cell>
          <cell r="CB208">
            <v>0</v>
          </cell>
          <cell r="CC208">
            <v>57691.49</v>
          </cell>
          <cell r="CD208">
            <v>453.57</v>
          </cell>
          <cell r="CE208">
            <v>0</v>
          </cell>
          <cell r="CF208">
            <v>0</v>
          </cell>
          <cell r="CG208">
            <v>453.57</v>
          </cell>
          <cell r="CH208">
            <v>6853.94</v>
          </cell>
          <cell r="CI208">
            <v>0</v>
          </cell>
          <cell r="CJ208">
            <v>0</v>
          </cell>
          <cell r="CK208">
            <v>6853.94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292.02</v>
          </cell>
          <cell r="CQ208">
            <v>0</v>
          </cell>
          <cell r="CR208">
            <v>0</v>
          </cell>
          <cell r="CS208">
            <v>292.02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2954.7</v>
          </cell>
          <cell r="CY208">
            <v>0</v>
          </cell>
          <cell r="CZ208">
            <v>0</v>
          </cell>
          <cell r="DA208">
            <v>2954.7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</row>
        <row r="209">
          <cell r="A209">
            <v>203</v>
          </cell>
          <cell r="B209" t="str">
            <v>E1236</v>
          </cell>
          <cell r="C209" t="str">
            <v>SD</v>
          </cell>
          <cell r="D209" t="str">
            <v>SW</v>
          </cell>
          <cell r="E209" t="str">
            <v>Purbeck</v>
          </cell>
          <cell r="F209">
            <v>109070.55</v>
          </cell>
          <cell r="G209">
            <v>0</v>
          </cell>
          <cell r="H209">
            <v>0</v>
          </cell>
          <cell r="I209">
            <v>109070.55</v>
          </cell>
          <cell r="J209">
            <v>101233.51</v>
          </cell>
          <cell r="K209">
            <v>0</v>
          </cell>
          <cell r="L209">
            <v>0</v>
          </cell>
          <cell r="M209">
            <v>101233.51</v>
          </cell>
          <cell r="N209">
            <v>45435.19</v>
          </cell>
          <cell r="O209">
            <v>0</v>
          </cell>
          <cell r="P209">
            <v>0</v>
          </cell>
          <cell r="Q209">
            <v>45435.19</v>
          </cell>
          <cell r="R209">
            <v>19338.03</v>
          </cell>
          <cell r="S209">
            <v>0</v>
          </cell>
          <cell r="T209">
            <v>0</v>
          </cell>
          <cell r="U209">
            <v>19338.03</v>
          </cell>
          <cell r="V209">
            <v>1590534.01</v>
          </cell>
          <cell r="W209">
            <v>0</v>
          </cell>
          <cell r="X209">
            <v>0</v>
          </cell>
          <cell r="Y209">
            <v>1590534.01</v>
          </cell>
          <cell r="Z209">
            <v>105862.49</v>
          </cell>
          <cell r="AA209">
            <v>0</v>
          </cell>
          <cell r="AB209">
            <v>0</v>
          </cell>
          <cell r="AC209">
            <v>105862.49</v>
          </cell>
          <cell r="AD209">
            <v>302321.96000000002</v>
          </cell>
          <cell r="AE209">
            <v>0</v>
          </cell>
          <cell r="AF209">
            <v>0</v>
          </cell>
          <cell r="AG209">
            <v>302321.96000000002</v>
          </cell>
          <cell r="AH209">
            <v>16776.55</v>
          </cell>
          <cell r="AI209">
            <v>0</v>
          </cell>
          <cell r="AJ209">
            <v>0</v>
          </cell>
          <cell r="AK209">
            <v>16776.55</v>
          </cell>
          <cell r="AL209">
            <v>688086.93</v>
          </cell>
          <cell r="AM209">
            <v>0</v>
          </cell>
          <cell r="AN209">
            <v>0</v>
          </cell>
          <cell r="AO209">
            <v>688086.93</v>
          </cell>
          <cell r="AP209">
            <v>10428.049999999999</v>
          </cell>
          <cell r="AQ209">
            <v>0</v>
          </cell>
          <cell r="AR209">
            <v>0</v>
          </cell>
          <cell r="AS209">
            <v>10428.049999999999</v>
          </cell>
          <cell r="AT209">
            <v>43635.35</v>
          </cell>
          <cell r="AU209">
            <v>0</v>
          </cell>
          <cell r="AV209">
            <v>0</v>
          </cell>
          <cell r="AW209">
            <v>43635.35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8619.27</v>
          </cell>
          <cell r="BC209">
            <v>0</v>
          </cell>
          <cell r="BD209">
            <v>0</v>
          </cell>
          <cell r="BE209">
            <v>8619.27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288008.12</v>
          </cell>
          <cell r="BS209">
            <v>0</v>
          </cell>
          <cell r="BT209">
            <v>0</v>
          </cell>
          <cell r="BU209">
            <v>288008.12</v>
          </cell>
          <cell r="BV209">
            <v>29015.38</v>
          </cell>
          <cell r="BW209">
            <v>0</v>
          </cell>
          <cell r="BX209">
            <v>0</v>
          </cell>
          <cell r="BY209">
            <v>29015.38</v>
          </cell>
          <cell r="BZ209">
            <v>15483.73</v>
          </cell>
          <cell r="CA209">
            <v>0</v>
          </cell>
          <cell r="CB209">
            <v>0</v>
          </cell>
          <cell r="CC209">
            <v>15483.73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6091.47</v>
          </cell>
          <cell r="CI209">
            <v>0</v>
          </cell>
          <cell r="CJ209">
            <v>0</v>
          </cell>
          <cell r="CK209">
            <v>6091.47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1600.34</v>
          </cell>
          <cell r="CQ209">
            <v>0</v>
          </cell>
          <cell r="CR209">
            <v>0</v>
          </cell>
          <cell r="CS209">
            <v>1600.34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3944.6</v>
          </cell>
          <cell r="CY209">
            <v>0</v>
          </cell>
          <cell r="CZ209">
            <v>0</v>
          </cell>
          <cell r="DA209">
            <v>3944.6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</row>
        <row r="210">
          <cell r="A210">
            <v>204</v>
          </cell>
          <cell r="B210" t="str">
            <v>E0303</v>
          </cell>
          <cell r="C210" t="str">
            <v>UA</v>
          </cell>
          <cell r="D210" t="str">
            <v>SE</v>
          </cell>
          <cell r="E210" t="str">
            <v>Reading UA</v>
          </cell>
          <cell r="F210">
            <v>552985</v>
          </cell>
          <cell r="G210">
            <v>0</v>
          </cell>
          <cell r="H210">
            <v>0</v>
          </cell>
          <cell r="I210">
            <v>552985</v>
          </cell>
          <cell r="J210">
            <v>2590.5</v>
          </cell>
          <cell r="K210">
            <v>0</v>
          </cell>
          <cell r="L210">
            <v>0</v>
          </cell>
          <cell r="M210">
            <v>2590.5</v>
          </cell>
          <cell r="N210">
            <v>130176</v>
          </cell>
          <cell r="O210">
            <v>0</v>
          </cell>
          <cell r="P210">
            <v>0</v>
          </cell>
          <cell r="Q210">
            <v>130176</v>
          </cell>
          <cell r="R210">
            <v>79202.69</v>
          </cell>
          <cell r="S210">
            <v>0</v>
          </cell>
          <cell r="T210">
            <v>0</v>
          </cell>
          <cell r="U210">
            <v>79202.69</v>
          </cell>
          <cell r="V210">
            <v>1625545</v>
          </cell>
          <cell r="W210">
            <v>0</v>
          </cell>
          <cell r="X210">
            <v>0</v>
          </cell>
          <cell r="Y210">
            <v>1625545</v>
          </cell>
          <cell r="Z210">
            <v>143272.72</v>
          </cell>
          <cell r="AA210">
            <v>0</v>
          </cell>
          <cell r="AB210">
            <v>0</v>
          </cell>
          <cell r="AC210">
            <v>143272.72</v>
          </cell>
          <cell r="AD210">
            <v>2074773</v>
          </cell>
          <cell r="AE210">
            <v>0</v>
          </cell>
          <cell r="AF210">
            <v>0</v>
          </cell>
          <cell r="AG210">
            <v>2074773</v>
          </cell>
          <cell r="AH210">
            <v>-45254.44</v>
          </cell>
          <cell r="AI210">
            <v>0</v>
          </cell>
          <cell r="AJ210">
            <v>0</v>
          </cell>
          <cell r="AK210">
            <v>-45254.44</v>
          </cell>
          <cell r="AL210">
            <v>3937001</v>
          </cell>
          <cell r="AM210">
            <v>0</v>
          </cell>
          <cell r="AN210">
            <v>0</v>
          </cell>
          <cell r="AO210">
            <v>3937001</v>
          </cell>
          <cell r="AP210">
            <v>30404.16</v>
          </cell>
          <cell r="AQ210">
            <v>0</v>
          </cell>
          <cell r="AR210">
            <v>0</v>
          </cell>
          <cell r="AS210">
            <v>30404.16</v>
          </cell>
          <cell r="AT210">
            <v>6481</v>
          </cell>
          <cell r="AU210">
            <v>0</v>
          </cell>
          <cell r="AV210">
            <v>0</v>
          </cell>
          <cell r="AW210">
            <v>6481</v>
          </cell>
          <cell r="AX210">
            <v>1269</v>
          </cell>
          <cell r="AY210">
            <v>0</v>
          </cell>
          <cell r="AZ210">
            <v>0</v>
          </cell>
          <cell r="BA210">
            <v>1269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707576</v>
          </cell>
          <cell r="BK210">
            <v>0</v>
          </cell>
          <cell r="BL210">
            <v>0</v>
          </cell>
          <cell r="BM210">
            <v>707576</v>
          </cell>
          <cell r="BN210">
            <v>-3460.14</v>
          </cell>
          <cell r="BO210">
            <v>0</v>
          </cell>
          <cell r="BP210">
            <v>0</v>
          </cell>
          <cell r="BQ210">
            <v>-3460.14</v>
          </cell>
          <cell r="BR210">
            <v>3722273</v>
          </cell>
          <cell r="BS210">
            <v>0</v>
          </cell>
          <cell r="BT210">
            <v>0</v>
          </cell>
          <cell r="BU210">
            <v>3722273</v>
          </cell>
          <cell r="BV210">
            <v>-656581.81999999995</v>
          </cell>
          <cell r="BW210">
            <v>0</v>
          </cell>
          <cell r="BX210">
            <v>0</v>
          </cell>
          <cell r="BY210">
            <v>-656581.81999999995</v>
          </cell>
          <cell r="BZ210">
            <v>50495</v>
          </cell>
          <cell r="CA210">
            <v>0</v>
          </cell>
          <cell r="CB210">
            <v>0</v>
          </cell>
          <cell r="CC210">
            <v>50495</v>
          </cell>
          <cell r="CD210">
            <v>-490</v>
          </cell>
          <cell r="CE210">
            <v>0</v>
          </cell>
          <cell r="CF210">
            <v>0</v>
          </cell>
          <cell r="CG210">
            <v>-490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194955</v>
          </cell>
          <cell r="EC210">
            <v>0</v>
          </cell>
          <cell r="ED210">
            <v>0</v>
          </cell>
          <cell r="EE210">
            <v>194955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</row>
        <row r="211">
          <cell r="A211">
            <v>205</v>
          </cell>
          <cell r="B211" t="str">
            <v>E5046</v>
          </cell>
          <cell r="C211" t="str">
            <v>OLB</v>
          </cell>
          <cell r="D211" t="str">
            <v>L</v>
          </cell>
          <cell r="E211" t="str">
            <v>Redbridge</v>
          </cell>
          <cell r="F211">
            <v>420868</v>
          </cell>
          <cell r="G211">
            <v>0</v>
          </cell>
          <cell r="H211">
            <v>0</v>
          </cell>
          <cell r="I211">
            <v>420868</v>
          </cell>
          <cell r="J211">
            <v>-157517</v>
          </cell>
          <cell r="K211">
            <v>0</v>
          </cell>
          <cell r="L211">
            <v>0</v>
          </cell>
          <cell r="M211">
            <v>-157517</v>
          </cell>
          <cell r="N211">
            <v>66150</v>
          </cell>
          <cell r="O211">
            <v>0</v>
          </cell>
          <cell r="P211">
            <v>0</v>
          </cell>
          <cell r="Q211">
            <v>66150</v>
          </cell>
          <cell r="R211">
            <v>35432</v>
          </cell>
          <cell r="S211">
            <v>0</v>
          </cell>
          <cell r="T211">
            <v>0</v>
          </cell>
          <cell r="U211">
            <v>35432</v>
          </cell>
          <cell r="V211">
            <v>3441607</v>
          </cell>
          <cell r="W211">
            <v>0</v>
          </cell>
          <cell r="X211">
            <v>0</v>
          </cell>
          <cell r="Y211">
            <v>3441607</v>
          </cell>
          <cell r="Z211">
            <v>264420</v>
          </cell>
          <cell r="AA211">
            <v>0</v>
          </cell>
          <cell r="AB211">
            <v>0</v>
          </cell>
          <cell r="AC211">
            <v>264420</v>
          </cell>
          <cell r="AD211">
            <v>883914</v>
          </cell>
          <cell r="AE211">
            <v>0</v>
          </cell>
          <cell r="AF211">
            <v>0</v>
          </cell>
          <cell r="AG211">
            <v>883914</v>
          </cell>
          <cell r="AH211">
            <v>17994</v>
          </cell>
          <cell r="AI211">
            <v>0</v>
          </cell>
          <cell r="AJ211">
            <v>0</v>
          </cell>
          <cell r="AK211">
            <v>17994</v>
          </cell>
          <cell r="AL211">
            <v>3546139</v>
          </cell>
          <cell r="AM211">
            <v>0</v>
          </cell>
          <cell r="AN211">
            <v>0</v>
          </cell>
          <cell r="AO211">
            <v>3546139</v>
          </cell>
          <cell r="AP211">
            <v>-23719</v>
          </cell>
          <cell r="AQ211">
            <v>0</v>
          </cell>
          <cell r="AR211">
            <v>0</v>
          </cell>
          <cell r="AS211">
            <v>-23719</v>
          </cell>
          <cell r="AT211">
            <v>110717</v>
          </cell>
          <cell r="AU211">
            <v>0</v>
          </cell>
          <cell r="AV211">
            <v>0</v>
          </cell>
          <cell r="AW211">
            <v>110717</v>
          </cell>
          <cell r="AX211">
            <v>70788</v>
          </cell>
          <cell r="AY211">
            <v>0</v>
          </cell>
          <cell r="AZ211">
            <v>0</v>
          </cell>
          <cell r="BA211">
            <v>70788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17721</v>
          </cell>
          <cell r="BK211">
            <v>0</v>
          </cell>
          <cell r="BL211">
            <v>0</v>
          </cell>
          <cell r="BM211">
            <v>17721</v>
          </cell>
          <cell r="BN211">
            <v>3127</v>
          </cell>
          <cell r="BO211">
            <v>0</v>
          </cell>
          <cell r="BP211">
            <v>0</v>
          </cell>
          <cell r="BQ211">
            <v>3127</v>
          </cell>
          <cell r="BR211">
            <v>1798145</v>
          </cell>
          <cell r="BS211">
            <v>0</v>
          </cell>
          <cell r="BT211">
            <v>0</v>
          </cell>
          <cell r="BU211">
            <v>1798145</v>
          </cell>
          <cell r="BV211">
            <v>-489318</v>
          </cell>
          <cell r="BW211">
            <v>0</v>
          </cell>
          <cell r="BX211">
            <v>0</v>
          </cell>
          <cell r="BY211">
            <v>-489318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14204</v>
          </cell>
          <cell r="CI211">
            <v>0</v>
          </cell>
          <cell r="CJ211">
            <v>0</v>
          </cell>
          <cell r="CK211">
            <v>14204</v>
          </cell>
          <cell r="CL211">
            <v>-3340</v>
          </cell>
          <cell r="CM211">
            <v>0</v>
          </cell>
          <cell r="CN211">
            <v>0</v>
          </cell>
          <cell r="CO211">
            <v>-3340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</row>
        <row r="212">
          <cell r="A212">
            <v>206</v>
          </cell>
          <cell r="B212" t="str">
            <v>E0703</v>
          </cell>
          <cell r="C212" t="str">
            <v>UA</v>
          </cell>
          <cell r="D212" t="str">
            <v>NE</v>
          </cell>
          <cell r="E212" t="str">
            <v>Redcar &amp; Cleveland UA</v>
          </cell>
          <cell r="F212">
            <v>769821.56</v>
          </cell>
          <cell r="G212">
            <v>0</v>
          </cell>
          <cell r="H212">
            <v>0</v>
          </cell>
          <cell r="I212">
            <v>769821.56</v>
          </cell>
          <cell r="J212">
            <v>-173994.48</v>
          </cell>
          <cell r="K212">
            <v>0</v>
          </cell>
          <cell r="L212">
            <v>0</v>
          </cell>
          <cell r="M212">
            <v>-173994.48</v>
          </cell>
          <cell r="N212">
            <v>13259.45</v>
          </cell>
          <cell r="O212">
            <v>0</v>
          </cell>
          <cell r="P212">
            <v>0</v>
          </cell>
          <cell r="Q212">
            <v>13259.45</v>
          </cell>
          <cell r="R212">
            <v>54101.01</v>
          </cell>
          <cell r="S212">
            <v>0</v>
          </cell>
          <cell r="T212">
            <v>0</v>
          </cell>
          <cell r="U212">
            <v>54101.01</v>
          </cell>
          <cell r="V212">
            <v>2290803.79</v>
          </cell>
          <cell r="W212">
            <v>0</v>
          </cell>
          <cell r="X212">
            <v>0</v>
          </cell>
          <cell r="Y212">
            <v>2290803.79</v>
          </cell>
          <cell r="Z212">
            <v>63660.84</v>
          </cell>
          <cell r="AA212">
            <v>0</v>
          </cell>
          <cell r="AB212">
            <v>0</v>
          </cell>
          <cell r="AC212">
            <v>63660.84</v>
          </cell>
          <cell r="AD212">
            <v>1033655.2</v>
          </cell>
          <cell r="AE212">
            <v>0</v>
          </cell>
          <cell r="AF212">
            <v>0</v>
          </cell>
          <cell r="AG212">
            <v>1033655.2</v>
          </cell>
          <cell r="AH212">
            <v>197527.67</v>
          </cell>
          <cell r="AI212">
            <v>0</v>
          </cell>
          <cell r="AJ212">
            <v>0</v>
          </cell>
          <cell r="AK212">
            <v>197527.67</v>
          </cell>
          <cell r="AL212">
            <v>2186573.27</v>
          </cell>
          <cell r="AM212">
            <v>0</v>
          </cell>
          <cell r="AN212">
            <v>11719.52</v>
          </cell>
          <cell r="AO212">
            <v>2198292.79</v>
          </cell>
          <cell r="AP212">
            <v>-121698.28</v>
          </cell>
          <cell r="AQ212">
            <v>0</v>
          </cell>
          <cell r="AR212">
            <v>0</v>
          </cell>
          <cell r="AS212">
            <v>-121698.28</v>
          </cell>
          <cell r="AT212">
            <v>61947.8</v>
          </cell>
          <cell r="AU212">
            <v>0</v>
          </cell>
          <cell r="AV212">
            <v>0</v>
          </cell>
          <cell r="AW212">
            <v>61947.8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9759</v>
          </cell>
          <cell r="BC212">
            <v>0</v>
          </cell>
          <cell r="BD212">
            <v>0</v>
          </cell>
          <cell r="BE212">
            <v>9759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435089.35</v>
          </cell>
          <cell r="BK212">
            <v>0</v>
          </cell>
          <cell r="BL212">
            <v>0</v>
          </cell>
          <cell r="BM212">
            <v>435089.35</v>
          </cell>
          <cell r="BN212">
            <v>-67424.39</v>
          </cell>
          <cell r="BO212">
            <v>0</v>
          </cell>
          <cell r="BP212">
            <v>0</v>
          </cell>
          <cell r="BQ212">
            <v>-67424.39</v>
          </cell>
          <cell r="BR212">
            <v>897423.53</v>
          </cell>
          <cell r="BS212">
            <v>0</v>
          </cell>
          <cell r="BT212">
            <v>0</v>
          </cell>
          <cell r="BU212">
            <v>897423.53</v>
          </cell>
          <cell r="BV212">
            <v>56973.62</v>
          </cell>
          <cell r="BW212">
            <v>0</v>
          </cell>
          <cell r="BX212">
            <v>0</v>
          </cell>
          <cell r="BY212">
            <v>56973.62</v>
          </cell>
          <cell r="BZ212">
            <v>41810.74</v>
          </cell>
          <cell r="CA212">
            <v>0</v>
          </cell>
          <cell r="CB212">
            <v>0</v>
          </cell>
          <cell r="CC212">
            <v>41810.74</v>
          </cell>
          <cell r="CD212">
            <v>-7925.16</v>
          </cell>
          <cell r="CE212">
            <v>0</v>
          </cell>
          <cell r="CF212">
            <v>0</v>
          </cell>
          <cell r="CG212">
            <v>-7925.16</v>
          </cell>
          <cell r="CH212">
            <v>293624.2</v>
          </cell>
          <cell r="CI212">
            <v>0</v>
          </cell>
          <cell r="CJ212">
            <v>0</v>
          </cell>
          <cell r="CK212">
            <v>293624.2</v>
          </cell>
          <cell r="CL212">
            <v>3647.93</v>
          </cell>
          <cell r="CM212">
            <v>0</v>
          </cell>
          <cell r="CN212">
            <v>0</v>
          </cell>
          <cell r="CO212">
            <v>3647.93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</row>
        <row r="213">
          <cell r="A213">
            <v>207</v>
          </cell>
          <cell r="B213" t="str">
            <v>E1835</v>
          </cell>
          <cell r="C213" t="str">
            <v>SD</v>
          </cell>
          <cell r="D213" t="str">
            <v>WM</v>
          </cell>
          <cell r="E213" t="str">
            <v>Redditch</v>
          </cell>
          <cell r="F213">
            <v>40601.279999999999</v>
          </cell>
          <cell r="G213">
            <v>0</v>
          </cell>
          <cell r="H213">
            <v>0</v>
          </cell>
          <cell r="I213">
            <v>40601.279999999999</v>
          </cell>
          <cell r="J213">
            <v>-54395.43</v>
          </cell>
          <cell r="K213">
            <v>0</v>
          </cell>
          <cell r="L213">
            <v>0</v>
          </cell>
          <cell r="M213">
            <v>-54395.43</v>
          </cell>
          <cell r="N213">
            <v>28727.25</v>
          </cell>
          <cell r="O213">
            <v>0</v>
          </cell>
          <cell r="P213">
            <v>0</v>
          </cell>
          <cell r="Q213">
            <v>28727.25</v>
          </cell>
          <cell r="R213">
            <v>275716.69</v>
          </cell>
          <cell r="S213">
            <v>0</v>
          </cell>
          <cell r="T213">
            <v>0</v>
          </cell>
          <cell r="U213">
            <v>275716.69</v>
          </cell>
          <cell r="V213">
            <v>1240492.8700000001</v>
          </cell>
          <cell r="W213">
            <v>0</v>
          </cell>
          <cell r="X213">
            <v>0</v>
          </cell>
          <cell r="Y213">
            <v>1240492.8700000001</v>
          </cell>
          <cell r="Z213">
            <v>28465.21</v>
          </cell>
          <cell r="AA213">
            <v>0</v>
          </cell>
          <cell r="AB213">
            <v>0</v>
          </cell>
          <cell r="AC213">
            <v>28465.21</v>
          </cell>
          <cell r="AD213">
            <v>682290.92</v>
          </cell>
          <cell r="AE213">
            <v>0</v>
          </cell>
          <cell r="AF213">
            <v>0</v>
          </cell>
          <cell r="AG213">
            <v>682290.92</v>
          </cell>
          <cell r="AH213">
            <v>-26838.34</v>
          </cell>
          <cell r="AI213">
            <v>0</v>
          </cell>
          <cell r="AJ213">
            <v>0</v>
          </cell>
          <cell r="AK213">
            <v>-26838.34</v>
          </cell>
          <cell r="AL213">
            <v>1172725.3999999999</v>
          </cell>
          <cell r="AM213">
            <v>0</v>
          </cell>
          <cell r="AN213">
            <v>0</v>
          </cell>
          <cell r="AO213">
            <v>1172725.3999999999</v>
          </cell>
          <cell r="AP213">
            <v>-6449</v>
          </cell>
          <cell r="AQ213">
            <v>0</v>
          </cell>
          <cell r="AR213">
            <v>0</v>
          </cell>
          <cell r="AS213">
            <v>-6449</v>
          </cell>
          <cell r="AT213">
            <v>12784.86</v>
          </cell>
          <cell r="AU213">
            <v>0</v>
          </cell>
          <cell r="AV213">
            <v>0</v>
          </cell>
          <cell r="AW213">
            <v>12784.86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1342.35</v>
          </cell>
          <cell r="BC213">
            <v>0</v>
          </cell>
          <cell r="BD213">
            <v>0</v>
          </cell>
          <cell r="BE213">
            <v>1342.35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4946.3100000000004</v>
          </cell>
          <cell r="BK213">
            <v>0</v>
          </cell>
          <cell r="BL213">
            <v>0</v>
          </cell>
          <cell r="BM213">
            <v>4946.3100000000004</v>
          </cell>
          <cell r="BN213">
            <v>269.54000000000002</v>
          </cell>
          <cell r="BO213">
            <v>0</v>
          </cell>
          <cell r="BP213">
            <v>0</v>
          </cell>
          <cell r="BQ213">
            <v>269.54000000000002</v>
          </cell>
          <cell r="BR213">
            <v>1426726.2</v>
          </cell>
          <cell r="BS213">
            <v>0</v>
          </cell>
          <cell r="BT213">
            <v>0</v>
          </cell>
          <cell r="BU213">
            <v>1426726.2</v>
          </cell>
          <cell r="BV213">
            <v>47003.15</v>
          </cell>
          <cell r="BW213">
            <v>0</v>
          </cell>
          <cell r="BX213">
            <v>0</v>
          </cell>
          <cell r="BY213">
            <v>47003.15</v>
          </cell>
          <cell r="BZ213">
            <v>47104.94</v>
          </cell>
          <cell r="CA213">
            <v>0</v>
          </cell>
          <cell r="CB213">
            <v>0</v>
          </cell>
          <cell r="CC213">
            <v>47104.94</v>
          </cell>
          <cell r="CD213">
            <v>-1300.76</v>
          </cell>
          <cell r="CE213">
            <v>0</v>
          </cell>
          <cell r="CF213">
            <v>0</v>
          </cell>
          <cell r="CG213">
            <v>-1300.76</v>
          </cell>
          <cell r="CH213">
            <v>39395.57</v>
          </cell>
          <cell r="CI213">
            <v>0</v>
          </cell>
          <cell r="CJ213">
            <v>0</v>
          </cell>
          <cell r="CK213">
            <v>39395.57</v>
          </cell>
          <cell r="CL213">
            <v>-192.36</v>
          </cell>
          <cell r="CM213">
            <v>0</v>
          </cell>
          <cell r="CN213">
            <v>0</v>
          </cell>
          <cell r="CO213">
            <v>-192.36</v>
          </cell>
          <cell r="CP213">
            <v>3196.22</v>
          </cell>
          <cell r="CQ213">
            <v>0</v>
          </cell>
          <cell r="CR213">
            <v>0</v>
          </cell>
          <cell r="CS213">
            <v>3196.22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1342.35</v>
          </cell>
          <cell r="CY213">
            <v>0</v>
          </cell>
          <cell r="CZ213">
            <v>0</v>
          </cell>
          <cell r="DA213">
            <v>1342.35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</row>
        <row r="214">
          <cell r="A214">
            <v>208</v>
          </cell>
          <cell r="B214" t="str">
            <v>E3635</v>
          </cell>
          <cell r="C214" t="str">
            <v>SD</v>
          </cell>
          <cell r="D214" t="str">
            <v>SE</v>
          </cell>
          <cell r="E214" t="str">
            <v>Reigate &amp; Banstead</v>
          </cell>
          <cell r="F214">
            <v>60236.89</v>
          </cell>
          <cell r="G214">
            <v>0</v>
          </cell>
          <cell r="H214">
            <v>0</v>
          </cell>
          <cell r="I214">
            <v>60236.89</v>
          </cell>
          <cell r="J214">
            <v>-13513.11</v>
          </cell>
          <cell r="K214">
            <v>0</v>
          </cell>
          <cell r="L214">
            <v>0</v>
          </cell>
          <cell r="M214">
            <v>-13513.11</v>
          </cell>
          <cell r="N214">
            <v>30513.43</v>
          </cell>
          <cell r="O214">
            <v>0</v>
          </cell>
          <cell r="P214">
            <v>0</v>
          </cell>
          <cell r="Q214">
            <v>30513.43</v>
          </cell>
          <cell r="R214">
            <v>80351.5</v>
          </cell>
          <cell r="S214">
            <v>0</v>
          </cell>
          <cell r="T214">
            <v>0</v>
          </cell>
          <cell r="U214">
            <v>80351.5</v>
          </cell>
          <cell r="V214">
            <v>1877068.84</v>
          </cell>
          <cell r="W214">
            <v>0</v>
          </cell>
          <cell r="X214">
            <v>0</v>
          </cell>
          <cell r="Y214">
            <v>1877068.84</v>
          </cell>
          <cell r="Z214">
            <v>54133.99</v>
          </cell>
          <cell r="AA214">
            <v>0</v>
          </cell>
          <cell r="AB214">
            <v>0</v>
          </cell>
          <cell r="AC214">
            <v>54133.99</v>
          </cell>
          <cell r="AD214">
            <v>967726.05</v>
          </cell>
          <cell r="AE214">
            <v>0</v>
          </cell>
          <cell r="AF214">
            <v>0</v>
          </cell>
          <cell r="AG214">
            <v>967726.05</v>
          </cell>
          <cell r="AH214">
            <v>-14269.32</v>
          </cell>
          <cell r="AI214">
            <v>0</v>
          </cell>
          <cell r="AJ214">
            <v>0</v>
          </cell>
          <cell r="AK214">
            <v>-14269.32</v>
          </cell>
          <cell r="AL214">
            <v>3183548.99</v>
          </cell>
          <cell r="AM214">
            <v>0</v>
          </cell>
          <cell r="AN214">
            <v>0</v>
          </cell>
          <cell r="AO214">
            <v>3183548.99</v>
          </cell>
          <cell r="AP214">
            <v>11407.8</v>
          </cell>
          <cell r="AQ214">
            <v>0</v>
          </cell>
          <cell r="AR214">
            <v>0</v>
          </cell>
          <cell r="AS214">
            <v>11407.8</v>
          </cell>
          <cell r="AT214">
            <v>59930.81</v>
          </cell>
          <cell r="AU214">
            <v>0</v>
          </cell>
          <cell r="AV214">
            <v>0</v>
          </cell>
          <cell r="AW214">
            <v>59930.81</v>
          </cell>
          <cell r="AX214">
            <v>5613.8</v>
          </cell>
          <cell r="AY214">
            <v>0</v>
          </cell>
          <cell r="AZ214">
            <v>0</v>
          </cell>
          <cell r="BA214">
            <v>5613.8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67603.28</v>
          </cell>
          <cell r="BK214">
            <v>0</v>
          </cell>
          <cell r="BL214">
            <v>0</v>
          </cell>
          <cell r="BM214">
            <v>67603.28</v>
          </cell>
          <cell r="BN214">
            <v>94912.97</v>
          </cell>
          <cell r="BO214">
            <v>0</v>
          </cell>
          <cell r="BP214">
            <v>0</v>
          </cell>
          <cell r="BQ214">
            <v>94912.97</v>
          </cell>
          <cell r="BR214">
            <v>2170560</v>
          </cell>
          <cell r="BS214">
            <v>0</v>
          </cell>
          <cell r="BT214">
            <v>0</v>
          </cell>
          <cell r="BU214">
            <v>2170560</v>
          </cell>
          <cell r="BV214">
            <v>37931</v>
          </cell>
          <cell r="BW214">
            <v>0</v>
          </cell>
          <cell r="BX214">
            <v>0</v>
          </cell>
          <cell r="BY214">
            <v>37931</v>
          </cell>
          <cell r="BZ214">
            <v>68331.39</v>
          </cell>
          <cell r="CA214">
            <v>0</v>
          </cell>
          <cell r="CB214">
            <v>0</v>
          </cell>
          <cell r="CC214">
            <v>68331.39</v>
          </cell>
          <cell r="CD214">
            <v>4682.6099999999997</v>
          </cell>
          <cell r="CE214">
            <v>0</v>
          </cell>
          <cell r="CF214">
            <v>0</v>
          </cell>
          <cell r="CG214">
            <v>4682.6099999999997</v>
          </cell>
          <cell r="CH214">
            <v>35474.44</v>
          </cell>
          <cell r="CI214">
            <v>0</v>
          </cell>
          <cell r="CJ214">
            <v>0</v>
          </cell>
          <cell r="CK214">
            <v>35474.44</v>
          </cell>
          <cell r="CL214">
            <v>10791.33</v>
          </cell>
          <cell r="CM214">
            <v>0</v>
          </cell>
          <cell r="CN214">
            <v>0</v>
          </cell>
          <cell r="CO214">
            <v>10791.33</v>
          </cell>
          <cell r="CP214">
            <v>2562</v>
          </cell>
          <cell r="CQ214">
            <v>0</v>
          </cell>
          <cell r="CR214">
            <v>0</v>
          </cell>
          <cell r="CS214">
            <v>2562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2515.31</v>
          </cell>
          <cell r="CY214">
            <v>0</v>
          </cell>
          <cell r="CZ214">
            <v>0</v>
          </cell>
          <cell r="DA214">
            <v>2515.31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7665.04</v>
          </cell>
          <cell r="EC214">
            <v>0</v>
          </cell>
          <cell r="ED214">
            <v>0</v>
          </cell>
          <cell r="EE214">
            <v>7665.04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</row>
        <row r="215">
          <cell r="A215">
            <v>209</v>
          </cell>
          <cell r="B215" t="str">
            <v>E2340</v>
          </cell>
          <cell r="C215" t="str">
            <v>SD</v>
          </cell>
          <cell r="D215" t="str">
            <v>NW</v>
          </cell>
          <cell r="E215" t="str">
            <v>Ribble Valley</v>
          </cell>
          <cell r="F215">
            <v>133380</v>
          </cell>
          <cell r="G215">
            <v>0</v>
          </cell>
          <cell r="H215">
            <v>0</v>
          </cell>
          <cell r="I215">
            <v>133380</v>
          </cell>
          <cell r="J215">
            <v>-124281</v>
          </cell>
          <cell r="K215">
            <v>0</v>
          </cell>
          <cell r="L215">
            <v>0</v>
          </cell>
          <cell r="M215">
            <v>-124281</v>
          </cell>
          <cell r="N215">
            <v>13036</v>
          </cell>
          <cell r="O215">
            <v>0</v>
          </cell>
          <cell r="P215">
            <v>0</v>
          </cell>
          <cell r="Q215">
            <v>13036</v>
          </cell>
          <cell r="R215">
            <v>8270</v>
          </cell>
          <cell r="S215">
            <v>0</v>
          </cell>
          <cell r="T215">
            <v>0</v>
          </cell>
          <cell r="U215">
            <v>8270</v>
          </cell>
          <cell r="V215">
            <v>1777110</v>
          </cell>
          <cell r="W215">
            <v>0</v>
          </cell>
          <cell r="X215">
            <v>0</v>
          </cell>
          <cell r="Y215">
            <v>1777110</v>
          </cell>
          <cell r="Z215">
            <v>44831</v>
          </cell>
          <cell r="AA215">
            <v>0</v>
          </cell>
          <cell r="AB215">
            <v>0</v>
          </cell>
          <cell r="AC215">
            <v>44831</v>
          </cell>
          <cell r="AD215">
            <v>217005</v>
          </cell>
          <cell r="AE215">
            <v>0</v>
          </cell>
          <cell r="AF215">
            <v>34290</v>
          </cell>
          <cell r="AG215">
            <v>251295</v>
          </cell>
          <cell r="AH215">
            <v>1089</v>
          </cell>
          <cell r="AI215">
            <v>0</v>
          </cell>
          <cell r="AJ215">
            <v>0</v>
          </cell>
          <cell r="AK215">
            <v>1089</v>
          </cell>
          <cell r="AL215">
            <v>851609</v>
          </cell>
          <cell r="AM215">
            <v>0</v>
          </cell>
          <cell r="AN215">
            <v>0</v>
          </cell>
          <cell r="AO215">
            <v>851609</v>
          </cell>
          <cell r="AP215">
            <v>2641</v>
          </cell>
          <cell r="AQ215">
            <v>0</v>
          </cell>
          <cell r="AR215">
            <v>0</v>
          </cell>
          <cell r="AS215">
            <v>2641</v>
          </cell>
          <cell r="AT215">
            <v>25331</v>
          </cell>
          <cell r="AU215">
            <v>0</v>
          </cell>
          <cell r="AV215">
            <v>0</v>
          </cell>
          <cell r="AW215">
            <v>25331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25487</v>
          </cell>
          <cell r="BC215">
            <v>0</v>
          </cell>
          <cell r="BD215">
            <v>0</v>
          </cell>
          <cell r="BE215">
            <v>25487</v>
          </cell>
          <cell r="BF215">
            <v>10155</v>
          </cell>
          <cell r="BG215">
            <v>0</v>
          </cell>
          <cell r="BH215">
            <v>0</v>
          </cell>
          <cell r="BI215">
            <v>10155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-27872</v>
          </cell>
          <cell r="BO215">
            <v>0</v>
          </cell>
          <cell r="BP215">
            <v>0</v>
          </cell>
          <cell r="BQ215">
            <v>-27872</v>
          </cell>
          <cell r="BR215">
            <v>495547</v>
          </cell>
          <cell r="BS215">
            <v>0</v>
          </cell>
          <cell r="BT215">
            <v>0</v>
          </cell>
          <cell r="BU215">
            <v>495547</v>
          </cell>
          <cell r="BV215">
            <v>61613</v>
          </cell>
          <cell r="BW215">
            <v>0</v>
          </cell>
          <cell r="BX215">
            <v>0</v>
          </cell>
          <cell r="BY215">
            <v>61613</v>
          </cell>
          <cell r="BZ215">
            <v>28038</v>
          </cell>
          <cell r="CA215">
            <v>0</v>
          </cell>
          <cell r="CB215">
            <v>0</v>
          </cell>
          <cell r="CC215">
            <v>28038</v>
          </cell>
          <cell r="CD215">
            <v>273</v>
          </cell>
          <cell r="CE215">
            <v>0</v>
          </cell>
          <cell r="CF215">
            <v>0</v>
          </cell>
          <cell r="CG215">
            <v>273</v>
          </cell>
          <cell r="CH215">
            <v>9948</v>
          </cell>
          <cell r="CI215">
            <v>0</v>
          </cell>
          <cell r="CJ215">
            <v>0</v>
          </cell>
          <cell r="CK215">
            <v>9948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5930</v>
          </cell>
          <cell r="CY215">
            <v>0</v>
          </cell>
          <cell r="CZ215">
            <v>0</v>
          </cell>
          <cell r="DA215">
            <v>5930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1559</v>
          </cell>
          <cell r="DG215">
            <v>0</v>
          </cell>
          <cell r="DH215">
            <v>0</v>
          </cell>
          <cell r="DI215">
            <v>1559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</row>
        <row r="216">
          <cell r="A216">
            <v>210</v>
          </cell>
          <cell r="B216" t="str">
            <v>E5047</v>
          </cell>
          <cell r="C216" t="str">
            <v>OLB</v>
          </cell>
          <cell r="D216" t="str">
            <v>L</v>
          </cell>
          <cell r="E216" t="str">
            <v>Richmond upon Thames</v>
          </cell>
          <cell r="F216">
            <v>323214</v>
          </cell>
          <cell r="G216">
            <v>0</v>
          </cell>
          <cell r="H216">
            <v>0</v>
          </cell>
          <cell r="I216">
            <v>323214</v>
          </cell>
          <cell r="J216">
            <v>122840</v>
          </cell>
          <cell r="K216">
            <v>0</v>
          </cell>
          <cell r="L216">
            <v>0</v>
          </cell>
          <cell r="M216">
            <v>122840</v>
          </cell>
          <cell r="N216">
            <v>63047</v>
          </cell>
          <cell r="O216">
            <v>0</v>
          </cell>
          <cell r="P216">
            <v>0</v>
          </cell>
          <cell r="Q216">
            <v>63047</v>
          </cell>
          <cell r="R216">
            <v>369352</v>
          </cell>
          <cell r="S216">
            <v>0</v>
          </cell>
          <cell r="T216">
            <v>0</v>
          </cell>
          <cell r="U216">
            <v>369352</v>
          </cell>
          <cell r="V216">
            <v>2136553</v>
          </cell>
          <cell r="W216">
            <v>0</v>
          </cell>
          <cell r="X216">
            <v>0</v>
          </cell>
          <cell r="Y216">
            <v>2136553</v>
          </cell>
          <cell r="Z216">
            <v>117340</v>
          </cell>
          <cell r="AA216">
            <v>0</v>
          </cell>
          <cell r="AB216">
            <v>0</v>
          </cell>
          <cell r="AC216">
            <v>117340</v>
          </cell>
          <cell r="AD216">
            <v>1506062</v>
          </cell>
          <cell r="AE216">
            <v>0</v>
          </cell>
          <cell r="AF216">
            <v>0</v>
          </cell>
          <cell r="AG216">
            <v>1506062</v>
          </cell>
          <cell r="AH216">
            <v>-30374</v>
          </cell>
          <cell r="AI216">
            <v>0</v>
          </cell>
          <cell r="AJ216">
            <v>0</v>
          </cell>
          <cell r="AK216">
            <v>-30374</v>
          </cell>
          <cell r="AL216">
            <v>7485343</v>
          </cell>
          <cell r="AM216">
            <v>0</v>
          </cell>
          <cell r="AN216">
            <v>0</v>
          </cell>
          <cell r="AO216">
            <v>7485343</v>
          </cell>
          <cell r="AP216">
            <v>7409</v>
          </cell>
          <cell r="AQ216">
            <v>0</v>
          </cell>
          <cell r="AR216">
            <v>0</v>
          </cell>
          <cell r="AS216">
            <v>7409</v>
          </cell>
          <cell r="AT216">
            <v>50495</v>
          </cell>
          <cell r="AU216">
            <v>0</v>
          </cell>
          <cell r="AV216">
            <v>0</v>
          </cell>
          <cell r="AW216">
            <v>50495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2831271</v>
          </cell>
          <cell r="BS216">
            <v>0</v>
          </cell>
          <cell r="BT216">
            <v>0</v>
          </cell>
          <cell r="BU216">
            <v>2831271</v>
          </cell>
          <cell r="BV216">
            <v>275850</v>
          </cell>
          <cell r="BW216">
            <v>0</v>
          </cell>
          <cell r="BX216">
            <v>0</v>
          </cell>
          <cell r="BY216">
            <v>275850</v>
          </cell>
          <cell r="BZ216">
            <v>247992</v>
          </cell>
          <cell r="CA216">
            <v>0</v>
          </cell>
          <cell r="CB216">
            <v>0</v>
          </cell>
          <cell r="CC216">
            <v>247992</v>
          </cell>
          <cell r="CD216">
            <v>7046</v>
          </cell>
          <cell r="CE216">
            <v>0</v>
          </cell>
          <cell r="CF216">
            <v>0</v>
          </cell>
          <cell r="CG216">
            <v>7046</v>
          </cell>
          <cell r="CH216">
            <v>155553.51</v>
          </cell>
          <cell r="CI216">
            <v>0</v>
          </cell>
          <cell r="CJ216">
            <v>0</v>
          </cell>
          <cell r="CK216">
            <v>155553.51</v>
          </cell>
          <cell r="CL216">
            <v>-15328</v>
          </cell>
          <cell r="CM216">
            <v>0</v>
          </cell>
          <cell r="CN216">
            <v>0</v>
          </cell>
          <cell r="CO216">
            <v>-15328</v>
          </cell>
          <cell r="CP216">
            <v>3839</v>
          </cell>
          <cell r="CQ216">
            <v>0</v>
          </cell>
          <cell r="CR216">
            <v>0</v>
          </cell>
          <cell r="CS216">
            <v>3839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</row>
        <row r="217">
          <cell r="A217">
            <v>211</v>
          </cell>
          <cell r="B217" t="str">
            <v>E2734</v>
          </cell>
          <cell r="C217" t="str">
            <v>SD</v>
          </cell>
          <cell r="D217" t="str">
            <v>YH</v>
          </cell>
          <cell r="E217" t="str">
            <v>Richmondshire</v>
          </cell>
          <cell r="F217">
            <v>26467</v>
          </cell>
          <cell r="G217">
            <v>0</v>
          </cell>
          <cell r="H217">
            <v>0</v>
          </cell>
          <cell r="I217">
            <v>26467</v>
          </cell>
          <cell r="J217">
            <v>9705</v>
          </cell>
          <cell r="K217">
            <v>0</v>
          </cell>
          <cell r="L217">
            <v>0</v>
          </cell>
          <cell r="M217">
            <v>9705</v>
          </cell>
          <cell r="N217">
            <v>18798</v>
          </cell>
          <cell r="O217">
            <v>0</v>
          </cell>
          <cell r="P217">
            <v>0</v>
          </cell>
          <cell r="Q217">
            <v>18798</v>
          </cell>
          <cell r="R217">
            <v>80324</v>
          </cell>
          <cell r="S217">
            <v>0</v>
          </cell>
          <cell r="T217">
            <v>0</v>
          </cell>
          <cell r="U217">
            <v>80324</v>
          </cell>
          <cell r="V217">
            <v>1631431</v>
          </cell>
          <cell r="W217">
            <v>0</v>
          </cell>
          <cell r="X217">
            <v>0</v>
          </cell>
          <cell r="Y217">
            <v>1631431</v>
          </cell>
          <cell r="Z217">
            <v>94274</v>
          </cell>
          <cell r="AA217">
            <v>0</v>
          </cell>
          <cell r="AB217">
            <v>0</v>
          </cell>
          <cell r="AC217">
            <v>94274</v>
          </cell>
          <cell r="AD217">
            <v>217530</v>
          </cell>
          <cell r="AE217">
            <v>0</v>
          </cell>
          <cell r="AF217">
            <v>0</v>
          </cell>
          <cell r="AG217">
            <v>217530</v>
          </cell>
          <cell r="AH217">
            <v>-791</v>
          </cell>
          <cell r="AI217">
            <v>0</v>
          </cell>
          <cell r="AJ217">
            <v>0</v>
          </cell>
          <cell r="AK217">
            <v>-791</v>
          </cell>
          <cell r="AL217">
            <v>513787</v>
          </cell>
          <cell r="AM217">
            <v>0</v>
          </cell>
          <cell r="AN217">
            <v>0</v>
          </cell>
          <cell r="AO217">
            <v>513787</v>
          </cell>
          <cell r="AP217">
            <v>-13052</v>
          </cell>
          <cell r="AQ217">
            <v>0</v>
          </cell>
          <cell r="AR217">
            <v>0</v>
          </cell>
          <cell r="AS217">
            <v>-13052</v>
          </cell>
          <cell r="AT217">
            <v>38125</v>
          </cell>
          <cell r="AU217">
            <v>0</v>
          </cell>
          <cell r="AV217">
            <v>0</v>
          </cell>
          <cell r="AW217">
            <v>38125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44720</v>
          </cell>
          <cell r="BC217">
            <v>0</v>
          </cell>
          <cell r="BD217">
            <v>0</v>
          </cell>
          <cell r="BE217">
            <v>44720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2613</v>
          </cell>
          <cell r="BK217">
            <v>0</v>
          </cell>
          <cell r="BL217">
            <v>0</v>
          </cell>
          <cell r="BM217">
            <v>2613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213752</v>
          </cell>
          <cell r="BS217">
            <v>0</v>
          </cell>
          <cell r="BT217">
            <v>0</v>
          </cell>
          <cell r="BU217">
            <v>213752</v>
          </cell>
          <cell r="BV217">
            <v>17297</v>
          </cell>
          <cell r="BW217">
            <v>0</v>
          </cell>
          <cell r="BX217">
            <v>0</v>
          </cell>
          <cell r="BY217">
            <v>17297</v>
          </cell>
          <cell r="BZ217">
            <v>47465</v>
          </cell>
          <cell r="CA217">
            <v>0</v>
          </cell>
          <cell r="CB217">
            <v>0</v>
          </cell>
          <cell r="CC217">
            <v>47465</v>
          </cell>
          <cell r="CD217">
            <v>2955</v>
          </cell>
          <cell r="CE217">
            <v>0</v>
          </cell>
          <cell r="CF217">
            <v>0</v>
          </cell>
          <cell r="CG217">
            <v>2955</v>
          </cell>
          <cell r="CH217">
            <v>6870</v>
          </cell>
          <cell r="CI217">
            <v>0</v>
          </cell>
          <cell r="CJ217">
            <v>0</v>
          </cell>
          <cell r="CK217">
            <v>6870</v>
          </cell>
          <cell r="CL217">
            <v>-419</v>
          </cell>
          <cell r="CM217">
            <v>0</v>
          </cell>
          <cell r="CN217">
            <v>0</v>
          </cell>
          <cell r="CO217">
            <v>-419</v>
          </cell>
          <cell r="CP217">
            <v>1326</v>
          </cell>
          <cell r="CQ217">
            <v>0</v>
          </cell>
          <cell r="CR217">
            <v>0</v>
          </cell>
          <cell r="CS217">
            <v>1326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18403</v>
          </cell>
          <cell r="CY217">
            <v>0</v>
          </cell>
          <cell r="CZ217">
            <v>0</v>
          </cell>
          <cell r="DA217">
            <v>18403</v>
          </cell>
          <cell r="DB217">
            <v>1488</v>
          </cell>
          <cell r="DC217">
            <v>0</v>
          </cell>
          <cell r="DD217">
            <v>0</v>
          </cell>
          <cell r="DE217">
            <v>1488</v>
          </cell>
          <cell r="DF217">
            <v>5807</v>
          </cell>
          <cell r="DG217">
            <v>0</v>
          </cell>
          <cell r="DH217">
            <v>0</v>
          </cell>
          <cell r="DI217">
            <v>5807</v>
          </cell>
          <cell r="DJ217">
            <v>-1488</v>
          </cell>
          <cell r="DK217">
            <v>0</v>
          </cell>
          <cell r="DL217">
            <v>0</v>
          </cell>
          <cell r="DM217">
            <v>-1488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</row>
        <row r="218">
          <cell r="A218">
            <v>212</v>
          </cell>
          <cell r="B218" t="str">
            <v>E4205</v>
          </cell>
          <cell r="C218" t="str">
            <v>Met</v>
          </cell>
          <cell r="D218" t="str">
            <v>NW</v>
          </cell>
          <cell r="E218" t="str">
            <v>Rochdale</v>
          </cell>
          <cell r="F218">
            <v>241975</v>
          </cell>
          <cell r="G218">
            <v>0</v>
          </cell>
          <cell r="H218">
            <v>0</v>
          </cell>
          <cell r="I218">
            <v>241975</v>
          </cell>
          <cell r="J218">
            <v>-243453</v>
          </cell>
          <cell r="K218">
            <v>0</v>
          </cell>
          <cell r="L218">
            <v>0</v>
          </cell>
          <cell r="M218">
            <v>-243453</v>
          </cell>
          <cell r="N218">
            <v>157713</v>
          </cell>
          <cell r="O218">
            <v>0</v>
          </cell>
          <cell r="P218">
            <v>0</v>
          </cell>
          <cell r="Q218">
            <v>157713</v>
          </cell>
          <cell r="R218">
            <v>738660</v>
          </cell>
          <cell r="S218">
            <v>0</v>
          </cell>
          <cell r="T218">
            <v>0</v>
          </cell>
          <cell r="U218">
            <v>738660</v>
          </cell>
          <cell r="V218">
            <v>4768941</v>
          </cell>
          <cell r="W218">
            <v>0</v>
          </cell>
          <cell r="X218">
            <v>0</v>
          </cell>
          <cell r="Y218">
            <v>4768941</v>
          </cell>
          <cell r="Z218">
            <v>167066</v>
          </cell>
          <cell r="AA218">
            <v>0</v>
          </cell>
          <cell r="AB218">
            <v>0</v>
          </cell>
          <cell r="AC218">
            <v>167066</v>
          </cell>
          <cell r="AD218">
            <v>1266779</v>
          </cell>
          <cell r="AE218">
            <v>0</v>
          </cell>
          <cell r="AF218">
            <v>0</v>
          </cell>
          <cell r="AG218">
            <v>1266779</v>
          </cell>
          <cell r="AH218">
            <v>-26728</v>
          </cell>
          <cell r="AI218">
            <v>0</v>
          </cell>
          <cell r="AJ218">
            <v>0</v>
          </cell>
          <cell r="AK218">
            <v>-26728</v>
          </cell>
          <cell r="AL218">
            <v>2943067</v>
          </cell>
          <cell r="AM218">
            <v>0</v>
          </cell>
          <cell r="AN218">
            <v>0</v>
          </cell>
          <cell r="AO218">
            <v>2943067</v>
          </cell>
          <cell r="AP218">
            <v>-111421</v>
          </cell>
          <cell r="AQ218">
            <v>0</v>
          </cell>
          <cell r="AR218">
            <v>0</v>
          </cell>
          <cell r="AS218">
            <v>-111421</v>
          </cell>
          <cell r="AT218">
            <v>90611</v>
          </cell>
          <cell r="AU218">
            <v>0</v>
          </cell>
          <cell r="AV218">
            <v>0</v>
          </cell>
          <cell r="AW218">
            <v>90611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376565</v>
          </cell>
          <cell r="BK218">
            <v>0</v>
          </cell>
          <cell r="BL218">
            <v>0</v>
          </cell>
          <cell r="BM218">
            <v>376565</v>
          </cell>
          <cell r="BN218">
            <v>363293</v>
          </cell>
          <cell r="BO218">
            <v>0</v>
          </cell>
          <cell r="BP218">
            <v>0</v>
          </cell>
          <cell r="BQ218">
            <v>363293</v>
          </cell>
          <cell r="BR218">
            <v>5067101</v>
          </cell>
          <cell r="BS218">
            <v>0</v>
          </cell>
          <cell r="BT218">
            <v>0</v>
          </cell>
          <cell r="BU218">
            <v>5067101</v>
          </cell>
          <cell r="BV218">
            <v>302175</v>
          </cell>
          <cell r="BW218">
            <v>0</v>
          </cell>
          <cell r="BX218">
            <v>0</v>
          </cell>
          <cell r="BY218">
            <v>302175</v>
          </cell>
          <cell r="BZ218">
            <v>218953</v>
          </cell>
          <cell r="CA218">
            <v>0</v>
          </cell>
          <cell r="CB218">
            <v>0</v>
          </cell>
          <cell r="CC218">
            <v>218953</v>
          </cell>
          <cell r="CD218">
            <v>-21337</v>
          </cell>
          <cell r="CE218">
            <v>0</v>
          </cell>
          <cell r="CF218">
            <v>0</v>
          </cell>
          <cell r="CG218">
            <v>-21337</v>
          </cell>
          <cell r="CH218">
            <v>88320</v>
          </cell>
          <cell r="CI218">
            <v>0</v>
          </cell>
          <cell r="CJ218">
            <v>0</v>
          </cell>
          <cell r="CK218">
            <v>88320</v>
          </cell>
          <cell r="CL218">
            <v>-8341</v>
          </cell>
          <cell r="CM218">
            <v>0</v>
          </cell>
          <cell r="CN218">
            <v>0</v>
          </cell>
          <cell r="CO218">
            <v>-8341</v>
          </cell>
          <cell r="CP218">
            <v>8210</v>
          </cell>
          <cell r="CQ218">
            <v>0</v>
          </cell>
          <cell r="CR218">
            <v>0</v>
          </cell>
          <cell r="CS218">
            <v>8210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22021</v>
          </cell>
          <cell r="EG218">
            <v>0</v>
          </cell>
          <cell r="EH218">
            <v>0</v>
          </cell>
          <cell r="EI218">
            <v>22021</v>
          </cell>
          <cell r="EJ218">
            <v>-23391</v>
          </cell>
          <cell r="EK218">
            <v>0</v>
          </cell>
          <cell r="EL218">
            <v>0</v>
          </cell>
          <cell r="EM218">
            <v>-23391</v>
          </cell>
        </row>
        <row r="219">
          <cell r="A219">
            <v>213</v>
          </cell>
          <cell r="B219" t="str">
            <v>E1540</v>
          </cell>
          <cell r="C219" t="str">
            <v>SD</v>
          </cell>
          <cell r="D219" t="str">
            <v>E</v>
          </cell>
          <cell r="E219" t="str">
            <v>Rochford</v>
          </cell>
          <cell r="F219">
            <v>40169</v>
          </cell>
          <cell r="G219">
            <v>0</v>
          </cell>
          <cell r="H219">
            <v>0</v>
          </cell>
          <cell r="I219">
            <v>40169</v>
          </cell>
          <cell r="J219">
            <v>-51660</v>
          </cell>
          <cell r="K219">
            <v>0</v>
          </cell>
          <cell r="L219">
            <v>0</v>
          </cell>
          <cell r="M219">
            <v>-51660</v>
          </cell>
          <cell r="N219">
            <v>11007</v>
          </cell>
          <cell r="O219">
            <v>0</v>
          </cell>
          <cell r="P219">
            <v>0</v>
          </cell>
          <cell r="Q219">
            <v>11007</v>
          </cell>
          <cell r="R219">
            <v>42015</v>
          </cell>
          <cell r="S219">
            <v>0</v>
          </cell>
          <cell r="T219">
            <v>0</v>
          </cell>
          <cell r="U219">
            <v>42015</v>
          </cell>
          <cell r="V219">
            <v>1488891</v>
          </cell>
          <cell r="W219">
            <v>0</v>
          </cell>
          <cell r="X219">
            <v>0</v>
          </cell>
          <cell r="Y219">
            <v>1488891</v>
          </cell>
          <cell r="Z219">
            <v>108877</v>
          </cell>
          <cell r="AA219">
            <v>0</v>
          </cell>
          <cell r="AB219">
            <v>0</v>
          </cell>
          <cell r="AC219">
            <v>108877</v>
          </cell>
          <cell r="AD219">
            <v>273494</v>
          </cell>
          <cell r="AE219">
            <v>0</v>
          </cell>
          <cell r="AF219">
            <v>0</v>
          </cell>
          <cell r="AG219">
            <v>273494</v>
          </cell>
          <cell r="AH219">
            <v>-7456</v>
          </cell>
          <cell r="AI219">
            <v>0</v>
          </cell>
          <cell r="AJ219">
            <v>0</v>
          </cell>
          <cell r="AK219">
            <v>-7456</v>
          </cell>
          <cell r="AL219">
            <v>982496</v>
          </cell>
          <cell r="AM219">
            <v>0</v>
          </cell>
          <cell r="AN219">
            <v>0</v>
          </cell>
          <cell r="AO219">
            <v>982496</v>
          </cell>
          <cell r="AP219">
            <v>-13986</v>
          </cell>
          <cell r="AQ219">
            <v>0</v>
          </cell>
          <cell r="AR219">
            <v>0</v>
          </cell>
          <cell r="AS219">
            <v>-13986</v>
          </cell>
          <cell r="AT219">
            <v>11134</v>
          </cell>
          <cell r="AU219">
            <v>0</v>
          </cell>
          <cell r="AV219">
            <v>0</v>
          </cell>
          <cell r="AW219">
            <v>11134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253</v>
          </cell>
          <cell r="BC219">
            <v>0</v>
          </cell>
          <cell r="BD219">
            <v>0</v>
          </cell>
          <cell r="BE219">
            <v>253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337047</v>
          </cell>
          <cell r="BS219">
            <v>0</v>
          </cell>
          <cell r="BT219">
            <v>0</v>
          </cell>
          <cell r="BU219">
            <v>337047</v>
          </cell>
          <cell r="BV219">
            <v>409</v>
          </cell>
          <cell r="BW219">
            <v>0</v>
          </cell>
          <cell r="BX219">
            <v>0</v>
          </cell>
          <cell r="BY219">
            <v>409</v>
          </cell>
          <cell r="BZ219">
            <v>23496</v>
          </cell>
          <cell r="CA219">
            <v>0</v>
          </cell>
          <cell r="CB219">
            <v>0</v>
          </cell>
          <cell r="CC219">
            <v>23496</v>
          </cell>
          <cell r="CD219">
            <v>4531</v>
          </cell>
          <cell r="CE219">
            <v>0</v>
          </cell>
          <cell r="CF219">
            <v>0</v>
          </cell>
          <cell r="CG219">
            <v>4531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</row>
        <row r="220">
          <cell r="A220">
            <v>214</v>
          </cell>
          <cell r="B220" t="str">
            <v>E2341</v>
          </cell>
          <cell r="C220" t="str">
            <v>SD</v>
          </cell>
          <cell r="D220" t="str">
            <v>NW</v>
          </cell>
          <cell r="E220" t="str">
            <v>Rossendale</v>
          </cell>
          <cell r="F220">
            <v>87420.6</v>
          </cell>
          <cell r="G220">
            <v>0</v>
          </cell>
          <cell r="H220">
            <v>0</v>
          </cell>
          <cell r="I220">
            <v>87420.6</v>
          </cell>
          <cell r="J220">
            <v>-78789.350000000006</v>
          </cell>
          <cell r="K220">
            <v>0</v>
          </cell>
          <cell r="L220">
            <v>0</v>
          </cell>
          <cell r="M220">
            <v>-78789.350000000006</v>
          </cell>
          <cell r="N220">
            <v>3043.18</v>
          </cell>
          <cell r="O220">
            <v>0</v>
          </cell>
          <cell r="P220">
            <v>0</v>
          </cell>
          <cell r="Q220">
            <v>3043.18</v>
          </cell>
          <cell r="R220">
            <v>4923.57</v>
          </cell>
          <cell r="S220">
            <v>0</v>
          </cell>
          <cell r="T220">
            <v>0</v>
          </cell>
          <cell r="U220">
            <v>4923.57</v>
          </cell>
          <cell r="V220">
            <v>1873857.61</v>
          </cell>
          <cell r="W220">
            <v>0</v>
          </cell>
          <cell r="X220">
            <v>0</v>
          </cell>
          <cell r="Y220">
            <v>1873857.61</v>
          </cell>
          <cell r="Z220">
            <v>41954.64</v>
          </cell>
          <cell r="AA220">
            <v>0</v>
          </cell>
          <cell r="AB220">
            <v>0</v>
          </cell>
          <cell r="AC220">
            <v>41954.64</v>
          </cell>
          <cell r="AD220">
            <v>245985.47</v>
          </cell>
          <cell r="AE220">
            <v>0</v>
          </cell>
          <cell r="AF220">
            <v>0</v>
          </cell>
          <cell r="AG220">
            <v>245985.47</v>
          </cell>
          <cell r="AH220">
            <v>21837.27</v>
          </cell>
          <cell r="AI220">
            <v>0</v>
          </cell>
          <cell r="AJ220">
            <v>0</v>
          </cell>
          <cell r="AK220">
            <v>21837.27</v>
          </cell>
          <cell r="AL220">
            <v>430952.69</v>
          </cell>
          <cell r="AM220">
            <v>0</v>
          </cell>
          <cell r="AN220">
            <v>0</v>
          </cell>
          <cell r="AO220">
            <v>430952.69</v>
          </cell>
          <cell r="AP220">
            <v>14441.79</v>
          </cell>
          <cell r="AQ220">
            <v>0</v>
          </cell>
          <cell r="AR220">
            <v>0</v>
          </cell>
          <cell r="AS220">
            <v>14441.79</v>
          </cell>
          <cell r="AT220">
            <v>46144.81</v>
          </cell>
          <cell r="AU220">
            <v>0</v>
          </cell>
          <cell r="AV220">
            <v>0</v>
          </cell>
          <cell r="AW220">
            <v>46144.81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7280.14</v>
          </cell>
          <cell r="BO220">
            <v>0</v>
          </cell>
          <cell r="BP220">
            <v>0</v>
          </cell>
          <cell r="BQ220">
            <v>7280.14</v>
          </cell>
          <cell r="BR220">
            <v>765822.26</v>
          </cell>
          <cell r="BS220">
            <v>0</v>
          </cell>
          <cell r="BT220">
            <v>0</v>
          </cell>
          <cell r="BU220">
            <v>765822.26</v>
          </cell>
          <cell r="BV220">
            <v>-114652.61</v>
          </cell>
          <cell r="BW220">
            <v>0</v>
          </cell>
          <cell r="BX220">
            <v>0</v>
          </cell>
          <cell r="BY220">
            <v>-114652.61</v>
          </cell>
          <cell r="BZ220">
            <v>42866.080000000002</v>
          </cell>
          <cell r="CA220">
            <v>0</v>
          </cell>
          <cell r="CB220">
            <v>0</v>
          </cell>
          <cell r="CC220">
            <v>42866.080000000002</v>
          </cell>
          <cell r="CD220">
            <v>2219.9899999999998</v>
          </cell>
          <cell r="CE220">
            <v>0</v>
          </cell>
          <cell r="CF220">
            <v>0</v>
          </cell>
          <cell r="CG220">
            <v>2219.9899999999998</v>
          </cell>
          <cell r="CH220">
            <v>26391</v>
          </cell>
          <cell r="CI220">
            <v>0</v>
          </cell>
          <cell r="CJ220">
            <v>0</v>
          </cell>
          <cell r="CK220">
            <v>26391</v>
          </cell>
          <cell r="CL220">
            <v>-837</v>
          </cell>
          <cell r="CM220">
            <v>0</v>
          </cell>
          <cell r="CN220">
            <v>0</v>
          </cell>
          <cell r="CO220">
            <v>-837</v>
          </cell>
          <cell r="CP220">
            <v>3033.25</v>
          </cell>
          <cell r="CQ220">
            <v>0</v>
          </cell>
          <cell r="CR220">
            <v>0</v>
          </cell>
          <cell r="CS220">
            <v>3033.25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-1110</v>
          </cell>
          <cell r="DC220">
            <v>0</v>
          </cell>
          <cell r="DD220">
            <v>0</v>
          </cell>
          <cell r="DE220">
            <v>-1110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</row>
        <row r="221">
          <cell r="A221">
            <v>215</v>
          </cell>
          <cell r="B221" t="str">
            <v>E1436</v>
          </cell>
          <cell r="C221" t="str">
            <v>SD</v>
          </cell>
          <cell r="D221" t="str">
            <v>SE</v>
          </cell>
          <cell r="E221" t="str">
            <v>Rother</v>
          </cell>
          <cell r="F221">
            <v>122024.14</v>
          </cell>
          <cell r="G221">
            <v>0</v>
          </cell>
          <cell r="H221">
            <v>0</v>
          </cell>
          <cell r="I221">
            <v>122024.14</v>
          </cell>
          <cell r="J221">
            <v>-47125.16</v>
          </cell>
          <cell r="K221">
            <v>0</v>
          </cell>
          <cell r="L221">
            <v>0</v>
          </cell>
          <cell r="M221">
            <v>-47125.16</v>
          </cell>
          <cell r="N221">
            <v>54856.72</v>
          </cell>
          <cell r="O221">
            <v>0</v>
          </cell>
          <cell r="P221">
            <v>0</v>
          </cell>
          <cell r="Q221">
            <v>54856.72</v>
          </cell>
          <cell r="R221">
            <v>2487.1799999999998</v>
          </cell>
          <cell r="S221">
            <v>0</v>
          </cell>
          <cell r="T221">
            <v>0</v>
          </cell>
          <cell r="U221">
            <v>2487.1799999999998</v>
          </cell>
          <cell r="V221">
            <v>2646097.21</v>
          </cell>
          <cell r="W221">
            <v>0</v>
          </cell>
          <cell r="X221">
            <v>0</v>
          </cell>
          <cell r="Y221">
            <v>2646097.21</v>
          </cell>
          <cell r="Z221">
            <v>139167.10999999999</v>
          </cell>
          <cell r="AA221">
            <v>0</v>
          </cell>
          <cell r="AB221">
            <v>0</v>
          </cell>
          <cell r="AC221">
            <v>139167.10999999999</v>
          </cell>
          <cell r="AD221">
            <v>292477.51</v>
          </cell>
          <cell r="AE221">
            <v>0</v>
          </cell>
          <cell r="AF221">
            <v>0</v>
          </cell>
          <cell r="AG221">
            <v>292477.51</v>
          </cell>
          <cell r="AH221">
            <v>-6443.89</v>
          </cell>
          <cell r="AI221">
            <v>0</v>
          </cell>
          <cell r="AJ221">
            <v>0</v>
          </cell>
          <cell r="AK221">
            <v>-6443.89</v>
          </cell>
          <cell r="AL221">
            <v>1954046.59</v>
          </cell>
          <cell r="AM221">
            <v>0</v>
          </cell>
          <cell r="AN221">
            <v>0</v>
          </cell>
          <cell r="AO221">
            <v>1954046.59</v>
          </cell>
          <cell r="AP221">
            <v>-4362.8500000000004</v>
          </cell>
          <cell r="AQ221">
            <v>0</v>
          </cell>
          <cell r="AR221">
            <v>0</v>
          </cell>
          <cell r="AS221">
            <v>-4362.8500000000004</v>
          </cell>
          <cell r="AT221">
            <v>66524.039999999994</v>
          </cell>
          <cell r="AU221">
            <v>0</v>
          </cell>
          <cell r="AV221">
            <v>0</v>
          </cell>
          <cell r="AW221">
            <v>66524.039999999994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37969.85</v>
          </cell>
          <cell r="BC221">
            <v>0</v>
          </cell>
          <cell r="BD221">
            <v>0</v>
          </cell>
          <cell r="BE221">
            <v>37969.85</v>
          </cell>
          <cell r="BF221">
            <v>867.81</v>
          </cell>
          <cell r="BG221">
            <v>0</v>
          </cell>
          <cell r="BH221">
            <v>0</v>
          </cell>
          <cell r="BI221">
            <v>867.81</v>
          </cell>
          <cell r="BJ221">
            <v>1669.22</v>
          </cell>
          <cell r="BK221">
            <v>0</v>
          </cell>
          <cell r="BL221">
            <v>0</v>
          </cell>
          <cell r="BM221">
            <v>1669.22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424364.96</v>
          </cell>
          <cell r="BS221">
            <v>0</v>
          </cell>
          <cell r="BT221">
            <v>0</v>
          </cell>
          <cell r="BU221">
            <v>424364.96</v>
          </cell>
          <cell r="BV221">
            <v>-76958.899999999994</v>
          </cell>
          <cell r="BW221">
            <v>0</v>
          </cell>
          <cell r="BX221">
            <v>0</v>
          </cell>
          <cell r="BY221">
            <v>-76958.899999999994</v>
          </cell>
          <cell r="BZ221">
            <v>31390.2</v>
          </cell>
          <cell r="CA221">
            <v>0</v>
          </cell>
          <cell r="CB221">
            <v>0</v>
          </cell>
          <cell r="CC221">
            <v>31390.2</v>
          </cell>
          <cell r="CD221">
            <v>194.94</v>
          </cell>
          <cell r="CE221">
            <v>0</v>
          </cell>
          <cell r="CF221">
            <v>0</v>
          </cell>
          <cell r="CG221">
            <v>194.94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-0.02</v>
          </cell>
          <cell r="CM221">
            <v>0</v>
          </cell>
          <cell r="CN221">
            <v>0</v>
          </cell>
          <cell r="CO221">
            <v>-0.02</v>
          </cell>
          <cell r="CP221">
            <v>6146.52</v>
          </cell>
          <cell r="CQ221">
            <v>0</v>
          </cell>
          <cell r="CR221">
            <v>0</v>
          </cell>
          <cell r="CS221">
            <v>6146.52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13078.46</v>
          </cell>
          <cell r="CY221">
            <v>0</v>
          </cell>
          <cell r="CZ221">
            <v>0</v>
          </cell>
          <cell r="DA221">
            <v>13078.46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13297.42</v>
          </cell>
          <cell r="EG221">
            <v>0</v>
          </cell>
          <cell r="EH221">
            <v>0</v>
          </cell>
          <cell r="EI221">
            <v>13297.42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</row>
        <row r="222">
          <cell r="A222">
            <v>216</v>
          </cell>
          <cell r="B222" t="str">
            <v>E4403</v>
          </cell>
          <cell r="C222" t="str">
            <v>Met</v>
          </cell>
          <cell r="D222" t="str">
            <v>YH</v>
          </cell>
          <cell r="E222" t="str">
            <v>Rotherham</v>
          </cell>
          <cell r="F222">
            <v>106822</v>
          </cell>
          <cell r="G222">
            <v>0</v>
          </cell>
          <cell r="H222">
            <v>0</v>
          </cell>
          <cell r="I222">
            <v>106822</v>
          </cell>
          <cell r="J222">
            <v>-426600</v>
          </cell>
          <cell r="K222">
            <v>0</v>
          </cell>
          <cell r="L222">
            <v>0</v>
          </cell>
          <cell r="M222">
            <v>-426600</v>
          </cell>
          <cell r="N222">
            <v>53708</v>
          </cell>
          <cell r="O222">
            <v>0</v>
          </cell>
          <cell r="P222">
            <v>0</v>
          </cell>
          <cell r="Q222">
            <v>53708</v>
          </cell>
          <cell r="R222">
            <v>298491</v>
          </cell>
          <cell r="S222">
            <v>0</v>
          </cell>
          <cell r="T222">
            <v>0</v>
          </cell>
          <cell r="U222">
            <v>298491</v>
          </cell>
          <cell r="V222">
            <v>4659278</v>
          </cell>
          <cell r="W222">
            <v>0</v>
          </cell>
          <cell r="X222">
            <v>0</v>
          </cell>
          <cell r="Y222">
            <v>4659278</v>
          </cell>
          <cell r="Z222">
            <v>124508</v>
          </cell>
          <cell r="AA222">
            <v>0</v>
          </cell>
          <cell r="AB222">
            <v>0</v>
          </cell>
          <cell r="AC222">
            <v>124508</v>
          </cell>
          <cell r="AD222">
            <v>1441896</v>
          </cell>
          <cell r="AE222">
            <v>0</v>
          </cell>
          <cell r="AF222">
            <v>0</v>
          </cell>
          <cell r="AG222">
            <v>1441896</v>
          </cell>
          <cell r="AH222">
            <v>-22725</v>
          </cell>
          <cell r="AI222">
            <v>0</v>
          </cell>
          <cell r="AJ222">
            <v>0</v>
          </cell>
          <cell r="AK222">
            <v>-22725</v>
          </cell>
          <cell r="AL222">
            <v>3318886</v>
          </cell>
          <cell r="AM222">
            <v>0</v>
          </cell>
          <cell r="AN222">
            <v>0</v>
          </cell>
          <cell r="AO222">
            <v>3318886</v>
          </cell>
          <cell r="AP222">
            <v>333842</v>
          </cell>
          <cell r="AQ222">
            <v>0</v>
          </cell>
          <cell r="AR222">
            <v>0</v>
          </cell>
          <cell r="AS222">
            <v>333842</v>
          </cell>
          <cell r="AT222">
            <v>13672</v>
          </cell>
          <cell r="AU222">
            <v>0</v>
          </cell>
          <cell r="AV222">
            <v>0</v>
          </cell>
          <cell r="AW222">
            <v>13672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15637</v>
          </cell>
          <cell r="BC222">
            <v>0</v>
          </cell>
          <cell r="BD222">
            <v>0</v>
          </cell>
          <cell r="BE222">
            <v>15637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61018</v>
          </cell>
          <cell r="BK222">
            <v>0</v>
          </cell>
          <cell r="BL222">
            <v>0</v>
          </cell>
          <cell r="BM222">
            <v>61018</v>
          </cell>
          <cell r="BN222">
            <v>-12350</v>
          </cell>
          <cell r="BO222">
            <v>0</v>
          </cell>
          <cell r="BP222">
            <v>0</v>
          </cell>
          <cell r="BQ222">
            <v>-12350</v>
          </cell>
          <cell r="BR222">
            <v>2639386</v>
          </cell>
          <cell r="BS222">
            <v>0</v>
          </cell>
          <cell r="BT222">
            <v>0</v>
          </cell>
          <cell r="BU222">
            <v>2639386</v>
          </cell>
          <cell r="BV222">
            <v>43253</v>
          </cell>
          <cell r="BW222">
            <v>0</v>
          </cell>
          <cell r="BX222">
            <v>0</v>
          </cell>
          <cell r="BY222">
            <v>43253</v>
          </cell>
          <cell r="BZ222">
            <v>126605</v>
          </cell>
          <cell r="CA222">
            <v>0</v>
          </cell>
          <cell r="CB222">
            <v>0</v>
          </cell>
          <cell r="CC222">
            <v>126605</v>
          </cell>
          <cell r="CD222">
            <v>1132</v>
          </cell>
          <cell r="CE222">
            <v>0</v>
          </cell>
          <cell r="CF222">
            <v>0</v>
          </cell>
          <cell r="CG222">
            <v>1132</v>
          </cell>
          <cell r="CH222">
            <v>578242</v>
          </cell>
          <cell r="CI222">
            <v>0</v>
          </cell>
          <cell r="CJ222">
            <v>0</v>
          </cell>
          <cell r="CK222">
            <v>578242</v>
          </cell>
          <cell r="CL222">
            <v>40765</v>
          </cell>
          <cell r="CM222">
            <v>0</v>
          </cell>
          <cell r="CN222">
            <v>0</v>
          </cell>
          <cell r="CO222">
            <v>40765</v>
          </cell>
          <cell r="CP222">
            <v>3418</v>
          </cell>
          <cell r="CQ222">
            <v>0</v>
          </cell>
          <cell r="CR222">
            <v>0</v>
          </cell>
          <cell r="CS222">
            <v>3418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408974</v>
          </cell>
          <cell r="DQ222">
            <v>408974</v>
          </cell>
          <cell r="DR222">
            <v>0</v>
          </cell>
          <cell r="DS222">
            <v>0</v>
          </cell>
          <cell r="DT222">
            <v>11375</v>
          </cell>
          <cell r="DU222">
            <v>11375</v>
          </cell>
          <cell r="DV222">
            <v>420349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381</v>
          </cell>
          <cell r="EG222">
            <v>0</v>
          </cell>
          <cell r="EH222">
            <v>0</v>
          </cell>
          <cell r="EI222">
            <v>381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</row>
        <row r="223">
          <cell r="A223">
            <v>217</v>
          </cell>
          <cell r="B223" t="str">
            <v>E3733</v>
          </cell>
          <cell r="C223" t="str">
            <v>SD</v>
          </cell>
          <cell r="D223" t="str">
            <v>WM</v>
          </cell>
          <cell r="E223" t="str">
            <v>Rugby</v>
          </cell>
          <cell r="F223">
            <v>42022.69</v>
          </cell>
          <cell r="G223">
            <v>0</v>
          </cell>
          <cell r="H223">
            <v>0</v>
          </cell>
          <cell r="I223">
            <v>42022.69</v>
          </cell>
          <cell r="J223">
            <v>-115839.18</v>
          </cell>
          <cell r="K223">
            <v>0</v>
          </cell>
          <cell r="L223">
            <v>0</v>
          </cell>
          <cell r="M223">
            <v>-115839.18</v>
          </cell>
          <cell r="N223">
            <v>11012.1</v>
          </cell>
          <cell r="O223">
            <v>0</v>
          </cell>
          <cell r="P223">
            <v>0</v>
          </cell>
          <cell r="Q223">
            <v>11012.1</v>
          </cell>
          <cell r="R223">
            <v>128265.37</v>
          </cell>
          <cell r="S223">
            <v>0</v>
          </cell>
          <cell r="T223">
            <v>0</v>
          </cell>
          <cell r="U223">
            <v>128265.37</v>
          </cell>
          <cell r="V223">
            <v>1685161.17</v>
          </cell>
          <cell r="W223">
            <v>0</v>
          </cell>
          <cell r="X223">
            <v>0</v>
          </cell>
          <cell r="Y223">
            <v>1685161.17</v>
          </cell>
          <cell r="Z223">
            <v>73751.98</v>
          </cell>
          <cell r="AA223">
            <v>0</v>
          </cell>
          <cell r="AB223">
            <v>0</v>
          </cell>
          <cell r="AC223">
            <v>73751.98</v>
          </cell>
          <cell r="AD223">
            <v>818124.86</v>
          </cell>
          <cell r="AE223">
            <v>0</v>
          </cell>
          <cell r="AF223">
            <v>0</v>
          </cell>
          <cell r="AG223">
            <v>818124.86</v>
          </cell>
          <cell r="AH223">
            <v>-21951.8</v>
          </cell>
          <cell r="AI223">
            <v>0</v>
          </cell>
          <cell r="AJ223">
            <v>0</v>
          </cell>
          <cell r="AK223">
            <v>-21951.8</v>
          </cell>
          <cell r="AL223">
            <v>2286286.54</v>
          </cell>
          <cell r="AM223">
            <v>0</v>
          </cell>
          <cell r="AN223">
            <v>0</v>
          </cell>
          <cell r="AO223">
            <v>2286286.54</v>
          </cell>
          <cell r="AP223">
            <v>-253942.86</v>
          </cell>
          <cell r="AQ223">
            <v>0</v>
          </cell>
          <cell r="AR223">
            <v>0</v>
          </cell>
          <cell r="AS223">
            <v>-253942.86</v>
          </cell>
          <cell r="AT223">
            <v>70830.91</v>
          </cell>
          <cell r="AU223">
            <v>0</v>
          </cell>
          <cell r="AV223">
            <v>0</v>
          </cell>
          <cell r="AW223">
            <v>70830.91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10259.57</v>
          </cell>
          <cell r="BC223">
            <v>0</v>
          </cell>
          <cell r="BD223">
            <v>0</v>
          </cell>
          <cell r="BE223">
            <v>10259.57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115503.98</v>
          </cell>
          <cell r="BK223">
            <v>0</v>
          </cell>
          <cell r="BL223">
            <v>0</v>
          </cell>
          <cell r="BM223">
            <v>115503.98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2511286.13</v>
          </cell>
          <cell r="BS223">
            <v>0</v>
          </cell>
          <cell r="BT223">
            <v>0</v>
          </cell>
          <cell r="BU223">
            <v>2511286.13</v>
          </cell>
          <cell r="BV223">
            <v>40861.35</v>
          </cell>
          <cell r="BW223">
            <v>0</v>
          </cell>
          <cell r="BX223">
            <v>0</v>
          </cell>
          <cell r="BY223">
            <v>40861.35</v>
          </cell>
          <cell r="BZ223">
            <v>49253.84</v>
          </cell>
          <cell r="CA223">
            <v>0</v>
          </cell>
          <cell r="CB223">
            <v>0</v>
          </cell>
          <cell r="CC223">
            <v>49253.84</v>
          </cell>
          <cell r="CD223">
            <v>93.35</v>
          </cell>
          <cell r="CE223">
            <v>0</v>
          </cell>
          <cell r="CF223">
            <v>0</v>
          </cell>
          <cell r="CG223">
            <v>93.35</v>
          </cell>
          <cell r="CH223">
            <v>6898.54</v>
          </cell>
          <cell r="CI223">
            <v>0</v>
          </cell>
          <cell r="CJ223">
            <v>0</v>
          </cell>
          <cell r="CK223">
            <v>6898.54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845.44</v>
          </cell>
          <cell r="CY223">
            <v>0</v>
          </cell>
          <cell r="CZ223">
            <v>0</v>
          </cell>
          <cell r="DA223">
            <v>845.44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</row>
        <row r="224">
          <cell r="A224">
            <v>218</v>
          </cell>
          <cell r="B224" t="str">
            <v>E3636</v>
          </cell>
          <cell r="C224" t="str">
            <v>SD</v>
          </cell>
          <cell r="D224" t="str">
            <v>SE</v>
          </cell>
          <cell r="E224" t="str">
            <v>Runnymede</v>
          </cell>
          <cell r="F224">
            <v>40820</v>
          </cell>
          <cell r="G224">
            <v>0</v>
          </cell>
          <cell r="H224">
            <v>0</v>
          </cell>
          <cell r="I224">
            <v>40820</v>
          </cell>
          <cell r="J224">
            <v>-89617</v>
          </cell>
          <cell r="K224">
            <v>0</v>
          </cell>
          <cell r="L224">
            <v>0</v>
          </cell>
          <cell r="M224">
            <v>-89617</v>
          </cell>
          <cell r="N224">
            <v>11231</v>
          </cell>
          <cell r="O224">
            <v>0</v>
          </cell>
          <cell r="P224">
            <v>0</v>
          </cell>
          <cell r="Q224">
            <v>11231</v>
          </cell>
          <cell r="R224">
            <v>3644</v>
          </cell>
          <cell r="S224">
            <v>0</v>
          </cell>
          <cell r="T224">
            <v>0</v>
          </cell>
          <cell r="U224">
            <v>3644</v>
          </cell>
          <cell r="V224">
            <v>1193493</v>
          </cell>
          <cell r="W224">
            <v>0</v>
          </cell>
          <cell r="X224">
            <v>0</v>
          </cell>
          <cell r="Y224">
            <v>1193493</v>
          </cell>
          <cell r="Z224">
            <v>49032</v>
          </cell>
          <cell r="AA224">
            <v>0</v>
          </cell>
          <cell r="AB224">
            <v>0</v>
          </cell>
          <cell r="AC224">
            <v>49032</v>
          </cell>
          <cell r="AD224">
            <v>870107</v>
          </cell>
          <cell r="AE224">
            <v>0</v>
          </cell>
          <cell r="AF224">
            <v>0</v>
          </cell>
          <cell r="AG224">
            <v>870107</v>
          </cell>
          <cell r="AH224">
            <v>-5691</v>
          </cell>
          <cell r="AI224">
            <v>0</v>
          </cell>
          <cell r="AJ224">
            <v>0</v>
          </cell>
          <cell r="AK224">
            <v>-5691</v>
          </cell>
          <cell r="AL224">
            <v>2887157</v>
          </cell>
          <cell r="AM224">
            <v>0</v>
          </cell>
          <cell r="AN224">
            <v>0</v>
          </cell>
          <cell r="AO224">
            <v>2887157</v>
          </cell>
          <cell r="AP224">
            <v>3470</v>
          </cell>
          <cell r="AQ224">
            <v>0</v>
          </cell>
          <cell r="AR224">
            <v>0</v>
          </cell>
          <cell r="AS224">
            <v>3470</v>
          </cell>
          <cell r="AT224">
            <v>35906</v>
          </cell>
          <cell r="AU224">
            <v>0</v>
          </cell>
          <cell r="AV224">
            <v>0</v>
          </cell>
          <cell r="AW224">
            <v>35906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1617</v>
          </cell>
          <cell r="BC224">
            <v>0</v>
          </cell>
          <cell r="BD224">
            <v>0</v>
          </cell>
          <cell r="BE224">
            <v>1617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31147</v>
          </cell>
          <cell r="BK224">
            <v>0</v>
          </cell>
          <cell r="BL224">
            <v>0</v>
          </cell>
          <cell r="BM224">
            <v>31147</v>
          </cell>
          <cell r="BN224">
            <v>612</v>
          </cell>
          <cell r="BO224">
            <v>0</v>
          </cell>
          <cell r="BP224">
            <v>0</v>
          </cell>
          <cell r="BQ224">
            <v>612</v>
          </cell>
          <cell r="BR224">
            <v>1336140</v>
          </cell>
          <cell r="BS224">
            <v>0</v>
          </cell>
          <cell r="BT224">
            <v>0</v>
          </cell>
          <cell r="BU224">
            <v>1336140</v>
          </cell>
          <cell r="BV224">
            <v>-9493</v>
          </cell>
          <cell r="BW224">
            <v>0</v>
          </cell>
          <cell r="BX224">
            <v>0</v>
          </cell>
          <cell r="BY224">
            <v>-9493</v>
          </cell>
          <cell r="BZ224">
            <v>20991</v>
          </cell>
          <cell r="CA224">
            <v>0</v>
          </cell>
          <cell r="CB224">
            <v>0</v>
          </cell>
          <cell r="CC224">
            <v>20991</v>
          </cell>
          <cell r="CD224">
            <v>1587</v>
          </cell>
          <cell r="CE224">
            <v>0</v>
          </cell>
          <cell r="CF224">
            <v>0</v>
          </cell>
          <cell r="CG224">
            <v>1587</v>
          </cell>
          <cell r="CH224">
            <v>270</v>
          </cell>
          <cell r="CI224">
            <v>0</v>
          </cell>
          <cell r="CJ224">
            <v>0</v>
          </cell>
          <cell r="CK224">
            <v>270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2435</v>
          </cell>
          <cell r="DG224">
            <v>0</v>
          </cell>
          <cell r="DH224">
            <v>0</v>
          </cell>
          <cell r="DI224">
            <v>2435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202249</v>
          </cell>
          <cell r="EC224">
            <v>0</v>
          </cell>
          <cell r="ED224">
            <v>0</v>
          </cell>
          <cell r="EE224">
            <v>202249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</row>
        <row r="225">
          <cell r="A225">
            <v>219</v>
          </cell>
          <cell r="B225" t="str">
            <v>E3038</v>
          </cell>
          <cell r="C225" t="str">
            <v>SD</v>
          </cell>
          <cell r="D225" t="str">
            <v>EM</v>
          </cell>
          <cell r="E225" t="str">
            <v>Rushcliffe</v>
          </cell>
          <cell r="F225">
            <v>1659102</v>
          </cell>
          <cell r="G225">
            <v>0</v>
          </cell>
          <cell r="H225">
            <v>0</v>
          </cell>
          <cell r="I225">
            <v>1659102</v>
          </cell>
          <cell r="J225">
            <v>6033</v>
          </cell>
          <cell r="K225">
            <v>0</v>
          </cell>
          <cell r="L225">
            <v>0</v>
          </cell>
          <cell r="M225">
            <v>6033</v>
          </cell>
          <cell r="N225">
            <v>200935</v>
          </cell>
          <cell r="O225">
            <v>0</v>
          </cell>
          <cell r="P225">
            <v>0</v>
          </cell>
          <cell r="Q225">
            <v>200935</v>
          </cell>
          <cell r="R225">
            <v>103787</v>
          </cell>
          <cell r="S225">
            <v>0</v>
          </cell>
          <cell r="T225">
            <v>0</v>
          </cell>
          <cell r="U225">
            <v>103787</v>
          </cell>
          <cell r="V225">
            <v>1748201</v>
          </cell>
          <cell r="W225">
            <v>0</v>
          </cell>
          <cell r="X225">
            <v>0</v>
          </cell>
          <cell r="Y225">
            <v>1748201</v>
          </cell>
          <cell r="Z225">
            <v>74819</v>
          </cell>
          <cell r="AA225">
            <v>0</v>
          </cell>
          <cell r="AB225">
            <v>0</v>
          </cell>
          <cell r="AC225">
            <v>74819</v>
          </cell>
          <cell r="AD225">
            <v>508452</v>
          </cell>
          <cell r="AE225">
            <v>0</v>
          </cell>
          <cell r="AF225">
            <v>0</v>
          </cell>
          <cell r="AG225">
            <v>508452</v>
          </cell>
          <cell r="AH225">
            <v>140</v>
          </cell>
          <cell r="AI225">
            <v>0</v>
          </cell>
          <cell r="AJ225">
            <v>0</v>
          </cell>
          <cell r="AK225">
            <v>140</v>
          </cell>
          <cell r="AL225">
            <v>2588277</v>
          </cell>
          <cell r="AM225">
            <v>0</v>
          </cell>
          <cell r="AN225">
            <v>0</v>
          </cell>
          <cell r="AO225">
            <v>2588277</v>
          </cell>
          <cell r="AP225">
            <v>6811</v>
          </cell>
          <cell r="AQ225">
            <v>0</v>
          </cell>
          <cell r="AR225">
            <v>0</v>
          </cell>
          <cell r="AS225">
            <v>6811</v>
          </cell>
          <cell r="AT225">
            <v>76772</v>
          </cell>
          <cell r="AU225">
            <v>0</v>
          </cell>
          <cell r="AV225">
            <v>0</v>
          </cell>
          <cell r="AW225">
            <v>76772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8705</v>
          </cell>
          <cell r="BC225">
            <v>0</v>
          </cell>
          <cell r="BD225">
            <v>0</v>
          </cell>
          <cell r="BE225">
            <v>8705</v>
          </cell>
          <cell r="BF225">
            <v>-1265</v>
          </cell>
          <cell r="BG225">
            <v>0</v>
          </cell>
          <cell r="BH225">
            <v>0</v>
          </cell>
          <cell r="BI225">
            <v>-1265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289082</v>
          </cell>
          <cell r="BS225">
            <v>0</v>
          </cell>
          <cell r="BT225">
            <v>0</v>
          </cell>
          <cell r="BU225">
            <v>289082</v>
          </cell>
          <cell r="BV225">
            <v>47524</v>
          </cell>
          <cell r="BW225">
            <v>0</v>
          </cell>
          <cell r="BX225">
            <v>0</v>
          </cell>
          <cell r="BY225">
            <v>47524</v>
          </cell>
          <cell r="BZ225">
            <v>23949</v>
          </cell>
          <cell r="CA225">
            <v>0</v>
          </cell>
          <cell r="CB225">
            <v>0</v>
          </cell>
          <cell r="CC225">
            <v>23949</v>
          </cell>
          <cell r="CD225">
            <v>-782</v>
          </cell>
          <cell r="CE225">
            <v>0</v>
          </cell>
          <cell r="CF225">
            <v>0</v>
          </cell>
          <cell r="CG225">
            <v>-782</v>
          </cell>
          <cell r="CH225">
            <v>374426</v>
          </cell>
          <cell r="CI225">
            <v>0</v>
          </cell>
          <cell r="CJ225">
            <v>0</v>
          </cell>
          <cell r="CK225">
            <v>374426</v>
          </cell>
          <cell r="CL225">
            <v>-16729</v>
          </cell>
          <cell r="CM225">
            <v>0</v>
          </cell>
          <cell r="CN225">
            <v>0</v>
          </cell>
          <cell r="CO225">
            <v>-16729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983</v>
          </cell>
          <cell r="CY225">
            <v>0</v>
          </cell>
          <cell r="CZ225">
            <v>0</v>
          </cell>
          <cell r="DA225">
            <v>983</v>
          </cell>
          <cell r="DB225">
            <v>-633</v>
          </cell>
          <cell r="DC225">
            <v>0</v>
          </cell>
          <cell r="DD225">
            <v>0</v>
          </cell>
          <cell r="DE225">
            <v>-633</v>
          </cell>
          <cell r="DF225">
            <v>1422</v>
          </cell>
          <cell r="DG225">
            <v>0</v>
          </cell>
          <cell r="DH225">
            <v>0</v>
          </cell>
          <cell r="DI225">
            <v>1422</v>
          </cell>
          <cell r="DJ225">
            <v>-1300</v>
          </cell>
          <cell r="DK225">
            <v>0</v>
          </cell>
          <cell r="DL225">
            <v>0</v>
          </cell>
          <cell r="DM225">
            <v>-1300</v>
          </cell>
          <cell r="DN225">
            <v>2831</v>
          </cell>
          <cell r="DO225">
            <v>0</v>
          </cell>
          <cell r="DP225">
            <v>0</v>
          </cell>
          <cell r="DQ225">
            <v>2831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52</v>
          </cell>
          <cell r="DY225">
            <v>0</v>
          </cell>
          <cell r="DZ225">
            <v>0</v>
          </cell>
          <cell r="EA225">
            <v>52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</row>
        <row r="226">
          <cell r="A226">
            <v>220</v>
          </cell>
          <cell r="B226" t="str">
            <v>E1740</v>
          </cell>
          <cell r="C226" t="str">
            <v>SD</v>
          </cell>
          <cell r="D226" t="str">
            <v>SE</v>
          </cell>
          <cell r="E226" t="str">
            <v>Rushmoor</v>
          </cell>
          <cell r="F226">
            <v>35656</v>
          </cell>
          <cell r="G226">
            <v>0</v>
          </cell>
          <cell r="H226">
            <v>0</v>
          </cell>
          <cell r="I226">
            <v>35656</v>
          </cell>
          <cell r="J226">
            <v>-561930</v>
          </cell>
          <cell r="K226">
            <v>0</v>
          </cell>
          <cell r="L226">
            <v>0</v>
          </cell>
          <cell r="M226">
            <v>-561930</v>
          </cell>
          <cell r="N226">
            <v>111963</v>
          </cell>
          <cell r="O226">
            <v>0</v>
          </cell>
          <cell r="P226">
            <v>0</v>
          </cell>
          <cell r="Q226">
            <v>111963</v>
          </cell>
          <cell r="R226">
            <v>18125</v>
          </cell>
          <cell r="S226">
            <v>0</v>
          </cell>
          <cell r="T226">
            <v>0</v>
          </cell>
          <cell r="U226">
            <v>18125</v>
          </cell>
          <cell r="V226">
            <v>1134508</v>
          </cell>
          <cell r="W226">
            <v>0</v>
          </cell>
          <cell r="X226">
            <v>0</v>
          </cell>
          <cell r="Y226">
            <v>1134508</v>
          </cell>
          <cell r="Z226">
            <v>42051</v>
          </cell>
          <cell r="AA226">
            <v>0</v>
          </cell>
          <cell r="AB226">
            <v>0</v>
          </cell>
          <cell r="AC226">
            <v>42051</v>
          </cell>
          <cell r="AD226">
            <v>886683</v>
          </cell>
          <cell r="AE226">
            <v>0</v>
          </cell>
          <cell r="AF226">
            <v>0</v>
          </cell>
          <cell r="AG226">
            <v>886683</v>
          </cell>
          <cell r="AH226">
            <v>19558</v>
          </cell>
          <cell r="AI226">
            <v>0</v>
          </cell>
          <cell r="AJ226">
            <v>0</v>
          </cell>
          <cell r="AK226">
            <v>19558</v>
          </cell>
          <cell r="AL226">
            <v>1450849</v>
          </cell>
          <cell r="AM226">
            <v>0</v>
          </cell>
          <cell r="AN226">
            <v>0</v>
          </cell>
          <cell r="AO226">
            <v>1450849</v>
          </cell>
          <cell r="AP226">
            <v>-10226</v>
          </cell>
          <cell r="AQ226">
            <v>0</v>
          </cell>
          <cell r="AR226">
            <v>0</v>
          </cell>
          <cell r="AS226">
            <v>-10226</v>
          </cell>
          <cell r="AT226">
            <v>10645</v>
          </cell>
          <cell r="AU226">
            <v>0</v>
          </cell>
          <cell r="AV226">
            <v>0</v>
          </cell>
          <cell r="AW226">
            <v>10645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91102</v>
          </cell>
          <cell r="BK226">
            <v>0</v>
          </cell>
          <cell r="BL226">
            <v>0</v>
          </cell>
          <cell r="BM226">
            <v>91102</v>
          </cell>
          <cell r="BN226">
            <v>-2317</v>
          </cell>
          <cell r="BO226">
            <v>0</v>
          </cell>
          <cell r="BP226">
            <v>0</v>
          </cell>
          <cell r="BQ226">
            <v>-2317</v>
          </cell>
          <cell r="BR226">
            <v>2315959</v>
          </cell>
          <cell r="BS226">
            <v>0</v>
          </cell>
          <cell r="BT226">
            <v>0</v>
          </cell>
          <cell r="BU226">
            <v>2315959</v>
          </cell>
          <cell r="BV226">
            <v>88891</v>
          </cell>
          <cell r="BW226">
            <v>0</v>
          </cell>
          <cell r="BX226">
            <v>0</v>
          </cell>
          <cell r="BY226">
            <v>88891</v>
          </cell>
          <cell r="BZ226">
            <v>59861</v>
          </cell>
          <cell r="CA226">
            <v>0</v>
          </cell>
          <cell r="CB226">
            <v>0</v>
          </cell>
          <cell r="CC226">
            <v>59861</v>
          </cell>
          <cell r="CD226">
            <v>28842</v>
          </cell>
          <cell r="CE226">
            <v>0</v>
          </cell>
          <cell r="CF226">
            <v>0</v>
          </cell>
          <cell r="CG226">
            <v>28842</v>
          </cell>
          <cell r="CH226">
            <v>39798</v>
          </cell>
          <cell r="CI226">
            <v>0</v>
          </cell>
          <cell r="CJ226">
            <v>0</v>
          </cell>
          <cell r="CK226">
            <v>39798</v>
          </cell>
          <cell r="CL226">
            <v>-15278</v>
          </cell>
          <cell r="CM226">
            <v>0</v>
          </cell>
          <cell r="CN226">
            <v>0</v>
          </cell>
          <cell r="CO226">
            <v>-15278</v>
          </cell>
          <cell r="CP226">
            <v>2661</v>
          </cell>
          <cell r="CQ226">
            <v>0</v>
          </cell>
          <cell r="CR226">
            <v>0</v>
          </cell>
          <cell r="CS226">
            <v>2661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4230</v>
          </cell>
          <cell r="DY226">
            <v>0</v>
          </cell>
          <cell r="DZ226">
            <v>0</v>
          </cell>
          <cell r="EA226">
            <v>4230</v>
          </cell>
          <cell r="EB226">
            <v>46629</v>
          </cell>
          <cell r="EC226">
            <v>0</v>
          </cell>
          <cell r="ED226">
            <v>0</v>
          </cell>
          <cell r="EE226">
            <v>46629</v>
          </cell>
          <cell r="EF226">
            <v>5425</v>
          </cell>
          <cell r="EG226">
            <v>0</v>
          </cell>
          <cell r="EH226">
            <v>0</v>
          </cell>
          <cell r="EI226">
            <v>5425</v>
          </cell>
          <cell r="EJ226">
            <v>1301</v>
          </cell>
          <cell r="EK226">
            <v>0</v>
          </cell>
          <cell r="EL226">
            <v>0</v>
          </cell>
          <cell r="EM226">
            <v>1301</v>
          </cell>
        </row>
        <row r="227">
          <cell r="A227">
            <v>221</v>
          </cell>
          <cell r="B227" t="str">
            <v>E2402</v>
          </cell>
          <cell r="C227" t="str">
            <v>UA</v>
          </cell>
          <cell r="D227" t="str">
            <v>EM</v>
          </cell>
          <cell r="E227" t="str">
            <v>Rutland UA</v>
          </cell>
          <cell r="F227">
            <v>23616.06</v>
          </cell>
          <cell r="G227">
            <v>0</v>
          </cell>
          <cell r="H227">
            <v>0</v>
          </cell>
          <cell r="I227">
            <v>23616.06</v>
          </cell>
          <cell r="J227">
            <v>-72270.38</v>
          </cell>
          <cell r="K227">
            <v>0</v>
          </cell>
          <cell r="L227">
            <v>0</v>
          </cell>
          <cell r="M227">
            <v>-72270.38</v>
          </cell>
          <cell r="N227">
            <v>5394.28</v>
          </cell>
          <cell r="O227">
            <v>0</v>
          </cell>
          <cell r="P227">
            <v>0</v>
          </cell>
          <cell r="Q227">
            <v>5394.28</v>
          </cell>
          <cell r="R227">
            <v>-5998.85</v>
          </cell>
          <cell r="S227">
            <v>0</v>
          </cell>
          <cell r="T227">
            <v>0</v>
          </cell>
          <cell r="U227">
            <v>-5998.85</v>
          </cell>
          <cell r="V227">
            <v>806188.75</v>
          </cell>
          <cell r="W227">
            <v>0</v>
          </cell>
          <cell r="X227">
            <v>0</v>
          </cell>
          <cell r="Y227">
            <v>806188.75</v>
          </cell>
          <cell r="Z227">
            <v>59880.959999999999</v>
          </cell>
          <cell r="AA227">
            <v>0</v>
          </cell>
          <cell r="AB227">
            <v>0</v>
          </cell>
          <cell r="AC227">
            <v>59880.959999999999</v>
          </cell>
          <cell r="AD227">
            <v>182162</v>
          </cell>
          <cell r="AE227">
            <v>0</v>
          </cell>
          <cell r="AF227">
            <v>0</v>
          </cell>
          <cell r="AG227">
            <v>182162</v>
          </cell>
          <cell r="AH227">
            <v>-4885</v>
          </cell>
          <cell r="AI227">
            <v>0</v>
          </cell>
          <cell r="AJ227">
            <v>0</v>
          </cell>
          <cell r="AK227">
            <v>-4885</v>
          </cell>
          <cell r="AL227">
            <v>1009800</v>
          </cell>
          <cell r="AM227">
            <v>0</v>
          </cell>
          <cell r="AN227">
            <v>0</v>
          </cell>
          <cell r="AO227">
            <v>1009800</v>
          </cell>
          <cell r="AP227">
            <v>-32092</v>
          </cell>
          <cell r="AQ227">
            <v>0</v>
          </cell>
          <cell r="AR227">
            <v>0</v>
          </cell>
          <cell r="AS227">
            <v>-32092</v>
          </cell>
          <cell r="AT227">
            <v>12891</v>
          </cell>
          <cell r="AU227">
            <v>0</v>
          </cell>
          <cell r="AV227">
            <v>0</v>
          </cell>
          <cell r="AW227">
            <v>12891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11014</v>
          </cell>
          <cell r="BC227">
            <v>0</v>
          </cell>
          <cell r="BD227">
            <v>0</v>
          </cell>
          <cell r="BE227">
            <v>11014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239414</v>
          </cell>
          <cell r="BS227">
            <v>0</v>
          </cell>
          <cell r="BT227">
            <v>0</v>
          </cell>
          <cell r="BU227">
            <v>239414</v>
          </cell>
          <cell r="BV227">
            <v>-15530</v>
          </cell>
          <cell r="BW227">
            <v>0</v>
          </cell>
          <cell r="BX227">
            <v>0</v>
          </cell>
          <cell r="BY227">
            <v>-15530</v>
          </cell>
          <cell r="BZ227">
            <v>36024</v>
          </cell>
          <cell r="CA227">
            <v>0</v>
          </cell>
          <cell r="CB227">
            <v>0</v>
          </cell>
          <cell r="CC227">
            <v>36024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40037</v>
          </cell>
          <cell r="CI227">
            <v>0</v>
          </cell>
          <cell r="CJ227">
            <v>0</v>
          </cell>
          <cell r="CK227">
            <v>40037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1625</v>
          </cell>
          <cell r="CQ227">
            <v>0</v>
          </cell>
          <cell r="CR227">
            <v>0</v>
          </cell>
          <cell r="CS227">
            <v>1625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11014</v>
          </cell>
          <cell r="CY227">
            <v>0</v>
          </cell>
          <cell r="CZ227">
            <v>0</v>
          </cell>
          <cell r="DA227">
            <v>11014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1501</v>
          </cell>
          <cell r="DG227">
            <v>0</v>
          </cell>
          <cell r="DH227">
            <v>0</v>
          </cell>
          <cell r="DI227">
            <v>1501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</row>
        <row r="228">
          <cell r="A228">
            <v>222</v>
          </cell>
          <cell r="B228" t="str">
            <v>E2755</v>
          </cell>
          <cell r="C228" t="str">
            <v>SD</v>
          </cell>
          <cell r="D228" t="str">
            <v>YH</v>
          </cell>
          <cell r="E228" t="str">
            <v>Ryedale</v>
          </cell>
          <cell r="F228">
            <v>176516.16</v>
          </cell>
          <cell r="G228">
            <v>0</v>
          </cell>
          <cell r="H228">
            <v>0</v>
          </cell>
          <cell r="I228">
            <v>176516.16</v>
          </cell>
          <cell r="J228">
            <v>-65114</v>
          </cell>
          <cell r="K228">
            <v>0</v>
          </cell>
          <cell r="L228">
            <v>0</v>
          </cell>
          <cell r="M228">
            <v>-65114</v>
          </cell>
          <cell r="N228">
            <v>4165</v>
          </cell>
          <cell r="O228">
            <v>0</v>
          </cell>
          <cell r="P228">
            <v>0</v>
          </cell>
          <cell r="Q228">
            <v>4165</v>
          </cell>
          <cell r="R228">
            <v>-7328</v>
          </cell>
          <cell r="S228">
            <v>0</v>
          </cell>
          <cell r="T228">
            <v>0</v>
          </cell>
          <cell r="U228">
            <v>-7328</v>
          </cell>
          <cell r="V228">
            <v>1974939</v>
          </cell>
          <cell r="W228">
            <v>0</v>
          </cell>
          <cell r="X228">
            <v>0</v>
          </cell>
          <cell r="Y228">
            <v>1974939</v>
          </cell>
          <cell r="Z228">
            <v>30597</v>
          </cell>
          <cell r="AA228">
            <v>0</v>
          </cell>
          <cell r="AB228">
            <v>0</v>
          </cell>
          <cell r="AC228">
            <v>30597</v>
          </cell>
          <cell r="AD228">
            <v>287370</v>
          </cell>
          <cell r="AE228">
            <v>0</v>
          </cell>
          <cell r="AF228">
            <v>0</v>
          </cell>
          <cell r="AG228">
            <v>287370</v>
          </cell>
          <cell r="AH228">
            <v>-8505</v>
          </cell>
          <cell r="AI228">
            <v>0</v>
          </cell>
          <cell r="AJ228">
            <v>0</v>
          </cell>
          <cell r="AK228">
            <v>-8505</v>
          </cell>
          <cell r="AL228">
            <v>794932</v>
          </cell>
          <cell r="AM228">
            <v>0</v>
          </cell>
          <cell r="AN228">
            <v>0</v>
          </cell>
          <cell r="AO228">
            <v>794932</v>
          </cell>
          <cell r="AP228">
            <v>-1214</v>
          </cell>
          <cell r="AQ228">
            <v>0</v>
          </cell>
          <cell r="AR228">
            <v>0</v>
          </cell>
          <cell r="AS228">
            <v>-1214</v>
          </cell>
          <cell r="AT228">
            <v>28527</v>
          </cell>
          <cell r="AU228">
            <v>0</v>
          </cell>
          <cell r="AV228">
            <v>0</v>
          </cell>
          <cell r="AW228">
            <v>28527</v>
          </cell>
          <cell r="AX228">
            <v>164</v>
          </cell>
          <cell r="AY228">
            <v>0</v>
          </cell>
          <cell r="AZ228">
            <v>0</v>
          </cell>
          <cell r="BA228">
            <v>164</v>
          </cell>
          <cell r="BB228">
            <v>41894</v>
          </cell>
          <cell r="BC228">
            <v>0</v>
          </cell>
          <cell r="BD228">
            <v>0</v>
          </cell>
          <cell r="BE228">
            <v>41894</v>
          </cell>
          <cell r="BF228">
            <v>1114</v>
          </cell>
          <cell r="BG228">
            <v>0</v>
          </cell>
          <cell r="BH228">
            <v>0</v>
          </cell>
          <cell r="BI228">
            <v>1114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465618</v>
          </cell>
          <cell r="BS228">
            <v>0</v>
          </cell>
          <cell r="BT228">
            <v>0</v>
          </cell>
          <cell r="BU228">
            <v>465618</v>
          </cell>
          <cell r="BV228">
            <v>3659</v>
          </cell>
          <cell r="BW228">
            <v>0</v>
          </cell>
          <cell r="BX228">
            <v>0</v>
          </cell>
          <cell r="BY228">
            <v>3659</v>
          </cell>
          <cell r="BZ228">
            <v>79439</v>
          </cell>
          <cell r="CA228">
            <v>0</v>
          </cell>
          <cell r="CB228">
            <v>0</v>
          </cell>
          <cell r="CC228">
            <v>79439</v>
          </cell>
          <cell r="CD228">
            <v>-351</v>
          </cell>
          <cell r="CE228">
            <v>0</v>
          </cell>
          <cell r="CF228">
            <v>0</v>
          </cell>
          <cell r="CG228">
            <v>-351</v>
          </cell>
          <cell r="CH228">
            <v>27941</v>
          </cell>
          <cell r="CI228">
            <v>0</v>
          </cell>
          <cell r="CJ228">
            <v>0</v>
          </cell>
          <cell r="CK228">
            <v>27941</v>
          </cell>
          <cell r="CL228">
            <v>1886</v>
          </cell>
          <cell r="CM228">
            <v>0</v>
          </cell>
          <cell r="CN228">
            <v>0</v>
          </cell>
          <cell r="CO228">
            <v>1886</v>
          </cell>
          <cell r="CP228">
            <v>2422</v>
          </cell>
          <cell r="CQ228">
            <v>0</v>
          </cell>
          <cell r="CR228">
            <v>0</v>
          </cell>
          <cell r="CS228">
            <v>2422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6588</v>
          </cell>
          <cell r="CY228">
            <v>0</v>
          </cell>
          <cell r="CZ228">
            <v>0</v>
          </cell>
          <cell r="DA228">
            <v>6588</v>
          </cell>
          <cell r="DB228">
            <v>-4</v>
          </cell>
          <cell r="DC228">
            <v>0</v>
          </cell>
          <cell r="DD228">
            <v>0</v>
          </cell>
          <cell r="DE228">
            <v>-4</v>
          </cell>
          <cell r="DF228">
            <v>1809</v>
          </cell>
          <cell r="DG228">
            <v>0</v>
          </cell>
          <cell r="DH228">
            <v>0</v>
          </cell>
          <cell r="DI228">
            <v>1809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163983</v>
          </cell>
          <cell r="EG228">
            <v>0</v>
          </cell>
          <cell r="EH228">
            <v>0</v>
          </cell>
          <cell r="EI228">
            <v>163983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</row>
        <row r="229">
          <cell r="A229">
            <v>223</v>
          </cell>
          <cell r="B229" t="str">
            <v>E4206</v>
          </cell>
          <cell r="C229" t="str">
            <v>Met</v>
          </cell>
          <cell r="D229" t="str">
            <v>NW</v>
          </cell>
          <cell r="E229" t="str">
            <v>Salford</v>
          </cell>
          <cell r="F229">
            <v>189205</v>
          </cell>
          <cell r="G229">
            <v>0</v>
          </cell>
          <cell r="H229">
            <v>0</v>
          </cell>
          <cell r="I229">
            <v>189205</v>
          </cell>
          <cell r="J229">
            <v>-247754</v>
          </cell>
          <cell r="K229">
            <v>0</v>
          </cell>
          <cell r="L229">
            <v>0</v>
          </cell>
          <cell r="M229">
            <v>-247754</v>
          </cell>
          <cell r="N229">
            <v>108919</v>
          </cell>
          <cell r="O229">
            <v>0</v>
          </cell>
          <cell r="P229">
            <v>0</v>
          </cell>
          <cell r="Q229">
            <v>108919</v>
          </cell>
          <cell r="R229">
            <v>859311</v>
          </cell>
          <cell r="S229">
            <v>0</v>
          </cell>
          <cell r="T229">
            <v>0</v>
          </cell>
          <cell r="U229">
            <v>859311</v>
          </cell>
          <cell r="V229">
            <v>4113909</v>
          </cell>
          <cell r="W229">
            <v>0</v>
          </cell>
          <cell r="X229">
            <v>0</v>
          </cell>
          <cell r="Y229">
            <v>4113909</v>
          </cell>
          <cell r="Z229">
            <v>368284</v>
          </cell>
          <cell r="AA229">
            <v>0</v>
          </cell>
          <cell r="AB229">
            <v>0</v>
          </cell>
          <cell r="AC229">
            <v>368284</v>
          </cell>
          <cell r="AD229">
            <v>1923369</v>
          </cell>
          <cell r="AE229">
            <v>0</v>
          </cell>
          <cell r="AF229">
            <v>0</v>
          </cell>
          <cell r="AG229">
            <v>1923369</v>
          </cell>
          <cell r="AH229">
            <v>122009</v>
          </cell>
          <cell r="AI229">
            <v>0</v>
          </cell>
          <cell r="AJ229">
            <v>0</v>
          </cell>
          <cell r="AK229">
            <v>122009</v>
          </cell>
          <cell r="AL229">
            <v>6445094</v>
          </cell>
          <cell r="AM229">
            <v>0</v>
          </cell>
          <cell r="AN229">
            <v>0</v>
          </cell>
          <cell r="AO229">
            <v>6445094</v>
          </cell>
          <cell r="AP229">
            <v>466387</v>
          </cell>
          <cell r="AQ229">
            <v>0</v>
          </cell>
          <cell r="AR229">
            <v>0</v>
          </cell>
          <cell r="AS229">
            <v>466387</v>
          </cell>
          <cell r="AT229">
            <v>80794</v>
          </cell>
          <cell r="AU229">
            <v>0</v>
          </cell>
          <cell r="AV229">
            <v>0</v>
          </cell>
          <cell r="AW229">
            <v>80794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60175</v>
          </cell>
          <cell r="BK229">
            <v>0</v>
          </cell>
          <cell r="BL229">
            <v>0</v>
          </cell>
          <cell r="BM229">
            <v>60175</v>
          </cell>
          <cell r="BN229">
            <v>-687754</v>
          </cell>
          <cell r="BO229">
            <v>0</v>
          </cell>
          <cell r="BP229">
            <v>0</v>
          </cell>
          <cell r="BQ229">
            <v>-687754</v>
          </cell>
          <cell r="BR229">
            <v>5790524</v>
          </cell>
          <cell r="BS229">
            <v>0</v>
          </cell>
          <cell r="BT229">
            <v>0</v>
          </cell>
          <cell r="BU229">
            <v>5790524</v>
          </cell>
          <cell r="BV229">
            <v>-504241</v>
          </cell>
          <cell r="BW229">
            <v>0</v>
          </cell>
          <cell r="BX229">
            <v>0</v>
          </cell>
          <cell r="BY229">
            <v>-504241</v>
          </cell>
          <cell r="BZ229">
            <v>477197</v>
          </cell>
          <cell r="CA229">
            <v>0</v>
          </cell>
          <cell r="CB229">
            <v>0</v>
          </cell>
          <cell r="CC229">
            <v>477197</v>
          </cell>
          <cell r="CD229">
            <v>10198</v>
          </cell>
          <cell r="CE229">
            <v>0</v>
          </cell>
          <cell r="CF229">
            <v>0</v>
          </cell>
          <cell r="CG229">
            <v>10198</v>
          </cell>
          <cell r="CH229">
            <v>134492</v>
          </cell>
          <cell r="CI229">
            <v>0</v>
          </cell>
          <cell r="CJ229">
            <v>0</v>
          </cell>
          <cell r="CK229">
            <v>134492</v>
          </cell>
          <cell r="CL229">
            <v>-7546</v>
          </cell>
          <cell r="CM229">
            <v>0</v>
          </cell>
          <cell r="CN229">
            <v>0</v>
          </cell>
          <cell r="CO229">
            <v>-7546</v>
          </cell>
          <cell r="CP229">
            <v>4817</v>
          </cell>
          <cell r="CQ229">
            <v>0</v>
          </cell>
          <cell r="CR229">
            <v>0</v>
          </cell>
          <cell r="CS229">
            <v>4817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</row>
        <row r="230">
          <cell r="A230">
            <v>224</v>
          </cell>
          <cell r="B230" t="str">
            <v>E4604</v>
          </cell>
          <cell r="C230" t="str">
            <v>Met</v>
          </cell>
          <cell r="D230" t="str">
            <v>WM</v>
          </cell>
          <cell r="E230" t="str">
            <v>Sandwell</v>
          </cell>
          <cell r="F230">
            <v>168282</v>
          </cell>
          <cell r="G230">
            <v>0</v>
          </cell>
          <cell r="H230">
            <v>0</v>
          </cell>
          <cell r="I230">
            <v>168282</v>
          </cell>
          <cell r="J230">
            <v>-226923</v>
          </cell>
          <cell r="K230">
            <v>0</v>
          </cell>
          <cell r="L230">
            <v>0</v>
          </cell>
          <cell r="M230">
            <v>-226923</v>
          </cell>
          <cell r="N230">
            <v>141356</v>
          </cell>
          <cell r="O230">
            <v>0</v>
          </cell>
          <cell r="P230">
            <v>0</v>
          </cell>
          <cell r="Q230">
            <v>141356</v>
          </cell>
          <cell r="R230">
            <v>271372</v>
          </cell>
          <cell r="S230">
            <v>0</v>
          </cell>
          <cell r="T230">
            <v>0</v>
          </cell>
          <cell r="U230">
            <v>271372</v>
          </cell>
          <cell r="V230">
            <v>7065312</v>
          </cell>
          <cell r="W230">
            <v>0</v>
          </cell>
          <cell r="X230">
            <v>0</v>
          </cell>
          <cell r="Y230">
            <v>7065312</v>
          </cell>
          <cell r="Z230">
            <v>436459</v>
          </cell>
          <cell r="AA230">
            <v>0</v>
          </cell>
          <cell r="AB230">
            <v>0</v>
          </cell>
          <cell r="AC230">
            <v>436459</v>
          </cell>
          <cell r="AD230">
            <v>1901199</v>
          </cell>
          <cell r="AE230">
            <v>0</v>
          </cell>
          <cell r="AF230">
            <v>0</v>
          </cell>
          <cell r="AG230">
            <v>1901199</v>
          </cell>
          <cell r="AH230">
            <v>49279</v>
          </cell>
          <cell r="AI230">
            <v>0</v>
          </cell>
          <cell r="AJ230">
            <v>0</v>
          </cell>
          <cell r="AK230">
            <v>49279</v>
          </cell>
          <cell r="AL230">
            <v>4385157</v>
          </cell>
          <cell r="AM230">
            <v>0</v>
          </cell>
          <cell r="AN230">
            <v>0</v>
          </cell>
          <cell r="AO230">
            <v>4385157</v>
          </cell>
          <cell r="AP230">
            <v>-443291</v>
          </cell>
          <cell r="AQ230">
            <v>0</v>
          </cell>
          <cell r="AR230">
            <v>0</v>
          </cell>
          <cell r="AS230">
            <v>-443291</v>
          </cell>
          <cell r="AT230">
            <v>89660</v>
          </cell>
          <cell r="AU230">
            <v>0</v>
          </cell>
          <cell r="AV230">
            <v>0</v>
          </cell>
          <cell r="AW230">
            <v>89660</v>
          </cell>
          <cell r="AX230">
            <v>-1832</v>
          </cell>
          <cell r="AY230">
            <v>0</v>
          </cell>
          <cell r="AZ230">
            <v>0</v>
          </cell>
          <cell r="BA230">
            <v>-1832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336660</v>
          </cell>
          <cell r="BK230">
            <v>0</v>
          </cell>
          <cell r="BL230">
            <v>0</v>
          </cell>
          <cell r="BM230">
            <v>336660</v>
          </cell>
          <cell r="BN230">
            <v>52583</v>
          </cell>
          <cell r="BO230">
            <v>0</v>
          </cell>
          <cell r="BP230">
            <v>0</v>
          </cell>
          <cell r="BQ230">
            <v>52583</v>
          </cell>
          <cell r="BR230">
            <v>4998690</v>
          </cell>
          <cell r="BS230">
            <v>0</v>
          </cell>
          <cell r="BT230">
            <v>0</v>
          </cell>
          <cell r="BU230">
            <v>4998690</v>
          </cell>
          <cell r="BV230">
            <v>-357671</v>
          </cell>
          <cell r="BW230">
            <v>0</v>
          </cell>
          <cell r="BX230">
            <v>0</v>
          </cell>
          <cell r="BY230">
            <v>-357671</v>
          </cell>
          <cell r="BZ230">
            <v>372555</v>
          </cell>
          <cell r="CA230">
            <v>0</v>
          </cell>
          <cell r="CB230">
            <v>0</v>
          </cell>
          <cell r="CC230">
            <v>372555</v>
          </cell>
          <cell r="CD230">
            <v>-153440</v>
          </cell>
          <cell r="CE230">
            <v>0</v>
          </cell>
          <cell r="CF230">
            <v>0</v>
          </cell>
          <cell r="CG230">
            <v>-153440</v>
          </cell>
          <cell r="CH230">
            <v>155510</v>
          </cell>
          <cell r="CI230">
            <v>0</v>
          </cell>
          <cell r="CJ230">
            <v>0</v>
          </cell>
          <cell r="CK230">
            <v>155510</v>
          </cell>
          <cell r="CL230">
            <v>10240</v>
          </cell>
          <cell r="CM230">
            <v>0</v>
          </cell>
          <cell r="CN230">
            <v>0</v>
          </cell>
          <cell r="CO230">
            <v>10240</v>
          </cell>
          <cell r="CP230">
            <v>7239</v>
          </cell>
          <cell r="CQ230">
            <v>0</v>
          </cell>
          <cell r="CR230">
            <v>0</v>
          </cell>
          <cell r="CS230">
            <v>7239</v>
          </cell>
          <cell r="CT230">
            <v>11945</v>
          </cell>
          <cell r="CU230">
            <v>0</v>
          </cell>
          <cell r="CV230">
            <v>0</v>
          </cell>
          <cell r="CW230">
            <v>11945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114570</v>
          </cell>
          <cell r="EG230">
            <v>0</v>
          </cell>
          <cell r="EH230">
            <v>0</v>
          </cell>
          <cell r="EI230">
            <v>114570</v>
          </cell>
          <cell r="EJ230">
            <v>3813</v>
          </cell>
          <cell r="EK230">
            <v>0</v>
          </cell>
          <cell r="EL230">
            <v>0</v>
          </cell>
          <cell r="EM230">
            <v>3813</v>
          </cell>
        </row>
        <row r="231">
          <cell r="A231">
            <v>225</v>
          </cell>
          <cell r="B231" t="str">
            <v>E2736</v>
          </cell>
          <cell r="C231" t="str">
            <v>SD</v>
          </cell>
          <cell r="D231" t="str">
            <v>YH</v>
          </cell>
          <cell r="E231" t="str">
            <v>Scarborough</v>
          </cell>
          <cell r="F231">
            <v>307346.07</v>
          </cell>
          <cell r="G231">
            <v>0</v>
          </cell>
          <cell r="H231">
            <v>0</v>
          </cell>
          <cell r="I231">
            <v>307346.07</v>
          </cell>
          <cell r="J231">
            <v>-803558.16</v>
          </cell>
          <cell r="K231">
            <v>0</v>
          </cell>
          <cell r="L231">
            <v>0</v>
          </cell>
          <cell r="M231">
            <v>-803558.16</v>
          </cell>
          <cell r="N231">
            <v>11980</v>
          </cell>
          <cell r="O231">
            <v>0</v>
          </cell>
          <cell r="P231">
            <v>0</v>
          </cell>
          <cell r="Q231">
            <v>11980</v>
          </cell>
          <cell r="R231">
            <v>85879</v>
          </cell>
          <cell r="S231">
            <v>0</v>
          </cell>
          <cell r="T231">
            <v>0</v>
          </cell>
          <cell r="U231">
            <v>85879</v>
          </cell>
          <cell r="V231">
            <v>4726636</v>
          </cell>
          <cell r="W231">
            <v>0</v>
          </cell>
          <cell r="X231">
            <v>0</v>
          </cell>
          <cell r="Y231">
            <v>4726636</v>
          </cell>
          <cell r="Z231">
            <v>237283</v>
          </cell>
          <cell r="AA231">
            <v>0</v>
          </cell>
          <cell r="AB231">
            <v>0</v>
          </cell>
          <cell r="AC231">
            <v>237283</v>
          </cell>
          <cell r="AD231">
            <v>571132</v>
          </cell>
          <cell r="AE231">
            <v>0</v>
          </cell>
          <cell r="AF231">
            <v>0</v>
          </cell>
          <cell r="AG231">
            <v>571132</v>
          </cell>
          <cell r="AH231">
            <v>1529</v>
          </cell>
          <cell r="AI231">
            <v>0</v>
          </cell>
          <cell r="AJ231">
            <v>0</v>
          </cell>
          <cell r="AK231">
            <v>1529</v>
          </cell>
          <cell r="AL231">
            <v>1472121</v>
          </cell>
          <cell r="AM231">
            <v>0</v>
          </cell>
          <cell r="AN231">
            <v>0</v>
          </cell>
          <cell r="AO231">
            <v>1472121</v>
          </cell>
          <cell r="AP231">
            <v>4546</v>
          </cell>
          <cell r="AQ231">
            <v>0</v>
          </cell>
          <cell r="AR231">
            <v>0</v>
          </cell>
          <cell r="AS231">
            <v>4546</v>
          </cell>
          <cell r="AT231">
            <v>136851</v>
          </cell>
          <cell r="AU231">
            <v>0</v>
          </cell>
          <cell r="AV231">
            <v>0</v>
          </cell>
          <cell r="AW231">
            <v>136851</v>
          </cell>
          <cell r="AX231">
            <v>-24434</v>
          </cell>
          <cell r="AY231">
            <v>0</v>
          </cell>
          <cell r="AZ231">
            <v>0</v>
          </cell>
          <cell r="BA231">
            <v>-24434</v>
          </cell>
          <cell r="BB231">
            <v>29655</v>
          </cell>
          <cell r="BC231">
            <v>0</v>
          </cell>
          <cell r="BD231">
            <v>0</v>
          </cell>
          <cell r="BE231">
            <v>29655</v>
          </cell>
          <cell r="BF231">
            <v>-196</v>
          </cell>
          <cell r="BG231">
            <v>0</v>
          </cell>
          <cell r="BH231">
            <v>0</v>
          </cell>
          <cell r="BI231">
            <v>-196</v>
          </cell>
          <cell r="BJ231">
            <v>10777</v>
          </cell>
          <cell r="BK231">
            <v>0</v>
          </cell>
          <cell r="BL231">
            <v>0</v>
          </cell>
          <cell r="BM231">
            <v>10777</v>
          </cell>
          <cell r="BN231">
            <v>4971</v>
          </cell>
          <cell r="BO231">
            <v>0</v>
          </cell>
          <cell r="BP231">
            <v>0</v>
          </cell>
          <cell r="BQ231">
            <v>4971</v>
          </cell>
          <cell r="BR231">
            <v>793748</v>
          </cell>
          <cell r="BS231">
            <v>0</v>
          </cell>
          <cell r="BT231">
            <v>0</v>
          </cell>
          <cell r="BU231">
            <v>793748</v>
          </cell>
          <cell r="BV231">
            <v>-27583</v>
          </cell>
          <cell r="BW231">
            <v>0</v>
          </cell>
          <cell r="BX231">
            <v>0</v>
          </cell>
          <cell r="BY231">
            <v>-27583</v>
          </cell>
          <cell r="BZ231">
            <v>131368</v>
          </cell>
          <cell r="CA231">
            <v>0</v>
          </cell>
          <cell r="CB231">
            <v>0</v>
          </cell>
          <cell r="CC231">
            <v>131368</v>
          </cell>
          <cell r="CD231">
            <v>1205</v>
          </cell>
          <cell r="CE231">
            <v>0</v>
          </cell>
          <cell r="CF231">
            <v>0</v>
          </cell>
          <cell r="CG231">
            <v>1205</v>
          </cell>
          <cell r="CH231">
            <v>51314</v>
          </cell>
          <cell r="CI231">
            <v>0</v>
          </cell>
          <cell r="CJ231">
            <v>0</v>
          </cell>
          <cell r="CK231">
            <v>51314</v>
          </cell>
          <cell r="CL231">
            <v>704</v>
          </cell>
          <cell r="CM231">
            <v>0</v>
          </cell>
          <cell r="CN231">
            <v>0</v>
          </cell>
          <cell r="CO231">
            <v>704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1196</v>
          </cell>
          <cell r="CY231">
            <v>0</v>
          </cell>
          <cell r="CZ231">
            <v>0</v>
          </cell>
          <cell r="DA231">
            <v>1196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6732</v>
          </cell>
          <cell r="DY231">
            <v>0</v>
          </cell>
          <cell r="DZ231">
            <v>0</v>
          </cell>
          <cell r="EA231">
            <v>6732</v>
          </cell>
          <cell r="EB231">
            <v>115558</v>
          </cell>
          <cell r="EC231">
            <v>0</v>
          </cell>
          <cell r="ED231">
            <v>0</v>
          </cell>
          <cell r="EE231">
            <v>115558</v>
          </cell>
          <cell r="EF231">
            <v>2267</v>
          </cell>
          <cell r="EG231">
            <v>0</v>
          </cell>
          <cell r="EH231">
            <v>0</v>
          </cell>
          <cell r="EI231">
            <v>2267</v>
          </cell>
          <cell r="EJ231">
            <v>1879</v>
          </cell>
          <cell r="EK231">
            <v>0</v>
          </cell>
          <cell r="EL231">
            <v>0</v>
          </cell>
          <cell r="EM231">
            <v>1879</v>
          </cell>
        </row>
        <row r="232">
          <cell r="A232">
            <v>226</v>
          </cell>
          <cell r="B232" t="str">
            <v>E3332</v>
          </cell>
          <cell r="C232" t="str">
            <v>SD</v>
          </cell>
          <cell r="D232" t="str">
            <v>SW</v>
          </cell>
          <cell r="E232" t="str">
            <v>Sedgemoor</v>
          </cell>
          <cell r="F232">
            <v>286899</v>
          </cell>
          <cell r="G232">
            <v>0</v>
          </cell>
          <cell r="H232">
            <v>0</v>
          </cell>
          <cell r="I232">
            <v>286899</v>
          </cell>
          <cell r="J232">
            <v>-134597</v>
          </cell>
          <cell r="K232">
            <v>0</v>
          </cell>
          <cell r="L232">
            <v>0</v>
          </cell>
          <cell r="M232">
            <v>-134597</v>
          </cell>
          <cell r="N232">
            <v>124683</v>
          </cell>
          <cell r="O232">
            <v>0</v>
          </cell>
          <cell r="P232">
            <v>0</v>
          </cell>
          <cell r="Q232">
            <v>124683</v>
          </cell>
          <cell r="R232">
            <v>84974</v>
          </cell>
          <cell r="S232">
            <v>0</v>
          </cell>
          <cell r="T232">
            <v>0</v>
          </cell>
          <cell r="U232">
            <v>84974</v>
          </cell>
          <cell r="V232">
            <v>2572592</v>
          </cell>
          <cell r="W232">
            <v>0</v>
          </cell>
          <cell r="X232">
            <v>0</v>
          </cell>
          <cell r="Y232">
            <v>2572592</v>
          </cell>
          <cell r="Z232">
            <v>94039</v>
          </cell>
          <cell r="AA232">
            <v>0</v>
          </cell>
          <cell r="AB232">
            <v>0</v>
          </cell>
          <cell r="AC232">
            <v>94039</v>
          </cell>
          <cell r="AD232">
            <v>680532</v>
          </cell>
          <cell r="AE232">
            <v>0</v>
          </cell>
          <cell r="AF232">
            <v>0</v>
          </cell>
          <cell r="AG232">
            <v>680532</v>
          </cell>
          <cell r="AH232">
            <v>-20477</v>
          </cell>
          <cell r="AI232">
            <v>0</v>
          </cell>
          <cell r="AJ232">
            <v>0</v>
          </cell>
          <cell r="AK232">
            <v>-20477</v>
          </cell>
          <cell r="AL232">
            <v>2011211</v>
          </cell>
          <cell r="AM232">
            <v>0</v>
          </cell>
          <cell r="AN232">
            <v>0</v>
          </cell>
          <cell r="AO232">
            <v>2011211</v>
          </cell>
          <cell r="AP232">
            <v>21362</v>
          </cell>
          <cell r="AQ232">
            <v>0</v>
          </cell>
          <cell r="AR232">
            <v>0</v>
          </cell>
          <cell r="AS232">
            <v>21362</v>
          </cell>
          <cell r="AT232">
            <v>26999</v>
          </cell>
          <cell r="AU232">
            <v>0</v>
          </cell>
          <cell r="AV232">
            <v>0</v>
          </cell>
          <cell r="AW232">
            <v>26999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76166</v>
          </cell>
          <cell r="BC232">
            <v>0</v>
          </cell>
          <cell r="BD232">
            <v>0</v>
          </cell>
          <cell r="BE232">
            <v>76166</v>
          </cell>
          <cell r="BF232">
            <v>14821</v>
          </cell>
          <cell r="BG232">
            <v>0</v>
          </cell>
          <cell r="BH232">
            <v>0</v>
          </cell>
          <cell r="BI232">
            <v>14821</v>
          </cell>
          <cell r="BJ232">
            <v>5019</v>
          </cell>
          <cell r="BK232">
            <v>0</v>
          </cell>
          <cell r="BL232">
            <v>0</v>
          </cell>
          <cell r="BM232">
            <v>5019</v>
          </cell>
          <cell r="BN232">
            <v>-33664</v>
          </cell>
          <cell r="BO232">
            <v>0</v>
          </cell>
          <cell r="BP232">
            <v>0</v>
          </cell>
          <cell r="BQ232">
            <v>-33664</v>
          </cell>
          <cell r="BR232">
            <v>1403551</v>
          </cell>
          <cell r="BS232">
            <v>0</v>
          </cell>
          <cell r="BT232">
            <v>0</v>
          </cell>
          <cell r="BU232">
            <v>1403551</v>
          </cell>
          <cell r="BV232">
            <v>12926</v>
          </cell>
          <cell r="BW232">
            <v>0</v>
          </cell>
          <cell r="BX232">
            <v>0</v>
          </cell>
          <cell r="BY232">
            <v>12926</v>
          </cell>
          <cell r="BZ232">
            <v>67674</v>
          </cell>
          <cell r="CA232">
            <v>0</v>
          </cell>
          <cell r="CB232">
            <v>0</v>
          </cell>
          <cell r="CC232">
            <v>67674</v>
          </cell>
          <cell r="CD232">
            <v>899</v>
          </cell>
          <cell r="CE232">
            <v>0</v>
          </cell>
          <cell r="CF232">
            <v>0</v>
          </cell>
          <cell r="CG232">
            <v>899</v>
          </cell>
          <cell r="CH232">
            <v>15513</v>
          </cell>
          <cell r="CI232">
            <v>0</v>
          </cell>
          <cell r="CJ232">
            <v>0</v>
          </cell>
          <cell r="CK232">
            <v>15513</v>
          </cell>
          <cell r="CL232">
            <v>13</v>
          </cell>
          <cell r="CM232">
            <v>0</v>
          </cell>
          <cell r="CN232">
            <v>0</v>
          </cell>
          <cell r="CO232">
            <v>13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39051</v>
          </cell>
          <cell r="CY232">
            <v>0</v>
          </cell>
          <cell r="CZ232">
            <v>0</v>
          </cell>
          <cell r="DA232">
            <v>39051</v>
          </cell>
          <cell r="DB232">
            <v>1760</v>
          </cell>
          <cell r="DC232">
            <v>0</v>
          </cell>
          <cell r="DD232">
            <v>0</v>
          </cell>
          <cell r="DE232">
            <v>1760</v>
          </cell>
          <cell r="DF232">
            <v>351</v>
          </cell>
          <cell r="DG232">
            <v>0</v>
          </cell>
          <cell r="DH232">
            <v>0</v>
          </cell>
          <cell r="DI232">
            <v>351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8129</v>
          </cell>
          <cell r="DY232">
            <v>0</v>
          </cell>
          <cell r="DZ232">
            <v>0</v>
          </cell>
          <cell r="EA232">
            <v>8129</v>
          </cell>
          <cell r="EB232">
            <v>628</v>
          </cell>
          <cell r="EC232">
            <v>0</v>
          </cell>
          <cell r="ED232">
            <v>0</v>
          </cell>
          <cell r="EE232">
            <v>628</v>
          </cell>
          <cell r="EF232">
            <v>10518</v>
          </cell>
          <cell r="EG232">
            <v>0</v>
          </cell>
          <cell r="EH232">
            <v>0</v>
          </cell>
          <cell r="EI232">
            <v>10518</v>
          </cell>
          <cell r="EJ232">
            <v>-829</v>
          </cell>
          <cell r="EK232">
            <v>0</v>
          </cell>
          <cell r="EL232">
            <v>0</v>
          </cell>
          <cell r="EM232">
            <v>-829</v>
          </cell>
        </row>
        <row r="233">
          <cell r="A233">
            <v>227</v>
          </cell>
          <cell r="B233" t="str">
            <v>E4304</v>
          </cell>
          <cell r="C233" t="str">
            <v>Met</v>
          </cell>
          <cell r="D233" t="str">
            <v>NW</v>
          </cell>
          <cell r="E233" t="str">
            <v>Sefton</v>
          </cell>
          <cell r="F233">
            <v>130839</v>
          </cell>
          <cell r="G233">
            <v>0</v>
          </cell>
          <cell r="H233">
            <v>0</v>
          </cell>
          <cell r="I233">
            <v>130839</v>
          </cell>
          <cell r="J233">
            <v>-138965</v>
          </cell>
          <cell r="K233">
            <v>0</v>
          </cell>
          <cell r="L233">
            <v>0</v>
          </cell>
          <cell r="M233">
            <v>-138965</v>
          </cell>
          <cell r="N233">
            <v>107083</v>
          </cell>
          <cell r="O233">
            <v>0</v>
          </cell>
          <cell r="P233">
            <v>0</v>
          </cell>
          <cell r="Q233">
            <v>107083</v>
          </cell>
          <cell r="R233">
            <v>-2072099</v>
          </cell>
          <cell r="S233">
            <v>0</v>
          </cell>
          <cell r="T233">
            <v>0</v>
          </cell>
          <cell r="U233">
            <v>-2072099</v>
          </cell>
          <cell r="V233">
            <v>5299835</v>
          </cell>
          <cell r="W233">
            <v>0</v>
          </cell>
          <cell r="X233">
            <v>0</v>
          </cell>
          <cell r="Y233">
            <v>5299835</v>
          </cell>
          <cell r="Z233">
            <v>193385</v>
          </cell>
          <cell r="AA233">
            <v>0</v>
          </cell>
          <cell r="AB233">
            <v>0</v>
          </cell>
          <cell r="AC233">
            <v>193385</v>
          </cell>
          <cell r="AD233">
            <v>1344099</v>
          </cell>
          <cell r="AE233">
            <v>0</v>
          </cell>
          <cell r="AF233">
            <v>0</v>
          </cell>
          <cell r="AG233">
            <v>1344099</v>
          </cell>
          <cell r="AH233">
            <v>84294</v>
          </cell>
          <cell r="AI233">
            <v>0</v>
          </cell>
          <cell r="AJ233">
            <v>0</v>
          </cell>
          <cell r="AK233">
            <v>84294</v>
          </cell>
          <cell r="AL233">
            <v>4343258</v>
          </cell>
          <cell r="AM233">
            <v>0</v>
          </cell>
          <cell r="AN233">
            <v>0</v>
          </cell>
          <cell r="AO233">
            <v>4343258</v>
          </cell>
          <cell r="AP233">
            <v>-479380</v>
          </cell>
          <cell r="AQ233">
            <v>0</v>
          </cell>
          <cell r="AR233">
            <v>0</v>
          </cell>
          <cell r="AS233">
            <v>-479380</v>
          </cell>
          <cell r="AT233">
            <v>36924</v>
          </cell>
          <cell r="AU233">
            <v>0</v>
          </cell>
          <cell r="AV233">
            <v>0</v>
          </cell>
          <cell r="AW233">
            <v>36924</v>
          </cell>
          <cell r="AX233">
            <v>-1462</v>
          </cell>
          <cell r="AY233">
            <v>0</v>
          </cell>
          <cell r="AZ233">
            <v>0</v>
          </cell>
          <cell r="BA233">
            <v>-1462</v>
          </cell>
          <cell r="BB233">
            <v>1732</v>
          </cell>
          <cell r="BC233">
            <v>0</v>
          </cell>
          <cell r="BD233">
            <v>0</v>
          </cell>
          <cell r="BE233">
            <v>1732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-3204</v>
          </cell>
          <cell r="BO233">
            <v>0</v>
          </cell>
          <cell r="BP233">
            <v>0</v>
          </cell>
          <cell r="BQ233">
            <v>-3204</v>
          </cell>
          <cell r="BR233">
            <v>4383634</v>
          </cell>
          <cell r="BS233">
            <v>0</v>
          </cell>
          <cell r="BT233">
            <v>0</v>
          </cell>
          <cell r="BU233">
            <v>4383634</v>
          </cell>
          <cell r="BV233">
            <v>-560365</v>
          </cell>
          <cell r="BW233">
            <v>0</v>
          </cell>
          <cell r="BX233">
            <v>0</v>
          </cell>
          <cell r="BY233">
            <v>-560365</v>
          </cell>
          <cell r="BZ233">
            <v>234792</v>
          </cell>
          <cell r="CA233">
            <v>0</v>
          </cell>
          <cell r="CB233">
            <v>0</v>
          </cell>
          <cell r="CC233">
            <v>234792</v>
          </cell>
          <cell r="CD233">
            <v>334</v>
          </cell>
          <cell r="CE233">
            <v>0</v>
          </cell>
          <cell r="CF233">
            <v>0</v>
          </cell>
          <cell r="CG233">
            <v>334</v>
          </cell>
          <cell r="CH233">
            <v>54876</v>
          </cell>
          <cell r="CI233">
            <v>0</v>
          </cell>
          <cell r="CJ233">
            <v>0</v>
          </cell>
          <cell r="CK233">
            <v>54876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1423</v>
          </cell>
          <cell r="EG233">
            <v>0</v>
          </cell>
          <cell r="EH233">
            <v>0</v>
          </cell>
          <cell r="EI233">
            <v>1423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</row>
        <row r="234">
          <cell r="A234">
            <v>228</v>
          </cell>
          <cell r="B234" t="str">
            <v>E2757</v>
          </cell>
          <cell r="C234" t="str">
            <v>SD</v>
          </cell>
          <cell r="D234" t="str">
            <v>YH</v>
          </cell>
          <cell r="E234" t="str">
            <v>Selby</v>
          </cell>
          <cell r="F234">
            <v>420381</v>
          </cell>
          <cell r="G234">
            <v>0</v>
          </cell>
          <cell r="H234">
            <v>0</v>
          </cell>
          <cell r="I234">
            <v>420381</v>
          </cell>
          <cell r="J234">
            <v>-4401599</v>
          </cell>
          <cell r="K234">
            <v>0</v>
          </cell>
          <cell r="L234">
            <v>0</v>
          </cell>
          <cell r="M234">
            <v>-4401599</v>
          </cell>
          <cell r="N234">
            <v>35292</v>
          </cell>
          <cell r="O234">
            <v>0</v>
          </cell>
          <cell r="P234">
            <v>0</v>
          </cell>
          <cell r="Q234">
            <v>35292</v>
          </cell>
          <cell r="R234">
            <v>179956</v>
          </cell>
          <cell r="S234">
            <v>0</v>
          </cell>
          <cell r="T234">
            <v>0</v>
          </cell>
          <cell r="U234">
            <v>179956</v>
          </cell>
          <cell r="V234">
            <v>1516300</v>
          </cell>
          <cell r="W234">
            <v>0</v>
          </cell>
          <cell r="X234">
            <v>0</v>
          </cell>
          <cell r="Y234">
            <v>1516300</v>
          </cell>
          <cell r="Z234">
            <v>68061</v>
          </cell>
          <cell r="AA234">
            <v>0</v>
          </cell>
          <cell r="AB234">
            <v>0</v>
          </cell>
          <cell r="AC234">
            <v>68061</v>
          </cell>
          <cell r="AD234">
            <v>796372</v>
          </cell>
          <cell r="AE234">
            <v>0</v>
          </cell>
          <cell r="AF234">
            <v>0</v>
          </cell>
          <cell r="AG234">
            <v>796372</v>
          </cell>
          <cell r="AH234">
            <v>-79565</v>
          </cell>
          <cell r="AI234">
            <v>0</v>
          </cell>
          <cell r="AJ234">
            <v>0</v>
          </cell>
          <cell r="AK234">
            <v>-79565</v>
          </cell>
          <cell r="AL234">
            <v>890497</v>
          </cell>
          <cell r="AM234">
            <v>0</v>
          </cell>
          <cell r="AN234">
            <v>0</v>
          </cell>
          <cell r="AO234">
            <v>890497</v>
          </cell>
          <cell r="AP234">
            <v>-6292</v>
          </cell>
          <cell r="AQ234">
            <v>0</v>
          </cell>
          <cell r="AR234">
            <v>0</v>
          </cell>
          <cell r="AS234">
            <v>-6292</v>
          </cell>
          <cell r="AT234">
            <v>47852</v>
          </cell>
          <cell r="AU234">
            <v>0</v>
          </cell>
          <cell r="AV234">
            <v>0</v>
          </cell>
          <cell r="AW234">
            <v>47852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30703</v>
          </cell>
          <cell r="BC234">
            <v>0</v>
          </cell>
          <cell r="BD234">
            <v>0</v>
          </cell>
          <cell r="BE234">
            <v>30703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126480</v>
          </cell>
          <cell r="BK234">
            <v>0</v>
          </cell>
          <cell r="BL234">
            <v>0</v>
          </cell>
          <cell r="BM234">
            <v>126480</v>
          </cell>
          <cell r="BN234">
            <v>93898</v>
          </cell>
          <cell r="BO234">
            <v>0</v>
          </cell>
          <cell r="BP234">
            <v>0</v>
          </cell>
          <cell r="BQ234">
            <v>93898</v>
          </cell>
          <cell r="BR234">
            <v>776562</v>
          </cell>
          <cell r="BS234">
            <v>0</v>
          </cell>
          <cell r="BT234">
            <v>0</v>
          </cell>
          <cell r="BU234">
            <v>776562</v>
          </cell>
          <cell r="BV234">
            <v>-463871</v>
          </cell>
          <cell r="BW234">
            <v>0</v>
          </cell>
          <cell r="BX234">
            <v>0</v>
          </cell>
          <cell r="BY234">
            <v>-463871</v>
          </cell>
          <cell r="BZ234">
            <v>46898</v>
          </cell>
          <cell r="CA234">
            <v>0</v>
          </cell>
          <cell r="CB234">
            <v>0</v>
          </cell>
          <cell r="CC234">
            <v>46898</v>
          </cell>
          <cell r="CD234">
            <v>-1218</v>
          </cell>
          <cell r="CE234">
            <v>0</v>
          </cell>
          <cell r="CF234">
            <v>0</v>
          </cell>
          <cell r="CG234">
            <v>-1218</v>
          </cell>
          <cell r="CH234">
            <v>9033</v>
          </cell>
          <cell r="CI234">
            <v>0</v>
          </cell>
          <cell r="CJ234">
            <v>0</v>
          </cell>
          <cell r="CK234">
            <v>9033</v>
          </cell>
          <cell r="CL234">
            <v>-2394</v>
          </cell>
          <cell r="CM234">
            <v>0</v>
          </cell>
          <cell r="CN234">
            <v>0</v>
          </cell>
          <cell r="CO234">
            <v>-2394</v>
          </cell>
          <cell r="CP234">
            <v>1048</v>
          </cell>
          <cell r="CQ234">
            <v>0</v>
          </cell>
          <cell r="CR234">
            <v>0</v>
          </cell>
          <cell r="CS234">
            <v>1048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14184</v>
          </cell>
          <cell r="CY234">
            <v>0</v>
          </cell>
          <cell r="CZ234">
            <v>0</v>
          </cell>
          <cell r="DA234">
            <v>14184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3415</v>
          </cell>
          <cell r="DG234">
            <v>0</v>
          </cell>
          <cell r="DH234">
            <v>0</v>
          </cell>
          <cell r="DI234">
            <v>3415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14079</v>
          </cell>
          <cell r="DO234">
            <v>0</v>
          </cell>
          <cell r="DP234">
            <v>0</v>
          </cell>
          <cell r="DQ234">
            <v>14079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</row>
        <row r="235">
          <cell r="A235">
            <v>229</v>
          </cell>
          <cell r="B235" t="str">
            <v>E2239</v>
          </cell>
          <cell r="C235" t="str">
            <v>SD</v>
          </cell>
          <cell r="D235" t="str">
            <v>SE</v>
          </cell>
          <cell r="E235" t="str">
            <v>Sevenoaks</v>
          </cell>
          <cell r="F235">
            <v>118774</v>
          </cell>
          <cell r="G235">
            <v>0</v>
          </cell>
          <cell r="H235">
            <v>0</v>
          </cell>
          <cell r="I235">
            <v>118774</v>
          </cell>
          <cell r="J235">
            <v>-102825</v>
          </cell>
          <cell r="K235">
            <v>0</v>
          </cell>
          <cell r="L235">
            <v>0</v>
          </cell>
          <cell r="M235">
            <v>-102825</v>
          </cell>
          <cell r="N235">
            <v>6879</v>
          </cell>
          <cell r="O235">
            <v>0</v>
          </cell>
          <cell r="P235">
            <v>0</v>
          </cell>
          <cell r="Q235">
            <v>6879</v>
          </cell>
          <cell r="R235">
            <v>62234</v>
          </cell>
          <cell r="S235">
            <v>0</v>
          </cell>
          <cell r="T235">
            <v>0</v>
          </cell>
          <cell r="U235">
            <v>62234</v>
          </cell>
          <cell r="V235">
            <v>2213054</v>
          </cell>
          <cell r="W235">
            <v>0</v>
          </cell>
          <cell r="X235">
            <v>0</v>
          </cell>
          <cell r="Y235">
            <v>2213054</v>
          </cell>
          <cell r="Z235">
            <v>93167</v>
          </cell>
          <cell r="AA235">
            <v>0</v>
          </cell>
          <cell r="AB235">
            <v>0</v>
          </cell>
          <cell r="AC235">
            <v>93167</v>
          </cell>
          <cell r="AD235">
            <v>653927</v>
          </cell>
          <cell r="AE235">
            <v>0</v>
          </cell>
          <cell r="AF235">
            <v>0</v>
          </cell>
          <cell r="AG235">
            <v>653927</v>
          </cell>
          <cell r="AH235">
            <v>-11930</v>
          </cell>
          <cell r="AI235">
            <v>0</v>
          </cell>
          <cell r="AJ235">
            <v>0</v>
          </cell>
          <cell r="AK235">
            <v>-11930</v>
          </cell>
          <cell r="AL235">
            <v>2456805</v>
          </cell>
          <cell r="AM235">
            <v>0</v>
          </cell>
          <cell r="AN235">
            <v>0</v>
          </cell>
          <cell r="AO235">
            <v>2456805</v>
          </cell>
          <cell r="AP235">
            <v>2838</v>
          </cell>
          <cell r="AQ235">
            <v>0</v>
          </cell>
          <cell r="AR235">
            <v>0</v>
          </cell>
          <cell r="AS235">
            <v>2838</v>
          </cell>
          <cell r="AT235">
            <v>84889</v>
          </cell>
          <cell r="AU235">
            <v>0</v>
          </cell>
          <cell r="AV235">
            <v>0</v>
          </cell>
          <cell r="AW235">
            <v>84889</v>
          </cell>
          <cell r="AX235">
            <v>3847</v>
          </cell>
          <cell r="AY235">
            <v>0</v>
          </cell>
          <cell r="AZ235">
            <v>0</v>
          </cell>
          <cell r="BA235">
            <v>3847</v>
          </cell>
          <cell r="BB235">
            <v>14545</v>
          </cell>
          <cell r="BC235">
            <v>0</v>
          </cell>
          <cell r="BD235">
            <v>0</v>
          </cell>
          <cell r="BE235">
            <v>14545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51043</v>
          </cell>
          <cell r="BK235">
            <v>0</v>
          </cell>
          <cell r="BL235">
            <v>0</v>
          </cell>
          <cell r="BM235">
            <v>51043</v>
          </cell>
          <cell r="BN235">
            <v>5471</v>
          </cell>
          <cell r="BO235">
            <v>0</v>
          </cell>
          <cell r="BP235">
            <v>0</v>
          </cell>
          <cell r="BQ235">
            <v>5471</v>
          </cell>
          <cell r="BR235">
            <v>1212601</v>
          </cell>
          <cell r="BS235">
            <v>0</v>
          </cell>
          <cell r="BT235">
            <v>0</v>
          </cell>
          <cell r="BU235">
            <v>1212601</v>
          </cell>
          <cell r="BV235">
            <v>-4956</v>
          </cell>
          <cell r="BW235">
            <v>0</v>
          </cell>
          <cell r="BX235">
            <v>0</v>
          </cell>
          <cell r="BY235">
            <v>-4956</v>
          </cell>
          <cell r="BZ235">
            <v>119371</v>
          </cell>
          <cell r="CA235">
            <v>0</v>
          </cell>
          <cell r="CB235">
            <v>0</v>
          </cell>
          <cell r="CC235">
            <v>119371</v>
          </cell>
          <cell r="CD235">
            <v>-68</v>
          </cell>
          <cell r="CE235">
            <v>0</v>
          </cell>
          <cell r="CF235">
            <v>0</v>
          </cell>
          <cell r="CG235">
            <v>-68</v>
          </cell>
          <cell r="CH235">
            <v>29739</v>
          </cell>
          <cell r="CI235">
            <v>0</v>
          </cell>
          <cell r="CJ235">
            <v>0</v>
          </cell>
          <cell r="CK235">
            <v>29739</v>
          </cell>
          <cell r="CL235">
            <v>-5811</v>
          </cell>
          <cell r="CM235">
            <v>0</v>
          </cell>
          <cell r="CN235">
            <v>0</v>
          </cell>
          <cell r="CO235">
            <v>-5811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7519</v>
          </cell>
          <cell r="DG235">
            <v>0</v>
          </cell>
          <cell r="DH235">
            <v>0</v>
          </cell>
          <cell r="DI235">
            <v>7519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</row>
        <row r="236">
          <cell r="A236">
            <v>230</v>
          </cell>
          <cell r="B236" t="str">
            <v>E4404</v>
          </cell>
          <cell r="C236" t="str">
            <v>Met</v>
          </cell>
          <cell r="D236" t="str">
            <v>YH</v>
          </cell>
          <cell r="E236" t="str">
            <v>Sheffield</v>
          </cell>
          <cell r="F236">
            <v>324828</v>
          </cell>
          <cell r="G236">
            <v>0</v>
          </cell>
          <cell r="H236">
            <v>0</v>
          </cell>
          <cell r="I236">
            <v>324828</v>
          </cell>
          <cell r="J236">
            <v>-310222</v>
          </cell>
          <cell r="K236">
            <v>0</v>
          </cell>
          <cell r="L236">
            <v>0</v>
          </cell>
          <cell r="M236">
            <v>-310222</v>
          </cell>
          <cell r="N236">
            <v>163456</v>
          </cell>
          <cell r="O236">
            <v>12981</v>
          </cell>
          <cell r="P236">
            <v>0</v>
          </cell>
          <cell r="Q236">
            <v>176437</v>
          </cell>
          <cell r="R236">
            <v>1197213</v>
          </cell>
          <cell r="S236">
            <v>59507</v>
          </cell>
          <cell r="T236">
            <v>0</v>
          </cell>
          <cell r="U236">
            <v>1256720</v>
          </cell>
          <cell r="V236">
            <v>10038752</v>
          </cell>
          <cell r="W236">
            <v>26917</v>
          </cell>
          <cell r="X236">
            <v>0</v>
          </cell>
          <cell r="Y236">
            <v>10065669</v>
          </cell>
          <cell r="Z236">
            <v>351106</v>
          </cell>
          <cell r="AA236">
            <v>2567</v>
          </cell>
          <cell r="AB236">
            <v>0</v>
          </cell>
          <cell r="AC236">
            <v>353673</v>
          </cell>
          <cell r="AD236">
            <v>4159901</v>
          </cell>
          <cell r="AE236">
            <v>0</v>
          </cell>
          <cell r="AF236">
            <v>0</v>
          </cell>
          <cell r="AG236">
            <v>4159901</v>
          </cell>
          <cell r="AH236">
            <v>54641</v>
          </cell>
          <cell r="AI236">
            <v>0</v>
          </cell>
          <cell r="AJ236">
            <v>0</v>
          </cell>
          <cell r="AK236">
            <v>54641</v>
          </cell>
          <cell r="AL236">
            <v>16523841</v>
          </cell>
          <cell r="AM236">
            <v>30787</v>
          </cell>
          <cell r="AN236">
            <v>0</v>
          </cell>
          <cell r="AO236">
            <v>16554628</v>
          </cell>
          <cell r="AP236">
            <v>83072</v>
          </cell>
          <cell r="AQ236">
            <v>855</v>
          </cell>
          <cell r="AR236">
            <v>0</v>
          </cell>
          <cell r="AS236">
            <v>83927</v>
          </cell>
          <cell r="AT236">
            <v>12516</v>
          </cell>
          <cell r="AU236">
            <v>0</v>
          </cell>
          <cell r="AV236">
            <v>0</v>
          </cell>
          <cell r="AW236">
            <v>12516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334077</v>
          </cell>
          <cell r="BK236">
            <v>10327</v>
          </cell>
          <cell r="BL236">
            <v>0</v>
          </cell>
          <cell r="BM236">
            <v>344404</v>
          </cell>
          <cell r="BN236">
            <v>165426</v>
          </cell>
          <cell r="BO236">
            <v>0</v>
          </cell>
          <cell r="BP236">
            <v>0</v>
          </cell>
          <cell r="BQ236">
            <v>165426</v>
          </cell>
          <cell r="BR236">
            <v>8423779</v>
          </cell>
          <cell r="BS236">
            <v>480435</v>
          </cell>
          <cell r="BT236">
            <v>457813</v>
          </cell>
          <cell r="BU236">
            <v>9362027</v>
          </cell>
          <cell r="BV236">
            <v>-492486</v>
          </cell>
          <cell r="BW236">
            <v>46733</v>
          </cell>
          <cell r="BX236">
            <v>0</v>
          </cell>
          <cell r="BY236">
            <v>-445753</v>
          </cell>
          <cell r="BZ236">
            <v>6335</v>
          </cell>
          <cell r="CA236">
            <v>0</v>
          </cell>
          <cell r="CB236">
            <v>0</v>
          </cell>
          <cell r="CC236">
            <v>6335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358067</v>
          </cell>
          <cell r="CI236">
            <v>0</v>
          </cell>
          <cell r="CJ236">
            <v>0</v>
          </cell>
          <cell r="CK236">
            <v>358067</v>
          </cell>
          <cell r="CL236">
            <v>1762</v>
          </cell>
          <cell r="CM236">
            <v>0</v>
          </cell>
          <cell r="CN236">
            <v>0</v>
          </cell>
          <cell r="CO236">
            <v>1762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55000</v>
          </cell>
          <cell r="DQ236">
            <v>55000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55000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</row>
        <row r="237">
          <cell r="A237">
            <v>231</v>
          </cell>
          <cell r="B237" t="str">
            <v>E2240</v>
          </cell>
          <cell r="C237" t="str">
            <v>SD</v>
          </cell>
          <cell r="D237" t="str">
            <v>SE</v>
          </cell>
          <cell r="E237" t="str">
            <v>Shepway</v>
          </cell>
          <cell r="F237">
            <v>78721</v>
          </cell>
          <cell r="G237">
            <v>0</v>
          </cell>
          <cell r="H237">
            <v>0</v>
          </cell>
          <cell r="I237">
            <v>78721</v>
          </cell>
          <cell r="J237">
            <v>-92545</v>
          </cell>
          <cell r="K237">
            <v>0</v>
          </cell>
          <cell r="L237">
            <v>0</v>
          </cell>
          <cell r="M237">
            <v>-92545</v>
          </cell>
          <cell r="N237">
            <v>211236</v>
          </cell>
          <cell r="O237">
            <v>0</v>
          </cell>
          <cell r="P237">
            <v>0</v>
          </cell>
          <cell r="Q237">
            <v>211236</v>
          </cell>
          <cell r="R237">
            <v>-6853</v>
          </cell>
          <cell r="S237">
            <v>0</v>
          </cell>
          <cell r="T237">
            <v>0</v>
          </cell>
          <cell r="U237">
            <v>-6853</v>
          </cell>
          <cell r="V237">
            <v>2456621</v>
          </cell>
          <cell r="W237">
            <v>0</v>
          </cell>
          <cell r="X237">
            <v>0</v>
          </cell>
          <cell r="Y237">
            <v>2456621</v>
          </cell>
          <cell r="Z237">
            <v>153426</v>
          </cell>
          <cell r="AA237">
            <v>0</v>
          </cell>
          <cell r="AB237">
            <v>0</v>
          </cell>
          <cell r="AC237">
            <v>153426</v>
          </cell>
          <cell r="AD237">
            <v>545291</v>
          </cell>
          <cell r="AE237">
            <v>0</v>
          </cell>
          <cell r="AF237">
            <v>0</v>
          </cell>
          <cell r="AG237">
            <v>545291</v>
          </cell>
          <cell r="AH237">
            <v>16467</v>
          </cell>
          <cell r="AI237">
            <v>0</v>
          </cell>
          <cell r="AJ237">
            <v>0</v>
          </cell>
          <cell r="AK237">
            <v>16467</v>
          </cell>
          <cell r="AL237">
            <v>2239881</v>
          </cell>
          <cell r="AM237">
            <v>0</v>
          </cell>
          <cell r="AN237">
            <v>0</v>
          </cell>
          <cell r="AO237">
            <v>2239881</v>
          </cell>
          <cell r="AP237">
            <v>23767</v>
          </cell>
          <cell r="AQ237">
            <v>0</v>
          </cell>
          <cell r="AR237">
            <v>0</v>
          </cell>
          <cell r="AS237">
            <v>23767</v>
          </cell>
          <cell r="AT237">
            <v>90978</v>
          </cell>
          <cell r="AU237">
            <v>0</v>
          </cell>
          <cell r="AV237">
            <v>0</v>
          </cell>
          <cell r="AW237">
            <v>90978</v>
          </cell>
          <cell r="AX237">
            <v>-1536</v>
          </cell>
          <cell r="AY237">
            <v>0</v>
          </cell>
          <cell r="AZ237">
            <v>0</v>
          </cell>
          <cell r="BA237">
            <v>-1536</v>
          </cell>
          <cell r="BB237">
            <v>22218</v>
          </cell>
          <cell r="BC237">
            <v>0</v>
          </cell>
          <cell r="BD237">
            <v>0</v>
          </cell>
          <cell r="BE237">
            <v>22218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174786</v>
          </cell>
          <cell r="BK237">
            <v>0</v>
          </cell>
          <cell r="BL237">
            <v>0</v>
          </cell>
          <cell r="BM237">
            <v>174786</v>
          </cell>
          <cell r="BN237">
            <v>8055</v>
          </cell>
          <cell r="BO237">
            <v>0</v>
          </cell>
          <cell r="BP237">
            <v>0</v>
          </cell>
          <cell r="BQ237">
            <v>8055</v>
          </cell>
          <cell r="BR237">
            <v>1188697</v>
          </cell>
          <cell r="BS237">
            <v>0</v>
          </cell>
          <cell r="BT237">
            <v>0</v>
          </cell>
          <cell r="BU237">
            <v>1188697</v>
          </cell>
          <cell r="BV237">
            <v>78162</v>
          </cell>
          <cell r="BW237">
            <v>0</v>
          </cell>
          <cell r="BX237">
            <v>0</v>
          </cell>
          <cell r="BY237">
            <v>78162</v>
          </cell>
          <cell r="BZ237">
            <v>66975</v>
          </cell>
          <cell r="CA237">
            <v>0</v>
          </cell>
          <cell r="CB237">
            <v>0</v>
          </cell>
          <cell r="CC237">
            <v>66975</v>
          </cell>
          <cell r="CD237">
            <v>123</v>
          </cell>
          <cell r="CE237">
            <v>0</v>
          </cell>
          <cell r="CF237">
            <v>0</v>
          </cell>
          <cell r="CG237">
            <v>123</v>
          </cell>
          <cell r="CH237">
            <v>1922</v>
          </cell>
          <cell r="CI237">
            <v>0</v>
          </cell>
          <cell r="CJ237">
            <v>0</v>
          </cell>
          <cell r="CK237">
            <v>1922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1773</v>
          </cell>
          <cell r="CQ237">
            <v>0</v>
          </cell>
          <cell r="CR237">
            <v>0</v>
          </cell>
          <cell r="CS237">
            <v>1773</v>
          </cell>
          <cell r="CT237">
            <v>-106</v>
          </cell>
          <cell r="CU237">
            <v>0</v>
          </cell>
          <cell r="CV237">
            <v>0</v>
          </cell>
          <cell r="CW237">
            <v>-106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120497</v>
          </cell>
          <cell r="DO237">
            <v>0</v>
          </cell>
          <cell r="DP237">
            <v>0</v>
          </cell>
          <cell r="DQ237">
            <v>120497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20119</v>
          </cell>
          <cell r="EG237">
            <v>0</v>
          </cell>
          <cell r="EH237">
            <v>0</v>
          </cell>
          <cell r="EI237">
            <v>20119</v>
          </cell>
          <cell r="EJ237">
            <v>4820</v>
          </cell>
          <cell r="EK237">
            <v>0</v>
          </cell>
          <cell r="EL237">
            <v>0</v>
          </cell>
          <cell r="EM237">
            <v>4820</v>
          </cell>
        </row>
        <row r="238">
          <cell r="A238">
            <v>232</v>
          </cell>
          <cell r="B238" t="str">
            <v>E3202</v>
          </cell>
          <cell r="C238" t="str">
            <v>UA</v>
          </cell>
          <cell r="D238" t="str">
            <v>WM</v>
          </cell>
          <cell r="E238" t="str">
            <v>Shropshire UA</v>
          </cell>
          <cell r="F238">
            <v>312547</v>
          </cell>
          <cell r="G238">
            <v>0</v>
          </cell>
          <cell r="H238">
            <v>0</v>
          </cell>
          <cell r="I238">
            <v>312547</v>
          </cell>
          <cell r="J238">
            <v>-140563</v>
          </cell>
          <cell r="K238">
            <v>0</v>
          </cell>
          <cell r="L238">
            <v>0</v>
          </cell>
          <cell r="M238">
            <v>-140563</v>
          </cell>
          <cell r="N238">
            <v>92173</v>
          </cell>
          <cell r="O238">
            <v>0</v>
          </cell>
          <cell r="P238">
            <v>0</v>
          </cell>
          <cell r="Q238">
            <v>92173</v>
          </cell>
          <cell r="R238">
            <v>128191</v>
          </cell>
          <cell r="S238">
            <v>0</v>
          </cell>
          <cell r="T238">
            <v>0</v>
          </cell>
          <cell r="U238">
            <v>128191</v>
          </cell>
          <cell r="V238">
            <v>7464009</v>
          </cell>
          <cell r="W238">
            <v>0</v>
          </cell>
          <cell r="X238">
            <v>0</v>
          </cell>
          <cell r="Y238">
            <v>7464009</v>
          </cell>
          <cell r="Z238">
            <v>278596</v>
          </cell>
          <cell r="AA238">
            <v>0</v>
          </cell>
          <cell r="AB238">
            <v>0</v>
          </cell>
          <cell r="AC238">
            <v>278596</v>
          </cell>
          <cell r="AD238">
            <v>1399449</v>
          </cell>
          <cell r="AE238">
            <v>0</v>
          </cell>
          <cell r="AF238">
            <v>0</v>
          </cell>
          <cell r="AG238">
            <v>1399449</v>
          </cell>
          <cell r="AH238">
            <v>25423</v>
          </cell>
          <cell r="AI238">
            <v>0</v>
          </cell>
          <cell r="AJ238">
            <v>0</v>
          </cell>
          <cell r="AK238">
            <v>25423</v>
          </cell>
          <cell r="AL238">
            <v>5610850</v>
          </cell>
          <cell r="AM238">
            <v>0</v>
          </cell>
          <cell r="AN238">
            <v>0</v>
          </cell>
          <cell r="AO238">
            <v>5610850</v>
          </cell>
          <cell r="AP238">
            <v>-70750</v>
          </cell>
          <cell r="AQ238">
            <v>0</v>
          </cell>
          <cell r="AR238">
            <v>0</v>
          </cell>
          <cell r="AS238">
            <v>-70750</v>
          </cell>
          <cell r="AT238">
            <v>162723</v>
          </cell>
          <cell r="AU238">
            <v>0</v>
          </cell>
          <cell r="AV238">
            <v>0</v>
          </cell>
          <cell r="AW238">
            <v>162723</v>
          </cell>
          <cell r="AX238">
            <v>4209</v>
          </cell>
          <cell r="AY238">
            <v>0</v>
          </cell>
          <cell r="AZ238">
            <v>0</v>
          </cell>
          <cell r="BA238">
            <v>4209</v>
          </cell>
          <cell r="BB238">
            <v>107454</v>
          </cell>
          <cell r="BC238">
            <v>0</v>
          </cell>
          <cell r="BD238">
            <v>0</v>
          </cell>
          <cell r="BE238">
            <v>107454</v>
          </cell>
          <cell r="BF238">
            <v>-1618</v>
          </cell>
          <cell r="BG238">
            <v>0</v>
          </cell>
          <cell r="BH238">
            <v>0</v>
          </cell>
          <cell r="BI238">
            <v>-1618</v>
          </cell>
          <cell r="BJ238">
            <v>78563</v>
          </cell>
          <cell r="BK238">
            <v>0</v>
          </cell>
          <cell r="BL238">
            <v>0</v>
          </cell>
          <cell r="BM238">
            <v>78563</v>
          </cell>
          <cell r="BN238">
            <v>36304</v>
          </cell>
          <cell r="BO238">
            <v>0</v>
          </cell>
          <cell r="BP238">
            <v>0</v>
          </cell>
          <cell r="BQ238">
            <v>36304</v>
          </cell>
          <cell r="BR238">
            <v>2974582</v>
          </cell>
          <cell r="BS238">
            <v>0</v>
          </cell>
          <cell r="BT238">
            <v>0</v>
          </cell>
          <cell r="BU238">
            <v>2974582</v>
          </cell>
          <cell r="BV238">
            <v>-125597</v>
          </cell>
          <cell r="BW238">
            <v>0</v>
          </cell>
          <cell r="BX238">
            <v>0</v>
          </cell>
          <cell r="BY238">
            <v>-125597</v>
          </cell>
          <cell r="BZ238">
            <v>415425</v>
          </cell>
          <cell r="CA238">
            <v>0</v>
          </cell>
          <cell r="CB238">
            <v>0</v>
          </cell>
          <cell r="CC238">
            <v>415425</v>
          </cell>
          <cell r="CD238">
            <v>-15270</v>
          </cell>
          <cell r="CE238">
            <v>0</v>
          </cell>
          <cell r="CF238">
            <v>0</v>
          </cell>
          <cell r="CG238">
            <v>-15270</v>
          </cell>
          <cell r="CH238">
            <v>260280</v>
          </cell>
          <cell r="CI238">
            <v>0</v>
          </cell>
          <cell r="CJ238">
            <v>0</v>
          </cell>
          <cell r="CK238">
            <v>260280</v>
          </cell>
          <cell r="CL238">
            <v>-4234</v>
          </cell>
          <cell r="CM238">
            <v>0</v>
          </cell>
          <cell r="CN238">
            <v>0</v>
          </cell>
          <cell r="CO238">
            <v>-4234</v>
          </cell>
          <cell r="CP238">
            <v>29426</v>
          </cell>
          <cell r="CQ238">
            <v>0</v>
          </cell>
          <cell r="CR238">
            <v>0</v>
          </cell>
          <cell r="CS238">
            <v>29426</v>
          </cell>
          <cell r="CT238">
            <v>1559</v>
          </cell>
          <cell r="CU238">
            <v>0</v>
          </cell>
          <cell r="CV238">
            <v>0</v>
          </cell>
          <cell r="CW238">
            <v>1559</v>
          </cell>
          <cell r="CX238">
            <v>8223</v>
          </cell>
          <cell r="CY238">
            <v>0</v>
          </cell>
          <cell r="CZ238">
            <v>0</v>
          </cell>
          <cell r="DA238">
            <v>8223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4591</v>
          </cell>
          <cell r="DY238">
            <v>0</v>
          </cell>
          <cell r="DZ238">
            <v>0</v>
          </cell>
          <cell r="EA238">
            <v>4591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</row>
        <row r="239">
          <cell r="A239">
            <v>233</v>
          </cell>
          <cell r="B239" t="str">
            <v>E0304</v>
          </cell>
          <cell r="C239" t="str">
            <v>UA</v>
          </cell>
          <cell r="D239" t="str">
            <v>SE</v>
          </cell>
          <cell r="E239" t="str">
            <v>Slough UA</v>
          </cell>
          <cell r="F239">
            <v>143559</v>
          </cell>
          <cell r="G239">
            <v>0</v>
          </cell>
          <cell r="H239">
            <v>0</v>
          </cell>
          <cell r="I239">
            <v>143559</v>
          </cell>
          <cell r="J239">
            <v>-102748</v>
          </cell>
          <cell r="K239">
            <v>0</v>
          </cell>
          <cell r="L239">
            <v>0</v>
          </cell>
          <cell r="M239">
            <v>-102748</v>
          </cell>
          <cell r="N239">
            <v>575552</v>
          </cell>
          <cell r="O239">
            <v>0</v>
          </cell>
          <cell r="P239">
            <v>0</v>
          </cell>
          <cell r="Q239">
            <v>575552</v>
          </cell>
          <cell r="R239">
            <v>441399</v>
          </cell>
          <cell r="S239">
            <v>0</v>
          </cell>
          <cell r="T239">
            <v>0</v>
          </cell>
          <cell r="U239">
            <v>441399</v>
          </cell>
          <cell r="V239">
            <v>1066887</v>
          </cell>
          <cell r="W239">
            <v>0</v>
          </cell>
          <cell r="X239">
            <v>0</v>
          </cell>
          <cell r="Y239">
            <v>1066887</v>
          </cell>
          <cell r="Z239">
            <v>89011</v>
          </cell>
          <cell r="AA239">
            <v>0</v>
          </cell>
          <cell r="AB239">
            <v>0</v>
          </cell>
          <cell r="AC239">
            <v>89011</v>
          </cell>
          <cell r="AD239">
            <v>1892804</v>
          </cell>
          <cell r="AE239">
            <v>0</v>
          </cell>
          <cell r="AF239">
            <v>0</v>
          </cell>
          <cell r="AG239">
            <v>1892804</v>
          </cell>
          <cell r="AH239">
            <v>-29240</v>
          </cell>
          <cell r="AI239">
            <v>0</v>
          </cell>
          <cell r="AJ239">
            <v>0</v>
          </cell>
          <cell r="AK239">
            <v>-29240</v>
          </cell>
          <cell r="AL239">
            <v>3054811</v>
          </cell>
          <cell r="AM239">
            <v>0</v>
          </cell>
          <cell r="AN239">
            <v>0</v>
          </cell>
          <cell r="AO239">
            <v>3054811</v>
          </cell>
          <cell r="AP239">
            <v>-1382668</v>
          </cell>
          <cell r="AQ239">
            <v>0</v>
          </cell>
          <cell r="AR239">
            <v>0</v>
          </cell>
          <cell r="AS239">
            <v>-1382668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80195</v>
          </cell>
          <cell r="BK239">
            <v>0</v>
          </cell>
          <cell r="BL239">
            <v>0</v>
          </cell>
          <cell r="BM239">
            <v>80195</v>
          </cell>
          <cell r="BN239">
            <v>25515</v>
          </cell>
          <cell r="BO239">
            <v>0</v>
          </cell>
          <cell r="BP239">
            <v>0</v>
          </cell>
          <cell r="BQ239">
            <v>25515</v>
          </cell>
          <cell r="BR239">
            <v>4348888</v>
          </cell>
          <cell r="BS239">
            <v>0</v>
          </cell>
          <cell r="BT239">
            <v>0</v>
          </cell>
          <cell r="BU239">
            <v>4348888</v>
          </cell>
          <cell r="BV239">
            <v>-47371</v>
          </cell>
          <cell r="BW239">
            <v>0</v>
          </cell>
          <cell r="BX239">
            <v>0</v>
          </cell>
          <cell r="BY239">
            <v>-47371</v>
          </cell>
          <cell r="BZ239">
            <v>260102</v>
          </cell>
          <cell r="CA239">
            <v>0</v>
          </cell>
          <cell r="CB239">
            <v>0</v>
          </cell>
          <cell r="CC239">
            <v>260102</v>
          </cell>
          <cell r="CD239">
            <v>-198256</v>
          </cell>
          <cell r="CE239">
            <v>0</v>
          </cell>
          <cell r="CF239">
            <v>0</v>
          </cell>
          <cell r="CG239">
            <v>-198256</v>
          </cell>
          <cell r="CH239">
            <v>98332</v>
          </cell>
          <cell r="CI239">
            <v>0</v>
          </cell>
          <cell r="CJ239">
            <v>0</v>
          </cell>
          <cell r="CK239">
            <v>98332</v>
          </cell>
          <cell r="CL239">
            <v>8627</v>
          </cell>
          <cell r="CM239">
            <v>0</v>
          </cell>
          <cell r="CN239">
            <v>0</v>
          </cell>
          <cell r="CO239">
            <v>8627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11365</v>
          </cell>
          <cell r="DS239">
            <v>0</v>
          </cell>
          <cell r="DT239">
            <v>0</v>
          </cell>
          <cell r="DU239">
            <v>11365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</row>
        <row r="240">
          <cell r="A240">
            <v>234</v>
          </cell>
          <cell r="B240" t="str">
            <v>E4605</v>
          </cell>
          <cell r="C240" t="str">
            <v>Met</v>
          </cell>
          <cell r="D240" t="str">
            <v>WM</v>
          </cell>
          <cell r="E240" t="str">
            <v>Solihull</v>
          </cell>
          <cell r="F240">
            <v>96248</v>
          </cell>
          <cell r="G240">
            <v>0</v>
          </cell>
          <cell r="H240">
            <v>0</v>
          </cell>
          <cell r="I240">
            <v>96248</v>
          </cell>
          <cell r="J240">
            <v>-305440</v>
          </cell>
          <cell r="K240">
            <v>0</v>
          </cell>
          <cell r="L240">
            <v>0</v>
          </cell>
          <cell r="M240">
            <v>-305440</v>
          </cell>
          <cell r="N240">
            <v>23336</v>
          </cell>
          <cell r="O240">
            <v>0</v>
          </cell>
          <cell r="P240">
            <v>0</v>
          </cell>
          <cell r="Q240">
            <v>23336</v>
          </cell>
          <cell r="R240">
            <v>637319</v>
          </cell>
          <cell r="S240">
            <v>0</v>
          </cell>
          <cell r="T240">
            <v>0</v>
          </cell>
          <cell r="U240">
            <v>637319</v>
          </cell>
          <cell r="V240">
            <v>2035978</v>
          </cell>
          <cell r="W240">
            <v>0</v>
          </cell>
          <cell r="X240">
            <v>0</v>
          </cell>
          <cell r="Y240">
            <v>2035978</v>
          </cell>
          <cell r="Z240">
            <v>117492</v>
          </cell>
          <cell r="AA240">
            <v>0</v>
          </cell>
          <cell r="AB240">
            <v>0</v>
          </cell>
          <cell r="AC240">
            <v>117492</v>
          </cell>
          <cell r="AD240">
            <v>2148440</v>
          </cell>
          <cell r="AE240">
            <v>0</v>
          </cell>
          <cell r="AF240">
            <v>0</v>
          </cell>
          <cell r="AG240">
            <v>2148440</v>
          </cell>
          <cell r="AH240">
            <v>-27324</v>
          </cell>
          <cell r="AI240">
            <v>0</v>
          </cell>
          <cell r="AJ240">
            <v>0</v>
          </cell>
          <cell r="AK240">
            <v>-27324</v>
          </cell>
          <cell r="AL240">
            <v>3808256</v>
          </cell>
          <cell r="AM240">
            <v>0</v>
          </cell>
          <cell r="AN240">
            <v>0</v>
          </cell>
          <cell r="AO240">
            <v>3808256</v>
          </cell>
          <cell r="AP240">
            <v>-416248</v>
          </cell>
          <cell r="AQ240">
            <v>0</v>
          </cell>
          <cell r="AR240">
            <v>0</v>
          </cell>
          <cell r="AS240">
            <v>-416248</v>
          </cell>
          <cell r="AT240">
            <v>78541</v>
          </cell>
          <cell r="AU240">
            <v>0</v>
          </cell>
          <cell r="AV240">
            <v>0</v>
          </cell>
          <cell r="AW240">
            <v>78541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942</v>
          </cell>
          <cell r="BC240">
            <v>0</v>
          </cell>
          <cell r="BD240">
            <v>0</v>
          </cell>
          <cell r="BE240">
            <v>942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213779</v>
          </cell>
          <cell r="BK240">
            <v>0</v>
          </cell>
          <cell r="BL240">
            <v>0</v>
          </cell>
          <cell r="BM240">
            <v>213779</v>
          </cell>
          <cell r="BN240">
            <v>80565</v>
          </cell>
          <cell r="BO240">
            <v>0</v>
          </cell>
          <cell r="BP240">
            <v>0</v>
          </cell>
          <cell r="BQ240">
            <v>80565</v>
          </cell>
          <cell r="BR240">
            <v>4740232</v>
          </cell>
          <cell r="BS240">
            <v>0</v>
          </cell>
          <cell r="BT240">
            <v>0</v>
          </cell>
          <cell r="BU240">
            <v>4740232</v>
          </cell>
          <cell r="BV240">
            <v>-201702</v>
          </cell>
          <cell r="BW240">
            <v>0</v>
          </cell>
          <cell r="BX240">
            <v>0</v>
          </cell>
          <cell r="BY240">
            <v>-201702</v>
          </cell>
          <cell r="BZ240">
            <v>47112</v>
          </cell>
          <cell r="CA240">
            <v>0</v>
          </cell>
          <cell r="CB240">
            <v>0</v>
          </cell>
          <cell r="CC240">
            <v>47112</v>
          </cell>
          <cell r="CD240">
            <v>-5589</v>
          </cell>
          <cell r="CE240">
            <v>0</v>
          </cell>
          <cell r="CF240">
            <v>0</v>
          </cell>
          <cell r="CG240">
            <v>-5589</v>
          </cell>
          <cell r="CH240">
            <v>315343</v>
          </cell>
          <cell r="CI240">
            <v>0</v>
          </cell>
          <cell r="CJ240">
            <v>0</v>
          </cell>
          <cell r="CK240">
            <v>315343</v>
          </cell>
          <cell r="CL240">
            <v>-11823</v>
          </cell>
          <cell r="CM240">
            <v>0</v>
          </cell>
          <cell r="CN240">
            <v>0</v>
          </cell>
          <cell r="CO240">
            <v>-11823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</row>
        <row r="241">
          <cell r="A241">
            <v>235</v>
          </cell>
          <cell r="B241" t="str">
            <v>E0434</v>
          </cell>
          <cell r="C241" t="str">
            <v>SD</v>
          </cell>
          <cell r="D241" t="str">
            <v>SE</v>
          </cell>
          <cell r="E241" t="str">
            <v>South Bucks</v>
          </cell>
          <cell r="F241">
            <v>133190</v>
          </cell>
          <cell r="G241">
            <v>0</v>
          </cell>
          <cell r="H241">
            <v>0</v>
          </cell>
          <cell r="I241">
            <v>133190</v>
          </cell>
          <cell r="J241">
            <v>-211973</v>
          </cell>
          <cell r="K241">
            <v>0</v>
          </cell>
          <cell r="L241">
            <v>0</v>
          </cell>
          <cell r="M241">
            <v>-211973</v>
          </cell>
          <cell r="N241">
            <v>20846</v>
          </cell>
          <cell r="O241">
            <v>0</v>
          </cell>
          <cell r="P241">
            <v>0</v>
          </cell>
          <cell r="Q241">
            <v>20846</v>
          </cell>
          <cell r="R241">
            <v>-68614</v>
          </cell>
          <cell r="S241">
            <v>0</v>
          </cell>
          <cell r="T241">
            <v>0</v>
          </cell>
          <cell r="U241">
            <v>-68614</v>
          </cell>
          <cell r="V241">
            <v>854017</v>
          </cell>
          <cell r="W241">
            <v>0</v>
          </cell>
          <cell r="X241">
            <v>0</v>
          </cell>
          <cell r="Y241">
            <v>854017</v>
          </cell>
          <cell r="Z241">
            <v>37785</v>
          </cell>
          <cell r="AA241">
            <v>0</v>
          </cell>
          <cell r="AB241">
            <v>0</v>
          </cell>
          <cell r="AC241">
            <v>37785</v>
          </cell>
          <cell r="AD241">
            <v>585419</v>
          </cell>
          <cell r="AE241">
            <v>0</v>
          </cell>
          <cell r="AF241">
            <v>0</v>
          </cell>
          <cell r="AG241">
            <v>585419</v>
          </cell>
          <cell r="AH241">
            <v>-18351</v>
          </cell>
          <cell r="AI241">
            <v>0</v>
          </cell>
          <cell r="AJ241">
            <v>0</v>
          </cell>
          <cell r="AK241">
            <v>-18351</v>
          </cell>
          <cell r="AL241">
            <v>1755797.81</v>
          </cell>
          <cell r="AM241">
            <v>0</v>
          </cell>
          <cell r="AN241">
            <v>0</v>
          </cell>
          <cell r="AO241">
            <v>1755797.81</v>
          </cell>
          <cell r="AP241">
            <v>-143461</v>
          </cell>
          <cell r="AQ241">
            <v>0</v>
          </cell>
          <cell r="AR241">
            <v>0</v>
          </cell>
          <cell r="AS241">
            <v>-143461</v>
          </cell>
          <cell r="AT241">
            <v>57085</v>
          </cell>
          <cell r="AU241">
            <v>0</v>
          </cell>
          <cell r="AV241">
            <v>0</v>
          </cell>
          <cell r="AW241">
            <v>57085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1392</v>
          </cell>
          <cell r="BC241">
            <v>0</v>
          </cell>
          <cell r="BD241">
            <v>0</v>
          </cell>
          <cell r="BE241">
            <v>1392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16552</v>
          </cell>
          <cell r="BO241">
            <v>0</v>
          </cell>
          <cell r="BP241">
            <v>0</v>
          </cell>
          <cell r="BQ241">
            <v>16552</v>
          </cell>
          <cell r="BR241">
            <v>1560518</v>
          </cell>
          <cell r="BS241">
            <v>0</v>
          </cell>
          <cell r="BT241">
            <v>0</v>
          </cell>
          <cell r="BU241">
            <v>1560518</v>
          </cell>
          <cell r="BV241">
            <v>-256978</v>
          </cell>
          <cell r="BW241">
            <v>0</v>
          </cell>
          <cell r="BX241">
            <v>0</v>
          </cell>
          <cell r="BY241">
            <v>-256978</v>
          </cell>
          <cell r="BZ241">
            <v>16512.3</v>
          </cell>
          <cell r="CA241">
            <v>0</v>
          </cell>
          <cell r="CB241">
            <v>0</v>
          </cell>
          <cell r="CC241">
            <v>16512.3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26376</v>
          </cell>
          <cell r="CI241">
            <v>0</v>
          </cell>
          <cell r="CJ241">
            <v>0</v>
          </cell>
          <cell r="CK241">
            <v>26376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249.63</v>
          </cell>
          <cell r="CQ241">
            <v>0</v>
          </cell>
          <cell r="CR241">
            <v>0</v>
          </cell>
          <cell r="CS241">
            <v>249.63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2503</v>
          </cell>
          <cell r="EK241">
            <v>0</v>
          </cell>
          <cell r="EL241">
            <v>0</v>
          </cell>
          <cell r="EM241">
            <v>2503</v>
          </cell>
        </row>
        <row r="242">
          <cell r="A242">
            <v>236</v>
          </cell>
          <cell r="B242" t="str">
            <v>E0536</v>
          </cell>
          <cell r="C242" t="str">
            <v>SD</v>
          </cell>
          <cell r="D242" t="str">
            <v>E</v>
          </cell>
          <cell r="E242" t="str">
            <v>South Cambridgeshire</v>
          </cell>
          <cell r="F242">
            <v>118627</v>
          </cell>
          <cell r="G242">
            <v>0</v>
          </cell>
          <cell r="H242">
            <v>0</v>
          </cell>
          <cell r="I242">
            <v>118627</v>
          </cell>
          <cell r="J242">
            <v>-119241</v>
          </cell>
          <cell r="K242">
            <v>0</v>
          </cell>
          <cell r="L242">
            <v>0</v>
          </cell>
          <cell r="M242">
            <v>-119241</v>
          </cell>
          <cell r="N242">
            <v>46919</v>
          </cell>
          <cell r="O242">
            <v>0</v>
          </cell>
          <cell r="P242">
            <v>0</v>
          </cell>
          <cell r="Q242">
            <v>46919</v>
          </cell>
          <cell r="R242">
            <v>153846</v>
          </cell>
          <cell r="S242">
            <v>0</v>
          </cell>
          <cell r="T242">
            <v>0</v>
          </cell>
          <cell r="U242">
            <v>153846</v>
          </cell>
          <cell r="V242">
            <v>2269832</v>
          </cell>
          <cell r="W242">
            <v>0</v>
          </cell>
          <cell r="X242">
            <v>0</v>
          </cell>
          <cell r="Y242">
            <v>2269832</v>
          </cell>
          <cell r="Z242">
            <v>255091</v>
          </cell>
          <cell r="AA242">
            <v>0</v>
          </cell>
          <cell r="AB242">
            <v>0</v>
          </cell>
          <cell r="AC242">
            <v>255091</v>
          </cell>
          <cell r="AD242">
            <v>1407533</v>
          </cell>
          <cell r="AE242">
            <v>0</v>
          </cell>
          <cell r="AF242">
            <v>0</v>
          </cell>
          <cell r="AG242">
            <v>1407533</v>
          </cell>
          <cell r="AH242">
            <v>-42612</v>
          </cell>
          <cell r="AI242">
            <v>0</v>
          </cell>
          <cell r="AJ242">
            <v>0</v>
          </cell>
          <cell r="AK242">
            <v>-42612</v>
          </cell>
          <cell r="AL242">
            <v>8277328</v>
          </cell>
          <cell r="AM242">
            <v>0</v>
          </cell>
          <cell r="AN242">
            <v>0</v>
          </cell>
          <cell r="AO242">
            <v>8277328</v>
          </cell>
          <cell r="AP242">
            <v>-292225</v>
          </cell>
          <cell r="AQ242">
            <v>0</v>
          </cell>
          <cell r="AR242">
            <v>0</v>
          </cell>
          <cell r="AS242">
            <v>-292225</v>
          </cell>
          <cell r="AT242">
            <v>36697</v>
          </cell>
          <cell r="AU242">
            <v>0</v>
          </cell>
          <cell r="AV242">
            <v>0</v>
          </cell>
          <cell r="AW242">
            <v>36697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80922</v>
          </cell>
          <cell r="BC242">
            <v>0</v>
          </cell>
          <cell r="BD242">
            <v>0</v>
          </cell>
          <cell r="BE242">
            <v>80922</v>
          </cell>
          <cell r="BF242">
            <v>3715</v>
          </cell>
          <cell r="BG242">
            <v>0</v>
          </cell>
          <cell r="BH242">
            <v>0</v>
          </cell>
          <cell r="BI242">
            <v>3715</v>
          </cell>
          <cell r="BJ242">
            <v>33355.18</v>
          </cell>
          <cell r="BK242">
            <v>0</v>
          </cell>
          <cell r="BL242">
            <v>0</v>
          </cell>
          <cell r="BM242">
            <v>33355.18</v>
          </cell>
          <cell r="BN242">
            <v>58600</v>
          </cell>
          <cell r="BO242">
            <v>0</v>
          </cell>
          <cell r="BP242">
            <v>0</v>
          </cell>
          <cell r="BQ242">
            <v>58600</v>
          </cell>
          <cell r="BR242">
            <v>1472281</v>
          </cell>
          <cell r="BS242">
            <v>0</v>
          </cell>
          <cell r="BT242">
            <v>0</v>
          </cell>
          <cell r="BU242">
            <v>1472281</v>
          </cell>
          <cell r="BV242">
            <v>-657</v>
          </cell>
          <cell r="BW242">
            <v>0</v>
          </cell>
          <cell r="BX242">
            <v>0</v>
          </cell>
          <cell r="BY242">
            <v>-657</v>
          </cell>
          <cell r="BZ242">
            <v>104293</v>
          </cell>
          <cell r="CA242">
            <v>0</v>
          </cell>
          <cell r="CB242">
            <v>0</v>
          </cell>
          <cell r="CC242">
            <v>104293</v>
          </cell>
          <cell r="CD242">
            <v>433</v>
          </cell>
          <cell r="CE242">
            <v>0</v>
          </cell>
          <cell r="CF242">
            <v>0</v>
          </cell>
          <cell r="CG242">
            <v>433</v>
          </cell>
          <cell r="CH242">
            <v>53640</v>
          </cell>
          <cell r="CI242">
            <v>0</v>
          </cell>
          <cell r="CJ242">
            <v>0</v>
          </cell>
          <cell r="CK242">
            <v>53640</v>
          </cell>
          <cell r="CL242">
            <v>220</v>
          </cell>
          <cell r="CM242">
            <v>0</v>
          </cell>
          <cell r="CN242">
            <v>0</v>
          </cell>
          <cell r="CO242">
            <v>220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82373</v>
          </cell>
          <cell r="CY242">
            <v>0</v>
          </cell>
          <cell r="CZ242">
            <v>0</v>
          </cell>
          <cell r="DA242">
            <v>82373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48305</v>
          </cell>
          <cell r="DG242">
            <v>0</v>
          </cell>
          <cell r="DH242">
            <v>0</v>
          </cell>
          <cell r="DI242">
            <v>48305</v>
          </cell>
          <cell r="DJ242">
            <v>3754</v>
          </cell>
          <cell r="DK242">
            <v>0</v>
          </cell>
          <cell r="DL242">
            <v>0</v>
          </cell>
          <cell r="DM242">
            <v>3754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182271</v>
          </cell>
          <cell r="DY242">
            <v>0</v>
          </cell>
          <cell r="DZ242">
            <v>0</v>
          </cell>
          <cell r="EA242">
            <v>182271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5030</v>
          </cell>
          <cell r="EK242">
            <v>0</v>
          </cell>
          <cell r="EL242">
            <v>0</v>
          </cell>
          <cell r="EM242">
            <v>5030</v>
          </cell>
        </row>
        <row r="243">
          <cell r="A243">
            <v>237</v>
          </cell>
          <cell r="B243" t="str">
            <v>E1039</v>
          </cell>
          <cell r="C243" t="str">
            <v>SD</v>
          </cell>
          <cell r="D243" t="str">
            <v>EM</v>
          </cell>
          <cell r="E243" t="str">
            <v>South Derbyshire</v>
          </cell>
          <cell r="F243">
            <v>49740</v>
          </cell>
          <cell r="G243">
            <v>0</v>
          </cell>
          <cell r="H243">
            <v>0</v>
          </cell>
          <cell r="I243">
            <v>49740</v>
          </cell>
          <cell r="J243">
            <v>180602</v>
          </cell>
          <cell r="K243">
            <v>0</v>
          </cell>
          <cell r="L243">
            <v>0</v>
          </cell>
          <cell r="M243">
            <v>180602</v>
          </cell>
          <cell r="N243">
            <v>96146</v>
          </cell>
          <cell r="O243">
            <v>0</v>
          </cell>
          <cell r="P243">
            <v>0</v>
          </cell>
          <cell r="Q243">
            <v>96146</v>
          </cell>
          <cell r="R243">
            <v>18928</v>
          </cell>
          <cell r="S243">
            <v>0</v>
          </cell>
          <cell r="T243">
            <v>0</v>
          </cell>
          <cell r="U243">
            <v>18928</v>
          </cell>
          <cell r="V243">
            <v>1302877</v>
          </cell>
          <cell r="W243">
            <v>0</v>
          </cell>
          <cell r="X243">
            <v>0</v>
          </cell>
          <cell r="Y243">
            <v>1302877</v>
          </cell>
          <cell r="Z243">
            <v>36007</v>
          </cell>
          <cell r="AA243">
            <v>0</v>
          </cell>
          <cell r="AB243">
            <v>0</v>
          </cell>
          <cell r="AC243">
            <v>36007</v>
          </cell>
          <cell r="AD243">
            <v>415292</v>
          </cell>
          <cell r="AE243">
            <v>0</v>
          </cell>
          <cell r="AF243">
            <v>0</v>
          </cell>
          <cell r="AG243">
            <v>415292</v>
          </cell>
          <cell r="AH243">
            <v>3588</v>
          </cell>
          <cell r="AI243">
            <v>0</v>
          </cell>
          <cell r="AJ243">
            <v>0</v>
          </cell>
          <cell r="AK243">
            <v>3588</v>
          </cell>
          <cell r="AL243">
            <v>1018643</v>
          </cell>
          <cell r="AM243">
            <v>0</v>
          </cell>
          <cell r="AN243">
            <v>0</v>
          </cell>
          <cell r="AO243">
            <v>1018643</v>
          </cell>
          <cell r="AP243">
            <v>33045</v>
          </cell>
          <cell r="AQ243">
            <v>0</v>
          </cell>
          <cell r="AR243">
            <v>0</v>
          </cell>
          <cell r="AS243">
            <v>33045</v>
          </cell>
          <cell r="AT243">
            <v>32678</v>
          </cell>
          <cell r="AU243">
            <v>0</v>
          </cell>
          <cell r="AV243">
            <v>0</v>
          </cell>
          <cell r="AW243">
            <v>32678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23299</v>
          </cell>
          <cell r="BC243">
            <v>0</v>
          </cell>
          <cell r="BD243">
            <v>0</v>
          </cell>
          <cell r="BE243">
            <v>23299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295032</v>
          </cell>
          <cell r="BK243">
            <v>0</v>
          </cell>
          <cell r="BL243">
            <v>0</v>
          </cell>
          <cell r="BM243">
            <v>295032</v>
          </cell>
          <cell r="BN243">
            <v>133</v>
          </cell>
          <cell r="BO243">
            <v>0</v>
          </cell>
          <cell r="BP243">
            <v>0</v>
          </cell>
          <cell r="BQ243">
            <v>133</v>
          </cell>
          <cell r="BR243">
            <v>652125</v>
          </cell>
          <cell r="BS243">
            <v>0</v>
          </cell>
          <cell r="BT243">
            <v>0</v>
          </cell>
          <cell r="BU243">
            <v>652125</v>
          </cell>
          <cell r="BV243">
            <v>18131</v>
          </cell>
          <cell r="BW243">
            <v>0</v>
          </cell>
          <cell r="BX243">
            <v>0</v>
          </cell>
          <cell r="BY243">
            <v>18131</v>
          </cell>
          <cell r="BZ243">
            <v>36957</v>
          </cell>
          <cell r="CA243">
            <v>0</v>
          </cell>
          <cell r="CB243">
            <v>0</v>
          </cell>
          <cell r="CC243">
            <v>36957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8026</v>
          </cell>
          <cell r="CI243">
            <v>0</v>
          </cell>
          <cell r="CJ243">
            <v>0</v>
          </cell>
          <cell r="CK243">
            <v>8026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1603</v>
          </cell>
          <cell r="DG243">
            <v>0</v>
          </cell>
          <cell r="DH243">
            <v>0</v>
          </cell>
          <cell r="DI243">
            <v>1603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5261</v>
          </cell>
          <cell r="EG243">
            <v>0</v>
          </cell>
          <cell r="EH243">
            <v>0</v>
          </cell>
          <cell r="EI243">
            <v>5261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</row>
        <row r="244">
          <cell r="A244">
            <v>238</v>
          </cell>
          <cell r="B244" t="str">
            <v>E0103</v>
          </cell>
          <cell r="C244" t="str">
            <v>UA</v>
          </cell>
          <cell r="D244" t="str">
            <v>SW</v>
          </cell>
          <cell r="E244" t="str">
            <v>South Gloucestershire UA</v>
          </cell>
          <cell r="F244">
            <v>542902.75</v>
          </cell>
          <cell r="G244">
            <v>0</v>
          </cell>
          <cell r="H244">
            <v>0</v>
          </cell>
          <cell r="I244">
            <v>542902.75</v>
          </cell>
          <cell r="J244">
            <v>-73424.14</v>
          </cell>
          <cell r="K244">
            <v>0</v>
          </cell>
          <cell r="L244">
            <v>0</v>
          </cell>
          <cell r="M244">
            <v>-73424.14</v>
          </cell>
          <cell r="N244">
            <v>32918.660000000003</v>
          </cell>
          <cell r="O244">
            <v>0</v>
          </cell>
          <cell r="P244">
            <v>0</v>
          </cell>
          <cell r="Q244">
            <v>32918.660000000003</v>
          </cell>
          <cell r="R244">
            <v>353378.05</v>
          </cell>
          <cell r="S244">
            <v>0</v>
          </cell>
          <cell r="T244">
            <v>0</v>
          </cell>
          <cell r="U244">
            <v>353378.05</v>
          </cell>
          <cell r="V244">
            <v>3292712.39</v>
          </cell>
          <cell r="W244">
            <v>0</v>
          </cell>
          <cell r="X244">
            <v>0</v>
          </cell>
          <cell r="Y244">
            <v>3292712.39</v>
          </cell>
          <cell r="Z244">
            <v>142038.96</v>
          </cell>
          <cell r="AA244">
            <v>0</v>
          </cell>
          <cell r="AB244">
            <v>0</v>
          </cell>
          <cell r="AC244">
            <v>142038.96</v>
          </cell>
          <cell r="AD244">
            <v>2626780.2000000002</v>
          </cell>
          <cell r="AE244">
            <v>0</v>
          </cell>
          <cell r="AF244">
            <v>0</v>
          </cell>
          <cell r="AG244">
            <v>2626780.2000000002</v>
          </cell>
          <cell r="AH244">
            <v>-23615.84</v>
          </cell>
          <cell r="AI244">
            <v>0</v>
          </cell>
          <cell r="AJ244">
            <v>0</v>
          </cell>
          <cell r="AK244">
            <v>-23615.84</v>
          </cell>
          <cell r="AL244">
            <v>5749987.04</v>
          </cell>
          <cell r="AM244">
            <v>0</v>
          </cell>
          <cell r="AN244">
            <v>0</v>
          </cell>
          <cell r="AO244">
            <v>5749987.04</v>
          </cell>
          <cell r="AP244">
            <v>-10385.83</v>
          </cell>
          <cell r="AQ244">
            <v>0</v>
          </cell>
          <cell r="AR244">
            <v>0</v>
          </cell>
          <cell r="AS244">
            <v>-10385.83</v>
          </cell>
          <cell r="AT244">
            <v>89471.16</v>
          </cell>
          <cell r="AU244">
            <v>0</v>
          </cell>
          <cell r="AV244">
            <v>0</v>
          </cell>
          <cell r="AW244">
            <v>89471.16</v>
          </cell>
          <cell r="AX244">
            <v>-2975.4</v>
          </cell>
          <cell r="AY244">
            <v>0</v>
          </cell>
          <cell r="AZ244">
            <v>0</v>
          </cell>
          <cell r="BA244">
            <v>-2975.4</v>
          </cell>
          <cell r="BB244">
            <v>27459.65</v>
          </cell>
          <cell r="BC244">
            <v>0</v>
          </cell>
          <cell r="BD244">
            <v>0</v>
          </cell>
          <cell r="BE244">
            <v>27459.65</v>
          </cell>
          <cell r="BF244">
            <v>-115.17</v>
          </cell>
          <cell r="BG244">
            <v>0</v>
          </cell>
          <cell r="BH244">
            <v>0</v>
          </cell>
          <cell r="BI244">
            <v>-115.17</v>
          </cell>
          <cell r="BJ244">
            <v>68670.539999999994</v>
          </cell>
          <cell r="BK244">
            <v>0</v>
          </cell>
          <cell r="BL244">
            <v>0</v>
          </cell>
          <cell r="BM244">
            <v>68670.539999999994</v>
          </cell>
          <cell r="BN244">
            <v>-6354.28</v>
          </cell>
          <cell r="BO244">
            <v>0</v>
          </cell>
          <cell r="BP244">
            <v>0</v>
          </cell>
          <cell r="BQ244">
            <v>-6354.28</v>
          </cell>
          <cell r="BR244">
            <v>5046127.03</v>
          </cell>
          <cell r="BS244">
            <v>0</v>
          </cell>
          <cell r="BT244">
            <v>0</v>
          </cell>
          <cell r="BU244">
            <v>5046127.03</v>
          </cell>
          <cell r="BV244">
            <v>152658.15</v>
          </cell>
          <cell r="BW244">
            <v>0</v>
          </cell>
          <cell r="BX244">
            <v>0</v>
          </cell>
          <cell r="BY244">
            <v>152658.15</v>
          </cell>
          <cell r="BZ244">
            <v>132798.49</v>
          </cell>
          <cell r="CA244">
            <v>0</v>
          </cell>
          <cell r="CB244">
            <v>0</v>
          </cell>
          <cell r="CC244">
            <v>132798.49</v>
          </cell>
          <cell r="CD244">
            <v>254.95</v>
          </cell>
          <cell r="CE244">
            <v>0</v>
          </cell>
          <cell r="CF244">
            <v>0</v>
          </cell>
          <cell r="CG244">
            <v>254.95</v>
          </cell>
          <cell r="CH244">
            <v>639659.13</v>
          </cell>
          <cell r="CI244">
            <v>0</v>
          </cell>
          <cell r="CJ244">
            <v>0</v>
          </cell>
          <cell r="CK244">
            <v>639659.13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49196.59</v>
          </cell>
          <cell r="CY244">
            <v>0</v>
          </cell>
          <cell r="CZ244">
            <v>0</v>
          </cell>
          <cell r="DA244">
            <v>49196.59</v>
          </cell>
          <cell r="DB244">
            <v>11522</v>
          </cell>
          <cell r="DC244">
            <v>0</v>
          </cell>
          <cell r="DD244">
            <v>0</v>
          </cell>
          <cell r="DE244">
            <v>11522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6567.54</v>
          </cell>
          <cell r="EC244">
            <v>0</v>
          </cell>
          <cell r="ED244">
            <v>0</v>
          </cell>
          <cell r="EE244">
            <v>6567.54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</row>
        <row r="245">
          <cell r="A245">
            <v>239</v>
          </cell>
          <cell r="B245" t="str">
            <v>E1136</v>
          </cell>
          <cell r="C245" t="str">
            <v>SD</v>
          </cell>
          <cell r="D245" t="str">
            <v>SW</v>
          </cell>
          <cell r="E245" t="str">
            <v>South Hams</v>
          </cell>
          <cell r="F245">
            <v>2593358</v>
          </cell>
          <cell r="G245">
            <v>0</v>
          </cell>
          <cell r="H245">
            <v>0</v>
          </cell>
          <cell r="I245">
            <v>2593358</v>
          </cell>
          <cell r="J245">
            <v>-112041</v>
          </cell>
          <cell r="K245">
            <v>0</v>
          </cell>
          <cell r="L245">
            <v>0</v>
          </cell>
          <cell r="M245">
            <v>-112041</v>
          </cell>
          <cell r="N245">
            <v>7581</v>
          </cell>
          <cell r="O245">
            <v>0</v>
          </cell>
          <cell r="P245">
            <v>0</v>
          </cell>
          <cell r="Q245">
            <v>7581</v>
          </cell>
          <cell r="R245">
            <v>41424</v>
          </cell>
          <cell r="S245">
            <v>0</v>
          </cell>
          <cell r="T245">
            <v>0</v>
          </cell>
          <cell r="U245">
            <v>41424</v>
          </cell>
          <cell r="V245">
            <v>3564503</v>
          </cell>
          <cell r="W245">
            <v>0</v>
          </cell>
          <cell r="X245">
            <v>0</v>
          </cell>
          <cell r="Y245">
            <v>3564503</v>
          </cell>
          <cell r="Z245">
            <v>259970</v>
          </cell>
          <cell r="AA245">
            <v>0</v>
          </cell>
          <cell r="AB245">
            <v>0</v>
          </cell>
          <cell r="AC245">
            <v>259970</v>
          </cell>
          <cell r="AD245">
            <v>548037</v>
          </cell>
          <cell r="AE245">
            <v>0</v>
          </cell>
          <cell r="AF245">
            <v>0</v>
          </cell>
          <cell r="AG245">
            <v>548037</v>
          </cell>
          <cell r="AH245">
            <v>-4031</v>
          </cell>
          <cell r="AI245">
            <v>0</v>
          </cell>
          <cell r="AJ245">
            <v>0</v>
          </cell>
          <cell r="AK245">
            <v>-4031</v>
          </cell>
          <cell r="AL245">
            <v>1795128</v>
          </cell>
          <cell r="AM245">
            <v>0</v>
          </cell>
          <cell r="AN245">
            <v>0</v>
          </cell>
          <cell r="AO245">
            <v>1795128</v>
          </cell>
          <cell r="AP245">
            <v>-18002</v>
          </cell>
          <cell r="AQ245">
            <v>0</v>
          </cell>
          <cell r="AR245">
            <v>0</v>
          </cell>
          <cell r="AS245">
            <v>-18002</v>
          </cell>
          <cell r="AT245">
            <v>95771</v>
          </cell>
          <cell r="AU245">
            <v>0</v>
          </cell>
          <cell r="AV245">
            <v>0</v>
          </cell>
          <cell r="AW245">
            <v>95771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55214</v>
          </cell>
          <cell r="BC245">
            <v>0</v>
          </cell>
          <cell r="BD245">
            <v>0</v>
          </cell>
          <cell r="BE245">
            <v>55214</v>
          </cell>
          <cell r="BF245">
            <v>1374</v>
          </cell>
          <cell r="BG245">
            <v>0</v>
          </cell>
          <cell r="BH245">
            <v>0</v>
          </cell>
          <cell r="BI245">
            <v>1374</v>
          </cell>
          <cell r="BJ245">
            <v>82466</v>
          </cell>
          <cell r="BK245">
            <v>0</v>
          </cell>
          <cell r="BL245">
            <v>0</v>
          </cell>
          <cell r="BM245">
            <v>82466</v>
          </cell>
          <cell r="BN245">
            <v>-1951</v>
          </cell>
          <cell r="BO245">
            <v>0</v>
          </cell>
          <cell r="BP245">
            <v>0</v>
          </cell>
          <cell r="BQ245">
            <v>-1951</v>
          </cell>
          <cell r="BR245">
            <v>863539</v>
          </cell>
          <cell r="BS245">
            <v>0</v>
          </cell>
          <cell r="BT245">
            <v>0</v>
          </cell>
          <cell r="BU245">
            <v>863539</v>
          </cell>
          <cell r="BV245">
            <v>28854</v>
          </cell>
          <cell r="BW245">
            <v>0</v>
          </cell>
          <cell r="BX245">
            <v>0</v>
          </cell>
          <cell r="BY245">
            <v>28854</v>
          </cell>
          <cell r="BZ245">
            <v>206424</v>
          </cell>
          <cell r="CA245">
            <v>0</v>
          </cell>
          <cell r="CB245">
            <v>0</v>
          </cell>
          <cell r="CC245">
            <v>206424</v>
          </cell>
          <cell r="CD245">
            <v>4497</v>
          </cell>
          <cell r="CE245">
            <v>0</v>
          </cell>
          <cell r="CF245">
            <v>0</v>
          </cell>
          <cell r="CG245">
            <v>4497</v>
          </cell>
          <cell r="CH245">
            <v>56872</v>
          </cell>
          <cell r="CI245">
            <v>0</v>
          </cell>
          <cell r="CJ245">
            <v>0</v>
          </cell>
          <cell r="CK245">
            <v>56872</v>
          </cell>
          <cell r="CL245">
            <v>-2738</v>
          </cell>
          <cell r="CM245">
            <v>0</v>
          </cell>
          <cell r="CN245">
            <v>0</v>
          </cell>
          <cell r="CO245">
            <v>-2738</v>
          </cell>
          <cell r="CP245">
            <v>155</v>
          </cell>
          <cell r="CQ245">
            <v>0</v>
          </cell>
          <cell r="CR245">
            <v>0</v>
          </cell>
          <cell r="CS245">
            <v>155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11455</v>
          </cell>
          <cell r="CY245">
            <v>0</v>
          </cell>
          <cell r="CZ245">
            <v>0</v>
          </cell>
          <cell r="DA245">
            <v>11455</v>
          </cell>
          <cell r="DB245">
            <v>-1459</v>
          </cell>
          <cell r="DC245">
            <v>0</v>
          </cell>
          <cell r="DD245">
            <v>0</v>
          </cell>
          <cell r="DE245">
            <v>-1459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6736</v>
          </cell>
          <cell r="EG245">
            <v>0</v>
          </cell>
          <cell r="EH245">
            <v>0</v>
          </cell>
          <cell r="EI245">
            <v>6736</v>
          </cell>
          <cell r="EJ245">
            <v>478</v>
          </cell>
          <cell r="EK245">
            <v>0</v>
          </cell>
          <cell r="EL245">
            <v>0</v>
          </cell>
          <cell r="EM245">
            <v>478</v>
          </cell>
        </row>
        <row r="246">
          <cell r="A246">
            <v>240</v>
          </cell>
          <cell r="B246" t="str">
            <v>E2535</v>
          </cell>
          <cell r="C246" t="str">
            <v>SD</v>
          </cell>
          <cell r="D246" t="str">
            <v>EM</v>
          </cell>
          <cell r="E246" t="str">
            <v>South Holland</v>
          </cell>
          <cell r="F246">
            <v>1557854</v>
          </cell>
          <cell r="G246">
            <v>0</v>
          </cell>
          <cell r="H246">
            <v>0</v>
          </cell>
          <cell r="I246">
            <v>1557854</v>
          </cell>
          <cell r="J246">
            <v>-11751</v>
          </cell>
          <cell r="K246">
            <v>0</v>
          </cell>
          <cell r="L246">
            <v>0</v>
          </cell>
          <cell r="M246">
            <v>-11751</v>
          </cell>
          <cell r="N246">
            <v>10054</v>
          </cell>
          <cell r="O246">
            <v>0</v>
          </cell>
          <cell r="P246">
            <v>0</v>
          </cell>
          <cell r="Q246">
            <v>10054</v>
          </cell>
          <cell r="R246">
            <v>69743</v>
          </cell>
          <cell r="S246">
            <v>0</v>
          </cell>
          <cell r="T246">
            <v>0</v>
          </cell>
          <cell r="U246">
            <v>69743</v>
          </cell>
          <cell r="V246">
            <v>1706591</v>
          </cell>
          <cell r="W246">
            <v>0</v>
          </cell>
          <cell r="X246">
            <v>0</v>
          </cell>
          <cell r="Y246">
            <v>1706591</v>
          </cell>
          <cell r="Z246">
            <v>65116</v>
          </cell>
          <cell r="AA246">
            <v>0</v>
          </cell>
          <cell r="AB246">
            <v>0</v>
          </cell>
          <cell r="AC246">
            <v>65116</v>
          </cell>
          <cell r="AD246">
            <v>480495</v>
          </cell>
          <cell r="AE246">
            <v>0</v>
          </cell>
          <cell r="AF246">
            <v>0</v>
          </cell>
          <cell r="AG246">
            <v>480495</v>
          </cell>
          <cell r="AH246">
            <v>-6138</v>
          </cell>
          <cell r="AI246">
            <v>0</v>
          </cell>
          <cell r="AJ246">
            <v>0</v>
          </cell>
          <cell r="AK246">
            <v>-6138</v>
          </cell>
          <cell r="AL246">
            <v>978115</v>
          </cell>
          <cell r="AM246">
            <v>0</v>
          </cell>
          <cell r="AN246">
            <v>0</v>
          </cell>
          <cell r="AO246">
            <v>978115</v>
          </cell>
          <cell r="AP246">
            <v>23499</v>
          </cell>
          <cell r="AQ246">
            <v>0</v>
          </cell>
          <cell r="AR246">
            <v>0</v>
          </cell>
          <cell r="AS246">
            <v>23499</v>
          </cell>
          <cell r="AT246">
            <v>53605</v>
          </cell>
          <cell r="AU246">
            <v>0</v>
          </cell>
          <cell r="AV246">
            <v>0</v>
          </cell>
          <cell r="AW246">
            <v>53605</v>
          </cell>
          <cell r="AX246">
            <v>6985</v>
          </cell>
          <cell r="AY246">
            <v>0</v>
          </cell>
          <cell r="AZ246">
            <v>0</v>
          </cell>
          <cell r="BA246">
            <v>6985</v>
          </cell>
          <cell r="BB246">
            <v>32809</v>
          </cell>
          <cell r="BC246">
            <v>0</v>
          </cell>
          <cell r="BD246">
            <v>0</v>
          </cell>
          <cell r="BE246">
            <v>32809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463220</v>
          </cell>
          <cell r="BS246">
            <v>0</v>
          </cell>
          <cell r="BT246">
            <v>0</v>
          </cell>
          <cell r="BU246">
            <v>463220</v>
          </cell>
          <cell r="BV246">
            <v>-55283</v>
          </cell>
          <cell r="BW246">
            <v>0</v>
          </cell>
          <cell r="BX246">
            <v>0</v>
          </cell>
          <cell r="BY246">
            <v>-55283</v>
          </cell>
          <cell r="BZ246">
            <v>73527</v>
          </cell>
          <cell r="CA246">
            <v>0</v>
          </cell>
          <cell r="CB246">
            <v>0</v>
          </cell>
          <cell r="CC246">
            <v>73527</v>
          </cell>
          <cell r="CD246">
            <v>2432</v>
          </cell>
          <cell r="CE246">
            <v>0</v>
          </cell>
          <cell r="CF246">
            <v>0</v>
          </cell>
          <cell r="CG246">
            <v>2432</v>
          </cell>
          <cell r="CH246">
            <v>37444</v>
          </cell>
          <cell r="CI246">
            <v>0</v>
          </cell>
          <cell r="CJ246">
            <v>0</v>
          </cell>
          <cell r="CK246">
            <v>37444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7135</v>
          </cell>
          <cell r="CQ246">
            <v>0</v>
          </cell>
          <cell r="CR246">
            <v>0</v>
          </cell>
          <cell r="CS246">
            <v>7135</v>
          </cell>
          <cell r="CT246">
            <v>1746</v>
          </cell>
          <cell r="CU246">
            <v>0</v>
          </cell>
          <cell r="CV246">
            <v>0</v>
          </cell>
          <cell r="CW246">
            <v>1746</v>
          </cell>
          <cell r="CX246">
            <v>32809</v>
          </cell>
          <cell r="CY246">
            <v>0</v>
          </cell>
          <cell r="CZ246">
            <v>0</v>
          </cell>
          <cell r="DA246">
            <v>32809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</row>
        <row r="247">
          <cell r="A247">
            <v>241</v>
          </cell>
          <cell r="B247" t="str">
            <v>E2536</v>
          </cell>
          <cell r="C247" t="str">
            <v>SD</v>
          </cell>
          <cell r="D247" t="str">
            <v>EM</v>
          </cell>
          <cell r="E247" t="str">
            <v>South Kesteven</v>
          </cell>
          <cell r="F247">
            <v>114565</v>
          </cell>
          <cell r="G247">
            <v>0</v>
          </cell>
          <cell r="H247">
            <v>0</v>
          </cell>
          <cell r="I247">
            <v>114565</v>
          </cell>
          <cell r="J247">
            <v>-47314</v>
          </cell>
          <cell r="K247">
            <v>0</v>
          </cell>
          <cell r="L247">
            <v>0</v>
          </cell>
          <cell r="M247">
            <v>-47314</v>
          </cell>
          <cell r="N247">
            <v>28959</v>
          </cell>
          <cell r="O247">
            <v>0</v>
          </cell>
          <cell r="P247">
            <v>0</v>
          </cell>
          <cell r="Q247">
            <v>28959</v>
          </cell>
          <cell r="R247">
            <v>90228</v>
          </cell>
          <cell r="S247">
            <v>0</v>
          </cell>
          <cell r="T247">
            <v>0</v>
          </cell>
          <cell r="U247">
            <v>90228</v>
          </cell>
          <cell r="V247">
            <v>2476519</v>
          </cell>
          <cell r="W247">
            <v>0</v>
          </cell>
          <cell r="X247">
            <v>0</v>
          </cell>
          <cell r="Y247">
            <v>2476519</v>
          </cell>
          <cell r="Z247">
            <v>181672</v>
          </cell>
          <cell r="AA247">
            <v>0</v>
          </cell>
          <cell r="AB247">
            <v>0</v>
          </cell>
          <cell r="AC247">
            <v>181672</v>
          </cell>
          <cell r="AD247">
            <v>912989</v>
          </cell>
          <cell r="AE247">
            <v>0</v>
          </cell>
          <cell r="AF247">
            <v>0</v>
          </cell>
          <cell r="AG247">
            <v>912989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2939857</v>
          </cell>
          <cell r="AM247">
            <v>0</v>
          </cell>
          <cell r="AN247">
            <v>0</v>
          </cell>
          <cell r="AO247">
            <v>2939857</v>
          </cell>
          <cell r="AP247">
            <v>-44963</v>
          </cell>
          <cell r="AQ247">
            <v>0</v>
          </cell>
          <cell r="AR247">
            <v>0</v>
          </cell>
          <cell r="AS247">
            <v>-44963</v>
          </cell>
          <cell r="AT247">
            <v>138397</v>
          </cell>
          <cell r="AU247">
            <v>0</v>
          </cell>
          <cell r="AV247">
            <v>0</v>
          </cell>
          <cell r="AW247">
            <v>138397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50504</v>
          </cell>
          <cell r="BC247">
            <v>0</v>
          </cell>
          <cell r="BD247">
            <v>0</v>
          </cell>
          <cell r="BE247">
            <v>50504</v>
          </cell>
          <cell r="BF247">
            <v>7478</v>
          </cell>
          <cell r="BG247">
            <v>0</v>
          </cell>
          <cell r="BH247">
            <v>0</v>
          </cell>
          <cell r="BI247">
            <v>7478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1489841</v>
          </cell>
          <cell r="BS247">
            <v>0</v>
          </cell>
          <cell r="BT247">
            <v>0</v>
          </cell>
          <cell r="BU247">
            <v>1489841</v>
          </cell>
          <cell r="BV247">
            <v>-94057</v>
          </cell>
          <cell r="BW247">
            <v>0</v>
          </cell>
          <cell r="BX247">
            <v>0</v>
          </cell>
          <cell r="BY247">
            <v>-94057</v>
          </cell>
          <cell r="BZ247">
            <v>14330</v>
          </cell>
          <cell r="CA247">
            <v>0</v>
          </cell>
          <cell r="CB247">
            <v>0</v>
          </cell>
          <cell r="CC247">
            <v>14330</v>
          </cell>
          <cell r="CD247">
            <v>1901</v>
          </cell>
          <cell r="CE247">
            <v>0</v>
          </cell>
          <cell r="CF247">
            <v>0</v>
          </cell>
          <cell r="CG247">
            <v>1901</v>
          </cell>
          <cell r="CH247">
            <v>5470</v>
          </cell>
          <cell r="CI247">
            <v>0</v>
          </cell>
          <cell r="CJ247">
            <v>0</v>
          </cell>
          <cell r="CK247">
            <v>5470</v>
          </cell>
          <cell r="CL247">
            <v>-116020</v>
          </cell>
          <cell r="CM247">
            <v>0</v>
          </cell>
          <cell r="CN247">
            <v>0</v>
          </cell>
          <cell r="CO247">
            <v>-116020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25167</v>
          </cell>
          <cell r="CY247">
            <v>0</v>
          </cell>
          <cell r="CZ247">
            <v>0</v>
          </cell>
          <cell r="DA247">
            <v>25167</v>
          </cell>
          <cell r="DB247">
            <v>2483</v>
          </cell>
          <cell r="DC247">
            <v>0</v>
          </cell>
          <cell r="DD247">
            <v>0</v>
          </cell>
          <cell r="DE247">
            <v>2483</v>
          </cell>
          <cell r="DF247">
            <v>50740</v>
          </cell>
          <cell r="DG247">
            <v>0</v>
          </cell>
          <cell r="DH247">
            <v>0</v>
          </cell>
          <cell r="DI247">
            <v>50740</v>
          </cell>
          <cell r="DJ247">
            <v>120043</v>
          </cell>
          <cell r="DK247">
            <v>0</v>
          </cell>
          <cell r="DL247">
            <v>0</v>
          </cell>
          <cell r="DM247">
            <v>120043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4854</v>
          </cell>
          <cell r="EK247">
            <v>0</v>
          </cell>
          <cell r="EL247">
            <v>0</v>
          </cell>
          <cell r="EM247">
            <v>4854</v>
          </cell>
        </row>
        <row r="248">
          <cell r="A248">
            <v>242</v>
          </cell>
          <cell r="B248" t="str">
            <v>E0936</v>
          </cell>
          <cell r="C248" t="str">
            <v>SD</v>
          </cell>
          <cell r="D248" t="str">
            <v>NW</v>
          </cell>
          <cell r="E248" t="str">
            <v>South Lakeland</v>
          </cell>
          <cell r="F248">
            <v>117868.83</v>
          </cell>
          <cell r="G248">
            <v>0</v>
          </cell>
          <cell r="H248">
            <v>0</v>
          </cell>
          <cell r="I248">
            <v>117868.83</v>
          </cell>
          <cell r="J248">
            <v>-42783.95</v>
          </cell>
          <cell r="K248">
            <v>0</v>
          </cell>
          <cell r="L248">
            <v>0</v>
          </cell>
          <cell r="M248">
            <v>-42783.95</v>
          </cell>
          <cell r="N248">
            <v>30063.65</v>
          </cell>
          <cell r="O248">
            <v>0</v>
          </cell>
          <cell r="P248">
            <v>0</v>
          </cell>
          <cell r="Q248">
            <v>30063.65</v>
          </cell>
          <cell r="R248">
            <v>146278.91</v>
          </cell>
          <cell r="S248">
            <v>0</v>
          </cell>
          <cell r="T248">
            <v>0</v>
          </cell>
          <cell r="U248">
            <v>146278.91</v>
          </cell>
          <cell r="V248">
            <v>5467824.4900000002</v>
          </cell>
          <cell r="W248">
            <v>0</v>
          </cell>
          <cell r="X248">
            <v>0</v>
          </cell>
          <cell r="Y248">
            <v>5467824.4900000002</v>
          </cell>
          <cell r="Z248">
            <v>269274.45</v>
          </cell>
          <cell r="AA248">
            <v>0</v>
          </cell>
          <cell r="AB248">
            <v>0</v>
          </cell>
          <cell r="AC248">
            <v>269274.45</v>
          </cell>
          <cell r="AD248">
            <v>689102.2</v>
          </cell>
          <cell r="AE248">
            <v>0</v>
          </cell>
          <cell r="AF248">
            <v>0</v>
          </cell>
          <cell r="AG248">
            <v>689102.2</v>
          </cell>
          <cell r="AH248">
            <v>-9560.85</v>
          </cell>
          <cell r="AI248">
            <v>0</v>
          </cell>
          <cell r="AJ248">
            <v>0</v>
          </cell>
          <cell r="AK248">
            <v>-9560.85</v>
          </cell>
          <cell r="AL248">
            <v>2829237.5</v>
          </cell>
          <cell r="AM248">
            <v>0</v>
          </cell>
          <cell r="AN248">
            <v>0</v>
          </cell>
          <cell r="AO248">
            <v>2829237.5</v>
          </cell>
          <cell r="AP248">
            <v>24787.439999999999</v>
          </cell>
          <cell r="AQ248">
            <v>0</v>
          </cell>
          <cell r="AR248">
            <v>0</v>
          </cell>
          <cell r="AS248">
            <v>24787.439999999999</v>
          </cell>
          <cell r="AT248">
            <v>86838.2</v>
          </cell>
          <cell r="AU248">
            <v>0</v>
          </cell>
          <cell r="AV248">
            <v>0</v>
          </cell>
          <cell r="AW248">
            <v>86838.2</v>
          </cell>
          <cell r="AX248">
            <v>-1532.44</v>
          </cell>
          <cell r="AY248">
            <v>0</v>
          </cell>
          <cell r="AZ248">
            <v>0</v>
          </cell>
          <cell r="BA248">
            <v>-1532.44</v>
          </cell>
          <cell r="BB248">
            <v>26565.86</v>
          </cell>
          <cell r="BC248">
            <v>0</v>
          </cell>
          <cell r="BD248">
            <v>0</v>
          </cell>
          <cell r="BE248">
            <v>26565.86</v>
          </cell>
          <cell r="BF248">
            <v>2192.88</v>
          </cell>
          <cell r="BG248">
            <v>0</v>
          </cell>
          <cell r="BH248">
            <v>0</v>
          </cell>
          <cell r="BI248">
            <v>2192.88</v>
          </cell>
          <cell r="BJ248">
            <v>6588.5</v>
          </cell>
          <cell r="BK248">
            <v>0</v>
          </cell>
          <cell r="BL248">
            <v>0</v>
          </cell>
          <cell r="BM248">
            <v>6588.5</v>
          </cell>
          <cell r="BN248">
            <v>4052.11</v>
          </cell>
          <cell r="BO248">
            <v>0</v>
          </cell>
          <cell r="BP248">
            <v>0</v>
          </cell>
          <cell r="BQ248">
            <v>4052.11</v>
          </cell>
          <cell r="BR248">
            <v>909331.12</v>
          </cell>
          <cell r="BS248">
            <v>0</v>
          </cell>
          <cell r="BT248">
            <v>0</v>
          </cell>
          <cell r="BU248">
            <v>909331.12</v>
          </cell>
          <cell r="BV248">
            <v>76006.320000000007</v>
          </cell>
          <cell r="BW248">
            <v>0</v>
          </cell>
          <cell r="BX248">
            <v>0</v>
          </cell>
          <cell r="BY248">
            <v>76006.320000000007</v>
          </cell>
          <cell r="BZ248">
            <v>57313.919999999998</v>
          </cell>
          <cell r="CA248">
            <v>0</v>
          </cell>
          <cell r="CB248">
            <v>0</v>
          </cell>
          <cell r="CC248">
            <v>57313.919999999998</v>
          </cell>
          <cell r="CD248">
            <v>394.26</v>
          </cell>
          <cell r="CE248">
            <v>0</v>
          </cell>
          <cell r="CF248">
            <v>0</v>
          </cell>
          <cell r="CG248">
            <v>394.26</v>
          </cell>
          <cell r="CH248">
            <v>29965.83</v>
          </cell>
          <cell r="CI248">
            <v>0</v>
          </cell>
          <cell r="CJ248">
            <v>0</v>
          </cell>
          <cell r="CK248">
            <v>29965.83</v>
          </cell>
          <cell r="CL248">
            <v>447.96</v>
          </cell>
          <cell r="CM248">
            <v>0</v>
          </cell>
          <cell r="CN248">
            <v>0</v>
          </cell>
          <cell r="CO248">
            <v>447.96</v>
          </cell>
          <cell r="CP248">
            <v>10735.27</v>
          </cell>
          <cell r="CQ248">
            <v>0</v>
          </cell>
          <cell r="CR248">
            <v>0</v>
          </cell>
          <cell r="CS248">
            <v>10735.27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7605.49</v>
          </cell>
          <cell r="CY248">
            <v>0</v>
          </cell>
          <cell r="CZ248">
            <v>0</v>
          </cell>
          <cell r="DA248">
            <v>7605.49</v>
          </cell>
          <cell r="DB248">
            <v>-109.29</v>
          </cell>
          <cell r="DC248">
            <v>0</v>
          </cell>
          <cell r="DD248">
            <v>0</v>
          </cell>
          <cell r="DE248">
            <v>-109.29</v>
          </cell>
          <cell r="DF248">
            <v>10129.99</v>
          </cell>
          <cell r="DG248">
            <v>0</v>
          </cell>
          <cell r="DH248">
            <v>0</v>
          </cell>
          <cell r="DI248">
            <v>10129.99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2848</v>
          </cell>
          <cell r="EC248">
            <v>0</v>
          </cell>
          <cell r="ED248">
            <v>0</v>
          </cell>
          <cell r="EE248">
            <v>2848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</row>
        <row r="249">
          <cell r="A249">
            <v>243</v>
          </cell>
          <cell r="B249" t="str">
            <v>E2637</v>
          </cell>
          <cell r="C249" t="str">
            <v>SD</v>
          </cell>
          <cell r="D249" t="str">
            <v>E</v>
          </cell>
          <cell r="E249" t="str">
            <v>South Norfolk</v>
          </cell>
          <cell r="F249">
            <v>144198</v>
          </cell>
          <cell r="G249">
            <v>0</v>
          </cell>
          <cell r="H249">
            <v>0</v>
          </cell>
          <cell r="I249">
            <v>144198</v>
          </cell>
          <cell r="J249">
            <v>-33724</v>
          </cell>
          <cell r="K249">
            <v>0</v>
          </cell>
          <cell r="L249">
            <v>0</v>
          </cell>
          <cell r="M249">
            <v>-33724</v>
          </cell>
          <cell r="N249">
            <v>8898</v>
          </cell>
          <cell r="O249">
            <v>0</v>
          </cell>
          <cell r="P249">
            <v>0</v>
          </cell>
          <cell r="Q249">
            <v>8898</v>
          </cell>
          <cell r="R249">
            <v>21422</v>
          </cell>
          <cell r="S249">
            <v>0</v>
          </cell>
          <cell r="T249">
            <v>0</v>
          </cell>
          <cell r="U249">
            <v>21422</v>
          </cell>
          <cell r="V249">
            <v>2276703</v>
          </cell>
          <cell r="W249">
            <v>0</v>
          </cell>
          <cell r="X249">
            <v>0</v>
          </cell>
          <cell r="Y249">
            <v>2276703</v>
          </cell>
          <cell r="Z249">
            <v>354842</v>
          </cell>
          <cell r="AA249">
            <v>0</v>
          </cell>
          <cell r="AB249">
            <v>0</v>
          </cell>
          <cell r="AC249">
            <v>354842</v>
          </cell>
          <cell r="AD249">
            <v>546754</v>
          </cell>
          <cell r="AE249">
            <v>0</v>
          </cell>
          <cell r="AF249">
            <v>0</v>
          </cell>
          <cell r="AG249">
            <v>546754</v>
          </cell>
          <cell r="AH249">
            <v>2497</v>
          </cell>
          <cell r="AI249">
            <v>0</v>
          </cell>
          <cell r="AJ249">
            <v>0</v>
          </cell>
          <cell r="AK249">
            <v>2497</v>
          </cell>
          <cell r="AL249">
            <v>3178888</v>
          </cell>
          <cell r="AM249">
            <v>0</v>
          </cell>
          <cell r="AN249">
            <v>0</v>
          </cell>
          <cell r="AO249">
            <v>3178888</v>
          </cell>
          <cell r="AP249">
            <v>121282</v>
          </cell>
          <cell r="AQ249">
            <v>0</v>
          </cell>
          <cell r="AR249">
            <v>0</v>
          </cell>
          <cell r="AS249">
            <v>121282</v>
          </cell>
          <cell r="AT249">
            <v>58781</v>
          </cell>
          <cell r="AU249">
            <v>0</v>
          </cell>
          <cell r="AV249">
            <v>0</v>
          </cell>
          <cell r="AW249">
            <v>58781</v>
          </cell>
          <cell r="AX249">
            <v>5236</v>
          </cell>
          <cell r="AY249">
            <v>0</v>
          </cell>
          <cell r="AZ249">
            <v>0</v>
          </cell>
          <cell r="BA249">
            <v>5236</v>
          </cell>
          <cell r="BB249">
            <v>83111</v>
          </cell>
          <cell r="BC249">
            <v>0</v>
          </cell>
          <cell r="BD249">
            <v>0</v>
          </cell>
          <cell r="BE249">
            <v>83111</v>
          </cell>
          <cell r="BF249">
            <v>-220</v>
          </cell>
          <cell r="BG249">
            <v>0</v>
          </cell>
          <cell r="BH249">
            <v>0</v>
          </cell>
          <cell r="BI249">
            <v>-220</v>
          </cell>
          <cell r="BJ249">
            <v>4158</v>
          </cell>
          <cell r="BK249">
            <v>0</v>
          </cell>
          <cell r="BL249">
            <v>0</v>
          </cell>
          <cell r="BM249">
            <v>4158</v>
          </cell>
          <cell r="BN249">
            <v>9856</v>
          </cell>
          <cell r="BO249">
            <v>0</v>
          </cell>
          <cell r="BP249">
            <v>0</v>
          </cell>
          <cell r="BQ249">
            <v>9856</v>
          </cell>
          <cell r="BR249">
            <v>1019406</v>
          </cell>
          <cell r="BS249">
            <v>0</v>
          </cell>
          <cell r="BT249">
            <v>0</v>
          </cell>
          <cell r="BU249">
            <v>1019406</v>
          </cell>
          <cell r="BV249">
            <v>13579</v>
          </cell>
          <cell r="BW249">
            <v>0</v>
          </cell>
          <cell r="BX249">
            <v>0</v>
          </cell>
          <cell r="BY249">
            <v>13579</v>
          </cell>
          <cell r="BZ249">
            <v>103742</v>
          </cell>
          <cell r="CA249">
            <v>0</v>
          </cell>
          <cell r="CB249">
            <v>0</v>
          </cell>
          <cell r="CC249">
            <v>103742</v>
          </cell>
          <cell r="CD249">
            <v>5480</v>
          </cell>
          <cell r="CE249">
            <v>0</v>
          </cell>
          <cell r="CF249">
            <v>0</v>
          </cell>
          <cell r="CG249">
            <v>5480</v>
          </cell>
          <cell r="CH249">
            <v>108522</v>
          </cell>
          <cell r="CI249">
            <v>0</v>
          </cell>
          <cell r="CJ249">
            <v>0</v>
          </cell>
          <cell r="CK249">
            <v>108522</v>
          </cell>
          <cell r="CL249">
            <v>1269</v>
          </cell>
          <cell r="CM249">
            <v>0</v>
          </cell>
          <cell r="CN249">
            <v>0</v>
          </cell>
          <cell r="CO249">
            <v>1269</v>
          </cell>
          <cell r="CP249">
            <v>4705</v>
          </cell>
          <cell r="CQ249">
            <v>0</v>
          </cell>
          <cell r="CR249">
            <v>0</v>
          </cell>
          <cell r="CS249">
            <v>4705</v>
          </cell>
          <cell r="CT249">
            <v>-2383</v>
          </cell>
          <cell r="CU249">
            <v>0</v>
          </cell>
          <cell r="CV249">
            <v>0</v>
          </cell>
          <cell r="CW249">
            <v>-2383</v>
          </cell>
          <cell r="CX249">
            <v>40134</v>
          </cell>
          <cell r="CY249">
            <v>0</v>
          </cell>
          <cell r="CZ249">
            <v>0</v>
          </cell>
          <cell r="DA249">
            <v>40134</v>
          </cell>
          <cell r="DB249">
            <v>-3079</v>
          </cell>
          <cell r="DC249">
            <v>0</v>
          </cell>
          <cell r="DD249">
            <v>0</v>
          </cell>
          <cell r="DE249">
            <v>-3079</v>
          </cell>
          <cell r="DF249">
            <v>20509</v>
          </cell>
          <cell r="DG249">
            <v>0</v>
          </cell>
          <cell r="DH249">
            <v>0</v>
          </cell>
          <cell r="DI249">
            <v>20509</v>
          </cell>
          <cell r="DJ249">
            <v>1010</v>
          </cell>
          <cell r="DK249">
            <v>0</v>
          </cell>
          <cell r="DL249">
            <v>0</v>
          </cell>
          <cell r="DM249">
            <v>1010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2180</v>
          </cell>
          <cell r="EG249">
            <v>0</v>
          </cell>
          <cell r="EH249">
            <v>0</v>
          </cell>
          <cell r="EI249">
            <v>2180</v>
          </cell>
          <cell r="EJ249">
            <v>830</v>
          </cell>
          <cell r="EK249">
            <v>0</v>
          </cell>
          <cell r="EL249">
            <v>0</v>
          </cell>
          <cell r="EM249">
            <v>830</v>
          </cell>
        </row>
        <row r="250">
          <cell r="A250">
            <v>244</v>
          </cell>
          <cell r="B250" t="str">
            <v>E2836</v>
          </cell>
          <cell r="C250" t="str">
            <v>SD</v>
          </cell>
          <cell r="D250" t="str">
            <v>EM</v>
          </cell>
          <cell r="E250" t="str">
            <v>South Northamptonshire</v>
          </cell>
          <cell r="F250">
            <v>46798</v>
          </cell>
          <cell r="G250">
            <v>0</v>
          </cell>
          <cell r="H250">
            <v>0</v>
          </cell>
          <cell r="I250">
            <v>46798</v>
          </cell>
          <cell r="J250">
            <v>-121242</v>
          </cell>
          <cell r="K250">
            <v>0</v>
          </cell>
          <cell r="L250">
            <v>0</v>
          </cell>
          <cell r="M250">
            <v>-121242</v>
          </cell>
          <cell r="N250">
            <v>25377</v>
          </cell>
          <cell r="O250">
            <v>0</v>
          </cell>
          <cell r="P250">
            <v>0</v>
          </cell>
          <cell r="Q250">
            <v>25377</v>
          </cell>
          <cell r="R250">
            <v>32152</v>
          </cell>
          <cell r="S250">
            <v>0</v>
          </cell>
          <cell r="T250">
            <v>0</v>
          </cell>
          <cell r="U250">
            <v>32152</v>
          </cell>
          <cell r="V250">
            <v>1633361</v>
          </cell>
          <cell r="W250">
            <v>0</v>
          </cell>
          <cell r="X250">
            <v>0</v>
          </cell>
          <cell r="Y250">
            <v>1633361</v>
          </cell>
          <cell r="Z250">
            <v>94215</v>
          </cell>
          <cell r="AA250">
            <v>0</v>
          </cell>
          <cell r="AB250">
            <v>0</v>
          </cell>
          <cell r="AC250">
            <v>94215</v>
          </cell>
          <cell r="AD250">
            <v>371333</v>
          </cell>
          <cell r="AE250">
            <v>0</v>
          </cell>
          <cell r="AF250">
            <v>0</v>
          </cell>
          <cell r="AG250">
            <v>371333</v>
          </cell>
          <cell r="AH250">
            <v>7194</v>
          </cell>
          <cell r="AI250">
            <v>0</v>
          </cell>
          <cell r="AJ250">
            <v>0</v>
          </cell>
          <cell r="AK250">
            <v>7194</v>
          </cell>
          <cell r="AL250">
            <v>1442008</v>
          </cell>
          <cell r="AM250">
            <v>0</v>
          </cell>
          <cell r="AN250">
            <v>0</v>
          </cell>
          <cell r="AO250">
            <v>1442008</v>
          </cell>
          <cell r="AP250">
            <v>19228</v>
          </cell>
          <cell r="AQ250">
            <v>0</v>
          </cell>
          <cell r="AR250">
            <v>0</v>
          </cell>
          <cell r="AS250">
            <v>19228</v>
          </cell>
          <cell r="AT250">
            <v>6048</v>
          </cell>
          <cell r="AU250">
            <v>0</v>
          </cell>
          <cell r="AV250">
            <v>0</v>
          </cell>
          <cell r="AW250">
            <v>6048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61902</v>
          </cell>
          <cell r="BC250">
            <v>0</v>
          </cell>
          <cell r="BD250">
            <v>0</v>
          </cell>
          <cell r="BE250">
            <v>61902</v>
          </cell>
          <cell r="BF250">
            <v>25929</v>
          </cell>
          <cell r="BG250">
            <v>0</v>
          </cell>
          <cell r="BH250">
            <v>0</v>
          </cell>
          <cell r="BI250">
            <v>25929</v>
          </cell>
          <cell r="BJ250">
            <v>8476</v>
          </cell>
          <cell r="BK250">
            <v>0</v>
          </cell>
          <cell r="BL250">
            <v>0</v>
          </cell>
          <cell r="BM250">
            <v>8476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798120</v>
          </cell>
          <cell r="BS250">
            <v>0</v>
          </cell>
          <cell r="BT250">
            <v>0</v>
          </cell>
          <cell r="BU250">
            <v>798120</v>
          </cell>
          <cell r="BV250">
            <v>5280</v>
          </cell>
          <cell r="BW250">
            <v>0</v>
          </cell>
          <cell r="BX250">
            <v>0</v>
          </cell>
          <cell r="BY250">
            <v>5280</v>
          </cell>
          <cell r="BZ250">
            <v>117781</v>
          </cell>
          <cell r="CA250">
            <v>0</v>
          </cell>
          <cell r="CB250">
            <v>0</v>
          </cell>
          <cell r="CC250">
            <v>117781</v>
          </cell>
          <cell r="CD250">
            <v>455</v>
          </cell>
          <cell r="CE250">
            <v>0</v>
          </cell>
          <cell r="CF250">
            <v>0</v>
          </cell>
          <cell r="CG250">
            <v>455</v>
          </cell>
          <cell r="CH250">
            <v>136261</v>
          </cell>
          <cell r="CI250">
            <v>0</v>
          </cell>
          <cell r="CJ250">
            <v>0</v>
          </cell>
          <cell r="CK250">
            <v>136261</v>
          </cell>
          <cell r="CL250">
            <v>-582</v>
          </cell>
          <cell r="CM250">
            <v>0</v>
          </cell>
          <cell r="CN250">
            <v>0</v>
          </cell>
          <cell r="CO250">
            <v>-582</v>
          </cell>
          <cell r="CP250">
            <v>1512</v>
          </cell>
          <cell r="CQ250">
            <v>0</v>
          </cell>
          <cell r="CR250">
            <v>0</v>
          </cell>
          <cell r="CS250">
            <v>1512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16716</v>
          </cell>
          <cell r="CY250">
            <v>0</v>
          </cell>
          <cell r="CZ250">
            <v>0</v>
          </cell>
          <cell r="DA250">
            <v>16716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3966</v>
          </cell>
          <cell r="DG250">
            <v>0</v>
          </cell>
          <cell r="DH250">
            <v>0</v>
          </cell>
          <cell r="DI250">
            <v>3966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</row>
        <row r="251">
          <cell r="A251">
            <v>245</v>
          </cell>
          <cell r="B251" t="str">
            <v>E3133</v>
          </cell>
          <cell r="C251" t="str">
            <v>SD</v>
          </cell>
          <cell r="D251" t="str">
            <v>SE</v>
          </cell>
          <cell r="E251" t="str">
            <v>South Oxfordshire</v>
          </cell>
          <cell r="F251">
            <v>90389</v>
          </cell>
          <cell r="G251">
            <v>0</v>
          </cell>
          <cell r="H251">
            <v>0</v>
          </cell>
          <cell r="I251">
            <v>90389</v>
          </cell>
          <cell r="J251">
            <v>-98992</v>
          </cell>
          <cell r="K251">
            <v>0</v>
          </cell>
          <cell r="L251">
            <v>0</v>
          </cell>
          <cell r="M251">
            <v>-98992</v>
          </cell>
          <cell r="N251">
            <v>54595</v>
          </cell>
          <cell r="O251">
            <v>0</v>
          </cell>
          <cell r="P251">
            <v>0</v>
          </cell>
          <cell r="Q251">
            <v>54595</v>
          </cell>
          <cell r="R251">
            <v>108585</v>
          </cell>
          <cell r="S251">
            <v>0</v>
          </cell>
          <cell r="T251">
            <v>0</v>
          </cell>
          <cell r="U251">
            <v>108585</v>
          </cell>
          <cell r="V251">
            <v>2325349</v>
          </cell>
          <cell r="W251">
            <v>0</v>
          </cell>
          <cell r="X251">
            <v>0</v>
          </cell>
          <cell r="Y251">
            <v>2325349</v>
          </cell>
          <cell r="Z251">
            <v>185178</v>
          </cell>
          <cell r="AA251">
            <v>0</v>
          </cell>
          <cell r="AB251">
            <v>0</v>
          </cell>
          <cell r="AC251">
            <v>185178</v>
          </cell>
          <cell r="AD251">
            <v>818804</v>
          </cell>
          <cell r="AE251">
            <v>0</v>
          </cell>
          <cell r="AF251">
            <v>0</v>
          </cell>
          <cell r="AG251">
            <v>818804</v>
          </cell>
          <cell r="AH251">
            <v>-17083</v>
          </cell>
          <cell r="AI251">
            <v>0</v>
          </cell>
          <cell r="AJ251">
            <v>0</v>
          </cell>
          <cell r="AK251">
            <v>-17083</v>
          </cell>
          <cell r="AL251">
            <v>3714869</v>
          </cell>
          <cell r="AM251">
            <v>0</v>
          </cell>
          <cell r="AN251">
            <v>0</v>
          </cell>
          <cell r="AO251">
            <v>3714869</v>
          </cell>
          <cell r="AP251">
            <v>-123966</v>
          </cell>
          <cell r="AQ251">
            <v>0</v>
          </cell>
          <cell r="AR251">
            <v>0</v>
          </cell>
          <cell r="AS251">
            <v>-123966</v>
          </cell>
          <cell r="AT251">
            <v>76327</v>
          </cell>
          <cell r="AU251">
            <v>0</v>
          </cell>
          <cell r="AV251">
            <v>0</v>
          </cell>
          <cell r="AW251">
            <v>76327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43067</v>
          </cell>
          <cell r="BC251">
            <v>0</v>
          </cell>
          <cell r="BD251">
            <v>0</v>
          </cell>
          <cell r="BE251">
            <v>43067</v>
          </cell>
          <cell r="BF251">
            <v>-7411</v>
          </cell>
          <cell r="BG251">
            <v>0</v>
          </cell>
          <cell r="BH251">
            <v>0</v>
          </cell>
          <cell r="BI251">
            <v>-7411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1524137</v>
          </cell>
          <cell r="BS251">
            <v>0</v>
          </cell>
          <cell r="BT251">
            <v>0</v>
          </cell>
          <cell r="BU251">
            <v>1524137</v>
          </cell>
          <cell r="BV251">
            <v>-36638</v>
          </cell>
          <cell r="BW251">
            <v>0</v>
          </cell>
          <cell r="BX251">
            <v>0</v>
          </cell>
          <cell r="BY251">
            <v>-36638</v>
          </cell>
          <cell r="BZ251">
            <v>192283</v>
          </cell>
          <cell r="CA251">
            <v>0</v>
          </cell>
          <cell r="CB251">
            <v>0</v>
          </cell>
          <cell r="CC251">
            <v>192283</v>
          </cell>
          <cell r="CD251">
            <v>24</v>
          </cell>
          <cell r="CE251">
            <v>0</v>
          </cell>
          <cell r="CF251">
            <v>0</v>
          </cell>
          <cell r="CG251">
            <v>24</v>
          </cell>
          <cell r="CH251">
            <v>16345</v>
          </cell>
          <cell r="CI251">
            <v>0</v>
          </cell>
          <cell r="CJ251">
            <v>0</v>
          </cell>
          <cell r="CK251">
            <v>16345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9541</v>
          </cell>
          <cell r="CQ251">
            <v>0</v>
          </cell>
          <cell r="CR251">
            <v>0</v>
          </cell>
          <cell r="CS251">
            <v>9541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21531</v>
          </cell>
          <cell r="CY251">
            <v>0</v>
          </cell>
          <cell r="CZ251">
            <v>0</v>
          </cell>
          <cell r="DA251">
            <v>21531</v>
          </cell>
          <cell r="DB251">
            <v>-2909</v>
          </cell>
          <cell r="DC251">
            <v>0</v>
          </cell>
          <cell r="DD251">
            <v>0</v>
          </cell>
          <cell r="DE251">
            <v>-2909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68979</v>
          </cell>
          <cell r="EC251">
            <v>0</v>
          </cell>
          <cell r="ED251">
            <v>0</v>
          </cell>
          <cell r="EE251">
            <v>68979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</row>
        <row r="252">
          <cell r="A252">
            <v>246</v>
          </cell>
          <cell r="B252" t="str">
            <v>E2342</v>
          </cell>
          <cell r="C252" t="str">
            <v>SD</v>
          </cell>
          <cell r="D252" t="str">
            <v>NW</v>
          </cell>
          <cell r="E252" t="str">
            <v>South Ribble</v>
          </cell>
          <cell r="F252">
            <v>82476.73</v>
          </cell>
          <cell r="G252">
            <v>0</v>
          </cell>
          <cell r="H252">
            <v>0</v>
          </cell>
          <cell r="I252">
            <v>82476.73</v>
          </cell>
          <cell r="J252">
            <v>-241062</v>
          </cell>
          <cell r="K252">
            <v>0</v>
          </cell>
          <cell r="L252">
            <v>0</v>
          </cell>
          <cell r="M252">
            <v>-241062</v>
          </cell>
          <cell r="N252">
            <v>32459</v>
          </cell>
          <cell r="O252">
            <v>0</v>
          </cell>
          <cell r="P252">
            <v>0</v>
          </cell>
          <cell r="Q252">
            <v>32459</v>
          </cell>
          <cell r="R252">
            <v>43157</v>
          </cell>
          <cell r="S252">
            <v>0</v>
          </cell>
          <cell r="T252">
            <v>0</v>
          </cell>
          <cell r="U252">
            <v>43157</v>
          </cell>
          <cell r="V252">
            <v>1967086</v>
          </cell>
          <cell r="W252">
            <v>0</v>
          </cell>
          <cell r="X252">
            <v>0</v>
          </cell>
          <cell r="Y252">
            <v>1967086</v>
          </cell>
          <cell r="Z252">
            <v>107591</v>
          </cell>
          <cell r="AA252">
            <v>0</v>
          </cell>
          <cell r="AB252">
            <v>0</v>
          </cell>
          <cell r="AC252">
            <v>107591</v>
          </cell>
          <cell r="AD252">
            <v>683013</v>
          </cell>
          <cell r="AE252">
            <v>0</v>
          </cell>
          <cell r="AF252">
            <v>0</v>
          </cell>
          <cell r="AG252">
            <v>683013</v>
          </cell>
          <cell r="AH252">
            <v>-26819</v>
          </cell>
          <cell r="AI252">
            <v>0</v>
          </cell>
          <cell r="AJ252">
            <v>0</v>
          </cell>
          <cell r="AK252">
            <v>-26819</v>
          </cell>
          <cell r="AL252">
            <v>1556194</v>
          </cell>
          <cell r="AM252">
            <v>0</v>
          </cell>
          <cell r="AN252">
            <v>0</v>
          </cell>
          <cell r="AO252">
            <v>1556194</v>
          </cell>
          <cell r="AP252">
            <v>-2005</v>
          </cell>
          <cell r="AQ252">
            <v>0</v>
          </cell>
          <cell r="AR252">
            <v>0</v>
          </cell>
          <cell r="AS252">
            <v>-2005</v>
          </cell>
          <cell r="AT252">
            <v>45386</v>
          </cell>
          <cell r="AU252">
            <v>0</v>
          </cell>
          <cell r="AV252">
            <v>0</v>
          </cell>
          <cell r="AW252">
            <v>45386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4851</v>
          </cell>
          <cell r="BC252">
            <v>0</v>
          </cell>
          <cell r="BD252">
            <v>0</v>
          </cell>
          <cell r="BE252">
            <v>4851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13381</v>
          </cell>
          <cell r="BK252">
            <v>0</v>
          </cell>
          <cell r="BL252">
            <v>0</v>
          </cell>
          <cell r="BM252">
            <v>13381</v>
          </cell>
          <cell r="BN252">
            <v>-10398</v>
          </cell>
          <cell r="BO252">
            <v>0</v>
          </cell>
          <cell r="BP252">
            <v>0</v>
          </cell>
          <cell r="BQ252">
            <v>-10398</v>
          </cell>
          <cell r="BR252">
            <v>977219</v>
          </cell>
          <cell r="BS252">
            <v>0</v>
          </cell>
          <cell r="BT252">
            <v>0</v>
          </cell>
          <cell r="BU252">
            <v>977219</v>
          </cell>
          <cell r="BV252">
            <v>-11628</v>
          </cell>
          <cell r="BW252">
            <v>0</v>
          </cell>
          <cell r="BX252">
            <v>0</v>
          </cell>
          <cell r="BY252">
            <v>-11628</v>
          </cell>
          <cell r="BZ252">
            <v>106299</v>
          </cell>
          <cell r="CA252">
            <v>0</v>
          </cell>
          <cell r="CB252">
            <v>0</v>
          </cell>
          <cell r="CC252">
            <v>106299</v>
          </cell>
          <cell r="CD252">
            <v>-476</v>
          </cell>
          <cell r="CE252">
            <v>0</v>
          </cell>
          <cell r="CF252">
            <v>0</v>
          </cell>
          <cell r="CG252">
            <v>-476</v>
          </cell>
          <cell r="CH252">
            <v>25959</v>
          </cell>
          <cell r="CI252">
            <v>0</v>
          </cell>
          <cell r="CJ252">
            <v>0</v>
          </cell>
          <cell r="CK252">
            <v>25959</v>
          </cell>
          <cell r="CL252">
            <v>-83</v>
          </cell>
          <cell r="CM252">
            <v>0</v>
          </cell>
          <cell r="CN252">
            <v>0</v>
          </cell>
          <cell r="CO252">
            <v>-83</v>
          </cell>
          <cell r="CP252">
            <v>429</v>
          </cell>
          <cell r="CQ252">
            <v>0</v>
          </cell>
          <cell r="CR252">
            <v>0</v>
          </cell>
          <cell r="CS252">
            <v>429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4851</v>
          </cell>
          <cell r="CY252">
            <v>0</v>
          </cell>
          <cell r="CZ252">
            <v>0</v>
          </cell>
          <cell r="DA252">
            <v>4851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30337</v>
          </cell>
          <cell r="EG252">
            <v>0</v>
          </cell>
          <cell r="EH252">
            <v>0</v>
          </cell>
          <cell r="EI252">
            <v>30337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</row>
        <row r="253">
          <cell r="A253">
            <v>247</v>
          </cell>
          <cell r="B253" t="str">
            <v>E3334</v>
          </cell>
          <cell r="C253" t="str">
            <v>SD</v>
          </cell>
          <cell r="D253" t="str">
            <v>SW</v>
          </cell>
          <cell r="E253" t="str">
            <v>South Somerset</v>
          </cell>
          <cell r="F253">
            <v>292261</v>
          </cell>
          <cell r="G253">
            <v>0</v>
          </cell>
          <cell r="H253">
            <v>0</v>
          </cell>
          <cell r="I253">
            <v>292261</v>
          </cell>
          <cell r="J253">
            <v>-204732</v>
          </cell>
          <cell r="K253">
            <v>0</v>
          </cell>
          <cell r="L253">
            <v>0</v>
          </cell>
          <cell r="M253">
            <v>-204732</v>
          </cell>
          <cell r="N253">
            <v>20505</v>
          </cell>
          <cell r="O253">
            <v>0</v>
          </cell>
          <cell r="P253">
            <v>0</v>
          </cell>
          <cell r="Q253">
            <v>20505</v>
          </cell>
          <cell r="R253">
            <v>85928</v>
          </cell>
          <cell r="S253">
            <v>0</v>
          </cell>
          <cell r="T253">
            <v>0</v>
          </cell>
          <cell r="U253">
            <v>85928</v>
          </cell>
          <cell r="V253">
            <v>3458542</v>
          </cell>
          <cell r="W253">
            <v>0</v>
          </cell>
          <cell r="X253">
            <v>0</v>
          </cell>
          <cell r="Y253">
            <v>3458542</v>
          </cell>
          <cell r="Z253">
            <v>155614</v>
          </cell>
          <cell r="AA253">
            <v>0</v>
          </cell>
          <cell r="AB253">
            <v>0</v>
          </cell>
          <cell r="AC253">
            <v>155614</v>
          </cell>
          <cell r="AD253">
            <v>799252</v>
          </cell>
          <cell r="AE253">
            <v>0</v>
          </cell>
          <cell r="AF253">
            <v>0</v>
          </cell>
          <cell r="AG253">
            <v>799252</v>
          </cell>
          <cell r="AH253">
            <v>-14254</v>
          </cell>
          <cell r="AI253">
            <v>0</v>
          </cell>
          <cell r="AJ253">
            <v>0</v>
          </cell>
          <cell r="AK253">
            <v>-14254</v>
          </cell>
          <cell r="AL253">
            <v>3122129</v>
          </cell>
          <cell r="AM253">
            <v>0</v>
          </cell>
          <cell r="AN253">
            <v>0</v>
          </cell>
          <cell r="AO253">
            <v>3122129</v>
          </cell>
          <cell r="AP253">
            <v>3570</v>
          </cell>
          <cell r="AQ253">
            <v>0</v>
          </cell>
          <cell r="AR253">
            <v>0</v>
          </cell>
          <cell r="AS253">
            <v>3570</v>
          </cell>
          <cell r="AT253">
            <v>26969</v>
          </cell>
          <cell r="AU253">
            <v>0</v>
          </cell>
          <cell r="AV253">
            <v>0</v>
          </cell>
          <cell r="AW253">
            <v>26969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89752</v>
          </cell>
          <cell r="BC253">
            <v>0</v>
          </cell>
          <cell r="BD253">
            <v>0</v>
          </cell>
          <cell r="BE253">
            <v>89752</v>
          </cell>
          <cell r="BF253">
            <v>-1569</v>
          </cell>
          <cell r="BG253">
            <v>0</v>
          </cell>
          <cell r="BH253">
            <v>0</v>
          </cell>
          <cell r="BI253">
            <v>-1569</v>
          </cell>
          <cell r="BJ253">
            <v>22832</v>
          </cell>
          <cell r="BK253">
            <v>0</v>
          </cell>
          <cell r="BL253">
            <v>0</v>
          </cell>
          <cell r="BM253">
            <v>22832</v>
          </cell>
          <cell r="BN253">
            <v>2644</v>
          </cell>
          <cell r="BO253">
            <v>0</v>
          </cell>
          <cell r="BP253">
            <v>0</v>
          </cell>
          <cell r="BQ253">
            <v>2644</v>
          </cell>
          <cell r="BR253">
            <v>1509703</v>
          </cell>
          <cell r="BS253">
            <v>0</v>
          </cell>
          <cell r="BT253">
            <v>0</v>
          </cell>
          <cell r="BU253">
            <v>1509703</v>
          </cell>
          <cell r="BV253">
            <v>48252</v>
          </cell>
          <cell r="BW253">
            <v>0</v>
          </cell>
          <cell r="BX253">
            <v>0</v>
          </cell>
          <cell r="BY253">
            <v>48252</v>
          </cell>
          <cell r="BZ253">
            <v>152159</v>
          </cell>
          <cell r="CA253">
            <v>0</v>
          </cell>
          <cell r="CB253">
            <v>0</v>
          </cell>
          <cell r="CC253">
            <v>152159</v>
          </cell>
          <cell r="CD253">
            <v>-1773</v>
          </cell>
          <cell r="CE253">
            <v>0</v>
          </cell>
          <cell r="CF253">
            <v>0</v>
          </cell>
          <cell r="CG253">
            <v>-1773</v>
          </cell>
          <cell r="CH253">
            <v>134086</v>
          </cell>
          <cell r="CI253">
            <v>0</v>
          </cell>
          <cell r="CJ253">
            <v>0</v>
          </cell>
          <cell r="CK253">
            <v>134086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3709</v>
          </cell>
          <cell r="CQ253">
            <v>0</v>
          </cell>
          <cell r="CR253">
            <v>0</v>
          </cell>
          <cell r="CS253">
            <v>3709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37720</v>
          </cell>
          <cell r="CY253">
            <v>0</v>
          </cell>
          <cell r="CZ253">
            <v>0</v>
          </cell>
          <cell r="DA253">
            <v>37720</v>
          </cell>
          <cell r="DB253">
            <v>-2363</v>
          </cell>
          <cell r="DC253">
            <v>0</v>
          </cell>
          <cell r="DD253">
            <v>0</v>
          </cell>
          <cell r="DE253">
            <v>-2363</v>
          </cell>
          <cell r="DF253">
            <v>44888</v>
          </cell>
          <cell r="DG253">
            <v>0</v>
          </cell>
          <cell r="DH253">
            <v>0</v>
          </cell>
          <cell r="DI253">
            <v>44888</v>
          </cell>
          <cell r="DJ253">
            <v>9247</v>
          </cell>
          <cell r="DK253">
            <v>0</v>
          </cell>
          <cell r="DL253">
            <v>0</v>
          </cell>
          <cell r="DM253">
            <v>9247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2719</v>
          </cell>
          <cell r="EG253">
            <v>0</v>
          </cell>
          <cell r="EH253">
            <v>0</v>
          </cell>
          <cell r="EI253">
            <v>2719</v>
          </cell>
          <cell r="EJ253">
            <v>2897</v>
          </cell>
          <cell r="EK253">
            <v>0</v>
          </cell>
          <cell r="EL253">
            <v>0</v>
          </cell>
          <cell r="EM253">
            <v>2897</v>
          </cell>
        </row>
        <row r="254">
          <cell r="A254">
            <v>248</v>
          </cell>
          <cell r="B254" t="str">
            <v>E3435</v>
          </cell>
          <cell r="C254" t="str">
            <v>SD</v>
          </cell>
          <cell r="D254" t="str">
            <v>WM</v>
          </cell>
          <cell r="E254" t="str">
            <v>South Staffordshire</v>
          </cell>
          <cell r="F254">
            <v>122042</v>
          </cell>
          <cell r="G254">
            <v>0</v>
          </cell>
          <cell r="H254">
            <v>0</v>
          </cell>
          <cell r="I254">
            <v>122042</v>
          </cell>
          <cell r="J254">
            <v>33342</v>
          </cell>
          <cell r="K254">
            <v>0</v>
          </cell>
          <cell r="L254">
            <v>0</v>
          </cell>
          <cell r="M254">
            <v>33342</v>
          </cell>
          <cell r="N254">
            <v>2422</v>
          </cell>
          <cell r="O254">
            <v>0</v>
          </cell>
          <cell r="P254">
            <v>0</v>
          </cell>
          <cell r="Q254">
            <v>2422</v>
          </cell>
          <cell r="R254">
            <v>119685</v>
          </cell>
          <cell r="S254">
            <v>0</v>
          </cell>
          <cell r="T254">
            <v>0</v>
          </cell>
          <cell r="U254">
            <v>119685</v>
          </cell>
          <cell r="V254">
            <v>1885067</v>
          </cell>
          <cell r="W254">
            <v>0</v>
          </cell>
          <cell r="X254">
            <v>0</v>
          </cell>
          <cell r="Y254">
            <v>1885067</v>
          </cell>
          <cell r="Z254">
            <v>91583</v>
          </cell>
          <cell r="AA254">
            <v>0</v>
          </cell>
          <cell r="AB254">
            <v>0</v>
          </cell>
          <cell r="AC254">
            <v>91583</v>
          </cell>
          <cell r="AD254">
            <v>375215</v>
          </cell>
          <cell r="AE254">
            <v>0</v>
          </cell>
          <cell r="AF254">
            <v>11612</v>
          </cell>
          <cell r="AG254">
            <v>386827</v>
          </cell>
          <cell r="AH254">
            <v>-1605</v>
          </cell>
          <cell r="AI254">
            <v>0</v>
          </cell>
          <cell r="AJ254">
            <v>-946</v>
          </cell>
          <cell r="AK254">
            <v>-2551</v>
          </cell>
          <cell r="AL254">
            <v>486284</v>
          </cell>
          <cell r="AM254">
            <v>0</v>
          </cell>
          <cell r="AN254">
            <v>0</v>
          </cell>
          <cell r="AO254">
            <v>486284</v>
          </cell>
          <cell r="AP254">
            <v>-37196</v>
          </cell>
          <cell r="AQ254">
            <v>0</v>
          </cell>
          <cell r="AR254">
            <v>0</v>
          </cell>
          <cell r="AS254">
            <v>-37196</v>
          </cell>
          <cell r="AT254">
            <v>20234</v>
          </cell>
          <cell r="AU254">
            <v>0</v>
          </cell>
          <cell r="AV254">
            <v>0</v>
          </cell>
          <cell r="AW254">
            <v>20234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10230</v>
          </cell>
          <cell r="BC254">
            <v>0</v>
          </cell>
          <cell r="BD254">
            <v>0</v>
          </cell>
          <cell r="BE254">
            <v>10230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168127</v>
          </cell>
          <cell r="BK254">
            <v>0</v>
          </cell>
          <cell r="BL254">
            <v>5319</v>
          </cell>
          <cell r="BM254">
            <v>173446</v>
          </cell>
          <cell r="BN254">
            <v>-93268</v>
          </cell>
          <cell r="BO254">
            <v>0</v>
          </cell>
          <cell r="BP254">
            <v>0</v>
          </cell>
          <cell r="BQ254">
            <v>-93268</v>
          </cell>
          <cell r="BR254">
            <v>558676</v>
          </cell>
          <cell r="BS254">
            <v>0</v>
          </cell>
          <cell r="BT254">
            <v>0</v>
          </cell>
          <cell r="BU254">
            <v>558676</v>
          </cell>
          <cell r="BV254">
            <v>-9901</v>
          </cell>
          <cell r="BW254">
            <v>0</v>
          </cell>
          <cell r="BX254">
            <v>0</v>
          </cell>
          <cell r="BY254">
            <v>-9901</v>
          </cell>
          <cell r="BZ254">
            <v>34818</v>
          </cell>
          <cell r="CA254">
            <v>0</v>
          </cell>
          <cell r="CB254">
            <v>0</v>
          </cell>
          <cell r="CC254">
            <v>34818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222001</v>
          </cell>
          <cell r="CI254">
            <v>0</v>
          </cell>
          <cell r="CJ254">
            <v>0</v>
          </cell>
          <cell r="CK254">
            <v>222001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4022.33</v>
          </cell>
          <cell r="CQ254">
            <v>0</v>
          </cell>
          <cell r="CR254">
            <v>0</v>
          </cell>
          <cell r="CS254">
            <v>4022.33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5425.89</v>
          </cell>
          <cell r="CY254">
            <v>0</v>
          </cell>
          <cell r="CZ254">
            <v>0</v>
          </cell>
          <cell r="DA254">
            <v>5425.89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54035.33</v>
          </cell>
          <cell r="DQ254">
            <v>54035.33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54035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</row>
        <row r="255">
          <cell r="A255">
            <v>249</v>
          </cell>
          <cell r="B255" t="str">
            <v>E4504</v>
          </cell>
          <cell r="C255" t="str">
            <v>Met</v>
          </cell>
          <cell r="D255" t="str">
            <v>NE</v>
          </cell>
          <cell r="E255" t="str">
            <v>South Tyneside</v>
          </cell>
          <cell r="F255">
            <v>144010</v>
          </cell>
          <cell r="G255">
            <v>0</v>
          </cell>
          <cell r="H255">
            <v>0</v>
          </cell>
          <cell r="I255">
            <v>144010</v>
          </cell>
          <cell r="J255">
            <v>-493150</v>
          </cell>
          <cell r="K255">
            <v>0</v>
          </cell>
          <cell r="L255">
            <v>0</v>
          </cell>
          <cell r="M255">
            <v>-493150</v>
          </cell>
          <cell r="N255">
            <v>23778</v>
          </cell>
          <cell r="O255">
            <v>0</v>
          </cell>
          <cell r="P255">
            <v>0</v>
          </cell>
          <cell r="Q255">
            <v>23778</v>
          </cell>
          <cell r="R255">
            <v>-50600</v>
          </cell>
          <cell r="S255">
            <v>0</v>
          </cell>
          <cell r="T255">
            <v>0</v>
          </cell>
          <cell r="U255">
            <v>-50600</v>
          </cell>
          <cell r="V255">
            <v>2354629</v>
          </cell>
          <cell r="W255">
            <v>0</v>
          </cell>
          <cell r="X255">
            <v>0</v>
          </cell>
          <cell r="Y255">
            <v>2354629</v>
          </cell>
          <cell r="Z255">
            <v>31115</v>
          </cell>
          <cell r="AA255">
            <v>0</v>
          </cell>
          <cell r="AB255">
            <v>0</v>
          </cell>
          <cell r="AC255">
            <v>31115</v>
          </cell>
          <cell r="AD255">
            <v>601167</v>
          </cell>
          <cell r="AE255">
            <v>0</v>
          </cell>
          <cell r="AF255">
            <v>0</v>
          </cell>
          <cell r="AG255">
            <v>601167</v>
          </cell>
          <cell r="AH255">
            <v>27467</v>
          </cell>
          <cell r="AI255">
            <v>0</v>
          </cell>
          <cell r="AJ255">
            <v>0</v>
          </cell>
          <cell r="AK255">
            <v>27467</v>
          </cell>
          <cell r="AL255">
            <v>1847611</v>
          </cell>
          <cell r="AM255">
            <v>0</v>
          </cell>
          <cell r="AN255">
            <v>0</v>
          </cell>
          <cell r="AO255">
            <v>1847611</v>
          </cell>
          <cell r="AP255">
            <v>-10974</v>
          </cell>
          <cell r="AQ255">
            <v>0</v>
          </cell>
          <cell r="AR255">
            <v>0</v>
          </cell>
          <cell r="AS255">
            <v>-10974</v>
          </cell>
          <cell r="AT255">
            <v>45769</v>
          </cell>
          <cell r="AU255">
            <v>0</v>
          </cell>
          <cell r="AV255">
            <v>0</v>
          </cell>
          <cell r="AW255">
            <v>45769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22243</v>
          </cell>
          <cell r="BK255">
            <v>0</v>
          </cell>
          <cell r="BL255">
            <v>0</v>
          </cell>
          <cell r="BM255">
            <v>22243</v>
          </cell>
          <cell r="BN255">
            <v>1953</v>
          </cell>
          <cell r="BO255">
            <v>0</v>
          </cell>
          <cell r="BP255">
            <v>0</v>
          </cell>
          <cell r="BQ255">
            <v>1953</v>
          </cell>
          <cell r="BR255">
            <v>1356475</v>
          </cell>
          <cell r="BS255">
            <v>0</v>
          </cell>
          <cell r="BT255">
            <v>0</v>
          </cell>
          <cell r="BU255">
            <v>1356475</v>
          </cell>
          <cell r="BV255">
            <v>12923</v>
          </cell>
          <cell r="BW255">
            <v>0</v>
          </cell>
          <cell r="BX255">
            <v>0</v>
          </cell>
          <cell r="BY255">
            <v>12923</v>
          </cell>
          <cell r="BZ255">
            <v>295731</v>
          </cell>
          <cell r="CA255">
            <v>0</v>
          </cell>
          <cell r="CB255">
            <v>0</v>
          </cell>
          <cell r="CC255">
            <v>295731</v>
          </cell>
          <cell r="CD255">
            <v>-7585</v>
          </cell>
          <cell r="CE255">
            <v>0</v>
          </cell>
          <cell r="CF255">
            <v>0</v>
          </cell>
          <cell r="CG255">
            <v>-7585</v>
          </cell>
          <cell r="CH255">
            <v>272340</v>
          </cell>
          <cell r="CI255">
            <v>0</v>
          </cell>
          <cell r="CJ255">
            <v>0</v>
          </cell>
          <cell r="CK255">
            <v>272340</v>
          </cell>
          <cell r="CL255">
            <v>-1021</v>
          </cell>
          <cell r="CM255">
            <v>0</v>
          </cell>
          <cell r="CN255">
            <v>0</v>
          </cell>
          <cell r="CO255">
            <v>-1021</v>
          </cell>
          <cell r="CP255">
            <v>331</v>
          </cell>
          <cell r="CQ255">
            <v>0</v>
          </cell>
          <cell r="CR255">
            <v>0</v>
          </cell>
          <cell r="CS255">
            <v>331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</row>
        <row r="256">
          <cell r="A256">
            <v>250</v>
          </cell>
          <cell r="B256" t="str">
            <v>E1702</v>
          </cell>
          <cell r="C256" t="str">
            <v>UA</v>
          </cell>
          <cell r="D256" t="str">
            <v>SE</v>
          </cell>
          <cell r="E256" t="str">
            <v>Southampton UA</v>
          </cell>
          <cell r="F256">
            <v>388544</v>
          </cell>
          <cell r="G256">
            <v>0</v>
          </cell>
          <cell r="H256">
            <v>0</v>
          </cell>
          <cell r="I256">
            <v>388544</v>
          </cell>
          <cell r="J256">
            <v>-426206</v>
          </cell>
          <cell r="K256">
            <v>0</v>
          </cell>
          <cell r="L256">
            <v>0</v>
          </cell>
          <cell r="M256">
            <v>-426206</v>
          </cell>
          <cell r="N256">
            <v>349353</v>
          </cell>
          <cell r="O256">
            <v>0</v>
          </cell>
          <cell r="P256">
            <v>0</v>
          </cell>
          <cell r="Q256">
            <v>349353</v>
          </cell>
          <cell r="R256">
            <v>755888</v>
          </cell>
          <cell r="S256">
            <v>0</v>
          </cell>
          <cell r="T256">
            <v>0</v>
          </cell>
          <cell r="U256">
            <v>755888</v>
          </cell>
          <cell r="V256">
            <v>3138526</v>
          </cell>
          <cell r="W256">
            <v>0</v>
          </cell>
          <cell r="X256">
            <v>0</v>
          </cell>
          <cell r="Y256">
            <v>3138526</v>
          </cell>
          <cell r="Z256">
            <v>112893</v>
          </cell>
          <cell r="AA256">
            <v>0</v>
          </cell>
          <cell r="AB256">
            <v>0</v>
          </cell>
          <cell r="AC256">
            <v>112893</v>
          </cell>
          <cell r="AD256">
            <v>2060440</v>
          </cell>
          <cell r="AE256">
            <v>0</v>
          </cell>
          <cell r="AF256">
            <v>0</v>
          </cell>
          <cell r="AG256">
            <v>2060440</v>
          </cell>
          <cell r="AH256">
            <v>-107702</v>
          </cell>
          <cell r="AI256">
            <v>0</v>
          </cell>
          <cell r="AJ256">
            <v>0</v>
          </cell>
          <cell r="AK256">
            <v>-107702</v>
          </cell>
          <cell r="AL256">
            <v>7909370</v>
          </cell>
          <cell r="AM256">
            <v>0</v>
          </cell>
          <cell r="AN256">
            <v>0</v>
          </cell>
          <cell r="AO256">
            <v>7909370</v>
          </cell>
          <cell r="AP256">
            <v>-1391204</v>
          </cell>
          <cell r="AQ256">
            <v>0</v>
          </cell>
          <cell r="AR256">
            <v>0</v>
          </cell>
          <cell r="AS256">
            <v>-1391204</v>
          </cell>
          <cell r="AT256">
            <v>49544</v>
          </cell>
          <cell r="AU256">
            <v>0</v>
          </cell>
          <cell r="AV256">
            <v>0</v>
          </cell>
          <cell r="AW256">
            <v>49544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137201</v>
          </cell>
          <cell r="BK256">
            <v>0</v>
          </cell>
          <cell r="BL256">
            <v>0</v>
          </cell>
          <cell r="BM256">
            <v>137201</v>
          </cell>
          <cell r="BN256">
            <v>-196280</v>
          </cell>
          <cell r="BO256">
            <v>0</v>
          </cell>
          <cell r="BP256">
            <v>0</v>
          </cell>
          <cell r="BQ256">
            <v>-196280</v>
          </cell>
          <cell r="BR256">
            <v>4101821</v>
          </cell>
          <cell r="BS256">
            <v>0</v>
          </cell>
          <cell r="BT256">
            <v>0</v>
          </cell>
          <cell r="BU256">
            <v>4101821</v>
          </cell>
          <cell r="BV256">
            <v>-50085</v>
          </cell>
          <cell r="BW256">
            <v>0</v>
          </cell>
          <cell r="BX256">
            <v>0</v>
          </cell>
          <cell r="BY256">
            <v>-50085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81321</v>
          </cell>
          <cell r="CI256">
            <v>0</v>
          </cell>
          <cell r="CJ256">
            <v>0</v>
          </cell>
          <cell r="CK256">
            <v>81321</v>
          </cell>
          <cell r="CL256">
            <v>-711</v>
          </cell>
          <cell r="CM256">
            <v>0</v>
          </cell>
          <cell r="CN256">
            <v>0</v>
          </cell>
          <cell r="CO256">
            <v>-711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15796</v>
          </cell>
          <cell r="EC256">
            <v>0</v>
          </cell>
          <cell r="ED256">
            <v>0</v>
          </cell>
          <cell r="EE256">
            <v>15796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</row>
        <row r="257">
          <cell r="A257">
            <v>251</v>
          </cell>
          <cell r="B257" t="str">
            <v>E1501</v>
          </cell>
          <cell r="C257" t="str">
            <v>UA</v>
          </cell>
          <cell r="D257" t="str">
            <v>E</v>
          </cell>
          <cell r="E257" t="str">
            <v>Southend-on-Sea UA</v>
          </cell>
          <cell r="F257">
            <v>112912</v>
          </cell>
          <cell r="G257">
            <v>0</v>
          </cell>
          <cell r="H257">
            <v>0</v>
          </cell>
          <cell r="I257">
            <v>112912</v>
          </cell>
          <cell r="J257">
            <v>-19702.03</v>
          </cell>
          <cell r="K257">
            <v>0</v>
          </cell>
          <cell r="L257">
            <v>0</v>
          </cell>
          <cell r="M257">
            <v>-19702.03</v>
          </cell>
          <cell r="N257">
            <v>19483</v>
          </cell>
          <cell r="O257">
            <v>0</v>
          </cell>
          <cell r="P257">
            <v>0</v>
          </cell>
          <cell r="Q257">
            <v>19483</v>
          </cell>
          <cell r="R257">
            <v>23546</v>
          </cell>
          <cell r="S257">
            <v>0</v>
          </cell>
          <cell r="T257">
            <v>0</v>
          </cell>
          <cell r="U257">
            <v>23546</v>
          </cell>
          <cell r="V257">
            <v>4546703.29</v>
          </cell>
          <cell r="W257">
            <v>0</v>
          </cell>
          <cell r="X257">
            <v>0</v>
          </cell>
          <cell r="Y257">
            <v>4546703.29</v>
          </cell>
          <cell r="Z257">
            <v>119057.34</v>
          </cell>
          <cell r="AA257">
            <v>0</v>
          </cell>
          <cell r="AB257">
            <v>0</v>
          </cell>
          <cell r="AC257">
            <v>119057.34</v>
          </cell>
          <cell r="AD257">
            <v>863103.55</v>
          </cell>
          <cell r="AE257">
            <v>0</v>
          </cell>
          <cell r="AF257">
            <v>0</v>
          </cell>
          <cell r="AG257">
            <v>863103.55</v>
          </cell>
          <cell r="AH257">
            <v>23576.54</v>
          </cell>
          <cell r="AI257">
            <v>0</v>
          </cell>
          <cell r="AJ257">
            <v>0</v>
          </cell>
          <cell r="AK257">
            <v>23576.54</v>
          </cell>
          <cell r="AL257">
            <v>3449036.35</v>
          </cell>
          <cell r="AM257">
            <v>0</v>
          </cell>
          <cell r="AN257">
            <v>0</v>
          </cell>
          <cell r="AO257">
            <v>3449036.35</v>
          </cell>
          <cell r="AP257">
            <v>25072</v>
          </cell>
          <cell r="AQ257">
            <v>0</v>
          </cell>
          <cell r="AR257">
            <v>0</v>
          </cell>
          <cell r="AS257">
            <v>25072</v>
          </cell>
          <cell r="AT257">
            <v>40636</v>
          </cell>
          <cell r="AU257">
            <v>0</v>
          </cell>
          <cell r="AV257">
            <v>0</v>
          </cell>
          <cell r="AW257">
            <v>40636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9218.2199999999993</v>
          </cell>
          <cell r="BK257">
            <v>0</v>
          </cell>
          <cell r="BL257">
            <v>0</v>
          </cell>
          <cell r="BM257">
            <v>9218.2199999999993</v>
          </cell>
          <cell r="BN257">
            <v>14639.43</v>
          </cell>
          <cell r="BO257">
            <v>0</v>
          </cell>
          <cell r="BP257">
            <v>0</v>
          </cell>
          <cell r="BQ257">
            <v>14639.43</v>
          </cell>
          <cell r="BR257">
            <v>1609184.11</v>
          </cell>
          <cell r="BS257">
            <v>0</v>
          </cell>
          <cell r="BT257">
            <v>0</v>
          </cell>
          <cell r="BU257">
            <v>1609184.11</v>
          </cell>
          <cell r="BV257">
            <v>-34410.28</v>
          </cell>
          <cell r="BW257">
            <v>0</v>
          </cell>
          <cell r="BX257">
            <v>0</v>
          </cell>
          <cell r="BY257">
            <v>-34410.28</v>
          </cell>
          <cell r="BZ257">
            <v>69916.45</v>
          </cell>
          <cell r="CA257">
            <v>0</v>
          </cell>
          <cell r="CB257">
            <v>0</v>
          </cell>
          <cell r="CC257">
            <v>69916.45</v>
          </cell>
          <cell r="CD257">
            <v>1318.96</v>
          </cell>
          <cell r="CE257">
            <v>0</v>
          </cell>
          <cell r="CF257">
            <v>0</v>
          </cell>
          <cell r="CG257">
            <v>1318.96</v>
          </cell>
          <cell r="CH257">
            <v>847.37</v>
          </cell>
          <cell r="CI257">
            <v>0</v>
          </cell>
          <cell r="CJ257">
            <v>0</v>
          </cell>
          <cell r="CK257">
            <v>847.37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3626.7</v>
          </cell>
          <cell r="CQ257">
            <v>0</v>
          </cell>
          <cell r="CR257">
            <v>0</v>
          </cell>
          <cell r="CS257">
            <v>3626.7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</row>
        <row r="258">
          <cell r="A258">
            <v>252</v>
          </cell>
          <cell r="B258" t="str">
            <v>E5019</v>
          </cell>
          <cell r="C258" t="str">
            <v>ILB</v>
          </cell>
          <cell r="D258" t="str">
            <v>L</v>
          </cell>
          <cell r="E258" t="str">
            <v>Southwark</v>
          </cell>
          <cell r="F258">
            <v>530415</v>
          </cell>
          <cell r="G258">
            <v>0</v>
          </cell>
          <cell r="H258">
            <v>0</v>
          </cell>
          <cell r="I258">
            <v>530415</v>
          </cell>
          <cell r="J258">
            <v>-1139307</v>
          </cell>
          <cell r="K258">
            <v>0</v>
          </cell>
          <cell r="L258">
            <v>0</v>
          </cell>
          <cell r="M258">
            <v>-1139307</v>
          </cell>
          <cell r="N258">
            <v>135269</v>
          </cell>
          <cell r="O258">
            <v>0</v>
          </cell>
          <cell r="P258">
            <v>0</v>
          </cell>
          <cell r="Q258">
            <v>135269</v>
          </cell>
          <cell r="R258">
            <v>577327</v>
          </cell>
          <cell r="S258">
            <v>0</v>
          </cell>
          <cell r="T258">
            <v>0</v>
          </cell>
          <cell r="U258">
            <v>577327</v>
          </cell>
          <cell r="V258">
            <v>5173509</v>
          </cell>
          <cell r="W258">
            <v>0</v>
          </cell>
          <cell r="X258">
            <v>0</v>
          </cell>
          <cell r="Y258">
            <v>5173509</v>
          </cell>
          <cell r="Z258">
            <v>497430</v>
          </cell>
          <cell r="AA258">
            <v>0</v>
          </cell>
          <cell r="AB258">
            <v>0</v>
          </cell>
          <cell r="AC258">
            <v>497430</v>
          </cell>
          <cell r="AD258">
            <v>4090419</v>
          </cell>
          <cell r="AE258">
            <v>0</v>
          </cell>
          <cell r="AF258">
            <v>0</v>
          </cell>
          <cell r="AG258">
            <v>4090419</v>
          </cell>
          <cell r="AH258">
            <v>12470</v>
          </cell>
          <cell r="AI258">
            <v>0</v>
          </cell>
          <cell r="AJ258">
            <v>0</v>
          </cell>
          <cell r="AK258">
            <v>12470</v>
          </cell>
          <cell r="AL258">
            <v>23290702</v>
          </cell>
          <cell r="AM258">
            <v>0</v>
          </cell>
          <cell r="AN258">
            <v>0</v>
          </cell>
          <cell r="AO258">
            <v>23290702</v>
          </cell>
          <cell r="AP258">
            <v>46173</v>
          </cell>
          <cell r="AQ258">
            <v>0</v>
          </cell>
          <cell r="AR258">
            <v>0</v>
          </cell>
          <cell r="AS258">
            <v>46173</v>
          </cell>
          <cell r="AT258">
            <v>51865</v>
          </cell>
          <cell r="AU258">
            <v>0</v>
          </cell>
          <cell r="AV258">
            <v>0</v>
          </cell>
          <cell r="AW258">
            <v>51865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237883</v>
          </cell>
          <cell r="BK258">
            <v>0</v>
          </cell>
          <cell r="BL258">
            <v>0</v>
          </cell>
          <cell r="BM258">
            <v>237883</v>
          </cell>
          <cell r="BN258">
            <v>323458</v>
          </cell>
          <cell r="BO258">
            <v>0</v>
          </cell>
          <cell r="BP258">
            <v>0</v>
          </cell>
          <cell r="BQ258">
            <v>323458</v>
          </cell>
          <cell r="BR258">
            <v>7147940</v>
          </cell>
          <cell r="BS258">
            <v>0</v>
          </cell>
          <cell r="BT258">
            <v>0</v>
          </cell>
          <cell r="BU258">
            <v>7147940</v>
          </cell>
          <cell r="BV258">
            <v>834468</v>
          </cell>
          <cell r="BW258">
            <v>0</v>
          </cell>
          <cell r="BX258">
            <v>0</v>
          </cell>
          <cell r="BY258">
            <v>834468</v>
          </cell>
          <cell r="BZ258">
            <v>373660</v>
          </cell>
          <cell r="CA258">
            <v>0</v>
          </cell>
          <cell r="CB258">
            <v>0</v>
          </cell>
          <cell r="CC258">
            <v>373660</v>
          </cell>
          <cell r="CD258">
            <v>13808</v>
          </cell>
          <cell r="CE258">
            <v>0</v>
          </cell>
          <cell r="CF258">
            <v>0</v>
          </cell>
          <cell r="CG258">
            <v>13808</v>
          </cell>
          <cell r="CH258">
            <v>45916</v>
          </cell>
          <cell r="CI258">
            <v>0</v>
          </cell>
          <cell r="CJ258">
            <v>0</v>
          </cell>
          <cell r="CK258">
            <v>45916</v>
          </cell>
          <cell r="CL258">
            <v>5501</v>
          </cell>
          <cell r="CM258">
            <v>0</v>
          </cell>
          <cell r="CN258">
            <v>0</v>
          </cell>
          <cell r="CO258">
            <v>5501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4382</v>
          </cell>
          <cell r="EK258">
            <v>0</v>
          </cell>
          <cell r="EL258">
            <v>0</v>
          </cell>
          <cell r="EM258">
            <v>4382</v>
          </cell>
        </row>
        <row r="259">
          <cell r="A259">
            <v>253</v>
          </cell>
          <cell r="B259" t="str">
            <v>E3637</v>
          </cell>
          <cell r="C259" t="str">
            <v>SD</v>
          </cell>
          <cell r="D259" t="str">
            <v>SE</v>
          </cell>
          <cell r="E259" t="str">
            <v>Spelthorne</v>
          </cell>
          <cell r="F259">
            <v>23215</v>
          </cell>
          <cell r="G259">
            <v>0</v>
          </cell>
          <cell r="H259">
            <v>0</v>
          </cell>
          <cell r="I259">
            <v>23215</v>
          </cell>
          <cell r="J259">
            <v>-4893</v>
          </cell>
          <cell r="K259">
            <v>0</v>
          </cell>
          <cell r="L259">
            <v>0</v>
          </cell>
          <cell r="M259">
            <v>-4893</v>
          </cell>
          <cell r="N259">
            <v>51673</v>
          </cell>
          <cell r="O259">
            <v>0</v>
          </cell>
          <cell r="P259">
            <v>0</v>
          </cell>
          <cell r="Q259">
            <v>51673</v>
          </cell>
          <cell r="R259">
            <v>-204995</v>
          </cell>
          <cell r="S259">
            <v>0</v>
          </cell>
          <cell r="T259">
            <v>0</v>
          </cell>
          <cell r="U259">
            <v>-204995</v>
          </cell>
          <cell r="V259">
            <v>1154639</v>
          </cell>
          <cell r="W259">
            <v>0</v>
          </cell>
          <cell r="X259">
            <v>0</v>
          </cell>
          <cell r="Y259">
            <v>1154639</v>
          </cell>
          <cell r="Z259">
            <v>64410</v>
          </cell>
          <cell r="AA259">
            <v>0</v>
          </cell>
          <cell r="AB259">
            <v>0</v>
          </cell>
          <cell r="AC259">
            <v>64410</v>
          </cell>
          <cell r="AD259">
            <v>816865</v>
          </cell>
          <cell r="AE259">
            <v>0</v>
          </cell>
          <cell r="AF259">
            <v>0</v>
          </cell>
          <cell r="AG259">
            <v>816865</v>
          </cell>
          <cell r="AH259">
            <v>-15594</v>
          </cell>
          <cell r="AI259">
            <v>0</v>
          </cell>
          <cell r="AJ259">
            <v>0</v>
          </cell>
          <cell r="AK259">
            <v>-15594</v>
          </cell>
          <cell r="AL259">
            <v>1673650</v>
          </cell>
          <cell r="AM259">
            <v>0</v>
          </cell>
          <cell r="AN259">
            <v>0</v>
          </cell>
          <cell r="AO259">
            <v>1673650</v>
          </cell>
          <cell r="AP259">
            <v>-27395</v>
          </cell>
          <cell r="AQ259">
            <v>0</v>
          </cell>
          <cell r="AR259">
            <v>0</v>
          </cell>
          <cell r="AS259">
            <v>-27395</v>
          </cell>
          <cell r="AT259">
            <v>28260</v>
          </cell>
          <cell r="AU259">
            <v>0</v>
          </cell>
          <cell r="AV259">
            <v>0</v>
          </cell>
          <cell r="AW259">
            <v>28260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39132</v>
          </cell>
          <cell r="BK259">
            <v>0</v>
          </cell>
          <cell r="BL259">
            <v>0</v>
          </cell>
          <cell r="BM259">
            <v>39132</v>
          </cell>
          <cell r="BN259">
            <v>-22447</v>
          </cell>
          <cell r="BO259">
            <v>0</v>
          </cell>
          <cell r="BP259">
            <v>0</v>
          </cell>
          <cell r="BQ259">
            <v>-22447</v>
          </cell>
          <cell r="BR259">
            <v>2289417</v>
          </cell>
          <cell r="BS259">
            <v>0</v>
          </cell>
          <cell r="BT259">
            <v>0</v>
          </cell>
          <cell r="BU259">
            <v>2289417</v>
          </cell>
          <cell r="BV259">
            <v>36080</v>
          </cell>
          <cell r="BW259">
            <v>0</v>
          </cell>
          <cell r="BX259">
            <v>0</v>
          </cell>
          <cell r="BY259">
            <v>36080</v>
          </cell>
          <cell r="BZ259">
            <v>52702</v>
          </cell>
          <cell r="CA259">
            <v>0</v>
          </cell>
          <cell r="CB259">
            <v>0</v>
          </cell>
          <cell r="CC259">
            <v>52702</v>
          </cell>
          <cell r="CD259">
            <v>-5</v>
          </cell>
          <cell r="CE259">
            <v>0</v>
          </cell>
          <cell r="CF259">
            <v>0</v>
          </cell>
          <cell r="CG259">
            <v>-5</v>
          </cell>
          <cell r="CH259">
            <v>41163</v>
          </cell>
          <cell r="CI259">
            <v>0</v>
          </cell>
          <cell r="CJ259">
            <v>0</v>
          </cell>
          <cell r="CK259">
            <v>41163</v>
          </cell>
          <cell r="CL259">
            <v>-1071</v>
          </cell>
          <cell r="CM259">
            <v>0</v>
          </cell>
          <cell r="CN259">
            <v>0</v>
          </cell>
          <cell r="CO259">
            <v>-1071</v>
          </cell>
          <cell r="CP259">
            <v>6453</v>
          </cell>
          <cell r="CQ259">
            <v>0</v>
          </cell>
          <cell r="CR259">
            <v>0</v>
          </cell>
          <cell r="CS259">
            <v>6453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52847</v>
          </cell>
          <cell r="EC259">
            <v>0</v>
          </cell>
          <cell r="ED259">
            <v>0</v>
          </cell>
          <cell r="EE259">
            <v>52847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</row>
        <row r="260">
          <cell r="A260">
            <v>254</v>
          </cell>
          <cell r="B260" t="str">
            <v>E1936</v>
          </cell>
          <cell r="C260" t="str">
            <v>SD</v>
          </cell>
          <cell r="D260" t="str">
            <v>E</v>
          </cell>
          <cell r="E260" t="str">
            <v>St Albans</v>
          </cell>
          <cell r="F260">
            <v>197753</v>
          </cell>
          <cell r="G260">
            <v>0</v>
          </cell>
          <cell r="H260">
            <v>0</v>
          </cell>
          <cell r="I260">
            <v>197753</v>
          </cell>
          <cell r="J260">
            <v>-247127</v>
          </cell>
          <cell r="K260">
            <v>0</v>
          </cell>
          <cell r="L260">
            <v>0</v>
          </cell>
          <cell r="M260">
            <v>-247127</v>
          </cell>
          <cell r="N260">
            <v>39701.07</v>
          </cell>
          <cell r="O260">
            <v>0</v>
          </cell>
          <cell r="P260">
            <v>0</v>
          </cell>
          <cell r="Q260">
            <v>39701.07</v>
          </cell>
          <cell r="R260">
            <v>225883.65</v>
          </cell>
          <cell r="S260">
            <v>0</v>
          </cell>
          <cell r="T260">
            <v>0</v>
          </cell>
          <cell r="U260">
            <v>225883.65</v>
          </cell>
          <cell r="V260">
            <v>1481017.03</v>
          </cell>
          <cell r="W260">
            <v>0</v>
          </cell>
          <cell r="X260">
            <v>0</v>
          </cell>
          <cell r="Y260">
            <v>1481017.03</v>
          </cell>
          <cell r="Z260">
            <v>96860.08</v>
          </cell>
          <cell r="AA260">
            <v>0</v>
          </cell>
          <cell r="AB260">
            <v>0</v>
          </cell>
          <cell r="AC260">
            <v>96860.08</v>
          </cell>
          <cell r="AD260">
            <v>1241703.57</v>
          </cell>
          <cell r="AE260">
            <v>0</v>
          </cell>
          <cell r="AF260">
            <v>0</v>
          </cell>
          <cell r="AG260">
            <v>1241703.57</v>
          </cell>
          <cell r="AH260">
            <v>-23831.59</v>
          </cell>
          <cell r="AI260">
            <v>0</v>
          </cell>
          <cell r="AJ260">
            <v>0</v>
          </cell>
          <cell r="AK260">
            <v>-23831.59</v>
          </cell>
          <cell r="AL260">
            <v>4900947.75</v>
          </cell>
          <cell r="AM260">
            <v>0</v>
          </cell>
          <cell r="AN260">
            <v>0</v>
          </cell>
          <cell r="AO260">
            <v>4900947.75</v>
          </cell>
          <cell r="AP260">
            <v>157416.14000000001</v>
          </cell>
          <cell r="AQ260">
            <v>0</v>
          </cell>
          <cell r="AR260">
            <v>0</v>
          </cell>
          <cell r="AS260">
            <v>157416.14000000001</v>
          </cell>
          <cell r="AT260">
            <v>132535.51999999999</v>
          </cell>
          <cell r="AU260">
            <v>0</v>
          </cell>
          <cell r="AV260">
            <v>0</v>
          </cell>
          <cell r="AW260">
            <v>132535.51999999999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124591.97</v>
          </cell>
          <cell r="BK260">
            <v>0</v>
          </cell>
          <cell r="BL260">
            <v>0</v>
          </cell>
          <cell r="BM260">
            <v>124591.97</v>
          </cell>
          <cell r="BN260">
            <v>19085.57</v>
          </cell>
          <cell r="BO260">
            <v>0</v>
          </cell>
          <cell r="BP260">
            <v>0</v>
          </cell>
          <cell r="BQ260">
            <v>19085.57</v>
          </cell>
          <cell r="BR260">
            <v>660773</v>
          </cell>
          <cell r="BS260">
            <v>0</v>
          </cell>
          <cell r="BT260">
            <v>0</v>
          </cell>
          <cell r="BU260">
            <v>660773</v>
          </cell>
          <cell r="BV260">
            <v>-2316550</v>
          </cell>
          <cell r="BW260">
            <v>0</v>
          </cell>
          <cell r="BX260">
            <v>0</v>
          </cell>
          <cell r="BY260">
            <v>-2316550</v>
          </cell>
          <cell r="BZ260">
            <v>123597.82</v>
          </cell>
          <cell r="CA260">
            <v>0</v>
          </cell>
          <cell r="CB260">
            <v>0</v>
          </cell>
          <cell r="CC260">
            <v>123597.82</v>
          </cell>
          <cell r="CD260">
            <v>3983.09</v>
          </cell>
          <cell r="CE260">
            <v>0</v>
          </cell>
          <cell r="CF260">
            <v>0</v>
          </cell>
          <cell r="CG260">
            <v>3983.09</v>
          </cell>
          <cell r="CH260">
            <v>20109.21</v>
          </cell>
          <cell r="CI260">
            <v>0</v>
          </cell>
          <cell r="CJ260">
            <v>0</v>
          </cell>
          <cell r="CK260">
            <v>20109.21</v>
          </cell>
          <cell r="CL260">
            <v>-24961.24</v>
          </cell>
          <cell r="CM260">
            <v>0</v>
          </cell>
          <cell r="CN260">
            <v>0</v>
          </cell>
          <cell r="CO260">
            <v>-24961.24</v>
          </cell>
          <cell r="CP260">
            <v>1106.8499999999999</v>
          </cell>
          <cell r="CQ260">
            <v>0</v>
          </cell>
          <cell r="CR260">
            <v>0</v>
          </cell>
          <cell r="CS260">
            <v>1106.8499999999999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</row>
        <row r="261">
          <cell r="A261">
            <v>255</v>
          </cell>
          <cell r="B261" t="str">
            <v>E3535</v>
          </cell>
          <cell r="C261" t="str">
            <v>SD</v>
          </cell>
          <cell r="D261" t="str">
            <v>E</v>
          </cell>
          <cell r="E261" t="str">
            <v>St Edmundsbury</v>
          </cell>
          <cell r="F261">
            <v>67738.710000000006</v>
          </cell>
          <cell r="G261">
            <v>0</v>
          </cell>
          <cell r="H261">
            <v>0</v>
          </cell>
          <cell r="I261">
            <v>67738.710000000006</v>
          </cell>
          <cell r="J261">
            <v>-79832.06</v>
          </cell>
          <cell r="K261">
            <v>0</v>
          </cell>
          <cell r="L261">
            <v>0</v>
          </cell>
          <cell r="M261">
            <v>-79832.06</v>
          </cell>
          <cell r="N261">
            <v>8673.57</v>
          </cell>
          <cell r="O261">
            <v>0</v>
          </cell>
          <cell r="P261">
            <v>0</v>
          </cell>
          <cell r="Q261">
            <v>8673.57</v>
          </cell>
          <cell r="R261">
            <v>-7588.58</v>
          </cell>
          <cell r="S261">
            <v>0</v>
          </cell>
          <cell r="T261">
            <v>0</v>
          </cell>
          <cell r="U261">
            <v>-7588.58</v>
          </cell>
          <cell r="V261">
            <v>1867211.85</v>
          </cell>
          <cell r="W261">
            <v>0</v>
          </cell>
          <cell r="X261">
            <v>0</v>
          </cell>
          <cell r="Y261">
            <v>1867211.85</v>
          </cell>
          <cell r="Z261">
            <v>34131.67</v>
          </cell>
          <cell r="AA261">
            <v>0</v>
          </cell>
          <cell r="AB261">
            <v>0</v>
          </cell>
          <cell r="AC261">
            <v>34131.67</v>
          </cell>
          <cell r="AD261">
            <v>873484.98</v>
          </cell>
          <cell r="AE261">
            <v>0</v>
          </cell>
          <cell r="AF261">
            <v>0</v>
          </cell>
          <cell r="AG261">
            <v>873484.98</v>
          </cell>
          <cell r="AH261">
            <v>2592.15</v>
          </cell>
          <cell r="AI261">
            <v>0</v>
          </cell>
          <cell r="AJ261">
            <v>0</v>
          </cell>
          <cell r="AK261">
            <v>2592.15</v>
          </cell>
          <cell r="AL261">
            <v>2420259.61</v>
          </cell>
          <cell r="AM261">
            <v>0</v>
          </cell>
          <cell r="AN261">
            <v>0</v>
          </cell>
          <cell r="AO261">
            <v>2420259.61</v>
          </cell>
          <cell r="AP261">
            <v>10453.049999999999</v>
          </cell>
          <cell r="AQ261">
            <v>0</v>
          </cell>
          <cell r="AR261">
            <v>0</v>
          </cell>
          <cell r="AS261">
            <v>10453.049999999999</v>
          </cell>
          <cell r="AT261">
            <v>20318.939999999999</v>
          </cell>
          <cell r="AU261">
            <v>0</v>
          </cell>
          <cell r="AV261">
            <v>0</v>
          </cell>
          <cell r="AW261">
            <v>20318.939999999999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54279.94</v>
          </cell>
          <cell r="BC261">
            <v>0</v>
          </cell>
          <cell r="BD261">
            <v>0</v>
          </cell>
          <cell r="BE261">
            <v>54279.94</v>
          </cell>
          <cell r="BF261">
            <v>968.9</v>
          </cell>
          <cell r="BG261">
            <v>0</v>
          </cell>
          <cell r="BH261">
            <v>0</v>
          </cell>
          <cell r="BI261">
            <v>968.9</v>
          </cell>
          <cell r="BJ261">
            <v>62746.239999999998</v>
          </cell>
          <cell r="BK261">
            <v>0</v>
          </cell>
          <cell r="BL261">
            <v>0</v>
          </cell>
          <cell r="BM261">
            <v>62746.239999999998</v>
          </cell>
          <cell r="BN261">
            <v>-864.55</v>
          </cell>
          <cell r="BO261">
            <v>0</v>
          </cell>
          <cell r="BP261">
            <v>0</v>
          </cell>
          <cell r="BQ261">
            <v>-864.55</v>
          </cell>
          <cell r="BR261">
            <v>1415970.8</v>
          </cell>
          <cell r="BS261">
            <v>0</v>
          </cell>
          <cell r="BT261">
            <v>0</v>
          </cell>
          <cell r="BU261">
            <v>1415970.8</v>
          </cell>
          <cell r="BV261">
            <v>46420.480000000003</v>
          </cell>
          <cell r="BW261">
            <v>0</v>
          </cell>
          <cell r="BX261">
            <v>0</v>
          </cell>
          <cell r="BY261">
            <v>46420.480000000003</v>
          </cell>
          <cell r="BZ261">
            <v>99226.54</v>
          </cell>
          <cell r="CA261">
            <v>0</v>
          </cell>
          <cell r="CB261">
            <v>0</v>
          </cell>
          <cell r="CC261">
            <v>99226.54</v>
          </cell>
          <cell r="CD261">
            <v>1717.49</v>
          </cell>
          <cell r="CE261">
            <v>0</v>
          </cell>
          <cell r="CF261">
            <v>0</v>
          </cell>
          <cell r="CG261">
            <v>1717.49</v>
          </cell>
          <cell r="CH261">
            <v>77777.87</v>
          </cell>
          <cell r="CI261">
            <v>0</v>
          </cell>
          <cell r="CJ261">
            <v>0</v>
          </cell>
          <cell r="CK261">
            <v>77777.87</v>
          </cell>
          <cell r="CL261">
            <v>-1094.05</v>
          </cell>
          <cell r="CM261">
            <v>0</v>
          </cell>
          <cell r="CN261">
            <v>0</v>
          </cell>
          <cell r="CO261">
            <v>-1094.05</v>
          </cell>
          <cell r="CP261">
            <v>4089.45</v>
          </cell>
          <cell r="CQ261">
            <v>0</v>
          </cell>
          <cell r="CR261">
            <v>0</v>
          </cell>
          <cell r="CS261">
            <v>4089.45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21460.7</v>
          </cell>
          <cell r="CY261">
            <v>0</v>
          </cell>
          <cell r="CZ261">
            <v>0</v>
          </cell>
          <cell r="DA261">
            <v>21460.7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7747.74</v>
          </cell>
          <cell r="DG261">
            <v>0</v>
          </cell>
          <cell r="DH261">
            <v>0</v>
          </cell>
          <cell r="DI261">
            <v>7747.74</v>
          </cell>
          <cell r="DJ261">
            <v>3200.56</v>
          </cell>
          <cell r="DK261">
            <v>0</v>
          </cell>
          <cell r="DL261">
            <v>0</v>
          </cell>
          <cell r="DM261">
            <v>3200.56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</row>
        <row r="262">
          <cell r="A262">
            <v>256</v>
          </cell>
          <cell r="B262" t="str">
            <v>E4303</v>
          </cell>
          <cell r="C262" t="str">
            <v>Met</v>
          </cell>
          <cell r="D262" t="str">
            <v>NW</v>
          </cell>
          <cell r="E262" t="str">
            <v>St Helens</v>
          </cell>
          <cell r="F262">
            <v>58576</v>
          </cell>
          <cell r="G262">
            <v>0</v>
          </cell>
          <cell r="H262">
            <v>0</v>
          </cell>
          <cell r="I262">
            <v>58576</v>
          </cell>
          <cell r="J262">
            <v>-41807</v>
          </cell>
          <cell r="K262">
            <v>0</v>
          </cell>
          <cell r="L262">
            <v>0</v>
          </cell>
          <cell r="M262">
            <v>-41807</v>
          </cell>
          <cell r="N262">
            <v>83419</v>
          </cell>
          <cell r="O262">
            <v>0</v>
          </cell>
          <cell r="P262">
            <v>0</v>
          </cell>
          <cell r="Q262">
            <v>83419</v>
          </cell>
          <cell r="R262">
            <v>223029</v>
          </cell>
          <cell r="S262">
            <v>0</v>
          </cell>
          <cell r="T262">
            <v>0</v>
          </cell>
          <cell r="U262">
            <v>223029</v>
          </cell>
          <cell r="V262">
            <v>2938858</v>
          </cell>
          <cell r="W262">
            <v>0</v>
          </cell>
          <cell r="X262">
            <v>0</v>
          </cell>
          <cell r="Y262">
            <v>2938858</v>
          </cell>
          <cell r="Z262">
            <v>157357</v>
          </cell>
          <cell r="AA262">
            <v>0</v>
          </cell>
          <cell r="AB262">
            <v>0</v>
          </cell>
          <cell r="AC262">
            <v>157357</v>
          </cell>
          <cell r="AD262">
            <v>1026537</v>
          </cell>
          <cell r="AE262">
            <v>0</v>
          </cell>
          <cell r="AF262">
            <v>0</v>
          </cell>
          <cell r="AG262">
            <v>1026537</v>
          </cell>
          <cell r="AH262">
            <v>-1470</v>
          </cell>
          <cell r="AI262">
            <v>0</v>
          </cell>
          <cell r="AJ262">
            <v>0</v>
          </cell>
          <cell r="AK262">
            <v>-1470</v>
          </cell>
          <cell r="AL262">
            <v>3188618</v>
          </cell>
          <cell r="AM262">
            <v>0</v>
          </cell>
          <cell r="AN262">
            <v>0</v>
          </cell>
          <cell r="AO262">
            <v>3188618</v>
          </cell>
          <cell r="AP262">
            <v>396714</v>
          </cell>
          <cell r="AQ262">
            <v>0</v>
          </cell>
          <cell r="AR262">
            <v>0</v>
          </cell>
          <cell r="AS262">
            <v>396714</v>
          </cell>
          <cell r="AT262">
            <v>92551.24</v>
          </cell>
          <cell r="AU262">
            <v>0</v>
          </cell>
          <cell r="AV262">
            <v>0</v>
          </cell>
          <cell r="AW262">
            <v>92551.24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-0.01</v>
          </cell>
          <cell r="BO262">
            <v>0</v>
          </cell>
          <cell r="BP262">
            <v>0</v>
          </cell>
          <cell r="BQ262">
            <v>-0.01</v>
          </cell>
          <cell r="BR262">
            <v>2233091</v>
          </cell>
          <cell r="BS262">
            <v>0</v>
          </cell>
          <cell r="BT262">
            <v>0</v>
          </cell>
          <cell r="BU262">
            <v>2233091</v>
          </cell>
          <cell r="BV262">
            <v>41908</v>
          </cell>
          <cell r="BW262">
            <v>0</v>
          </cell>
          <cell r="BX262">
            <v>0</v>
          </cell>
          <cell r="BY262">
            <v>41908</v>
          </cell>
          <cell r="BZ262">
            <v>242983</v>
          </cell>
          <cell r="CA262">
            <v>0</v>
          </cell>
          <cell r="CB262">
            <v>0</v>
          </cell>
          <cell r="CC262">
            <v>242983</v>
          </cell>
          <cell r="CD262">
            <v>-19964</v>
          </cell>
          <cell r="CE262">
            <v>0</v>
          </cell>
          <cell r="CF262">
            <v>0</v>
          </cell>
          <cell r="CG262">
            <v>-19964</v>
          </cell>
          <cell r="CH262">
            <v>5256</v>
          </cell>
          <cell r="CI262">
            <v>0</v>
          </cell>
          <cell r="CJ262">
            <v>0</v>
          </cell>
          <cell r="CK262">
            <v>5256</v>
          </cell>
          <cell r="CL262">
            <v>-41537</v>
          </cell>
          <cell r="CM262">
            <v>0</v>
          </cell>
          <cell r="CN262">
            <v>0</v>
          </cell>
          <cell r="CO262">
            <v>-41537</v>
          </cell>
          <cell r="CP262">
            <v>12573</v>
          </cell>
          <cell r="CQ262">
            <v>0</v>
          </cell>
          <cell r="CR262">
            <v>0</v>
          </cell>
          <cell r="CS262">
            <v>12573</v>
          </cell>
          <cell r="CT262">
            <v>298</v>
          </cell>
          <cell r="CU262">
            <v>0</v>
          </cell>
          <cell r="CV262">
            <v>0</v>
          </cell>
          <cell r="CW262">
            <v>298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-2609</v>
          </cell>
          <cell r="EK262">
            <v>0</v>
          </cell>
          <cell r="EL262">
            <v>0</v>
          </cell>
          <cell r="EM262">
            <v>-2609</v>
          </cell>
        </row>
        <row r="263">
          <cell r="A263">
            <v>257</v>
          </cell>
          <cell r="B263" t="str">
            <v>E3436</v>
          </cell>
          <cell r="C263" t="str">
            <v>SD</v>
          </cell>
          <cell r="D263" t="str">
            <v>WM</v>
          </cell>
          <cell r="E263" t="str">
            <v>Stafford</v>
          </cell>
          <cell r="F263">
            <v>104714.12</v>
          </cell>
          <cell r="G263">
            <v>0</v>
          </cell>
          <cell r="H263">
            <v>0</v>
          </cell>
          <cell r="I263">
            <v>104714.12</v>
          </cell>
          <cell r="J263">
            <v>-81229.460000000006</v>
          </cell>
          <cell r="K263">
            <v>0</v>
          </cell>
          <cell r="L263">
            <v>0</v>
          </cell>
          <cell r="M263">
            <v>-81229.460000000006</v>
          </cell>
          <cell r="N263">
            <v>44945</v>
          </cell>
          <cell r="O263">
            <v>0</v>
          </cell>
          <cell r="P263">
            <v>0</v>
          </cell>
          <cell r="Q263">
            <v>44945</v>
          </cell>
          <cell r="R263">
            <v>10742</v>
          </cell>
          <cell r="S263">
            <v>0</v>
          </cell>
          <cell r="T263">
            <v>0</v>
          </cell>
          <cell r="U263">
            <v>10742</v>
          </cell>
          <cell r="V263">
            <v>2226000.37</v>
          </cell>
          <cell r="W263">
            <v>0</v>
          </cell>
          <cell r="X263">
            <v>0</v>
          </cell>
          <cell r="Y263">
            <v>2226000.37</v>
          </cell>
          <cell r="Z263">
            <v>68378.23</v>
          </cell>
          <cell r="AA263">
            <v>0</v>
          </cell>
          <cell r="AB263">
            <v>0</v>
          </cell>
          <cell r="AC263">
            <v>68378.23</v>
          </cell>
          <cell r="AD263">
            <v>861511.23</v>
          </cell>
          <cell r="AE263">
            <v>0</v>
          </cell>
          <cell r="AF263">
            <v>0</v>
          </cell>
          <cell r="AG263">
            <v>861511.23</v>
          </cell>
          <cell r="AH263">
            <v>-10731.94</v>
          </cell>
          <cell r="AI263">
            <v>0</v>
          </cell>
          <cell r="AJ263">
            <v>0</v>
          </cell>
          <cell r="AK263">
            <v>-10731.94</v>
          </cell>
          <cell r="AL263">
            <v>2345778.34</v>
          </cell>
          <cell r="AM263">
            <v>0</v>
          </cell>
          <cell r="AN263">
            <v>0</v>
          </cell>
          <cell r="AO263">
            <v>2345778.34</v>
          </cell>
          <cell r="AP263">
            <v>81255.91</v>
          </cell>
          <cell r="AQ263">
            <v>0</v>
          </cell>
          <cell r="AR263">
            <v>0</v>
          </cell>
          <cell r="AS263">
            <v>81255.91</v>
          </cell>
          <cell r="AT263">
            <v>15226.51</v>
          </cell>
          <cell r="AU263">
            <v>0</v>
          </cell>
          <cell r="AV263">
            <v>0</v>
          </cell>
          <cell r="AW263">
            <v>15226.51</v>
          </cell>
          <cell r="AX263">
            <v>817.12</v>
          </cell>
          <cell r="AY263">
            <v>0</v>
          </cell>
          <cell r="AZ263">
            <v>0</v>
          </cell>
          <cell r="BA263">
            <v>817.12</v>
          </cell>
          <cell r="BB263">
            <v>21875.24</v>
          </cell>
          <cell r="BC263">
            <v>0</v>
          </cell>
          <cell r="BD263">
            <v>0</v>
          </cell>
          <cell r="BE263">
            <v>21875.24</v>
          </cell>
          <cell r="BF263">
            <v>110.4</v>
          </cell>
          <cell r="BG263">
            <v>0</v>
          </cell>
          <cell r="BH263">
            <v>0</v>
          </cell>
          <cell r="BI263">
            <v>110.4</v>
          </cell>
          <cell r="BJ263">
            <v>66591.56</v>
          </cell>
          <cell r="BK263">
            <v>0</v>
          </cell>
          <cell r="BL263">
            <v>0</v>
          </cell>
          <cell r="BM263">
            <v>66591.56</v>
          </cell>
          <cell r="BN263">
            <v>30563.59</v>
          </cell>
          <cell r="BO263">
            <v>0</v>
          </cell>
          <cell r="BP263">
            <v>0</v>
          </cell>
          <cell r="BQ263">
            <v>30563.59</v>
          </cell>
          <cell r="BR263">
            <v>2209168.65</v>
          </cell>
          <cell r="BS263">
            <v>0</v>
          </cell>
          <cell r="BT263">
            <v>0</v>
          </cell>
          <cell r="BU263">
            <v>2209168.65</v>
          </cell>
          <cell r="BV263">
            <v>51697.77</v>
          </cell>
          <cell r="BW263">
            <v>0</v>
          </cell>
          <cell r="BX263">
            <v>0</v>
          </cell>
          <cell r="BY263">
            <v>51697.77</v>
          </cell>
          <cell r="BZ263">
            <v>201648.54</v>
          </cell>
          <cell r="CA263">
            <v>0</v>
          </cell>
          <cell r="CB263">
            <v>0</v>
          </cell>
          <cell r="CC263">
            <v>201648.54</v>
          </cell>
          <cell r="CD263">
            <v>5088.1499999999996</v>
          </cell>
          <cell r="CE263">
            <v>0</v>
          </cell>
          <cell r="CF263">
            <v>0</v>
          </cell>
          <cell r="CG263">
            <v>5088.1499999999996</v>
          </cell>
          <cell r="CH263">
            <v>106596</v>
          </cell>
          <cell r="CI263">
            <v>0</v>
          </cell>
          <cell r="CJ263">
            <v>0</v>
          </cell>
          <cell r="CK263">
            <v>106596</v>
          </cell>
          <cell r="CL263">
            <v>1194.55</v>
          </cell>
          <cell r="CM263">
            <v>0</v>
          </cell>
          <cell r="CN263">
            <v>0</v>
          </cell>
          <cell r="CO263">
            <v>1194.55</v>
          </cell>
          <cell r="CP263">
            <v>3806.63</v>
          </cell>
          <cell r="CQ263">
            <v>0</v>
          </cell>
          <cell r="CR263">
            <v>0</v>
          </cell>
          <cell r="CS263">
            <v>3806.63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16140.81</v>
          </cell>
          <cell r="CY263">
            <v>0</v>
          </cell>
          <cell r="CZ263">
            <v>0</v>
          </cell>
          <cell r="DA263">
            <v>16140.81</v>
          </cell>
          <cell r="DB263">
            <v>110.38</v>
          </cell>
          <cell r="DC263">
            <v>0</v>
          </cell>
          <cell r="DD263">
            <v>0</v>
          </cell>
          <cell r="DE263">
            <v>110.38</v>
          </cell>
          <cell r="DF263">
            <v>4704.1099999999997</v>
          </cell>
          <cell r="DG263">
            <v>0</v>
          </cell>
          <cell r="DH263">
            <v>0</v>
          </cell>
          <cell r="DI263">
            <v>4704.1099999999997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</row>
        <row r="264">
          <cell r="A264">
            <v>258</v>
          </cell>
          <cell r="B264" t="str">
            <v>E3437</v>
          </cell>
          <cell r="C264" t="str">
            <v>SD</v>
          </cell>
          <cell r="D264" t="str">
            <v>WM</v>
          </cell>
          <cell r="E264" t="str">
            <v>Staffordshire Moorlands</v>
          </cell>
          <cell r="F264">
            <v>118450</v>
          </cell>
          <cell r="G264">
            <v>0</v>
          </cell>
          <cell r="H264">
            <v>0</v>
          </cell>
          <cell r="I264">
            <v>118450</v>
          </cell>
          <cell r="J264">
            <v>-71262</v>
          </cell>
          <cell r="K264">
            <v>0</v>
          </cell>
          <cell r="L264">
            <v>0</v>
          </cell>
          <cell r="M264">
            <v>-71262</v>
          </cell>
          <cell r="N264">
            <v>2822</v>
          </cell>
          <cell r="O264">
            <v>0</v>
          </cell>
          <cell r="P264">
            <v>0</v>
          </cell>
          <cell r="Q264">
            <v>2822</v>
          </cell>
          <cell r="R264">
            <v>14495</v>
          </cell>
          <cell r="S264">
            <v>0</v>
          </cell>
          <cell r="T264">
            <v>0</v>
          </cell>
          <cell r="U264">
            <v>14495</v>
          </cell>
          <cell r="V264">
            <v>2101923</v>
          </cell>
          <cell r="W264">
            <v>0</v>
          </cell>
          <cell r="X264">
            <v>0</v>
          </cell>
          <cell r="Y264">
            <v>2101923</v>
          </cell>
          <cell r="Z264">
            <v>84272</v>
          </cell>
          <cell r="AA264">
            <v>0</v>
          </cell>
          <cell r="AB264">
            <v>0</v>
          </cell>
          <cell r="AC264">
            <v>84272</v>
          </cell>
          <cell r="AD264">
            <v>331872</v>
          </cell>
          <cell r="AE264">
            <v>0</v>
          </cell>
          <cell r="AF264">
            <v>0</v>
          </cell>
          <cell r="AG264">
            <v>331872</v>
          </cell>
          <cell r="AH264">
            <v>-8231</v>
          </cell>
          <cell r="AI264">
            <v>0</v>
          </cell>
          <cell r="AJ264">
            <v>0</v>
          </cell>
          <cell r="AK264">
            <v>-8231</v>
          </cell>
          <cell r="AL264">
            <v>1106056</v>
          </cell>
          <cell r="AM264">
            <v>0</v>
          </cell>
          <cell r="AN264">
            <v>0</v>
          </cell>
          <cell r="AO264">
            <v>1106056</v>
          </cell>
          <cell r="AP264">
            <v>-1615</v>
          </cell>
          <cell r="AQ264">
            <v>0</v>
          </cell>
          <cell r="AR264">
            <v>0</v>
          </cell>
          <cell r="AS264">
            <v>-1615</v>
          </cell>
          <cell r="AT264">
            <v>47194</v>
          </cell>
          <cell r="AU264">
            <v>0</v>
          </cell>
          <cell r="AV264">
            <v>0</v>
          </cell>
          <cell r="AW264">
            <v>47194</v>
          </cell>
          <cell r="AX264">
            <v>863</v>
          </cell>
          <cell r="AY264">
            <v>0</v>
          </cell>
          <cell r="AZ264">
            <v>0</v>
          </cell>
          <cell r="BA264">
            <v>863</v>
          </cell>
          <cell r="BB264">
            <v>17778</v>
          </cell>
          <cell r="BC264">
            <v>0</v>
          </cell>
          <cell r="BD264">
            <v>0</v>
          </cell>
          <cell r="BE264">
            <v>17778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18678</v>
          </cell>
          <cell r="BK264">
            <v>0</v>
          </cell>
          <cell r="BL264">
            <v>0</v>
          </cell>
          <cell r="BM264">
            <v>18678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627758</v>
          </cell>
          <cell r="BS264">
            <v>0</v>
          </cell>
          <cell r="BT264">
            <v>0</v>
          </cell>
          <cell r="BU264">
            <v>627758</v>
          </cell>
          <cell r="BV264">
            <v>15824</v>
          </cell>
          <cell r="BW264">
            <v>0</v>
          </cell>
          <cell r="BX264">
            <v>0</v>
          </cell>
          <cell r="BY264">
            <v>15824</v>
          </cell>
          <cell r="BZ264">
            <v>77881</v>
          </cell>
          <cell r="CA264">
            <v>0</v>
          </cell>
          <cell r="CB264">
            <v>0</v>
          </cell>
          <cell r="CC264">
            <v>77881</v>
          </cell>
          <cell r="CD264">
            <v>2944</v>
          </cell>
          <cell r="CE264">
            <v>0</v>
          </cell>
          <cell r="CF264">
            <v>0</v>
          </cell>
          <cell r="CG264">
            <v>2944</v>
          </cell>
          <cell r="CH264">
            <v>71476</v>
          </cell>
          <cell r="CI264">
            <v>0</v>
          </cell>
          <cell r="CJ264">
            <v>0</v>
          </cell>
          <cell r="CK264">
            <v>71476</v>
          </cell>
          <cell r="CL264">
            <v>-1073</v>
          </cell>
          <cell r="CM264">
            <v>0</v>
          </cell>
          <cell r="CN264">
            <v>0</v>
          </cell>
          <cell r="CO264">
            <v>-1073</v>
          </cell>
          <cell r="CP264">
            <v>3085</v>
          </cell>
          <cell r="CQ264">
            <v>0</v>
          </cell>
          <cell r="CR264">
            <v>0</v>
          </cell>
          <cell r="CS264">
            <v>3085</v>
          </cell>
          <cell r="CT264">
            <v>216</v>
          </cell>
          <cell r="CU264">
            <v>0</v>
          </cell>
          <cell r="CV264">
            <v>0</v>
          </cell>
          <cell r="CW264">
            <v>216</v>
          </cell>
          <cell r="CX264">
            <v>7173</v>
          </cell>
          <cell r="CY264">
            <v>0</v>
          </cell>
          <cell r="CZ264">
            <v>0</v>
          </cell>
          <cell r="DA264">
            <v>7173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</row>
        <row r="265">
          <cell r="A265">
            <v>259</v>
          </cell>
          <cell r="B265" t="str">
            <v>E1937</v>
          </cell>
          <cell r="C265" t="str">
            <v>SD</v>
          </cell>
          <cell r="D265" t="str">
            <v>E</v>
          </cell>
          <cell r="E265" t="str">
            <v>Stevenage</v>
          </cell>
          <cell r="F265">
            <v>51559.48</v>
          </cell>
          <cell r="G265">
            <v>0</v>
          </cell>
          <cell r="H265">
            <v>0</v>
          </cell>
          <cell r="I265">
            <v>51559.48</v>
          </cell>
          <cell r="J265">
            <v>-85681.75</v>
          </cell>
          <cell r="K265">
            <v>0</v>
          </cell>
          <cell r="L265">
            <v>0</v>
          </cell>
          <cell r="M265">
            <v>-85681.75</v>
          </cell>
          <cell r="N265">
            <v>101245.37</v>
          </cell>
          <cell r="O265">
            <v>0</v>
          </cell>
          <cell r="P265">
            <v>0</v>
          </cell>
          <cell r="Q265">
            <v>101245.37</v>
          </cell>
          <cell r="R265">
            <v>296995.98</v>
          </cell>
          <cell r="S265">
            <v>0</v>
          </cell>
          <cell r="T265">
            <v>0</v>
          </cell>
          <cell r="U265">
            <v>296995.98</v>
          </cell>
          <cell r="V265">
            <v>802792.83</v>
          </cell>
          <cell r="W265">
            <v>0</v>
          </cell>
          <cell r="X265">
            <v>0</v>
          </cell>
          <cell r="Y265">
            <v>802792.83</v>
          </cell>
          <cell r="Z265">
            <v>36819.75</v>
          </cell>
          <cell r="AA265">
            <v>0</v>
          </cell>
          <cell r="AB265">
            <v>0</v>
          </cell>
          <cell r="AC265">
            <v>36819.75</v>
          </cell>
          <cell r="AD265">
            <v>943926.32</v>
          </cell>
          <cell r="AE265">
            <v>0</v>
          </cell>
          <cell r="AF265">
            <v>0</v>
          </cell>
          <cell r="AG265">
            <v>943926.32</v>
          </cell>
          <cell r="AH265">
            <v>-6482.66</v>
          </cell>
          <cell r="AI265">
            <v>0</v>
          </cell>
          <cell r="AJ265">
            <v>0</v>
          </cell>
          <cell r="AK265">
            <v>-6482.66</v>
          </cell>
          <cell r="AL265">
            <v>1582592.62</v>
          </cell>
          <cell r="AM265">
            <v>0</v>
          </cell>
          <cell r="AN265">
            <v>0</v>
          </cell>
          <cell r="AO265">
            <v>1582592.62</v>
          </cell>
          <cell r="AP265">
            <v>15199.66</v>
          </cell>
          <cell r="AQ265">
            <v>0</v>
          </cell>
          <cell r="AR265">
            <v>0</v>
          </cell>
          <cell r="AS265">
            <v>15199.66</v>
          </cell>
          <cell r="AT265">
            <v>3862.2</v>
          </cell>
          <cell r="AU265">
            <v>0</v>
          </cell>
          <cell r="AV265">
            <v>0</v>
          </cell>
          <cell r="AW265">
            <v>3862.2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13502.85</v>
          </cell>
          <cell r="BK265">
            <v>0</v>
          </cell>
          <cell r="BL265">
            <v>0</v>
          </cell>
          <cell r="BM265">
            <v>13502.85</v>
          </cell>
          <cell r="BN265">
            <v>37048.83</v>
          </cell>
          <cell r="BO265">
            <v>0</v>
          </cell>
          <cell r="BP265">
            <v>0</v>
          </cell>
          <cell r="BQ265">
            <v>37048.83</v>
          </cell>
          <cell r="BR265">
            <v>1138811.81</v>
          </cell>
          <cell r="BS265">
            <v>0</v>
          </cell>
          <cell r="BT265">
            <v>0</v>
          </cell>
          <cell r="BU265">
            <v>1138811.81</v>
          </cell>
          <cell r="BV265">
            <v>-9913.84</v>
          </cell>
          <cell r="BW265">
            <v>0</v>
          </cell>
          <cell r="BX265">
            <v>0</v>
          </cell>
          <cell r="BY265">
            <v>-9913.84</v>
          </cell>
          <cell r="BZ265">
            <v>150183.51999999999</v>
          </cell>
          <cell r="CA265">
            <v>0</v>
          </cell>
          <cell r="CB265">
            <v>0</v>
          </cell>
          <cell r="CC265">
            <v>150183.51999999999</v>
          </cell>
          <cell r="CD265">
            <v>1347.09</v>
          </cell>
          <cell r="CE265">
            <v>0</v>
          </cell>
          <cell r="CF265">
            <v>0</v>
          </cell>
          <cell r="CG265">
            <v>1347.09</v>
          </cell>
          <cell r="CH265">
            <v>15926.73</v>
          </cell>
          <cell r="CI265">
            <v>0</v>
          </cell>
          <cell r="CJ265">
            <v>0</v>
          </cell>
          <cell r="CK265">
            <v>15926.73</v>
          </cell>
          <cell r="CL265">
            <v>3015</v>
          </cell>
          <cell r="CM265">
            <v>0</v>
          </cell>
          <cell r="CN265">
            <v>0</v>
          </cell>
          <cell r="CO265">
            <v>3015</v>
          </cell>
          <cell r="CP265">
            <v>965.55</v>
          </cell>
          <cell r="CQ265">
            <v>0</v>
          </cell>
          <cell r="CR265">
            <v>0</v>
          </cell>
          <cell r="CS265">
            <v>965.55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</row>
        <row r="266">
          <cell r="A266">
            <v>260</v>
          </cell>
          <cell r="B266" t="str">
            <v>E4207</v>
          </cell>
          <cell r="C266" t="str">
            <v>Met</v>
          </cell>
          <cell r="D266" t="str">
            <v>NW</v>
          </cell>
          <cell r="E266" t="str">
            <v>Stockport</v>
          </cell>
          <cell r="F266">
            <v>145723</v>
          </cell>
          <cell r="G266">
            <v>0</v>
          </cell>
          <cell r="H266">
            <v>0</v>
          </cell>
          <cell r="I266">
            <v>145723</v>
          </cell>
          <cell r="J266">
            <v>-173008</v>
          </cell>
          <cell r="K266">
            <v>0</v>
          </cell>
          <cell r="L266">
            <v>0</v>
          </cell>
          <cell r="M266">
            <v>-173008</v>
          </cell>
          <cell r="N266">
            <v>63996</v>
          </cell>
          <cell r="O266">
            <v>0</v>
          </cell>
          <cell r="P266">
            <v>0</v>
          </cell>
          <cell r="Q266">
            <v>63996</v>
          </cell>
          <cell r="R266">
            <v>649965</v>
          </cell>
          <cell r="S266">
            <v>0</v>
          </cell>
          <cell r="T266">
            <v>0</v>
          </cell>
          <cell r="U266">
            <v>649965</v>
          </cell>
          <cell r="V266">
            <v>6467394</v>
          </cell>
          <cell r="W266">
            <v>0</v>
          </cell>
          <cell r="X266">
            <v>0</v>
          </cell>
          <cell r="Y266">
            <v>6467394</v>
          </cell>
          <cell r="Z266">
            <v>148571</v>
          </cell>
          <cell r="AA266">
            <v>0</v>
          </cell>
          <cell r="AB266">
            <v>0</v>
          </cell>
          <cell r="AC266">
            <v>148571</v>
          </cell>
          <cell r="AD266">
            <v>1775172</v>
          </cell>
          <cell r="AE266">
            <v>0</v>
          </cell>
          <cell r="AF266">
            <v>0</v>
          </cell>
          <cell r="AG266">
            <v>1775172</v>
          </cell>
          <cell r="AH266">
            <v>-61307</v>
          </cell>
          <cell r="AI266">
            <v>0</v>
          </cell>
          <cell r="AJ266">
            <v>0</v>
          </cell>
          <cell r="AK266">
            <v>-61307</v>
          </cell>
          <cell r="AL266">
            <v>3999732</v>
          </cell>
          <cell r="AM266">
            <v>0</v>
          </cell>
          <cell r="AN266">
            <v>0</v>
          </cell>
          <cell r="AO266">
            <v>3999732</v>
          </cell>
          <cell r="AP266">
            <v>136705</v>
          </cell>
          <cell r="AQ266">
            <v>0</v>
          </cell>
          <cell r="AR266">
            <v>0</v>
          </cell>
          <cell r="AS266">
            <v>136705</v>
          </cell>
          <cell r="AT266">
            <v>239002</v>
          </cell>
          <cell r="AU266">
            <v>0</v>
          </cell>
          <cell r="AV266">
            <v>0</v>
          </cell>
          <cell r="AW266">
            <v>239002</v>
          </cell>
          <cell r="AX266">
            <v>17374</v>
          </cell>
          <cell r="AY266">
            <v>0</v>
          </cell>
          <cell r="AZ266">
            <v>0</v>
          </cell>
          <cell r="BA266">
            <v>17374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43804</v>
          </cell>
          <cell r="BK266">
            <v>0</v>
          </cell>
          <cell r="BL266">
            <v>0</v>
          </cell>
          <cell r="BM266">
            <v>43804</v>
          </cell>
          <cell r="BN266">
            <v>-78017</v>
          </cell>
          <cell r="BO266">
            <v>0</v>
          </cell>
          <cell r="BP266">
            <v>0</v>
          </cell>
          <cell r="BQ266">
            <v>-78017</v>
          </cell>
          <cell r="BR266">
            <v>6088732</v>
          </cell>
          <cell r="BS266">
            <v>0</v>
          </cell>
          <cell r="BT266">
            <v>0</v>
          </cell>
          <cell r="BU266">
            <v>6088732</v>
          </cell>
          <cell r="BV266">
            <v>80890</v>
          </cell>
          <cell r="BW266">
            <v>0</v>
          </cell>
          <cell r="BX266">
            <v>0</v>
          </cell>
          <cell r="BY266">
            <v>80890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32338</v>
          </cell>
          <cell r="CI266">
            <v>0</v>
          </cell>
          <cell r="CJ266">
            <v>0</v>
          </cell>
          <cell r="CK266">
            <v>32338</v>
          </cell>
          <cell r="CL266">
            <v>-9922</v>
          </cell>
          <cell r="CM266">
            <v>0</v>
          </cell>
          <cell r="CN266">
            <v>0</v>
          </cell>
          <cell r="CO266">
            <v>-9922</v>
          </cell>
          <cell r="CP266">
            <v>23494</v>
          </cell>
          <cell r="CQ266">
            <v>0</v>
          </cell>
          <cell r="CR266">
            <v>0</v>
          </cell>
          <cell r="CS266">
            <v>23494</v>
          </cell>
          <cell r="CT266">
            <v>-78</v>
          </cell>
          <cell r="CU266">
            <v>0</v>
          </cell>
          <cell r="CV266">
            <v>0</v>
          </cell>
          <cell r="CW266">
            <v>-78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</row>
        <row r="267">
          <cell r="A267">
            <v>261</v>
          </cell>
          <cell r="B267" t="str">
            <v>E0704</v>
          </cell>
          <cell r="C267" t="str">
            <v>UA</v>
          </cell>
          <cell r="D267" t="str">
            <v>NE</v>
          </cell>
          <cell r="E267" t="str">
            <v>Stockton-on-Tees UA</v>
          </cell>
          <cell r="F267">
            <v>190089.49</v>
          </cell>
          <cell r="G267">
            <v>0</v>
          </cell>
          <cell r="H267">
            <v>0</v>
          </cell>
          <cell r="I267">
            <v>190089.49</v>
          </cell>
          <cell r="J267">
            <v>-32751.08</v>
          </cell>
          <cell r="K267">
            <v>0</v>
          </cell>
          <cell r="L267">
            <v>0</v>
          </cell>
          <cell r="M267">
            <v>-32751.08</v>
          </cell>
          <cell r="N267">
            <v>174529.43</v>
          </cell>
          <cell r="O267">
            <v>0</v>
          </cell>
          <cell r="P267">
            <v>0</v>
          </cell>
          <cell r="Q267">
            <v>174529.43</v>
          </cell>
          <cell r="R267">
            <v>504239.48</v>
          </cell>
          <cell r="S267">
            <v>0</v>
          </cell>
          <cell r="T267">
            <v>0</v>
          </cell>
          <cell r="U267">
            <v>504239.48</v>
          </cell>
          <cell r="V267">
            <v>2573395.16</v>
          </cell>
          <cell r="W267">
            <v>0</v>
          </cell>
          <cell r="X267">
            <v>0</v>
          </cell>
          <cell r="Y267">
            <v>2573395.16</v>
          </cell>
          <cell r="Z267">
            <v>109020.49</v>
          </cell>
          <cell r="AA267">
            <v>0</v>
          </cell>
          <cell r="AB267">
            <v>0</v>
          </cell>
          <cell r="AC267">
            <v>109020.49</v>
          </cell>
          <cell r="AD267">
            <v>1584898.26</v>
          </cell>
          <cell r="AE267">
            <v>0</v>
          </cell>
          <cell r="AF267">
            <v>0</v>
          </cell>
          <cell r="AG267">
            <v>1584898.26</v>
          </cell>
          <cell r="AH267">
            <v>-24661.86</v>
          </cell>
          <cell r="AI267">
            <v>0</v>
          </cell>
          <cell r="AJ267">
            <v>0</v>
          </cell>
          <cell r="AK267">
            <v>-24661.86</v>
          </cell>
          <cell r="AL267">
            <v>3659376.71</v>
          </cell>
          <cell r="AM267">
            <v>0</v>
          </cell>
          <cell r="AN267">
            <v>0</v>
          </cell>
          <cell r="AO267">
            <v>3659376.71</v>
          </cell>
          <cell r="AP267">
            <v>-68952.600000000006</v>
          </cell>
          <cell r="AQ267">
            <v>0</v>
          </cell>
          <cell r="AR267">
            <v>0</v>
          </cell>
          <cell r="AS267">
            <v>-68952.600000000006</v>
          </cell>
          <cell r="AT267">
            <v>35117.760000000002</v>
          </cell>
          <cell r="AU267">
            <v>0</v>
          </cell>
          <cell r="AV267">
            <v>0</v>
          </cell>
          <cell r="AW267">
            <v>35117.760000000002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9528.09</v>
          </cell>
          <cell r="BC267">
            <v>0</v>
          </cell>
          <cell r="BD267">
            <v>0</v>
          </cell>
          <cell r="BE267">
            <v>9528.09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66821.84</v>
          </cell>
          <cell r="BK267">
            <v>0</v>
          </cell>
          <cell r="BL267">
            <v>0</v>
          </cell>
          <cell r="BM267">
            <v>66821.84</v>
          </cell>
          <cell r="BN267">
            <v>33041.440000000002</v>
          </cell>
          <cell r="BO267">
            <v>0</v>
          </cell>
          <cell r="BP267">
            <v>0</v>
          </cell>
          <cell r="BQ267">
            <v>33041.440000000002</v>
          </cell>
          <cell r="BR267">
            <v>2350883.9900000002</v>
          </cell>
          <cell r="BS267">
            <v>0</v>
          </cell>
          <cell r="BT267">
            <v>0</v>
          </cell>
          <cell r="BU267">
            <v>2350883.9900000002</v>
          </cell>
          <cell r="BV267">
            <v>32711.66</v>
          </cell>
          <cell r="BW267">
            <v>0</v>
          </cell>
          <cell r="BX267">
            <v>0</v>
          </cell>
          <cell r="BY267">
            <v>32711.66</v>
          </cell>
          <cell r="BZ267">
            <v>180716.38</v>
          </cell>
          <cell r="CA267">
            <v>0</v>
          </cell>
          <cell r="CB267">
            <v>0</v>
          </cell>
          <cell r="CC267">
            <v>180716.38</v>
          </cell>
          <cell r="CD267">
            <v>-1551.54</v>
          </cell>
          <cell r="CE267">
            <v>0</v>
          </cell>
          <cell r="CF267">
            <v>0</v>
          </cell>
          <cell r="CG267">
            <v>-1551.54</v>
          </cell>
          <cell r="CH267">
            <v>82567.960000000006</v>
          </cell>
          <cell r="CI267">
            <v>0</v>
          </cell>
          <cell r="CJ267">
            <v>0</v>
          </cell>
          <cell r="CK267">
            <v>82567.960000000006</v>
          </cell>
          <cell r="CL267">
            <v>20135.98</v>
          </cell>
          <cell r="CM267">
            <v>0</v>
          </cell>
          <cell r="CN267">
            <v>0</v>
          </cell>
          <cell r="CO267">
            <v>20135.98</v>
          </cell>
          <cell r="CP267">
            <v>8984.9699999999993</v>
          </cell>
          <cell r="CQ267">
            <v>0</v>
          </cell>
          <cell r="CR267">
            <v>0</v>
          </cell>
          <cell r="CS267">
            <v>8984.9699999999993</v>
          </cell>
          <cell r="CT267">
            <v>1327.06</v>
          </cell>
          <cell r="CU267">
            <v>0</v>
          </cell>
          <cell r="CV267">
            <v>0</v>
          </cell>
          <cell r="CW267">
            <v>1327.06</v>
          </cell>
          <cell r="CX267">
            <v>9528.08</v>
          </cell>
          <cell r="CY267">
            <v>0</v>
          </cell>
          <cell r="CZ267">
            <v>0</v>
          </cell>
          <cell r="DA267">
            <v>9528.08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51536.09</v>
          </cell>
          <cell r="DO267">
            <v>0</v>
          </cell>
          <cell r="DP267">
            <v>59491.82</v>
          </cell>
          <cell r="DQ267">
            <v>111027.91</v>
          </cell>
          <cell r="DR267">
            <v>0</v>
          </cell>
          <cell r="DS267">
            <v>0</v>
          </cell>
          <cell r="DT267">
            <v>10431</v>
          </cell>
          <cell r="DU267">
            <v>10431</v>
          </cell>
          <cell r="DV267">
            <v>0</v>
          </cell>
          <cell r="DW267">
            <v>69923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333.41</v>
          </cell>
          <cell r="EK267">
            <v>0</v>
          </cell>
          <cell r="EL267">
            <v>0</v>
          </cell>
          <cell r="EM267">
            <v>333.41</v>
          </cell>
        </row>
        <row r="268">
          <cell r="A268">
            <v>262</v>
          </cell>
          <cell r="B268" t="str">
            <v>E3401</v>
          </cell>
          <cell r="C268" t="str">
            <v>UA</v>
          </cell>
          <cell r="D268" t="str">
            <v>WM</v>
          </cell>
          <cell r="E268" t="str">
            <v>Stoke-on-Trent UA</v>
          </cell>
          <cell r="F268">
            <v>280349</v>
          </cell>
          <cell r="G268">
            <v>0</v>
          </cell>
          <cell r="H268">
            <v>0</v>
          </cell>
          <cell r="I268">
            <v>280349</v>
          </cell>
          <cell r="J268">
            <v>-176100</v>
          </cell>
          <cell r="K268">
            <v>0</v>
          </cell>
          <cell r="L268">
            <v>0</v>
          </cell>
          <cell r="M268">
            <v>-176100</v>
          </cell>
          <cell r="N268">
            <v>123123</v>
          </cell>
          <cell r="O268">
            <v>0</v>
          </cell>
          <cell r="P268">
            <v>0</v>
          </cell>
          <cell r="Q268">
            <v>123123</v>
          </cell>
          <cell r="R268">
            <v>526920</v>
          </cell>
          <cell r="S268">
            <v>0</v>
          </cell>
          <cell r="T268">
            <v>0</v>
          </cell>
          <cell r="U268">
            <v>526920</v>
          </cell>
          <cell r="V268">
            <v>5638034</v>
          </cell>
          <cell r="W268">
            <v>0</v>
          </cell>
          <cell r="X268">
            <v>0</v>
          </cell>
          <cell r="Y268">
            <v>5638034</v>
          </cell>
          <cell r="Z268">
            <v>143198</v>
          </cell>
          <cell r="AA268">
            <v>0</v>
          </cell>
          <cell r="AB268">
            <v>0</v>
          </cell>
          <cell r="AC268">
            <v>143198</v>
          </cell>
          <cell r="AD268">
            <v>1649167</v>
          </cell>
          <cell r="AE268">
            <v>0</v>
          </cell>
          <cell r="AF268">
            <v>0</v>
          </cell>
          <cell r="AG268">
            <v>1649167</v>
          </cell>
          <cell r="AH268">
            <v>23625</v>
          </cell>
          <cell r="AI268">
            <v>0</v>
          </cell>
          <cell r="AJ268">
            <v>0</v>
          </cell>
          <cell r="AK268">
            <v>23625</v>
          </cell>
          <cell r="AL268">
            <v>4496148</v>
          </cell>
          <cell r="AM268">
            <v>0</v>
          </cell>
          <cell r="AN268">
            <v>0</v>
          </cell>
          <cell r="AO268">
            <v>4496148</v>
          </cell>
          <cell r="AP268">
            <v>50080</v>
          </cell>
          <cell r="AQ268">
            <v>0</v>
          </cell>
          <cell r="AR268">
            <v>0</v>
          </cell>
          <cell r="AS268">
            <v>50080</v>
          </cell>
          <cell r="AT268">
            <v>52017</v>
          </cell>
          <cell r="AU268">
            <v>0</v>
          </cell>
          <cell r="AV268">
            <v>0</v>
          </cell>
          <cell r="AW268">
            <v>52017</v>
          </cell>
          <cell r="AX268">
            <v>-1539</v>
          </cell>
          <cell r="AY268">
            <v>0</v>
          </cell>
          <cell r="AZ268">
            <v>0</v>
          </cell>
          <cell r="BA268">
            <v>-1539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70682</v>
          </cell>
          <cell r="BK268">
            <v>0</v>
          </cell>
          <cell r="BL268">
            <v>0</v>
          </cell>
          <cell r="BM268">
            <v>70682</v>
          </cell>
          <cell r="BN268">
            <v>6534</v>
          </cell>
          <cell r="BO268">
            <v>0</v>
          </cell>
          <cell r="BP268">
            <v>0</v>
          </cell>
          <cell r="BQ268">
            <v>6534</v>
          </cell>
          <cell r="BR268">
            <v>4594448</v>
          </cell>
          <cell r="BS268">
            <v>0</v>
          </cell>
          <cell r="BT268">
            <v>0</v>
          </cell>
          <cell r="BU268">
            <v>4594448</v>
          </cell>
          <cell r="BV268">
            <v>110171</v>
          </cell>
          <cell r="BW268">
            <v>0</v>
          </cell>
          <cell r="BX268">
            <v>0</v>
          </cell>
          <cell r="BY268">
            <v>110171</v>
          </cell>
          <cell r="BZ268">
            <v>137924</v>
          </cell>
          <cell r="CA268">
            <v>0</v>
          </cell>
          <cell r="CB268">
            <v>0</v>
          </cell>
          <cell r="CC268">
            <v>137924</v>
          </cell>
          <cell r="CD268">
            <v>468</v>
          </cell>
          <cell r="CE268">
            <v>0</v>
          </cell>
          <cell r="CF268">
            <v>0</v>
          </cell>
          <cell r="CG268">
            <v>468</v>
          </cell>
          <cell r="CH268">
            <v>196527</v>
          </cell>
          <cell r="CI268">
            <v>0</v>
          </cell>
          <cell r="CJ268">
            <v>0</v>
          </cell>
          <cell r="CK268">
            <v>196527</v>
          </cell>
          <cell r="CL268">
            <v>271668</v>
          </cell>
          <cell r="CM268">
            <v>0</v>
          </cell>
          <cell r="CN268">
            <v>0</v>
          </cell>
          <cell r="CO268">
            <v>271668</v>
          </cell>
          <cell r="CP268">
            <v>4662</v>
          </cell>
          <cell r="CQ268">
            <v>0</v>
          </cell>
          <cell r="CR268">
            <v>0</v>
          </cell>
          <cell r="CS268">
            <v>4662</v>
          </cell>
          <cell r="CT268">
            <v>-96</v>
          </cell>
          <cell r="CU268">
            <v>0</v>
          </cell>
          <cell r="CV268">
            <v>0</v>
          </cell>
          <cell r="CW268">
            <v>-96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</row>
        <row r="269">
          <cell r="A269">
            <v>263</v>
          </cell>
          <cell r="B269" t="str">
            <v>E3734</v>
          </cell>
          <cell r="C269" t="str">
            <v>SD</v>
          </cell>
          <cell r="D269" t="str">
            <v>WM</v>
          </cell>
          <cell r="E269" t="str">
            <v>Stratford-on-Avon</v>
          </cell>
          <cell r="F269">
            <v>137045</v>
          </cell>
          <cell r="G269">
            <v>0</v>
          </cell>
          <cell r="H269">
            <v>0</v>
          </cell>
          <cell r="I269">
            <v>137045</v>
          </cell>
          <cell r="J269">
            <v>73867</v>
          </cell>
          <cell r="K269">
            <v>0</v>
          </cell>
          <cell r="L269">
            <v>0</v>
          </cell>
          <cell r="M269">
            <v>73867</v>
          </cell>
          <cell r="N269">
            <v>27173</v>
          </cell>
          <cell r="O269">
            <v>0</v>
          </cell>
          <cell r="P269">
            <v>0</v>
          </cell>
          <cell r="Q269">
            <v>27173</v>
          </cell>
          <cell r="R269">
            <v>-84445</v>
          </cell>
          <cell r="S269">
            <v>0</v>
          </cell>
          <cell r="T269">
            <v>0</v>
          </cell>
          <cell r="U269">
            <v>-84445</v>
          </cell>
          <cell r="V269">
            <v>3140992</v>
          </cell>
          <cell r="W269">
            <v>0</v>
          </cell>
          <cell r="X269">
            <v>0</v>
          </cell>
          <cell r="Y269">
            <v>3140992</v>
          </cell>
          <cell r="Z269">
            <v>132402</v>
          </cell>
          <cell r="AA269">
            <v>0</v>
          </cell>
          <cell r="AB269">
            <v>0</v>
          </cell>
          <cell r="AC269">
            <v>132402</v>
          </cell>
          <cell r="AD269">
            <v>1004835</v>
          </cell>
          <cell r="AE269">
            <v>0</v>
          </cell>
          <cell r="AF269">
            <v>0</v>
          </cell>
          <cell r="AG269">
            <v>1004835</v>
          </cell>
          <cell r="AH269">
            <v>-20413</v>
          </cell>
          <cell r="AI269">
            <v>0</v>
          </cell>
          <cell r="AJ269">
            <v>0</v>
          </cell>
          <cell r="AK269">
            <v>-20413</v>
          </cell>
          <cell r="AL269">
            <v>3690330</v>
          </cell>
          <cell r="AM269">
            <v>0</v>
          </cell>
          <cell r="AN269">
            <v>0</v>
          </cell>
          <cell r="AO269">
            <v>3690330</v>
          </cell>
          <cell r="AP269">
            <v>-36473</v>
          </cell>
          <cell r="AQ269">
            <v>0</v>
          </cell>
          <cell r="AR269">
            <v>0</v>
          </cell>
          <cell r="AS269">
            <v>-36473</v>
          </cell>
          <cell r="AT269">
            <v>89002</v>
          </cell>
          <cell r="AU269">
            <v>0</v>
          </cell>
          <cell r="AV269">
            <v>0</v>
          </cell>
          <cell r="AW269">
            <v>89002</v>
          </cell>
          <cell r="AX269">
            <v>-10698</v>
          </cell>
          <cell r="AY269">
            <v>0</v>
          </cell>
          <cell r="AZ269">
            <v>0</v>
          </cell>
          <cell r="BA269">
            <v>-10698</v>
          </cell>
          <cell r="BB269">
            <v>38890</v>
          </cell>
          <cell r="BC269">
            <v>0</v>
          </cell>
          <cell r="BD269">
            <v>0</v>
          </cell>
          <cell r="BE269">
            <v>38890</v>
          </cell>
          <cell r="BF269">
            <v>10543</v>
          </cell>
          <cell r="BG269">
            <v>0</v>
          </cell>
          <cell r="BH269">
            <v>0</v>
          </cell>
          <cell r="BI269">
            <v>10543</v>
          </cell>
          <cell r="BJ269">
            <v>8653</v>
          </cell>
          <cell r="BK269">
            <v>0</v>
          </cell>
          <cell r="BL269">
            <v>0</v>
          </cell>
          <cell r="BM269">
            <v>8653</v>
          </cell>
          <cell r="BN269">
            <v>-1887</v>
          </cell>
          <cell r="BO269">
            <v>0</v>
          </cell>
          <cell r="BP269">
            <v>0</v>
          </cell>
          <cell r="BQ269">
            <v>-1887</v>
          </cell>
          <cell r="BR269">
            <v>2007974</v>
          </cell>
          <cell r="BS269">
            <v>0</v>
          </cell>
          <cell r="BT269">
            <v>0</v>
          </cell>
          <cell r="BU269">
            <v>2007974</v>
          </cell>
          <cell r="BV269">
            <v>50378</v>
          </cell>
          <cell r="BW269">
            <v>0</v>
          </cell>
          <cell r="BX269">
            <v>0</v>
          </cell>
          <cell r="BY269">
            <v>50378</v>
          </cell>
          <cell r="BZ269">
            <v>9164.7000000000007</v>
          </cell>
          <cell r="CA269">
            <v>0</v>
          </cell>
          <cell r="CB269">
            <v>0</v>
          </cell>
          <cell r="CC269">
            <v>9164.7000000000007</v>
          </cell>
          <cell r="CD269">
            <v>294</v>
          </cell>
          <cell r="CE269">
            <v>0</v>
          </cell>
          <cell r="CF269">
            <v>0</v>
          </cell>
          <cell r="CG269">
            <v>294</v>
          </cell>
          <cell r="CH269">
            <v>9011</v>
          </cell>
          <cell r="CI269">
            <v>0</v>
          </cell>
          <cell r="CJ269">
            <v>0</v>
          </cell>
          <cell r="CK269">
            <v>9011</v>
          </cell>
          <cell r="CL269">
            <v>-163</v>
          </cell>
          <cell r="CM269">
            <v>0</v>
          </cell>
          <cell r="CN269">
            <v>0</v>
          </cell>
          <cell r="CO269">
            <v>-163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6028</v>
          </cell>
          <cell r="CY269">
            <v>0</v>
          </cell>
          <cell r="CZ269">
            <v>0</v>
          </cell>
          <cell r="DA269">
            <v>6028</v>
          </cell>
          <cell r="DB269">
            <v>491</v>
          </cell>
          <cell r="DC269">
            <v>0</v>
          </cell>
          <cell r="DD269">
            <v>0</v>
          </cell>
          <cell r="DE269">
            <v>491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49255</v>
          </cell>
          <cell r="EG269">
            <v>0</v>
          </cell>
          <cell r="EH269">
            <v>0</v>
          </cell>
          <cell r="EI269">
            <v>49255</v>
          </cell>
          <cell r="EJ269">
            <v>-2141</v>
          </cell>
          <cell r="EK269">
            <v>0</v>
          </cell>
          <cell r="EL269">
            <v>0</v>
          </cell>
          <cell r="EM269">
            <v>-2141</v>
          </cell>
        </row>
        <row r="270">
          <cell r="A270">
            <v>264</v>
          </cell>
          <cell r="B270" t="str">
            <v>E1635</v>
          </cell>
          <cell r="C270" t="str">
            <v>SD</v>
          </cell>
          <cell r="D270" t="str">
            <v>SW</v>
          </cell>
          <cell r="E270" t="str">
            <v>Stroud</v>
          </cell>
          <cell r="F270">
            <v>92628.59</v>
          </cell>
          <cell r="G270">
            <v>0</v>
          </cell>
          <cell r="H270">
            <v>0</v>
          </cell>
          <cell r="I270">
            <v>92628.59</v>
          </cell>
          <cell r="J270">
            <v>-185760.71</v>
          </cell>
          <cell r="K270">
            <v>0</v>
          </cell>
          <cell r="L270">
            <v>0</v>
          </cell>
          <cell r="M270">
            <v>-185760.71</v>
          </cell>
          <cell r="N270">
            <v>13247.2</v>
          </cell>
          <cell r="O270">
            <v>0</v>
          </cell>
          <cell r="P270">
            <v>0</v>
          </cell>
          <cell r="Q270">
            <v>13247.2</v>
          </cell>
          <cell r="R270">
            <v>74810.11</v>
          </cell>
          <cell r="S270">
            <v>0</v>
          </cell>
          <cell r="T270">
            <v>0</v>
          </cell>
          <cell r="U270">
            <v>74810.11</v>
          </cell>
          <cell r="V270">
            <v>2464559.7000000002</v>
          </cell>
          <cell r="W270">
            <v>0</v>
          </cell>
          <cell r="X270">
            <v>0</v>
          </cell>
          <cell r="Y270">
            <v>2464559.7000000002</v>
          </cell>
          <cell r="Z270">
            <v>131657.51999999999</v>
          </cell>
          <cell r="AA270">
            <v>0</v>
          </cell>
          <cell r="AB270">
            <v>0</v>
          </cell>
          <cell r="AC270">
            <v>131657.51999999999</v>
          </cell>
          <cell r="AD270">
            <v>460368.94</v>
          </cell>
          <cell r="AE270">
            <v>0</v>
          </cell>
          <cell r="AF270">
            <v>0</v>
          </cell>
          <cell r="AG270">
            <v>460368.94</v>
          </cell>
          <cell r="AH270">
            <v>-19048.34</v>
          </cell>
          <cell r="AI270">
            <v>0</v>
          </cell>
          <cell r="AJ270">
            <v>0</v>
          </cell>
          <cell r="AK270">
            <v>-19048.34</v>
          </cell>
          <cell r="AL270">
            <v>1995385.14</v>
          </cell>
          <cell r="AM270">
            <v>0</v>
          </cell>
          <cell r="AN270">
            <v>0</v>
          </cell>
          <cell r="AO270">
            <v>1995385.14</v>
          </cell>
          <cell r="AP270">
            <v>42321</v>
          </cell>
          <cell r="AQ270">
            <v>0</v>
          </cell>
          <cell r="AR270">
            <v>0</v>
          </cell>
          <cell r="AS270">
            <v>42321</v>
          </cell>
          <cell r="AT270">
            <v>55084.83</v>
          </cell>
          <cell r="AU270">
            <v>0</v>
          </cell>
          <cell r="AV270">
            <v>0</v>
          </cell>
          <cell r="AW270">
            <v>55084.83</v>
          </cell>
          <cell r="AX270">
            <v>16392.22</v>
          </cell>
          <cell r="AY270">
            <v>0</v>
          </cell>
          <cell r="AZ270">
            <v>0</v>
          </cell>
          <cell r="BA270">
            <v>16392.22</v>
          </cell>
          <cell r="BB270">
            <v>42473.22</v>
          </cell>
          <cell r="BC270">
            <v>0</v>
          </cell>
          <cell r="BD270">
            <v>0</v>
          </cell>
          <cell r="BE270">
            <v>42473.22</v>
          </cell>
          <cell r="BF270">
            <v>-48.3</v>
          </cell>
          <cell r="BG270">
            <v>0</v>
          </cell>
          <cell r="BH270">
            <v>0</v>
          </cell>
          <cell r="BI270">
            <v>-48.3</v>
          </cell>
          <cell r="BJ270">
            <v>63100.99</v>
          </cell>
          <cell r="BK270">
            <v>0</v>
          </cell>
          <cell r="BL270">
            <v>0</v>
          </cell>
          <cell r="BM270">
            <v>63100.99</v>
          </cell>
          <cell r="BN270">
            <v>5644.16</v>
          </cell>
          <cell r="BO270">
            <v>0</v>
          </cell>
          <cell r="BP270">
            <v>0</v>
          </cell>
          <cell r="BQ270">
            <v>5644.16</v>
          </cell>
          <cell r="BR270">
            <v>972171.28</v>
          </cell>
          <cell r="BS270">
            <v>0</v>
          </cell>
          <cell r="BT270">
            <v>0</v>
          </cell>
          <cell r="BU270">
            <v>972171.28</v>
          </cell>
          <cell r="BV270">
            <v>-17919.84</v>
          </cell>
          <cell r="BW270">
            <v>0</v>
          </cell>
          <cell r="BX270">
            <v>0</v>
          </cell>
          <cell r="BY270">
            <v>-17919.84</v>
          </cell>
          <cell r="BZ270">
            <v>93287.25</v>
          </cell>
          <cell r="CA270">
            <v>0</v>
          </cell>
          <cell r="CB270">
            <v>0</v>
          </cell>
          <cell r="CC270">
            <v>93287.25</v>
          </cell>
          <cell r="CD270">
            <v>-2985.83</v>
          </cell>
          <cell r="CE270">
            <v>0</v>
          </cell>
          <cell r="CF270">
            <v>0</v>
          </cell>
          <cell r="CG270">
            <v>-2985.83</v>
          </cell>
          <cell r="CH270">
            <v>12662.84</v>
          </cell>
          <cell r="CI270">
            <v>0</v>
          </cell>
          <cell r="CJ270">
            <v>0</v>
          </cell>
          <cell r="CK270">
            <v>12662.84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3085.04</v>
          </cell>
          <cell r="CY270">
            <v>0</v>
          </cell>
          <cell r="CZ270">
            <v>0</v>
          </cell>
          <cell r="DA270">
            <v>3085.04</v>
          </cell>
          <cell r="DB270">
            <v>-43.29</v>
          </cell>
          <cell r="DC270">
            <v>0</v>
          </cell>
          <cell r="DD270">
            <v>0</v>
          </cell>
          <cell r="DE270">
            <v>-43.29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</row>
        <row r="271">
          <cell r="A271">
            <v>265</v>
          </cell>
          <cell r="B271" t="str">
            <v>E3536</v>
          </cell>
          <cell r="C271" t="str">
            <v>SD</v>
          </cell>
          <cell r="D271" t="str">
            <v>E</v>
          </cell>
          <cell r="E271" t="str">
            <v>Suffolk Coastal</v>
          </cell>
          <cell r="F271">
            <v>18752196.600000001</v>
          </cell>
          <cell r="G271">
            <v>0</v>
          </cell>
          <cell r="H271">
            <v>0</v>
          </cell>
          <cell r="I271">
            <v>18752196.600000001</v>
          </cell>
          <cell r="J271">
            <v>-30977.35</v>
          </cell>
          <cell r="K271">
            <v>0</v>
          </cell>
          <cell r="L271">
            <v>0</v>
          </cell>
          <cell r="M271">
            <v>-30977.35</v>
          </cell>
          <cell r="N271">
            <v>9835.6</v>
          </cell>
          <cell r="O271">
            <v>0</v>
          </cell>
          <cell r="P271">
            <v>0</v>
          </cell>
          <cell r="Q271">
            <v>9835.6</v>
          </cell>
          <cell r="R271">
            <v>9497.1</v>
          </cell>
          <cell r="S271">
            <v>0</v>
          </cell>
          <cell r="T271">
            <v>0</v>
          </cell>
          <cell r="U271">
            <v>9497.1</v>
          </cell>
          <cell r="V271">
            <v>3363257.92</v>
          </cell>
          <cell r="W271">
            <v>0</v>
          </cell>
          <cell r="X271">
            <v>0</v>
          </cell>
          <cell r="Y271">
            <v>3363257.92</v>
          </cell>
          <cell r="Z271">
            <v>192644.56</v>
          </cell>
          <cell r="AA271">
            <v>0</v>
          </cell>
          <cell r="AB271">
            <v>0</v>
          </cell>
          <cell r="AC271">
            <v>192644.56</v>
          </cell>
          <cell r="AD271">
            <v>1263931.49</v>
          </cell>
          <cell r="AE271">
            <v>0</v>
          </cell>
          <cell r="AF271">
            <v>0</v>
          </cell>
          <cell r="AG271">
            <v>1263931.49</v>
          </cell>
          <cell r="AH271">
            <v>-4108.6899999999996</v>
          </cell>
          <cell r="AI271">
            <v>0</v>
          </cell>
          <cell r="AJ271">
            <v>0</v>
          </cell>
          <cell r="AK271">
            <v>-4108.6899999999996</v>
          </cell>
          <cell r="AL271">
            <v>2220562.13</v>
          </cell>
          <cell r="AM271">
            <v>0</v>
          </cell>
          <cell r="AN271">
            <v>0</v>
          </cell>
          <cell r="AO271">
            <v>2220562.13</v>
          </cell>
          <cell r="AP271">
            <v>8675.92</v>
          </cell>
          <cell r="AQ271">
            <v>0</v>
          </cell>
          <cell r="AR271">
            <v>0</v>
          </cell>
          <cell r="AS271">
            <v>8675.92</v>
          </cell>
          <cell r="AT271">
            <v>37874.99</v>
          </cell>
          <cell r="AU271">
            <v>0</v>
          </cell>
          <cell r="AV271">
            <v>0</v>
          </cell>
          <cell r="AW271">
            <v>37874.99</v>
          </cell>
          <cell r="AX271">
            <v>53.11</v>
          </cell>
          <cell r="AY271">
            <v>0</v>
          </cell>
          <cell r="AZ271">
            <v>0</v>
          </cell>
          <cell r="BA271">
            <v>53.11</v>
          </cell>
          <cell r="BB271">
            <v>69406.7</v>
          </cell>
          <cell r="BC271">
            <v>0</v>
          </cell>
          <cell r="BD271">
            <v>0</v>
          </cell>
          <cell r="BE271">
            <v>69406.7</v>
          </cell>
          <cell r="BF271">
            <v>3126</v>
          </cell>
          <cell r="BG271">
            <v>0</v>
          </cell>
          <cell r="BH271">
            <v>0</v>
          </cell>
          <cell r="BI271">
            <v>3126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924393.72</v>
          </cell>
          <cell r="BS271">
            <v>0</v>
          </cell>
          <cell r="BT271">
            <v>0</v>
          </cell>
          <cell r="BU271">
            <v>924393.72</v>
          </cell>
          <cell r="BV271">
            <v>126677.03</v>
          </cell>
          <cell r="BW271">
            <v>0</v>
          </cell>
          <cell r="BX271">
            <v>0</v>
          </cell>
          <cell r="BY271">
            <v>126677.03</v>
          </cell>
          <cell r="BZ271">
            <v>54163.21</v>
          </cell>
          <cell r="CA271">
            <v>0</v>
          </cell>
          <cell r="CB271">
            <v>0</v>
          </cell>
          <cell r="CC271">
            <v>54163.21</v>
          </cell>
          <cell r="CD271">
            <v>2207.85</v>
          </cell>
          <cell r="CE271">
            <v>0</v>
          </cell>
          <cell r="CF271">
            <v>0</v>
          </cell>
          <cell r="CG271">
            <v>2207.85</v>
          </cell>
          <cell r="CH271">
            <v>294480.75</v>
          </cell>
          <cell r="CI271">
            <v>0</v>
          </cell>
          <cell r="CJ271">
            <v>0</v>
          </cell>
          <cell r="CK271">
            <v>294480.75</v>
          </cell>
          <cell r="CL271">
            <v>4.55</v>
          </cell>
          <cell r="CM271">
            <v>0</v>
          </cell>
          <cell r="CN271">
            <v>0</v>
          </cell>
          <cell r="CO271">
            <v>4.55</v>
          </cell>
          <cell r="CP271">
            <v>421.81</v>
          </cell>
          <cell r="CQ271">
            <v>0</v>
          </cell>
          <cell r="CR271">
            <v>0</v>
          </cell>
          <cell r="CS271">
            <v>421.81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16410.810000000001</v>
          </cell>
          <cell r="CY271">
            <v>0</v>
          </cell>
          <cell r="CZ271">
            <v>0</v>
          </cell>
          <cell r="DA271">
            <v>16410.810000000001</v>
          </cell>
          <cell r="DB271">
            <v>1101.6400000000001</v>
          </cell>
          <cell r="DC271">
            <v>0</v>
          </cell>
          <cell r="DD271">
            <v>0</v>
          </cell>
          <cell r="DE271">
            <v>1101.6400000000001</v>
          </cell>
          <cell r="DF271">
            <v>11053.73</v>
          </cell>
          <cell r="DG271">
            <v>0</v>
          </cell>
          <cell r="DH271">
            <v>0</v>
          </cell>
          <cell r="DI271">
            <v>11053.73</v>
          </cell>
          <cell r="DJ271">
            <v>-947.88</v>
          </cell>
          <cell r="DK271">
            <v>0</v>
          </cell>
          <cell r="DL271">
            <v>0</v>
          </cell>
          <cell r="DM271">
            <v>-947.88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2109</v>
          </cell>
          <cell r="EC271">
            <v>0</v>
          </cell>
          <cell r="ED271">
            <v>0</v>
          </cell>
          <cell r="EE271">
            <v>2109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</row>
        <row r="272">
          <cell r="A272">
            <v>266</v>
          </cell>
          <cell r="B272" t="str">
            <v>E4505</v>
          </cell>
          <cell r="C272" t="str">
            <v>Met</v>
          </cell>
          <cell r="D272" t="str">
            <v>NE</v>
          </cell>
          <cell r="E272" t="str">
            <v>Sunderland</v>
          </cell>
          <cell r="F272">
            <v>226667</v>
          </cell>
          <cell r="G272">
            <v>0</v>
          </cell>
          <cell r="H272">
            <v>0</v>
          </cell>
          <cell r="I272">
            <v>226667</v>
          </cell>
          <cell r="J272">
            <v>-93073</v>
          </cell>
          <cell r="K272">
            <v>0</v>
          </cell>
          <cell r="L272">
            <v>0</v>
          </cell>
          <cell r="M272">
            <v>-93073</v>
          </cell>
          <cell r="N272">
            <v>35132</v>
          </cell>
          <cell r="O272">
            <v>0</v>
          </cell>
          <cell r="P272">
            <v>0</v>
          </cell>
          <cell r="Q272">
            <v>35132</v>
          </cell>
          <cell r="R272">
            <v>143455</v>
          </cell>
          <cell r="S272">
            <v>0</v>
          </cell>
          <cell r="T272">
            <v>0</v>
          </cell>
          <cell r="U272">
            <v>143455</v>
          </cell>
          <cell r="V272">
            <v>4167412</v>
          </cell>
          <cell r="W272">
            <v>0</v>
          </cell>
          <cell r="X272">
            <v>0</v>
          </cell>
          <cell r="Y272">
            <v>4167412</v>
          </cell>
          <cell r="Z272">
            <v>57703</v>
          </cell>
          <cell r="AA272">
            <v>0</v>
          </cell>
          <cell r="AB272">
            <v>0</v>
          </cell>
          <cell r="AC272">
            <v>57703</v>
          </cell>
          <cell r="AD272">
            <v>1766982</v>
          </cell>
          <cell r="AE272">
            <v>0</v>
          </cell>
          <cell r="AF272">
            <v>630</v>
          </cell>
          <cell r="AG272">
            <v>1767612</v>
          </cell>
          <cell r="AH272">
            <v>-15535</v>
          </cell>
          <cell r="AI272">
            <v>0</v>
          </cell>
          <cell r="AJ272">
            <v>-156</v>
          </cell>
          <cell r="AK272">
            <v>-15691</v>
          </cell>
          <cell r="AL272">
            <v>4937818</v>
          </cell>
          <cell r="AM272">
            <v>0</v>
          </cell>
          <cell r="AN272">
            <v>0</v>
          </cell>
          <cell r="AO272">
            <v>4937818</v>
          </cell>
          <cell r="AP272">
            <v>-20894</v>
          </cell>
          <cell r="AQ272">
            <v>0</v>
          </cell>
          <cell r="AR272">
            <v>0</v>
          </cell>
          <cell r="AS272">
            <v>-20894</v>
          </cell>
          <cell r="AT272">
            <v>32579</v>
          </cell>
          <cell r="AU272">
            <v>0</v>
          </cell>
          <cell r="AV272">
            <v>0</v>
          </cell>
          <cell r="AW272">
            <v>32579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1637</v>
          </cell>
          <cell r="BC272">
            <v>0</v>
          </cell>
          <cell r="BD272">
            <v>0</v>
          </cell>
          <cell r="BE272">
            <v>1637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75317</v>
          </cell>
          <cell r="BK272">
            <v>0</v>
          </cell>
          <cell r="BL272">
            <v>0</v>
          </cell>
          <cell r="BM272">
            <v>75317</v>
          </cell>
          <cell r="BN272">
            <v>13680</v>
          </cell>
          <cell r="BO272">
            <v>0</v>
          </cell>
          <cell r="BP272">
            <v>0</v>
          </cell>
          <cell r="BQ272">
            <v>13680</v>
          </cell>
          <cell r="BR272">
            <v>2866172</v>
          </cell>
          <cell r="BS272">
            <v>0</v>
          </cell>
          <cell r="BT272">
            <v>0</v>
          </cell>
          <cell r="BU272">
            <v>2866172</v>
          </cell>
          <cell r="BV272">
            <v>327647</v>
          </cell>
          <cell r="BW272">
            <v>0</v>
          </cell>
          <cell r="BX272">
            <v>-2162</v>
          </cell>
          <cell r="BY272">
            <v>325485</v>
          </cell>
          <cell r="BZ272">
            <v>59057</v>
          </cell>
          <cell r="CA272">
            <v>0</v>
          </cell>
          <cell r="CB272">
            <v>0</v>
          </cell>
          <cell r="CC272">
            <v>59057</v>
          </cell>
          <cell r="CD272">
            <v>-7352</v>
          </cell>
          <cell r="CE272">
            <v>0</v>
          </cell>
          <cell r="CF272">
            <v>0</v>
          </cell>
          <cell r="CG272">
            <v>-7352</v>
          </cell>
          <cell r="CH272">
            <v>118628</v>
          </cell>
          <cell r="CI272">
            <v>0</v>
          </cell>
          <cell r="CJ272">
            <v>0</v>
          </cell>
          <cell r="CK272">
            <v>118628</v>
          </cell>
          <cell r="CL272">
            <v>-8229</v>
          </cell>
          <cell r="CM272">
            <v>0</v>
          </cell>
          <cell r="CN272">
            <v>0</v>
          </cell>
          <cell r="CO272">
            <v>-8229</v>
          </cell>
          <cell r="CP272">
            <v>565</v>
          </cell>
          <cell r="CQ272">
            <v>0</v>
          </cell>
          <cell r="CR272">
            <v>0</v>
          </cell>
          <cell r="CS272">
            <v>565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32970</v>
          </cell>
          <cell r="DQ272">
            <v>32970</v>
          </cell>
          <cell r="DR272">
            <v>15166</v>
          </cell>
          <cell r="DS272">
            <v>0</v>
          </cell>
          <cell r="DT272">
            <v>-4580</v>
          </cell>
          <cell r="DU272">
            <v>10586</v>
          </cell>
          <cell r="DV272">
            <v>28390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</row>
        <row r="273">
          <cell r="A273">
            <v>267</v>
          </cell>
          <cell r="B273" t="str">
            <v>E3638</v>
          </cell>
          <cell r="C273" t="str">
            <v>SD</v>
          </cell>
          <cell r="D273" t="str">
            <v>SE</v>
          </cell>
          <cell r="E273" t="str">
            <v>Surrey Heath</v>
          </cell>
          <cell r="F273">
            <v>33139.4</v>
          </cell>
          <cell r="G273">
            <v>0</v>
          </cell>
          <cell r="H273">
            <v>0</v>
          </cell>
          <cell r="I273">
            <v>33139.4</v>
          </cell>
          <cell r="J273">
            <v>-110807.8</v>
          </cell>
          <cell r="K273">
            <v>0</v>
          </cell>
          <cell r="L273">
            <v>0</v>
          </cell>
          <cell r="M273">
            <v>-110807.8</v>
          </cell>
          <cell r="N273">
            <v>1039007</v>
          </cell>
          <cell r="O273">
            <v>0</v>
          </cell>
          <cell r="P273">
            <v>0</v>
          </cell>
          <cell r="Q273">
            <v>1039007</v>
          </cell>
          <cell r="R273">
            <v>68388</v>
          </cell>
          <cell r="S273">
            <v>0</v>
          </cell>
          <cell r="T273">
            <v>0</v>
          </cell>
          <cell r="U273">
            <v>68388</v>
          </cell>
          <cell r="V273">
            <v>1167009</v>
          </cell>
          <cell r="W273">
            <v>0</v>
          </cell>
          <cell r="X273">
            <v>0</v>
          </cell>
          <cell r="Y273">
            <v>1167009</v>
          </cell>
          <cell r="Z273">
            <v>57709</v>
          </cell>
          <cell r="AA273">
            <v>0</v>
          </cell>
          <cell r="AB273">
            <v>0</v>
          </cell>
          <cell r="AC273">
            <v>57709</v>
          </cell>
          <cell r="AD273">
            <v>673382</v>
          </cell>
          <cell r="AE273">
            <v>0</v>
          </cell>
          <cell r="AF273">
            <v>0</v>
          </cell>
          <cell r="AG273">
            <v>673382</v>
          </cell>
          <cell r="AH273">
            <v>3373.84</v>
          </cell>
          <cell r="AI273">
            <v>0</v>
          </cell>
          <cell r="AJ273">
            <v>0</v>
          </cell>
          <cell r="AK273">
            <v>3373.84</v>
          </cell>
          <cell r="AL273">
            <v>1315932</v>
          </cell>
          <cell r="AM273">
            <v>0</v>
          </cell>
          <cell r="AN273">
            <v>0</v>
          </cell>
          <cell r="AO273">
            <v>1315932</v>
          </cell>
          <cell r="AP273">
            <v>2406.5</v>
          </cell>
          <cell r="AQ273">
            <v>0</v>
          </cell>
          <cell r="AR273">
            <v>0</v>
          </cell>
          <cell r="AS273">
            <v>2406.5</v>
          </cell>
          <cell r="AT273">
            <v>5511</v>
          </cell>
          <cell r="AU273">
            <v>0</v>
          </cell>
          <cell r="AV273">
            <v>0</v>
          </cell>
          <cell r="AW273">
            <v>5511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18671</v>
          </cell>
          <cell r="BK273">
            <v>0</v>
          </cell>
          <cell r="BL273">
            <v>0</v>
          </cell>
          <cell r="BM273">
            <v>18671</v>
          </cell>
          <cell r="BN273">
            <v>-307169</v>
          </cell>
          <cell r="BO273">
            <v>0</v>
          </cell>
          <cell r="BP273">
            <v>0</v>
          </cell>
          <cell r="BQ273">
            <v>-307169</v>
          </cell>
          <cell r="BR273">
            <v>1364679</v>
          </cell>
          <cell r="BS273">
            <v>0</v>
          </cell>
          <cell r="BT273">
            <v>0</v>
          </cell>
          <cell r="BU273">
            <v>1364679</v>
          </cell>
          <cell r="BV273">
            <v>65888</v>
          </cell>
          <cell r="BW273">
            <v>0</v>
          </cell>
          <cell r="BX273">
            <v>0</v>
          </cell>
          <cell r="BY273">
            <v>65888</v>
          </cell>
          <cell r="BZ273">
            <v>73066</v>
          </cell>
          <cell r="CA273">
            <v>0</v>
          </cell>
          <cell r="CB273">
            <v>0</v>
          </cell>
          <cell r="CC273">
            <v>73066</v>
          </cell>
          <cell r="CD273">
            <v>272</v>
          </cell>
          <cell r="CE273">
            <v>0</v>
          </cell>
          <cell r="CF273">
            <v>0</v>
          </cell>
          <cell r="CG273">
            <v>272</v>
          </cell>
          <cell r="CH273">
            <v>204278</v>
          </cell>
          <cell r="CI273">
            <v>0</v>
          </cell>
          <cell r="CJ273">
            <v>0</v>
          </cell>
          <cell r="CK273">
            <v>204278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1378</v>
          </cell>
          <cell r="CQ273">
            <v>0</v>
          </cell>
          <cell r="CR273">
            <v>0</v>
          </cell>
          <cell r="CS273">
            <v>1378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</row>
        <row r="274">
          <cell r="A274">
            <v>268</v>
          </cell>
          <cell r="B274" t="str">
            <v>E5048</v>
          </cell>
          <cell r="C274" t="str">
            <v>OLB</v>
          </cell>
          <cell r="D274" t="str">
            <v>L</v>
          </cell>
          <cell r="E274" t="str">
            <v>Sutton</v>
          </cell>
          <cell r="F274">
            <v>96391.83</v>
          </cell>
          <cell r="G274">
            <v>0</v>
          </cell>
          <cell r="H274">
            <v>0</v>
          </cell>
          <cell r="I274">
            <v>96391.83</v>
          </cell>
          <cell r="J274">
            <v>-48969.1</v>
          </cell>
          <cell r="K274">
            <v>0</v>
          </cell>
          <cell r="L274">
            <v>0</v>
          </cell>
          <cell r="M274">
            <v>-48969.1</v>
          </cell>
          <cell r="N274">
            <v>305453.71000000002</v>
          </cell>
          <cell r="O274">
            <v>0</v>
          </cell>
          <cell r="P274">
            <v>0</v>
          </cell>
          <cell r="Q274">
            <v>305453.71000000002</v>
          </cell>
          <cell r="R274">
            <v>859952.67</v>
          </cell>
          <cell r="S274">
            <v>0</v>
          </cell>
          <cell r="T274">
            <v>0</v>
          </cell>
          <cell r="U274">
            <v>859952.67</v>
          </cell>
          <cell r="V274">
            <v>2653644.63</v>
          </cell>
          <cell r="W274">
            <v>0</v>
          </cell>
          <cell r="X274">
            <v>0</v>
          </cell>
          <cell r="Y274">
            <v>2653644.63</v>
          </cell>
          <cell r="Z274">
            <v>116841.36</v>
          </cell>
          <cell r="AA274">
            <v>0</v>
          </cell>
          <cell r="AB274">
            <v>0</v>
          </cell>
          <cell r="AC274">
            <v>116841.36</v>
          </cell>
          <cell r="AD274">
            <v>964866.38</v>
          </cell>
          <cell r="AE274">
            <v>0</v>
          </cell>
          <cell r="AF274">
            <v>0</v>
          </cell>
          <cell r="AG274">
            <v>964866.38</v>
          </cell>
          <cell r="AH274">
            <v>44612.06</v>
          </cell>
          <cell r="AI274">
            <v>0</v>
          </cell>
          <cell r="AJ274">
            <v>0</v>
          </cell>
          <cell r="AK274">
            <v>44612.06</v>
          </cell>
          <cell r="AL274">
            <v>4385991.5</v>
          </cell>
          <cell r="AM274">
            <v>0</v>
          </cell>
          <cell r="AN274">
            <v>0</v>
          </cell>
          <cell r="AO274">
            <v>4385991.5</v>
          </cell>
          <cell r="AP274">
            <v>-57614.42</v>
          </cell>
          <cell r="AQ274">
            <v>0</v>
          </cell>
          <cell r="AR274">
            <v>0</v>
          </cell>
          <cell r="AS274">
            <v>-57614.42</v>
          </cell>
          <cell r="AT274">
            <v>18180.599999999999</v>
          </cell>
          <cell r="AU274">
            <v>0</v>
          </cell>
          <cell r="AV274">
            <v>0</v>
          </cell>
          <cell r="AW274">
            <v>18180.599999999999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1396.08</v>
          </cell>
          <cell r="BK274">
            <v>0</v>
          </cell>
          <cell r="BL274">
            <v>0</v>
          </cell>
          <cell r="BM274">
            <v>1396.08</v>
          </cell>
          <cell r="BN274">
            <v>-6008.6</v>
          </cell>
          <cell r="BO274">
            <v>0</v>
          </cell>
          <cell r="BP274">
            <v>0</v>
          </cell>
          <cell r="BQ274">
            <v>-6008.6</v>
          </cell>
          <cell r="BR274">
            <v>2139198</v>
          </cell>
          <cell r="BS274">
            <v>0</v>
          </cell>
          <cell r="BT274">
            <v>0</v>
          </cell>
          <cell r="BU274">
            <v>2139198</v>
          </cell>
          <cell r="BV274">
            <v>153304.29</v>
          </cell>
          <cell r="BW274">
            <v>0</v>
          </cell>
          <cell r="BX274">
            <v>0</v>
          </cell>
          <cell r="BY274">
            <v>153304.29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102324.06</v>
          </cell>
          <cell r="CI274">
            <v>0</v>
          </cell>
          <cell r="CJ274">
            <v>0</v>
          </cell>
          <cell r="CK274">
            <v>102324.06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1618.89</v>
          </cell>
          <cell r="DY274">
            <v>0</v>
          </cell>
          <cell r="DZ274">
            <v>0</v>
          </cell>
          <cell r="EA274">
            <v>1618.89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</row>
        <row r="275">
          <cell r="A275">
            <v>269</v>
          </cell>
          <cell r="B275" t="str">
            <v>E2241</v>
          </cell>
          <cell r="C275" t="str">
            <v>SD</v>
          </cell>
          <cell r="D275" t="str">
            <v>SE</v>
          </cell>
          <cell r="E275" t="str">
            <v>Swale</v>
          </cell>
          <cell r="F275">
            <v>82435.259999999995</v>
          </cell>
          <cell r="G275">
            <v>0</v>
          </cell>
          <cell r="H275">
            <v>0</v>
          </cell>
          <cell r="I275">
            <v>82435.259999999995</v>
          </cell>
          <cell r="J275">
            <v>-184404.37</v>
          </cell>
          <cell r="K275">
            <v>0</v>
          </cell>
          <cell r="L275">
            <v>0</v>
          </cell>
          <cell r="M275">
            <v>-184404.37</v>
          </cell>
          <cell r="N275">
            <v>8337.0499999999993</v>
          </cell>
          <cell r="O275">
            <v>0</v>
          </cell>
          <cell r="P275">
            <v>0</v>
          </cell>
          <cell r="Q275">
            <v>8337.0499999999993</v>
          </cell>
          <cell r="R275">
            <v>35127.949999999997</v>
          </cell>
          <cell r="S275">
            <v>0</v>
          </cell>
          <cell r="T275">
            <v>0</v>
          </cell>
          <cell r="U275">
            <v>35127.949999999997</v>
          </cell>
          <cell r="V275">
            <v>2949215.93</v>
          </cell>
          <cell r="W275">
            <v>0</v>
          </cell>
          <cell r="X275">
            <v>0</v>
          </cell>
          <cell r="Y275">
            <v>2949215.93</v>
          </cell>
          <cell r="Z275">
            <v>160572.45000000001</v>
          </cell>
          <cell r="AA275">
            <v>0</v>
          </cell>
          <cell r="AB275">
            <v>0</v>
          </cell>
          <cell r="AC275">
            <v>160572.45000000001</v>
          </cell>
          <cell r="AD275">
            <v>836409.9</v>
          </cell>
          <cell r="AE275">
            <v>0</v>
          </cell>
          <cell r="AF275">
            <v>0</v>
          </cell>
          <cell r="AG275">
            <v>836409.9</v>
          </cell>
          <cell r="AH275">
            <v>-24185.56</v>
          </cell>
          <cell r="AI275">
            <v>0</v>
          </cell>
          <cell r="AJ275">
            <v>0</v>
          </cell>
          <cell r="AK275">
            <v>-24185.56</v>
          </cell>
          <cell r="AL275">
            <v>2553545.5699999998</v>
          </cell>
          <cell r="AM275">
            <v>0</v>
          </cell>
          <cell r="AN275">
            <v>0</v>
          </cell>
          <cell r="AO275">
            <v>2553545.5699999998</v>
          </cell>
          <cell r="AP275">
            <v>76998.41</v>
          </cell>
          <cell r="AQ275">
            <v>0</v>
          </cell>
          <cell r="AR275">
            <v>0</v>
          </cell>
          <cell r="AS275">
            <v>76998.41</v>
          </cell>
          <cell r="AT275">
            <v>87430.68</v>
          </cell>
          <cell r="AU275">
            <v>0</v>
          </cell>
          <cell r="AV275">
            <v>0</v>
          </cell>
          <cell r="AW275">
            <v>87430.68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37356.93</v>
          </cell>
          <cell r="BC275">
            <v>0</v>
          </cell>
          <cell r="BD275">
            <v>0</v>
          </cell>
          <cell r="BE275">
            <v>37356.93</v>
          </cell>
          <cell r="BF275">
            <v>454.55</v>
          </cell>
          <cell r="BG275">
            <v>0</v>
          </cell>
          <cell r="BH275">
            <v>0</v>
          </cell>
          <cell r="BI275">
            <v>454.55</v>
          </cell>
          <cell r="BJ275">
            <v>22696.78</v>
          </cell>
          <cell r="BK275">
            <v>0</v>
          </cell>
          <cell r="BL275">
            <v>0</v>
          </cell>
          <cell r="BM275">
            <v>22696.78</v>
          </cell>
          <cell r="BN275">
            <v>-2034.06</v>
          </cell>
          <cell r="BO275">
            <v>0</v>
          </cell>
          <cell r="BP275">
            <v>0</v>
          </cell>
          <cell r="BQ275">
            <v>-2034.06</v>
          </cell>
          <cell r="BR275">
            <v>2069054.18</v>
          </cell>
          <cell r="BS275">
            <v>0</v>
          </cell>
          <cell r="BT275">
            <v>0</v>
          </cell>
          <cell r="BU275">
            <v>2069054.18</v>
          </cell>
          <cell r="BV275">
            <v>-128384.46</v>
          </cell>
          <cell r="BW275">
            <v>0</v>
          </cell>
          <cell r="BX275">
            <v>0</v>
          </cell>
          <cell r="BY275">
            <v>-128384.46</v>
          </cell>
          <cell r="BZ275">
            <v>230676.05</v>
          </cell>
          <cell r="CA275">
            <v>0</v>
          </cell>
          <cell r="CB275">
            <v>0</v>
          </cell>
          <cell r="CC275">
            <v>230676.05</v>
          </cell>
          <cell r="CD275">
            <v>-1207.3599999999999</v>
          </cell>
          <cell r="CE275">
            <v>0</v>
          </cell>
          <cell r="CF275">
            <v>0</v>
          </cell>
          <cell r="CG275">
            <v>-1207.3599999999999</v>
          </cell>
          <cell r="CH275">
            <v>130935.15</v>
          </cell>
          <cell r="CI275">
            <v>0</v>
          </cell>
          <cell r="CJ275">
            <v>0</v>
          </cell>
          <cell r="CK275">
            <v>130935.15</v>
          </cell>
          <cell r="CL275">
            <v>-3569.27</v>
          </cell>
          <cell r="CM275">
            <v>0</v>
          </cell>
          <cell r="CN275">
            <v>0</v>
          </cell>
          <cell r="CO275">
            <v>-3569.27</v>
          </cell>
          <cell r="CP275">
            <v>21857.66</v>
          </cell>
          <cell r="CQ275">
            <v>0</v>
          </cell>
          <cell r="CR275">
            <v>0</v>
          </cell>
          <cell r="CS275">
            <v>21857.66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37356.93</v>
          </cell>
          <cell r="CY275">
            <v>0</v>
          </cell>
          <cell r="CZ275">
            <v>0</v>
          </cell>
          <cell r="DA275">
            <v>37356.93</v>
          </cell>
          <cell r="DB275">
            <v>454.55</v>
          </cell>
          <cell r="DC275">
            <v>0</v>
          </cell>
          <cell r="DD275">
            <v>0</v>
          </cell>
          <cell r="DE275">
            <v>454.55</v>
          </cell>
          <cell r="DF275">
            <v>7775.14</v>
          </cell>
          <cell r="DG275">
            <v>0</v>
          </cell>
          <cell r="DH275">
            <v>0</v>
          </cell>
          <cell r="DI275">
            <v>7775.14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88129.78</v>
          </cell>
          <cell r="DS275">
            <v>0</v>
          </cell>
          <cell r="DT275">
            <v>0</v>
          </cell>
          <cell r="DU275">
            <v>88129.78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</row>
        <row r="276">
          <cell r="A276">
            <v>270</v>
          </cell>
          <cell r="B276" t="str">
            <v>E3901</v>
          </cell>
          <cell r="C276" t="str">
            <v>UA</v>
          </cell>
          <cell r="D276" t="str">
            <v>SW</v>
          </cell>
          <cell r="E276" t="str">
            <v>Swindon UA</v>
          </cell>
          <cell r="F276">
            <v>66294.960000000006</v>
          </cell>
          <cell r="G276">
            <v>0</v>
          </cell>
          <cell r="H276">
            <v>0</v>
          </cell>
          <cell r="I276">
            <v>66294.960000000006</v>
          </cell>
          <cell r="J276">
            <v>-124342.72</v>
          </cell>
          <cell r="K276">
            <v>0</v>
          </cell>
          <cell r="L276">
            <v>0</v>
          </cell>
          <cell r="M276">
            <v>-124342.72</v>
          </cell>
          <cell r="N276">
            <v>790280.28</v>
          </cell>
          <cell r="O276">
            <v>0</v>
          </cell>
          <cell r="P276">
            <v>0</v>
          </cell>
          <cell r="Q276">
            <v>790280.28</v>
          </cell>
          <cell r="R276">
            <v>2240415.17</v>
          </cell>
          <cell r="S276">
            <v>0</v>
          </cell>
          <cell r="T276">
            <v>0</v>
          </cell>
          <cell r="U276">
            <v>2240415.17</v>
          </cell>
          <cell r="V276">
            <v>2419075.98</v>
          </cell>
          <cell r="W276">
            <v>0</v>
          </cell>
          <cell r="X276">
            <v>0</v>
          </cell>
          <cell r="Y276">
            <v>2419075.98</v>
          </cell>
          <cell r="Z276">
            <v>87662.17</v>
          </cell>
          <cell r="AA276">
            <v>0</v>
          </cell>
          <cell r="AB276">
            <v>0</v>
          </cell>
          <cell r="AC276">
            <v>87662.17</v>
          </cell>
          <cell r="AD276">
            <v>2120635.73</v>
          </cell>
          <cell r="AE276">
            <v>0</v>
          </cell>
          <cell r="AF276">
            <v>0</v>
          </cell>
          <cell r="AG276">
            <v>2120635.73</v>
          </cell>
          <cell r="AH276">
            <v>13332.38</v>
          </cell>
          <cell r="AI276">
            <v>0</v>
          </cell>
          <cell r="AJ276">
            <v>0</v>
          </cell>
          <cell r="AK276">
            <v>13332.38</v>
          </cell>
          <cell r="AL276">
            <v>5343215.88</v>
          </cell>
          <cell r="AM276">
            <v>0</v>
          </cell>
          <cell r="AN276">
            <v>0</v>
          </cell>
          <cell r="AO276">
            <v>5343215.88</v>
          </cell>
          <cell r="AP276">
            <v>-49709.01</v>
          </cell>
          <cell r="AQ276">
            <v>0</v>
          </cell>
          <cell r="AR276">
            <v>0</v>
          </cell>
          <cell r="AS276">
            <v>-49709.01</v>
          </cell>
          <cell r="AT276">
            <v>70367.399999999994</v>
          </cell>
          <cell r="AU276">
            <v>0</v>
          </cell>
          <cell r="AV276">
            <v>0</v>
          </cell>
          <cell r="AW276">
            <v>70367.399999999994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6244.59</v>
          </cell>
          <cell r="BC276">
            <v>0</v>
          </cell>
          <cell r="BD276">
            <v>0</v>
          </cell>
          <cell r="BE276">
            <v>6244.59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344575.97</v>
          </cell>
          <cell r="BK276">
            <v>0</v>
          </cell>
          <cell r="BL276">
            <v>0</v>
          </cell>
          <cell r="BM276">
            <v>344575.97</v>
          </cell>
          <cell r="BN276">
            <v>502431.03</v>
          </cell>
          <cell r="BO276">
            <v>0</v>
          </cell>
          <cell r="BP276">
            <v>0</v>
          </cell>
          <cell r="BQ276">
            <v>502431.03</v>
          </cell>
          <cell r="BR276">
            <v>4913395.5999999996</v>
          </cell>
          <cell r="BS276">
            <v>0</v>
          </cell>
          <cell r="BT276">
            <v>0</v>
          </cell>
          <cell r="BU276">
            <v>4913395.5999999996</v>
          </cell>
          <cell r="BV276">
            <v>-196318.95</v>
          </cell>
          <cell r="BW276">
            <v>0</v>
          </cell>
          <cell r="BX276">
            <v>0</v>
          </cell>
          <cell r="BY276">
            <v>-196318.95</v>
          </cell>
          <cell r="BZ276">
            <v>168258.12</v>
          </cell>
          <cell r="CA276">
            <v>0</v>
          </cell>
          <cell r="CB276">
            <v>0</v>
          </cell>
          <cell r="CC276">
            <v>168258.12</v>
          </cell>
          <cell r="CD276">
            <v>-902.98</v>
          </cell>
          <cell r="CE276">
            <v>0</v>
          </cell>
          <cell r="CF276">
            <v>0</v>
          </cell>
          <cell r="CG276">
            <v>-902.98</v>
          </cell>
          <cell r="CH276">
            <v>58169.62</v>
          </cell>
          <cell r="CI276">
            <v>0</v>
          </cell>
          <cell r="CJ276">
            <v>0</v>
          </cell>
          <cell r="CK276">
            <v>58169.62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17591.849999999999</v>
          </cell>
          <cell r="CQ276">
            <v>0</v>
          </cell>
          <cell r="CR276">
            <v>0</v>
          </cell>
          <cell r="CS276">
            <v>17591.849999999999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6244.56</v>
          </cell>
          <cell r="CY276">
            <v>0</v>
          </cell>
          <cell r="CZ276">
            <v>0</v>
          </cell>
          <cell r="DA276">
            <v>6244.56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</row>
        <row r="277">
          <cell r="A277">
            <v>271</v>
          </cell>
          <cell r="B277" t="str">
            <v>E4208</v>
          </cell>
          <cell r="C277" t="str">
            <v>Met</v>
          </cell>
          <cell r="D277" t="str">
            <v>NW</v>
          </cell>
          <cell r="E277" t="str">
            <v>Tameside</v>
          </cell>
          <cell r="F277">
            <v>196259.77</v>
          </cell>
          <cell r="G277">
            <v>0</v>
          </cell>
          <cell r="H277">
            <v>0</v>
          </cell>
          <cell r="I277">
            <v>196259.77</v>
          </cell>
          <cell r="J277">
            <v>-608205.66</v>
          </cell>
          <cell r="K277">
            <v>0</v>
          </cell>
          <cell r="L277">
            <v>0</v>
          </cell>
          <cell r="M277">
            <v>-608205.66</v>
          </cell>
          <cell r="N277">
            <v>24175.1</v>
          </cell>
          <cell r="O277">
            <v>0</v>
          </cell>
          <cell r="P277">
            <v>0</v>
          </cell>
          <cell r="Q277">
            <v>24175.1</v>
          </cell>
          <cell r="R277">
            <v>130247.86</v>
          </cell>
          <cell r="S277">
            <v>0</v>
          </cell>
          <cell r="T277">
            <v>0</v>
          </cell>
          <cell r="U277">
            <v>130247.86</v>
          </cell>
          <cell r="V277">
            <v>5437006.25</v>
          </cell>
          <cell r="W277">
            <v>0</v>
          </cell>
          <cell r="X277">
            <v>0</v>
          </cell>
          <cell r="Y277">
            <v>5437006.25</v>
          </cell>
          <cell r="Z277">
            <v>237753.13</v>
          </cell>
          <cell r="AA277">
            <v>0</v>
          </cell>
          <cell r="AB277">
            <v>0</v>
          </cell>
          <cell r="AC277">
            <v>237753.13</v>
          </cell>
          <cell r="AD277">
            <v>1120484.8500000001</v>
          </cell>
          <cell r="AE277">
            <v>0</v>
          </cell>
          <cell r="AF277">
            <v>0</v>
          </cell>
          <cell r="AG277">
            <v>1120484.8500000001</v>
          </cell>
          <cell r="AH277">
            <v>-33801.68</v>
          </cell>
          <cell r="AI277">
            <v>0</v>
          </cell>
          <cell r="AJ277">
            <v>0</v>
          </cell>
          <cell r="AK277">
            <v>-33801.68</v>
          </cell>
          <cell r="AL277">
            <v>2888182.25</v>
          </cell>
          <cell r="AM277">
            <v>0</v>
          </cell>
          <cell r="AN277">
            <v>0</v>
          </cell>
          <cell r="AO277">
            <v>2888182.25</v>
          </cell>
          <cell r="AP277">
            <v>-139876.65</v>
          </cell>
          <cell r="AQ277">
            <v>0</v>
          </cell>
          <cell r="AR277">
            <v>0</v>
          </cell>
          <cell r="AS277">
            <v>-139876.65</v>
          </cell>
          <cell r="AT277">
            <v>125775.38</v>
          </cell>
          <cell r="AU277">
            <v>0</v>
          </cell>
          <cell r="AV277">
            <v>0</v>
          </cell>
          <cell r="AW277">
            <v>125775.38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3418.47</v>
          </cell>
          <cell r="BK277">
            <v>0</v>
          </cell>
          <cell r="BL277">
            <v>0</v>
          </cell>
          <cell r="BM277">
            <v>3418.47</v>
          </cell>
          <cell r="BN277">
            <v>123.01</v>
          </cell>
          <cell r="BO277">
            <v>0</v>
          </cell>
          <cell r="BP277">
            <v>0</v>
          </cell>
          <cell r="BQ277">
            <v>123.01</v>
          </cell>
          <cell r="BR277">
            <v>2745972.9</v>
          </cell>
          <cell r="BS277">
            <v>0</v>
          </cell>
          <cell r="BT277">
            <v>0</v>
          </cell>
          <cell r="BU277">
            <v>2745972.9</v>
          </cell>
          <cell r="BV277">
            <v>-63150.01</v>
          </cell>
          <cell r="BW277">
            <v>0</v>
          </cell>
          <cell r="BX277">
            <v>0</v>
          </cell>
          <cell r="BY277">
            <v>-63150.01</v>
          </cell>
          <cell r="BZ277">
            <v>25821.35</v>
          </cell>
          <cell r="CA277">
            <v>0</v>
          </cell>
          <cell r="CB277">
            <v>0</v>
          </cell>
          <cell r="CC277">
            <v>25821.35</v>
          </cell>
          <cell r="CD277">
            <v>-2791.41</v>
          </cell>
          <cell r="CE277">
            <v>0</v>
          </cell>
          <cell r="CF277">
            <v>0</v>
          </cell>
          <cell r="CG277">
            <v>-2791.41</v>
          </cell>
          <cell r="CH277">
            <v>33277.269999999997</v>
          </cell>
          <cell r="CI277">
            <v>0</v>
          </cell>
          <cell r="CJ277">
            <v>0</v>
          </cell>
          <cell r="CK277">
            <v>33277.269999999997</v>
          </cell>
          <cell r="CL277">
            <v>-18254.62</v>
          </cell>
          <cell r="CM277">
            <v>0</v>
          </cell>
          <cell r="CN277">
            <v>0</v>
          </cell>
          <cell r="CO277">
            <v>-18254.62</v>
          </cell>
          <cell r="CP277">
            <v>2422.04</v>
          </cell>
          <cell r="CQ277">
            <v>0</v>
          </cell>
          <cell r="CR277">
            <v>0</v>
          </cell>
          <cell r="CS277">
            <v>2422.04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</row>
        <row r="278">
          <cell r="A278">
            <v>272</v>
          </cell>
          <cell r="B278" t="str">
            <v>E3439</v>
          </cell>
          <cell r="C278" t="str">
            <v>SD</v>
          </cell>
          <cell r="D278" t="str">
            <v>WM</v>
          </cell>
          <cell r="E278" t="str">
            <v>Tamworth</v>
          </cell>
          <cell r="F278">
            <v>22544</v>
          </cell>
          <cell r="G278">
            <v>0</v>
          </cell>
          <cell r="H278">
            <v>0</v>
          </cell>
          <cell r="I278">
            <v>22544</v>
          </cell>
          <cell r="J278">
            <v>-31809</v>
          </cell>
          <cell r="K278">
            <v>0</v>
          </cell>
          <cell r="L278">
            <v>0</v>
          </cell>
          <cell r="M278">
            <v>-31809</v>
          </cell>
          <cell r="N278">
            <v>218</v>
          </cell>
          <cell r="O278">
            <v>0</v>
          </cell>
          <cell r="P278">
            <v>0</v>
          </cell>
          <cell r="Q278">
            <v>218</v>
          </cell>
          <cell r="R278">
            <v>88762</v>
          </cell>
          <cell r="S278">
            <v>0</v>
          </cell>
          <cell r="T278">
            <v>0</v>
          </cell>
          <cell r="U278">
            <v>88762</v>
          </cell>
          <cell r="V278">
            <v>1085187</v>
          </cell>
          <cell r="W278">
            <v>0</v>
          </cell>
          <cell r="X278">
            <v>0</v>
          </cell>
          <cell r="Y278">
            <v>1085187</v>
          </cell>
          <cell r="Z278">
            <v>78137</v>
          </cell>
          <cell r="AA278">
            <v>0</v>
          </cell>
          <cell r="AB278">
            <v>0</v>
          </cell>
          <cell r="AC278">
            <v>78137</v>
          </cell>
          <cell r="AD278">
            <v>644006</v>
          </cell>
          <cell r="AE278">
            <v>0</v>
          </cell>
          <cell r="AF278">
            <v>0</v>
          </cell>
          <cell r="AG278">
            <v>644006</v>
          </cell>
          <cell r="AH278">
            <v>-6851</v>
          </cell>
          <cell r="AI278">
            <v>0</v>
          </cell>
          <cell r="AJ278">
            <v>0</v>
          </cell>
          <cell r="AK278">
            <v>-6851</v>
          </cell>
          <cell r="AL278">
            <v>1071694</v>
          </cell>
          <cell r="AM278">
            <v>0</v>
          </cell>
          <cell r="AN278">
            <v>0</v>
          </cell>
          <cell r="AO278">
            <v>1071694</v>
          </cell>
          <cell r="AP278">
            <v>20852</v>
          </cell>
          <cell r="AQ278">
            <v>0</v>
          </cell>
          <cell r="AR278">
            <v>0</v>
          </cell>
          <cell r="AS278">
            <v>20852</v>
          </cell>
          <cell r="AT278">
            <v>27488</v>
          </cell>
          <cell r="AU278">
            <v>0</v>
          </cell>
          <cell r="AV278">
            <v>0</v>
          </cell>
          <cell r="AW278">
            <v>27488</v>
          </cell>
          <cell r="AX278">
            <v>-79</v>
          </cell>
          <cell r="AY278">
            <v>0</v>
          </cell>
          <cell r="AZ278">
            <v>0</v>
          </cell>
          <cell r="BA278">
            <v>-79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94063</v>
          </cell>
          <cell r="BK278">
            <v>0</v>
          </cell>
          <cell r="BL278">
            <v>0</v>
          </cell>
          <cell r="BM278">
            <v>94063</v>
          </cell>
          <cell r="BN278">
            <v>52371</v>
          </cell>
          <cell r="BO278">
            <v>0</v>
          </cell>
          <cell r="BP278">
            <v>0</v>
          </cell>
          <cell r="BQ278">
            <v>52371</v>
          </cell>
          <cell r="BR278">
            <v>1712072</v>
          </cell>
          <cell r="BS278">
            <v>0</v>
          </cell>
          <cell r="BT278">
            <v>0</v>
          </cell>
          <cell r="BU278">
            <v>1712072</v>
          </cell>
          <cell r="BV278">
            <v>-208970</v>
          </cell>
          <cell r="BW278">
            <v>0</v>
          </cell>
          <cell r="BX278">
            <v>0</v>
          </cell>
          <cell r="BY278">
            <v>-208970</v>
          </cell>
          <cell r="BZ278">
            <v>20148</v>
          </cell>
          <cell r="CA278">
            <v>0</v>
          </cell>
          <cell r="CB278">
            <v>0</v>
          </cell>
          <cell r="CC278">
            <v>20148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4150</v>
          </cell>
          <cell r="CI278">
            <v>0</v>
          </cell>
          <cell r="CJ278">
            <v>0</v>
          </cell>
          <cell r="CK278">
            <v>4150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2308</v>
          </cell>
          <cell r="CQ278">
            <v>0</v>
          </cell>
          <cell r="CR278">
            <v>0</v>
          </cell>
          <cell r="CS278">
            <v>2308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</row>
        <row r="279">
          <cell r="A279">
            <v>273</v>
          </cell>
          <cell r="B279" t="str">
            <v>E3639</v>
          </cell>
          <cell r="C279" t="str">
            <v>SD</v>
          </cell>
          <cell r="D279" t="str">
            <v>SE</v>
          </cell>
          <cell r="E279" t="str">
            <v>Tandridge</v>
          </cell>
          <cell r="F279">
            <v>135854.66</v>
          </cell>
          <cell r="G279">
            <v>0</v>
          </cell>
          <cell r="H279">
            <v>0</v>
          </cell>
          <cell r="I279">
            <v>135854.66</v>
          </cell>
          <cell r="J279">
            <v>-83499</v>
          </cell>
          <cell r="K279">
            <v>0</v>
          </cell>
          <cell r="L279">
            <v>0</v>
          </cell>
          <cell r="M279">
            <v>-83499</v>
          </cell>
          <cell r="N279">
            <v>4331</v>
          </cell>
          <cell r="O279">
            <v>0</v>
          </cell>
          <cell r="P279">
            <v>0</v>
          </cell>
          <cell r="Q279">
            <v>4331</v>
          </cell>
          <cell r="R279">
            <v>-4285.04</v>
          </cell>
          <cell r="S279">
            <v>0</v>
          </cell>
          <cell r="T279">
            <v>0</v>
          </cell>
          <cell r="U279">
            <v>-4285.04</v>
          </cell>
          <cell r="V279">
            <v>1926460.88</v>
          </cell>
          <cell r="W279">
            <v>0</v>
          </cell>
          <cell r="X279">
            <v>0</v>
          </cell>
          <cell r="Y279">
            <v>1926460.88</v>
          </cell>
          <cell r="Z279">
            <v>135249.96</v>
          </cell>
          <cell r="AA279">
            <v>0</v>
          </cell>
          <cell r="AB279">
            <v>0</v>
          </cell>
          <cell r="AC279">
            <v>135249.96</v>
          </cell>
          <cell r="AD279">
            <v>376842.54</v>
          </cell>
          <cell r="AE279">
            <v>0</v>
          </cell>
          <cell r="AF279">
            <v>0</v>
          </cell>
          <cell r="AG279">
            <v>376842.54</v>
          </cell>
          <cell r="AH279">
            <v>-6018.06</v>
          </cell>
          <cell r="AI279">
            <v>0</v>
          </cell>
          <cell r="AJ279">
            <v>0</v>
          </cell>
          <cell r="AK279">
            <v>-6018.06</v>
          </cell>
          <cell r="AL279">
            <v>2301385</v>
          </cell>
          <cell r="AM279">
            <v>0</v>
          </cell>
          <cell r="AN279">
            <v>0</v>
          </cell>
          <cell r="AO279">
            <v>2301385</v>
          </cell>
          <cell r="AP279">
            <v>12507.65</v>
          </cell>
          <cell r="AQ279">
            <v>0</v>
          </cell>
          <cell r="AR279">
            <v>0</v>
          </cell>
          <cell r="AS279">
            <v>12507.65</v>
          </cell>
          <cell r="AT279">
            <v>30783</v>
          </cell>
          <cell r="AU279">
            <v>0</v>
          </cell>
          <cell r="AV279">
            <v>0</v>
          </cell>
          <cell r="AW279">
            <v>30783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14436.13</v>
          </cell>
          <cell r="BC279">
            <v>0</v>
          </cell>
          <cell r="BD279">
            <v>0</v>
          </cell>
          <cell r="BE279">
            <v>14436.13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3957.57</v>
          </cell>
          <cell r="BK279">
            <v>0</v>
          </cell>
          <cell r="BL279">
            <v>0</v>
          </cell>
          <cell r="BM279">
            <v>3957.57</v>
          </cell>
          <cell r="BN279">
            <v>14952.04</v>
          </cell>
          <cell r="BO279">
            <v>0</v>
          </cell>
          <cell r="BP279">
            <v>0</v>
          </cell>
          <cell r="BQ279">
            <v>14952.04</v>
          </cell>
          <cell r="BR279">
            <v>666355.34</v>
          </cell>
          <cell r="BS279">
            <v>0</v>
          </cell>
          <cell r="BT279">
            <v>0</v>
          </cell>
          <cell r="BU279">
            <v>666355.34</v>
          </cell>
          <cell r="BV279">
            <v>-11578</v>
          </cell>
          <cell r="BW279">
            <v>0</v>
          </cell>
          <cell r="BX279">
            <v>0</v>
          </cell>
          <cell r="BY279">
            <v>-11578</v>
          </cell>
          <cell r="BZ279">
            <v>50767</v>
          </cell>
          <cell r="CA279">
            <v>0</v>
          </cell>
          <cell r="CB279">
            <v>0</v>
          </cell>
          <cell r="CC279">
            <v>50767</v>
          </cell>
          <cell r="CD279">
            <v>1521.85</v>
          </cell>
          <cell r="CE279">
            <v>0</v>
          </cell>
          <cell r="CF279">
            <v>0</v>
          </cell>
          <cell r="CG279">
            <v>1521.85</v>
          </cell>
          <cell r="CH279">
            <v>12988</v>
          </cell>
          <cell r="CI279">
            <v>0</v>
          </cell>
          <cell r="CJ279">
            <v>0</v>
          </cell>
          <cell r="CK279">
            <v>12988</v>
          </cell>
          <cell r="CL279">
            <v>0.11</v>
          </cell>
          <cell r="CM279">
            <v>0</v>
          </cell>
          <cell r="CN279">
            <v>0</v>
          </cell>
          <cell r="CO279">
            <v>0.11</v>
          </cell>
          <cell r="CP279">
            <v>37</v>
          </cell>
          <cell r="CQ279">
            <v>0</v>
          </cell>
          <cell r="CR279">
            <v>0</v>
          </cell>
          <cell r="CS279">
            <v>37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14436.13</v>
          </cell>
          <cell r="CY279">
            <v>0</v>
          </cell>
          <cell r="CZ279">
            <v>0</v>
          </cell>
          <cell r="DA279">
            <v>14436.13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5082</v>
          </cell>
          <cell r="DG279">
            <v>0</v>
          </cell>
          <cell r="DH279">
            <v>0</v>
          </cell>
          <cell r="DI279">
            <v>5082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11107.15</v>
          </cell>
          <cell r="EC279">
            <v>0</v>
          </cell>
          <cell r="ED279">
            <v>0</v>
          </cell>
          <cell r="EE279">
            <v>11107.15</v>
          </cell>
          <cell r="EF279">
            <v>3415.91</v>
          </cell>
          <cell r="EG279">
            <v>0</v>
          </cell>
          <cell r="EH279">
            <v>0</v>
          </cell>
          <cell r="EI279">
            <v>3415.91</v>
          </cell>
          <cell r="EJ279">
            <v>3520.88</v>
          </cell>
          <cell r="EK279">
            <v>0</v>
          </cell>
          <cell r="EL279">
            <v>0</v>
          </cell>
          <cell r="EM279">
            <v>3520.88</v>
          </cell>
        </row>
        <row r="280">
          <cell r="A280">
            <v>274</v>
          </cell>
          <cell r="B280" t="str">
            <v>E3333</v>
          </cell>
          <cell r="C280" t="str">
            <v>SD</v>
          </cell>
          <cell r="D280" t="str">
            <v>SW</v>
          </cell>
          <cell r="E280" t="str">
            <v>Taunton Deane</v>
          </cell>
          <cell r="F280">
            <v>158551</v>
          </cell>
          <cell r="G280">
            <v>0</v>
          </cell>
          <cell r="H280">
            <v>0</v>
          </cell>
          <cell r="I280">
            <v>158551</v>
          </cell>
          <cell r="J280">
            <v>-123908</v>
          </cell>
          <cell r="K280">
            <v>0</v>
          </cell>
          <cell r="L280">
            <v>0</v>
          </cell>
          <cell r="M280">
            <v>-123908</v>
          </cell>
          <cell r="N280">
            <v>55444</v>
          </cell>
          <cell r="O280">
            <v>0</v>
          </cell>
          <cell r="P280">
            <v>0</v>
          </cell>
          <cell r="Q280">
            <v>55444</v>
          </cell>
          <cell r="R280">
            <v>51392</v>
          </cell>
          <cell r="S280">
            <v>0</v>
          </cell>
          <cell r="T280">
            <v>0</v>
          </cell>
          <cell r="U280">
            <v>51392</v>
          </cell>
          <cell r="V280">
            <v>2253790</v>
          </cell>
          <cell r="W280">
            <v>0</v>
          </cell>
          <cell r="X280">
            <v>0</v>
          </cell>
          <cell r="Y280">
            <v>2253790</v>
          </cell>
          <cell r="Z280">
            <v>78891</v>
          </cell>
          <cell r="AA280">
            <v>0</v>
          </cell>
          <cell r="AB280">
            <v>0</v>
          </cell>
          <cell r="AC280">
            <v>78891</v>
          </cell>
          <cell r="AD280">
            <v>771007</v>
          </cell>
          <cell r="AE280">
            <v>0</v>
          </cell>
          <cell r="AF280">
            <v>0</v>
          </cell>
          <cell r="AG280">
            <v>771007</v>
          </cell>
          <cell r="AH280">
            <v>-20048</v>
          </cell>
          <cell r="AI280">
            <v>0</v>
          </cell>
          <cell r="AJ280">
            <v>0</v>
          </cell>
          <cell r="AK280">
            <v>-20048</v>
          </cell>
          <cell r="AL280">
            <v>3017592</v>
          </cell>
          <cell r="AM280">
            <v>0</v>
          </cell>
          <cell r="AN280">
            <v>0</v>
          </cell>
          <cell r="AO280">
            <v>3017592</v>
          </cell>
          <cell r="AP280">
            <v>10803</v>
          </cell>
          <cell r="AQ280">
            <v>0</v>
          </cell>
          <cell r="AR280">
            <v>0</v>
          </cell>
          <cell r="AS280">
            <v>10803</v>
          </cell>
          <cell r="AT280">
            <v>45268</v>
          </cell>
          <cell r="AU280">
            <v>0</v>
          </cell>
          <cell r="AV280">
            <v>0</v>
          </cell>
          <cell r="AW280">
            <v>45268</v>
          </cell>
          <cell r="AX280">
            <v>56</v>
          </cell>
          <cell r="AY280">
            <v>0</v>
          </cell>
          <cell r="AZ280">
            <v>0</v>
          </cell>
          <cell r="BA280">
            <v>56</v>
          </cell>
          <cell r="BB280">
            <v>36531</v>
          </cell>
          <cell r="BC280">
            <v>0</v>
          </cell>
          <cell r="BD280">
            <v>0</v>
          </cell>
          <cell r="BE280">
            <v>36531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65638</v>
          </cell>
          <cell r="BK280">
            <v>0</v>
          </cell>
          <cell r="BL280">
            <v>0</v>
          </cell>
          <cell r="BM280">
            <v>65638</v>
          </cell>
          <cell r="BN280">
            <v>13041</v>
          </cell>
          <cell r="BO280">
            <v>0</v>
          </cell>
          <cell r="BP280">
            <v>0</v>
          </cell>
          <cell r="BQ280">
            <v>13041</v>
          </cell>
          <cell r="BR280">
            <v>1674108</v>
          </cell>
          <cell r="BS280">
            <v>0</v>
          </cell>
          <cell r="BT280">
            <v>0</v>
          </cell>
          <cell r="BU280">
            <v>1674108</v>
          </cell>
          <cell r="BV280">
            <v>-49821</v>
          </cell>
          <cell r="BW280">
            <v>0</v>
          </cell>
          <cell r="BX280">
            <v>0</v>
          </cell>
          <cell r="BY280">
            <v>-49821</v>
          </cell>
          <cell r="BZ280">
            <v>136385</v>
          </cell>
          <cell r="CA280">
            <v>0</v>
          </cell>
          <cell r="CB280">
            <v>0</v>
          </cell>
          <cell r="CC280">
            <v>136385</v>
          </cell>
          <cell r="CD280">
            <v>4195</v>
          </cell>
          <cell r="CE280">
            <v>0</v>
          </cell>
          <cell r="CF280">
            <v>0</v>
          </cell>
          <cell r="CG280">
            <v>4195</v>
          </cell>
          <cell r="CH280">
            <v>48231</v>
          </cell>
          <cell r="CI280">
            <v>0</v>
          </cell>
          <cell r="CJ280">
            <v>0</v>
          </cell>
          <cell r="CK280">
            <v>48231</v>
          </cell>
          <cell r="CL280">
            <v>-8025</v>
          </cell>
          <cell r="CM280">
            <v>0</v>
          </cell>
          <cell r="CN280">
            <v>0</v>
          </cell>
          <cell r="CO280">
            <v>-8025</v>
          </cell>
          <cell r="CP280">
            <v>2284</v>
          </cell>
          <cell r="CQ280">
            <v>0</v>
          </cell>
          <cell r="CR280">
            <v>0</v>
          </cell>
          <cell r="CS280">
            <v>2284</v>
          </cell>
          <cell r="CT280">
            <v>14</v>
          </cell>
          <cell r="CU280">
            <v>0</v>
          </cell>
          <cell r="CV280">
            <v>0</v>
          </cell>
          <cell r="CW280">
            <v>14</v>
          </cell>
          <cell r="CX280">
            <v>11210</v>
          </cell>
          <cell r="CY280">
            <v>0</v>
          </cell>
          <cell r="CZ280">
            <v>0</v>
          </cell>
          <cell r="DA280">
            <v>11210</v>
          </cell>
          <cell r="DB280">
            <v>550</v>
          </cell>
          <cell r="DC280">
            <v>0</v>
          </cell>
          <cell r="DD280">
            <v>0</v>
          </cell>
          <cell r="DE280">
            <v>550</v>
          </cell>
          <cell r="DF280">
            <v>8676</v>
          </cell>
          <cell r="DG280">
            <v>0</v>
          </cell>
          <cell r="DH280">
            <v>0</v>
          </cell>
          <cell r="DI280">
            <v>8676</v>
          </cell>
          <cell r="DJ280">
            <v>-112</v>
          </cell>
          <cell r="DK280">
            <v>0</v>
          </cell>
          <cell r="DL280">
            <v>0</v>
          </cell>
          <cell r="DM280">
            <v>-112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114</v>
          </cell>
          <cell r="DY280">
            <v>0</v>
          </cell>
          <cell r="DZ280">
            <v>0</v>
          </cell>
          <cell r="EA280">
            <v>114</v>
          </cell>
          <cell r="EB280">
            <v>3974</v>
          </cell>
          <cell r="EC280">
            <v>0</v>
          </cell>
          <cell r="ED280">
            <v>0</v>
          </cell>
          <cell r="EE280">
            <v>3974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</row>
        <row r="281">
          <cell r="A281">
            <v>275</v>
          </cell>
          <cell r="B281" t="str">
            <v>E1137</v>
          </cell>
          <cell r="C281" t="str">
            <v>SD</v>
          </cell>
          <cell r="D281" t="str">
            <v>SW</v>
          </cell>
          <cell r="E281" t="str">
            <v>Teignbridge</v>
          </cell>
          <cell r="F281">
            <v>437734</v>
          </cell>
          <cell r="G281">
            <v>0</v>
          </cell>
          <cell r="H281">
            <v>0</v>
          </cell>
          <cell r="I281">
            <v>437734</v>
          </cell>
          <cell r="J281">
            <v>-171701</v>
          </cell>
          <cell r="K281">
            <v>0</v>
          </cell>
          <cell r="L281">
            <v>0</v>
          </cell>
          <cell r="M281">
            <v>-171701</v>
          </cell>
          <cell r="N281">
            <v>144100</v>
          </cell>
          <cell r="O281">
            <v>0</v>
          </cell>
          <cell r="P281">
            <v>0</v>
          </cell>
          <cell r="Q281">
            <v>144100</v>
          </cell>
          <cell r="R281">
            <v>10764</v>
          </cell>
          <cell r="S281">
            <v>0</v>
          </cell>
          <cell r="T281">
            <v>0</v>
          </cell>
          <cell r="U281">
            <v>10764</v>
          </cell>
          <cell r="V281">
            <v>3361462</v>
          </cell>
          <cell r="W281">
            <v>0</v>
          </cell>
          <cell r="X281">
            <v>0</v>
          </cell>
          <cell r="Y281">
            <v>3361462</v>
          </cell>
          <cell r="Z281">
            <v>71778</v>
          </cell>
          <cell r="AA281">
            <v>0</v>
          </cell>
          <cell r="AB281">
            <v>0</v>
          </cell>
          <cell r="AC281">
            <v>71778</v>
          </cell>
          <cell r="AD281">
            <v>558565</v>
          </cell>
          <cell r="AE281">
            <v>0</v>
          </cell>
          <cell r="AF281">
            <v>0</v>
          </cell>
          <cell r="AG281">
            <v>558565</v>
          </cell>
          <cell r="AH281">
            <v>-13556</v>
          </cell>
          <cell r="AI281">
            <v>0</v>
          </cell>
          <cell r="AJ281">
            <v>0</v>
          </cell>
          <cell r="AK281">
            <v>-13556</v>
          </cell>
          <cell r="AL281">
            <v>2011152</v>
          </cell>
          <cell r="AM281">
            <v>0</v>
          </cell>
          <cell r="AN281">
            <v>0</v>
          </cell>
          <cell r="AO281">
            <v>2011152</v>
          </cell>
          <cell r="AP281">
            <v>-4923</v>
          </cell>
          <cell r="AQ281">
            <v>0</v>
          </cell>
          <cell r="AR281">
            <v>0</v>
          </cell>
          <cell r="AS281">
            <v>-4923</v>
          </cell>
          <cell r="AT281">
            <v>72272</v>
          </cell>
          <cell r="AU281">
            <v>0</v>
          </cell>
          <cell r="AV281">
            <v>0</v>
          </cell>
          <cell r="AW281">
            <v>72272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49032</v>
          </cell>
          <cell r="BC281">
            <v>0</v>
          </cell>
          <cell r="BD281">
            <v>0</v>
          </cell>
          <cell r="BE281">
            <v>49032</v>
          </cell>
          <cell r="BF281">
            <v>-10</v>
          </cell>
          <cell r="BG281">
            <v>0</v>
          </cell>
          <cell r="BH281">
            <v>0</v>
          </cell>
          <cell r="BI281">
            <v>-10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525</v>
          </cell>
          <cell r="BO281">
            <v>0</v>
          </cell>
          <cell r="BP281">
            <v>0</v>
          </cell>
          <cell r="BQ281">
            <v>525</v>
          </cell>
          <cell r="BR281">
            <v>945437</v>
          </cell>
          <cell r="BS281">
            <v>0</v>
          </cell>
          <cell r="BT281">
            <v>0</v>
          </cell>
          <cell r="BU281">
            <v>945437</v>
          </cell>
          <cell r="BV281">
            <v>73400</v>
          </cell>
          <cell r="BW281">
            <v>0</v>
          </cell>
          <cell r="BX281">
            <v>0</v>
          </cell>
          <cell r="BY281">
            <v>73400</v>
          </cell>
          <cell r="BZ281">
            <v>90246</v>
          </cell>
          <cell r="CA281">
            <v>0</v>
          </cell>
          <cell r="CB281">
            <v>0</v>
          </cell>
          <cell r="CC281">
            <v>90246</v>
          </cell>
          <cell r="CD281">
            <v>-1207</v>
          </cell>
          <cell r="CE281">
            <v>0</v>
          </cell>
          <cell r="CF281">
            <v>0</v>
          </cell>
          <cell r="CG281">
            <v>-1207</v>
          </cell>
          <cell r="CH281">
            <v>52837</v>
          </cell>
          <cell r="CI281">
            <v>0</v>
          </cell>
          <cell r="CJ281">
            <v>0</v>
          </cell>
          <cell r="CK281">
            <v>52837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7211</v>
          </cell>
          <cell r="CQ281">
            <v>0</v>
          </cell>
          <cell r="CR281">
            <v>0</v>
          </cell>
          <cell r="CS281">
            <v>7211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34237</v>
          </cell>
          <cell r="CY281">
            <v>0</v>
          </cell>
          <cell r="CZ281">
            <v>0</v>
          </cell>
          <cell r="DA281">
            <v>34237</v>
          </cell>
          <cell r="DB281">
            <v>1326</v>
          </cell>
          <cell r="DC281">
            <v>0</v>
          </cell>
          <cell r="DD281">
            <v>0</v>
          </cell>
          <cell r="DE281">
            <v>1326</v>
          </cell>
          <cell r="DF281">
            <v>3142</v>
          </cell>
          <cell r="DG281">
            <v>0</v>
          </cell>
          <cell r="DH281">
            <v>0</v>
          </cell>
          <cell r="DI281">
            <v>3142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15464</v>
          </cell>
          <cell r="EC281">
            <v>0</v>
          </cell>
          <cell r="ED281">
            <v>0</v>
          </cell>
          <cell r="EE281">
            <v>15464</v>
          </cell>
          <cell r="EF281">
            <v>11019</v>
          </cell>
          <cell r="EG281">
            <v>0</v>
          </cell>
          <cell r="EH281">
            <v>0</v>
          </cell>
          <cell r="EI281">
            <v>11019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</row>
        <row r="282">
          <cell r="A282">
            <v>276</v>
          </cell>
          <cell r="B282" t="str">
            <v>E3201</v>
          </cell>
          <cell r="C282" t="str">
            <v>UA</v>
          </cell>
          <cell r="D282" t="str">
            <v>WM</v>
          </cell>
          <cell r="E282" t="str">
            <v>Telford &amp; Wrekin UA</v>
          </cell>
          <cell r="F282">
            <v>69509.600000000006</v>
          </cell>
          <cell r="G282">
            <v>0</v>
          </cell>
          <cell r="H282">
            <v>0</v>
          </cell>
          <cell r="I282">
            <v>69509.600000000006</v>
          </cell>
          <cell r="J282">
            <v>-119398.64</v>
          </cell>
          <cell r="K282">
            <v>0</v>
          </cell>
          <cell r="L282">
            <v>0</v>
          </cell>
          <cell r="M282">
            <v>-119398.64</v>
          </cell>
          <cell r="N282">
            <v>112550.77</v>
          </cell>
          <cell r="O282">
            <v>0</v>
          </cell>
          <cell r="P282">
            <v>0</v>
          </cell>
          <cell r="Q282">
            <v>112550.77</v>
          </cell>
          <cell r="R282">
            <v>190752.65</v>
          </cell>
          <cell r="S282">
            <v>0</v>
          </cell>
          <cell r="T282">
            <v>0</v>
          </cell>
          <cell r="U282">
            <v>190752.65</v>
          </cell>
          <cell r="V282">
            <v>2438258.35</v>
          </cell>
          <cell r="W282">
            <v>0</v>
          </cell>
          <cell r="X282">
            <v>0</v>
          </cell>
          <cell r="Y282">
            <v>2438258.35</v>
          </cell>
          <cell r="Z282">
            <v>110285.18</v>
          </cell>
          <cell r="AA282">
            <v>0</v>
          </cell>
          <cell r="AB282">
            <v>0</v>
          </cell>
          <cell r="AC282">
            <v>110285.18</v>
          </cell>
          <cell r="AD282">
            <v>1345333.31</v>
          </cell>
          <cell r="AE282">
            <v>0</v>
          </cell>
          <cell r="AF282">
            <v>0</v>
          </cell>
          <cell r="AG282">
            <v>1345333.31</v>
          </cell>
          <cell r="AH282">
            <v>29278.89</v>
          </cell>
          <cell r="AI282">
            <v>0</v>
          </cell>
          <cell r="AJ282">
            <v>0</v>
          </cell>
          <cell r="AK282">
            <v>29278.89</v>
          </cell>
          <cell r="AL282">
            <v>3919823.05</v>
          </cell>
          <cell r="AM282">
            <v>0</v>
          </cell>
          <cell r="AN282">
            <v>0</v>
          </cell>
          <cell r="AO282">
            <v>3919823.05</v>
          </cell>
          <cell r="AP282">
            <v>212386.19</v>
          </cell>
          <cell r="AQ282">
            <v>0</v>
          </cell>
          <cell r="AR282">
            <v>0</v>
          </cell>
          <cell r="AS282">
            <v>212386.19</v>
          </cell>
          <cell r="AT282">
            <v>33416.54</v>
          </cell>
          <cell r="AU282">
            <v>0</v>
          </cell>
          <cell r="AV282">
            <v>0</v>
          </cell>
          <cell r="AW282">
            <v>33416.54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7756.11</v>
          </cell>
          <cell r="BC282">
            <v>0</v>
          </cell>
          <cell r="BD282">
            <v>0</v>
          </cell>
          <cell r="BE282">
            <v>7756.11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147792.13</v>
          </cell>
          <cell r="BK282">
            <v>0</v>
          </cell>
          <cell r="BL282">
            <v>0</v>
          </cell>
          <cell r="BM282">
            <v>147792.13</v>
          </cell>
          <cell r="BN282">
            <v>129467.6</v>
          </cell>
          <cell r="BO282">
            <v>0</v>
          </cell>
          <cell r="BP282">
            <v>0</v>
          </cell>
          <cell r="BQ282">
            <v>129467.6</v>
          </cell>
          <cell r="BR282">
            <v>2153338.61</v>
          </cell>
          <cell r="BS282">
            <v>0</v>
          </cell>
          <cell r="BT282">
            <v>0</v>
          </cell>
          <cell r="BU282">
            <v>2153338.61</v>
          </cell>
          <cell r="BV282">
            <v>237468.49</v>
          </cell>
          <cell r="BW282">
            <v>0</v>
          </cell>
          <cell r="BX282">
            <v>0</v>
          </cell>
          <cell r="BY282">
            <v>237468.49</v>
          </cell>
          <cell r="BZ282">
            <v>216311.75</v>
          </cell>
          <cell r="CA282">
            <v>0</v>
          </cell>
          <cell r="CB282">
            <v>0</v>
          </cell>
          <cell r="CC282">
            <v>216311.75</v>
          </cell>
          <cell r="CD282">
            <v>3742.26</v>
          </cell>
          <cell r="CE282">
            <v>0</v>
          </cell>
          <cell r="CF282">
            <v>0</v>
          </cell>
          <cell r="CG282">
            <v>3742.26</v>
          </cell>
          <cell r="CH282">
            <v>44941.88</v>
          </cell>
          <cell r="CI282">
            <v>0</v>
          </cell>
          <cell r="CJ282">
            <v>0</v>
          </cell>
          <cell r="CK282">
            <v>44941.88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2322.0300000000002</v>
          </cell>
          <cell r="CQ282">
            <v>0</v>
          </cell>
          <cell r="CR282">
            <v>0</v>
          </cell>
          <cell r="CS282">
            <v>2322.0300000000002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7756.11</v>
          </cell>
          <cell r="CY282">
            <v>0</v>
          </cell>
          <cell r="CZ282">
            <v>0</v>
          </cell>
          <cell r="DA282">
            <v>7756.11</v>
          </cell>
          <cell r="DB282">
            <v>2185.88</v>
          </cell>
          <cell r="DC282">
            <v>0</v>
          </cell>
          <cell r="DD282">
            <v>0</v>
          </cell>
          <cell r="DE282">
            <v>2185.88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7189.2</v>
          </cell>
          <cell r="EC282">
            <v>0</v>
          </cell>
          <cell r="ED282">
            <v>0</v>
          </cell>
          <cell r="EE282">
            <v>7189.2</v>
          </cell>
          <cell r="EF282">
            <v>1871.64</v>
          </cell>
          <cell r="EG282">
            <v>0</v>
          </cell>
          <cell r="EH282">
            <v>0</v>
          </cell>
          <cell r="EI282">
            <v>1871.64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</row>
        <row r="283">
          <cell r="A283">
            <v>277</v>
          </cell>
          <cell r="B283" t="str">
            <v>E1542</v>
          </cell>
          <cell r="C283" t="str">
            <v>SD</v>
          </cell>
          <cell r="D283" t="str">
            <v>E</v>
          </cell>
          <cell r="E283" t="str">
            <v>Tendring</v>
          </cell>
          <cell r="F283">
            <v>130970</v>
          </cell>
          <cell r="G283">
            <v>0</v>
          </cell>
          <cell r="H283">
            <v>0</v>
          </cell>
          <cell r="I283">
            <v>130970</v>
          </cell>
          <cell r="J283">
            <v>-61595</v>
          </cell>
          <cell r="K283">
            <v>0</v>
          </cell>
          <cell r="L283">
            <v>0</v>
          </cell>
          <cell r="M283">
            <v>-61595</v>
          </cell>
          <cell r="N283">
            <v>16570</v>
          </cell>
          <cell r="O283">
            <v>0</v>
          </cell>
          <cell r="P283">
            <v>0</v>
          </cell>
          <cell r="Q283">
            <v>16570</v>
          </cell>
          <cell r="R283">
            <v>66549</v>
          </cell>
          <cell r="S283">
            <v>0</v>
          </cell>
          <cell r="T283">
            <v>0</v>
          </cell>
          <cell r="U283">
            <v>66549</v>
          </cell>
          <cell r="V283">
            <v>4059294</v>
          </cell>
          <cell r="W283">
            <v>0</v>
          </cell>
          <cell r="X283">
            <v>0</v>
          </cell>
          <cell r="Y283">
            <v>4059294</v>
          </cell>
          <cell r="Z283">
            <v>71101</v>
          </cell>
          <cell r="AA283">
            <v>0</v>
          </cell>
          <cell r="AB283">
            <v>0</v>
          </cell>
          <cell r="AC283">
            <v>71101</v>
          </cell>
          <cell r="AD283">
            <v>462785</v>
          </cell>
          <cell r="AE283">
            <v>0</v>
          </cell>
          <cell r="AF283">
            <v>0</v>
          </cell>
          <cell r="AG283">
            <v>462785</v>
          </cell>
          <cell r="AH283">
            <v>2423</v>
          </cell>
          <cell r="AI283">
            <v>0</v>
          </cell>
          <cell r="AJ283">
            <v>0</v>
          </cell>
          <cell r="AK283">
            <v>2423</v>
          </cell>
          <cell r="AL283">
            <v>1996996</v>
          </cell>
          <cell r="AM283">
            <v>0</v>
          </cell>
          <cell r="AN283">
            <v>0</v>
          </cell>
          <cell r="AO283">
            <v>1996996</v>
          </cell>
          <cell r="AP283">
            <v>-36183</v>
          </cell>
          <cell r="AQ283">
            <v>0</v>
          </cell>
          <cell r="AR283">
            <v>0</v>
          </cell>
          <cell r="AS283">
            <v>-36183</v>
          </cell>
          <cell r="AT283">
            <v>114939</v>
          </cell>
          <cell r="AU283">
            <v>0</v>
          </cell>
          <cell r="AV283">
            <v>0</v>
          </cell>
          <cell r="AW283">
            <v>114939</v>
          </cell>
          <cell r="AX283">
            <v>178</v>
          </cell>
          <cell r="AY283">
            <v>0</v>
          </cell>
          <cell r="AZ283">
            <v>0</v>
          </cell>
          <cell r="BA283">
            <v>178</v>
          </cell>
          <cell r="BB283">
            <v>43889</v>
          </cell>
          <cell r="BC283">
            <v>0</v>
          </cell>
          <cell r="BD283">
            <v>0</v>
          </cell>
          <cell r="BE283">
            <v>43889</v>
          </cell>
          <cell r="BF283">
            <v>-3468</v>
          </cell>
          <cell r="BG283">
            <v>0</v>
          </cell>
          <cell r="BH283">
            <v>0</v>
          </cell>
          <cell r="BI283">
            <v>-3468</v>
          </cell>
          <cell r="BJ283">
            <v>1624</v>
          </cell>
          <cell r="BK283">
            <v>0</v>
          </cell>
          <cell r="BL283">
            <v>0</v>
          </cell>
          <cell r="BM283">
            <v>1624</v>
          </cell>
          <cell r="BN283">
            <v>1416</v>
          </cell>
          <cell r="BO283">
            <v>0</v>
          </cell>
          <cell r="BP283">
            <v>0</v>
          </cell>
          <cell r="BQ283">
            <v>1416</v>
          </cell>
          <cell r="BR283">
            <v>523121</v>
          </cell>
          <cell r="BS283">
            <v>0</v>
          </cell>
          <cell r="BT283">
            <v>0</v>
          </cell>
          <cell r="BU283">
            <v>523121</v>
          </cell>
          <cell r="BV283">
            <v>-37888</v>
          </cell>
          <cell r="BW283">
            <v>0</v>
          </cell>
          <cell r="BX283">
            <v>0</v>
          </cell>
          <cell r="BY283">
            <v>-37888</v>
          </cell>
          <cell r="BZ283">
            <v>27954</v>
          </cell>
          <cell r="CA283">
            <v>0</v>
          </cell>
          <cell r="CB283">
            <v>0</v>
          </cell>
          <cell r="CC283">
            <v>27954</v>
          </cell>
          <cell r="CD283">
            <v>-196</v>
          </cell>
          <cell r="CE283">
            <v>0</v>
          </cell>
          <cell r="CF283">
            <v>0</v>
          </cell>
          <cell r="CG283">
            <v>-196</v>
          </cell>
          <cell r="CH283">
            <v>131</v>
          </cell>
          <cell r="CI283">
            <v>0</v>
          </cell>
          <cell r="CJ283">
            <v>0</v>
          </cell>
          <cell r="CK283">
            <v>131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43889</v>
          </cell>
          <cell r="CY283">
            <v>0</v>
          </cell>
          <cell r="CZ283">
            <v>0</v>
          </cell>
          <cell r="DA283">
            <v>43889</v>
          </cell>
          <cell r="DB283">
            <v>-3468</v>
          </cell>
          <cell r="DC283">
            <v>0</v>
          </cell>
          <cell r="DD283">
            <v>0</v>
          </cell>
          <cell r="DE283">
            <v>-3468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</row>
        <row r="284">
          <cell r="A284">
            <v>278</v>
          </cell>
          <cell r="B284" t="str">
            <v>E1742</v>
          </cell>
          <cell r="C284" t="str">
            <v>SD</v>
          </cell>
          <cell r="D284" t="str">
            <v>SE</v>
          </cell>
          <cell r="E284" t="str">
            <v>Test Valley</v>
          </cell>
          <cell r="F284">
            <v>95813</v>
          </cell>
          <cell r="G284">
            <v>0</v>
          </cell>
          <cell r="H284">
            <v>0</v>
          </cell>
          <cell r="I284">
            <v>95813</v>
          </cell>
          <cell r="J284">
            <v>-146118</v>
          </cell>
          <cell r="K284">
            <v>0</v>
          </cell>
          <cell r="L284">
            <v>0</v>
          </cell>
          <cell r="M284">
            <v>-146118</v>
          </cell>
          <cell r="N284">
            <v>55624</v>
          </cell>
          <cell r="O284">
            <v>0</v>
          </cell>
          <cell r="P284">
            <v>0</v>
          </cell>
          <cell r="Q284">
            <v>55624</v>
          </cell>
          <cell r="R284">
            <v>60181</v>
          </cell>
          <cell r="S284">
            <v>0</v>
          </cell>
          <cell r="T284">
            <v>0</v>
          </cell>
          <cell r="U284">
            <v>60181</v>
          </cell>
          <cell r="V284">
            <v>2257762</v>
          </cell>
          <cell r="W284">
            <v>0</v>
          </cell>
          <cell r="X284">
            <v>0</v>
          </cell>
          <cell r="Y284">
            <v>2257762</v>
          </cell>
          <cell r="Z284">
            <v>183543</v>
          </cell>
          <cell r="AA284">
            <v>0</v>
          </cell>
          <cell r="AB284">
            <v>0</v>
          </cell>
          <cell r="AC284">
            <v>183543</v>
          </cell>
          <cell r="AD284">
            <v>929224</v>
          </cell>
          <cell r="AE284">
            <v>0</v>
          </cell>
          <cell r="AF284">
            <v>0</v>
          </cell>
          <cell r="AG284">
            <v>929224</v>
          </cell>
          <cell r="AH284">
            <v>12964</v>
          </cell>
          <cell r="AI284">
            <v>0</v>
          </cell>
          <cell r="AJ284">
            <v>0</v>
          </cell>
          <cell r="AK284">
            <v>12964</v>
          </cell>
          <cell r="AL284">
            <v>2555551</v>
          </cell>
          <cell r="AM284">
            <v>0</v>
          </cell>
          <cell r="AN284">
            <v>0</v>
          </cell>
          <cell r="AO284">
            <v>2555551</v>
          </cell>
          <cell r="AP284">
            <v>29051</v>
          </cell>
          <cell r="AQ284">
            <v>0</v>
          </cell>
          <cell r="AR284">
            <v>0</v>
          </cell>
          <cell r="AS284">
            <v>29051</v>
          </cell>
          <cell r="AT284">
            <v>73811</v>
          </cell>
          <cell r="AU284">
            <v>0</v>
          </cell>
          <cell r="AV284">
            <v>0</v>
          </cell>
          <cell r="AW284">
            <v>73811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22687</v>
          </cell>
          <cell r="BC284">
            <v>0</v>
          </cell>
          <cell r="BD284">
            <v>0</v>
          </cell>
          <cell r="BE284">
            <v>22687</v>
          </cell>
          <cell r="BF284">
            <v>-790</v>
          </cell>
          <cell r="BG284">
            <v>0</v>
          </cell>
          <cell r="BH284">
            <v>0</v>
          </cell>
          <cell r="BI284">
            <v>-790</v>
          </cell>
          <cell r="BJ284">
            <v>16638</v>
          </cell>
          <cell r="BK284">
            <v>0</v>
          </cell>
          <cell r="BL284">
            <v>0</v>
          </cell>
          <cell r="BM284">
            <v>16638</v>
          </cell>
          <cell r="BN284">
            <v>30360</v>
          </cell>
          <cell r="BO284">
            <v>0</v>
          </cell>
          <cell r="BP284">
            <v>0</v>
          </cell>
          <cell r="BQ284">
            <v>30360</v>
          </cell>
          <cell r="BR284">
            <v>1717976</v>
          </cell>
          <cell r="BS284">
            <v>0</v>
          </cell>
          <cell r="BT284">
            <v>0</v>
          </cell>
          <cell r="BU284">
            <v>1717976</v>
          </cell>
          <cell r="BV284">
            <v>-202332</v>
          </cell>
          <cell r="BW284">
            <v>0</v>
          </cell>
          <cell r="BX284">
            <v>0</v>
          </cell>
          <cell r="BY284">
            <v>-202332</v>
          </cell>
          <cell r="BZ284">
            <v>165065</v>
          </cell>
          <cell r="CA284">
            <v>0</v>
          </cell>
          <cell r="CB284">
            <v>0</v>
          </cell>
          <cell r="CC284">
            <v>165065</v>
          </cell>
          <cell r="CD284">
            <v>2011</v>
          </cell>
          <cell r="CE284">
            <v>0</v>
          </cell>
          <cell r="CF284">
            <v>0</v>
          </cell>
          <cell r="CG284">
            <v>2011</v>
          </cell>
          <cell r="CH284">
            <v>53052</v>
          </cell>
          <cell r="CI284">
            <v>0</v>
          </cell>
          <cell r="CJ284">
            <v>0</v>
          </cell>
          <cell r="CK284">
            <v>53052</v>
          </cell>
          <cell r="CL284">
            <v>2387</v>
          </cell>
          <cell r="CM284">
            <v>0</v>
          </cell>
          <cell r="CN284">
            <v>0</v>
          </cell>
          <cell r="CO284">
            <v>2387</v>
          </cell>
          <cell r="CP284">
            <v>18453</v>
          </cell>
          <cell r="CQ284">
            <v>0</v>
          </cell>
          <cell r="CR284">
            <v>0</v>
          </cell>
          <cell r="CS284">
            <v>18453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43214</v>
          </cell>
          <cell r="CY284">
            <v>0</v>
          </cell>
          <cell r="CZ284">
            <v>0</v>
          </cell>
          <cell r="DA284">
            <v>43214</v>
          </cell>
          <cell r="DB284">
            <v>4884</v>
          </cell>
          <cell r="DC284">
            <v>0</v>
          </cell>
          <cell r="DD284">
            <v>0</v>
          </cell>
          <cell r="DE284">
            <v>4884</v>
          </cell>
          <cell r="DF284">
            <v>20675</v>
          </cell>
          <cell r="DG284">
            <v>0</v>
          </cell>
          <cell r="DH284">
            <v>0</v>
          </cell>
          <cell r="DI284">
            <v>20675</v>
          </cell>
          <cell r="DJ284">
            <v>-790</v>
          </cell>
          <cell r="DK284">
            <v>0</v>
          </cell>
          <cell r="DL284">
            <v>0</v>
          </cell>
          <cell r="DM284">
            <v>-790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</row>
        <row r="285">
          <cell r="A285">
            <v>279</v>
          </cell>
          <cell r="B285" t="str">
            <v>E1636</v>
          </cell>
          <cell r="C285" t="str">
            <v>SD</v>
          </cell>
          <cell r="D285" t="str">
            <v>SW</v>
          </cell>
          <cell r="E285" t="str">
            <v>Tewkesbury</v>
          </cell>
          <cell r="F285">
            <v>51194.96</v>
          </cell>
          <cell r="G285">
            <v>0</v>
          </cell>
          <cell r="H285">
            <v>0</v>
          </cell>
          <cell r="I285">
            <v>51194.96</v>
          </cell>
          <cell r="J285">
            <v>-49031.25</v>
          </cell>
          <cell r="K285">
            <v>0</v>
          </cell>
          <cell r="L285">
            <v>0</v>
          </cell>
          <cell r="M285">
            <v>-49031.25</v>
          </cell>
          <cell r="N285">
            <v>12843</v>
          </cell>
          <cell r="O285">
            <v>0</v>
          </cell>
          <cell r="P285">
            <v>0</v>
          </cell>
          <cell r="Q285">
            <v>12843</v>
          </cell>
          <cell r="R285">
            <v>39919</v>
          </cell>
          <cell r="S285">
            <v>0</v>
          </cell>
          <cell r="T285">
            <v>0</v>
          </cell>
          <cell r="U285">
            <v>39919</v>
          </cell>
          <cell r="V285">
            <v>1605095.2</v>
          </cell>
          <cell r="W285">
            <v>0</v>
          </cell>
          <cell r="X285">
            <v>0</v>
          </cell>
          <cell r="Y285">
            <v>1605095.2</v>
          </cell>
          <cell r="Z285">
            <v>55239.18</v>
          </cell>
          <cell r="AA285">
            <v>0</v>
          </cell>
          <cell r="AB285">
            <v>0</v>
          </cell>
          <cell r="AC285">
            <v>55239.18</v>
          </cell>
          <cell r="AD285">
            <v>653534.19999999995</v>
          </cell>
          <cell r="AE285">
            <v>0</v>
          </cell>
          <cell r="AF285">
            <v>0</v>
          </cell>
          <cell r="AG285">
            <v>653534.19999999995</v>
          </cell>
          <cell r="AH285">
            <v>11546.49</v>
          </cell>
          <cell r="AI285">
            <v>0</v>
          </cell>
          <cell r="AJ285">
            <v>0</v>
          </cell>
          <cell r="AK285">
            <v>11546.49</v>
          </cell>
          <cell r="AL285">
            <v>1088348.3500000001</v>
          </cell>
          <cell r="AM285">
            <v>0</v>
          </cell>
          <cell r="AN285">
            <v>0</v>
          </cell>
          <cell r="AO285">
            <v>1088348.3500000001</v>
          </cell>
          <cell r="AP285">
            <v>-4856.59</v>
          </cell>
          <cell r="AQ285">
            <v>0</v>
          </cell>
          <cell r="AR285">
            <v>0</v>
          </cell>
          <cell r="AS285">
            <v>-4856.59</v>
          </cell>
          <cell r="AT285">
            <v>33080.120000000003</v>
          </cell>
          <cell r="AU285">
            <v>0</v>
          </cell>
          <cell r="AV285">
            <v>0</v>
          </cell>
          <cell r="AW285">
            <v>33080.120000000003</v>
          </cell>
          <cell r="AX285">
            <v>621.78</v>
          </cell>
          <cell r="AY285">
            <v>0</v>
          </cell>
          <cell r="AZ285">
            <v>0</v>
          </cell>
          <cell r="BA285">
            <v>621.78</v>
          </cell>
          <cell r="BB285">
            <v>7024.98</v>
          </cell>
          <cell r="BC285">
            <v>0</v>
          </cell>
          <cell r="BD285">
            <v>0</v>
          </cell>
          <cell r="BE285">
            <v>7024.98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13975.26</v>
          </cell>
          <cell r="BK285">
            <v>0</v>
          </cell>
          <cell r="BL285">
            <v>0</v>
          </cell>
          <cell r="BM285">
            <v>13975.26</v>
          </cell>
          <cell r="BN285">
            <v>-53246.02</v>
          </cell>
          <cell r="BO285">
            <v>0</v>
          </cell>
          <cell r="BP285">
            <v>0</v>
          </cell>
          <cell r="BQ285">
            <v>-53246.02</v>
          </cell>
          <cell r="BR285">
            <v>710735</v>
          </cell>
          <cell r="BS285">
            <v>0</v>
          </cell>
          <cell r="BT285">
            <v>0</v>
          </cell>
          <cell r="BU285">
            <v>710735</v>
          </cell>
          <cell r="BV285">
            <v>375947.08</v>
          </cell>
          <cell r="BW285">
            <v>0</v>
          </cell>
          <cell r="BX285">
            <v>0</v>
          </cell>
          <cell r="BY285">
            <v>375947.08</v>
          </cell>
          <cell r="BZ285">
            <v>40941.660000000003</v>
          </cell>
          <cell r="CA285">
            <v>0</v>
          </cell>
          <cell r="CB285">
            <v>0</v>
          </cell>
          <cell r="CC285">
            <v>40941.660000000003</v>
          </cell>
          <cell r="CD285">
            <v>-2103.39</v>
          </cell>
          <cell r="CE285">
            <v>0</v>
          </cell>
          <cell r="CF285">
            <v>0</v>
          </cell>
          <cell r="CG285">
            <v>-2103.39</v>
          </cell>
          <cell r="CH285">
            <v>4806.6499999999996</v>
          </cell>
          <cell r="CI285">
            <v>0</v>
          </cell>
          <cell r="CJ285">
            <v>0</v>
          </cell>
          <cell r="CK285">
            <v>4806.6499999999996</v>
          </cell>
          <cell r="CL285">
            <v>4046</v>
          </cell>
          <cell r="CM285">
            <v>0</v>
          </cell>
          <cell r="CN285">
            <v>0</v>
          </cell>
          <cell r="CO285">
            <v>4046</v>
          </cell>
          <cell r="CP285">
            <v>357.96</v>
          </cell>
          <cell r="CQ285">
            <v>0</v>
          </cell>
          <cell r="CR285">
            <v>0</v>
          </cell>
          <cell r="CS285">
            <v>357.96</v>
          </cell>
          <cell r="CT285">
            <v>155.44</v>
          </cell>
          <cell r="CU285">
            <v>0</v>
          </cell>
          <cell r="CV285">
            <v>0</v>
          </cell>
          <cell r="CW285">
            <v>155.44</v>
          </cell>
          <cell r="CX285">
            <v>2738.86</v>
          </cell>
          <cell r="CY285">
            <v>0</v>
          </cell>
          <cell r="CZ285">
            <v>0</v>
          </cell>
          <cell r="DA285">
            <v>2738.86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2149</v>
          </cell>
          <cell r="EC285">
            <v>0</v>
          </cell>
          <cell r="ED285">
            <v>0</v>
          </cell>
          <cell r="EE285">
            <v>2149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</row>
        <row r="286">
          <cell r="A286">
            <v>280</v>
          </cell>
          <cell r="B286" t="str">
            <v>E2242</v>
          </cell>
          <cell r="C286" t="str">
            <v>SD</v>
          </cell>
          <cell r="D286" t="str">
            <v>SE</v>
          </cell>
          <cell r="E286" t="str">
            <v>Thanet</v>
          </cell>
          <cell r="F286">
            <v>159151.79999999999</v>
          </cell>
          <cell r="G286">
            <v>0</v>
          </cell>
          <cell r="H286">
            <v>0</v>
          </cell>
          <cell r="I286">
            <v>159151.79999999999</v>
          </cell>
          <cell r="J286">
            <v>-189540.4</v>
          </cell>
          <cell r="K286">
            <v>0</v>
          </cell>
          <cell r="L286">
            <v>0</v>
          </cell>
          <cell r="M286">
            <v>-189540.4</v>
          </cell>
          <cell r="N286">
            <v>15958.8</v>
          </cell>
          <cell r="O286">
            <v>0</v>
          </cell>
          <cell r="P286">
            <v>0</v>
          </cell>
          <cell r="Q286">
            <v>15958.8</v>
          </cell>
          <cell r="R286">
            <v>122320.39</v>
          </cell>
          <cell r="S286">
            <v>0</v>
          </cell>
          <cell r="T286">
            <v>0</v>
          </cell>
          <cell r="U286">
            <v>122320.39</v>
          </cell>
          <cell r="V286">
            <v>3338812.42</v>
          </cell>
          <cell r="W286">
            <v>0</v>
          </cell>
          <cell r="X286">
            <v>0</v>
          </cell>
          <cell r="Y286">
            <v>3338812.42</v>
          </cell>
          <cell r="Z286">
            <v>161037.09</v>
          </cell>
          <cell r="AA286">
            <v>0</v>
          </cell>
          <cell r="AB286">
            <v>0</v>
          </cell>
          <cell r="AC286">
            <v>161037.09</v>
          </cell>
          <cell r="AD286">
            <v>635769.97</v>
          </cell>
          <cell r="AE286">
            <v>0</v>
          </cell>
          <cell r="AF286">
            <v>0</v>
          </cell>
          <cell r="AG286">
            <v>635769.97</v>
          </cell>
          <cell r="AH286">
            <v>-25307.56</v>
          </cell>
          <cell r="AI286">
            <v>0</v>
          </cell>
          <cell r="AJ286">
            <v>0</v>
          </cell>
          <cell r="AK286">
            <v>-25307.56</v>
          </cell>
          <cell r="AL286">
            <v>3398978.4</v>
          </cell>
          <cell r="AM286">
            <v>0</v>
          </cell>
          <cell r="AN286">
            <v>0</v>
          </cell>
          <cell r="AO286">
            <v>3398978.4</v>
          </cell>
          <cell r="AP286">
            <v>382768.59</v>
          </cell>
          <cell r="AQ286">
            <v>0</v>
          </cell>
          <cell r="AR286">
            <v>0</v>
          </cell>
          <cell r="AS286">
            <v>382768.59</v>
          </cell>
          <cell r="AT286">
            <v>36860.080000000002</v>
          </cell>
          <cell r="AU286">
            <v>0</v>
          </cell>
          <cell r="AV286">
            <v>0</v>
          </cell>
          <cell r="AW286">
            <v>36860.080000000002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4980.84</v>
          </cell>
          <cell r="BC286">
            <v>0</v>
          </cell>
          <cell r="BD286">
            <v>0</v>
          </cell>
          <cell r="BE286">
            <v>4980.84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2363.14</v>
          </cell>
          <cell r="BK286">
            <v>0</v>
          </cell>
          <cell r="BL286">
            <v>0</v>
          </cell>
          <cell r="BM286">
            <v>2363.14</v>
          </cell>
          <cell r="BN286">
            <v>-2090.41</v>
          </cell>
          <cell r="BO286">
            <v>0</v>
          </cell>
          <cell r="BP286">
            <v>0</v>
          </cell>
          <cell r="BQ286">
            <v>-2090.41</v>
          </cell>
          <cell r="BR286">
            <v>1173583.79</v>
          </cell>
          <cell r="BS286">
            <v>0</v>
          </cell>
          <cell r="BT286">
            <v>0</v>
          </cell>
          <cell r="BU286">
            <v>1173583.79</v>
          </cell>
          <cell r="BV286">
            <v>93362.72</v>
          </cell>
          <cell r="BW286">
            <v>0</v>
          </cell>
          <cell r="BX286">
            <v>0</v>
          </cell>
          <cell r="BY286">
            <v>93362.72</v>
          </cell>
          <cell r="BZ286">
            <v>147752.29</v>
          </cell>
          <cell r="CA286">
            <v>0</v>
          </cell>
          <cell r="CB286">
            <v>0</v>
          </cell>
          <cell r="CC286">
            <v>147752.29</v>
          </cell>
          <cell r="CD286">
            <v>953.26</v>
          </cell>
          <cell r="CE286">
            <v>0</v>
          </cell>
          <cell r="CF286">
            <v>0</v>
          </cell>
          <cell r="CG286">
            <v>953.26</v>
          </cell>
          <cell r="CH286">
            <v>30791.47</v>
          </cell>
          <cell r="CI286">
            <v>0</v>
          </cell>
          <cell r="CJ286">
            <v>0</v>
          </cell>
          <cell r="CK286">
            <v>30791.47</v>
          </cell>
          <cell r="CL286">
            <v>-3472.69</v>
          </cell>
          <cell r="CM286">
            <v>0</v>
          </cell>
          <cell r="CN286">
            <v>0</v>
          </cell>
          <cell r="CO286">
            <v>-3472.69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718.27</v>
          </cell>
          <cell r="CY286">
            <v>0</v>
          </cell>
          <cell r="CZ286">
            <v>0</v>
          </cell>
          <cell r="DA286">
            <v>718.27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</row>
        <row r="287">
          <cell r="A287">
            <v>281</v>
          </cell>
          <cell r="B287" t="str">
            <v>E1938</v>
          </cell>
          <cell r="C287" t="str">
            <v>SD</v>
          </cell>
          <cell r="D287" t="str">
            <v>E</v>
          </cell>
          <cell r="E287" t="str">
            <v>Three Rivers</v>
          </cell>
          <cell r="F287">
            <v>67773</v>
          </cell>
          <cell r="G287">
            <v>0</v>
          </cell>
          <cell r="H287">
            <v>0</v>
          </cell>
          <cell r="I287">
            <v>67773</v>
          </cell>
          <cell r="J287">
            <v>-62986</v>
          </cell>
          <cell r="K287">
            <v>0</v>
          </cell>
          <cell r="L287">
            <v>0</v>
          </cell>
          <cell r="M287">
            <v>-62986</v>
          </cell>
          <cell r="N287">
            <v>292786</v>
          </cell>
          <cell r="O287">
            <v>0</v>
          </cell>
          <cell r="P287">
            <v>0</v>
          </cell>
          <cell r="Q287">
            <v>292786</v>
          </cell>
          <cell r="R287">
            <v>-402535</v>
          </cell>
          <cell r="S287">
            <v>0</v>
          </cell>
          <cell r="T287">
            <v>0</v>
          </cell>
          <cell r="U287">
            <v>-402535</v>
          </cell>
          <cell r="V287">
            <v>874437</v>
          </cell>
          <cell r="W287">
            <v>0</v>
          </cell>
          <cell r="X287">
            <v>0</v>
          </cell>
          <cell r="Y287">
            <v>874437</v>
          </cell>
          <cell r="Z287">
            <v>47036</v>
          </cell>
          <cell r="AA287">
            <v>0</v>
          </cell>
          <cell r="AB287">
            <v>0</v>
          </cell>
          <cell r="AC287">
            <v>47036</v>
          </cell>
          <cell r="AD287">
            <v>542662</v>
          </cell>
          <cell r="AE287">
            <v>0</v>
          </cell>
          <cell r="AF287">
            <v>0</v>
          </cell>
          <cell r="AG287">
            <v>542662</v>
          </cell>
          <cell r="AH287">
            <v>-6661</v>
          </cell>
          <cell r="AI287">
            <v>0</v>
          </cell>
          <cell r="AJ287">
            <v>0</v>
          </cell>
          <cell r="AK287">
            <v>-6661</v>
          </cell>
          <cell r="AL287">
            <v>2200285</v>
          </cell>
          <cell r="AM287">
            <v>0</v>
          </cell>
          <cell r="AN287">
            <v>0</v>
          </cell>
          <cell r="AO287">
            <v>2200285</v>
          </cell>
          <cell r="AP287">
            <v>-100192</v>
          </cell>
          <cell r="AQ287">
            <v>0</v>
          </cell>
          <cell r="AR287">
            <v>0</v>
          </cell>
          <cell r="AS287">
            <v>-100192</v>
          </cell>
          <cell r="AT287">
            <v>25396</v>
          </cell>
          <cell r="AU287">
            <v>0</v>
          </cell>
          <cell r="AV287">
            <v>0</v>
          </cell>
          <cell r="AW287">
            <v>25396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2897</v>
          </cell>
          <cell r="BC287">
            <v>0</v>
          </cell>
          <cell r="BD287">
            <v>0</v>
          </cell>
          <cell r="BE287">
            <v>2897</v>
          </cell>
          <cell r="BF287">
            <v>-66</v>
          </cell>
          <cell r="BG287">
            <v>0</v>
          </cell>
          <cell r="BH287">
            <v>0</v>
          </cell>
          <cell r="BI287">
            <v>-66</v>
          </cell>
          <cell r="BJ287">
            <v>14915</v>
          </cell>
          <cell r="BK287">
            <v>0</v>
          </cell>
          <cell r="BL287">
            <v>0</v>
          </cell>
          <cell r="BM287">
            <v>14915</v>
          </cell>
          <cell r="BN287">
            <v>195443</v>
          </cell>
          <cell r="BO287">
            <v>0</v>
          </cell>
          <cell r="BP287">
            <v>0</v>
          </cell>
          <cell r="BQ287">
            <v>195443</v>
          </cell>
          <cell r="BR287">
            <v>1244041</v>
          </cell>
          <cell r="BS287">
            <v>0</v>
          </cell>
          <cell r="BT287">
            <v>0</v>
          </cell>
          <cell r="BU287">
            <v>1244041</v>
          </cell>
          <cell r="BV287">
            <v>56158</v>
          </cell>
          <cell r="BW287">
            <v>0</v>
          </cell>
          <cell r="BX287">
            <v>0</v>
          </cell>
          <cell r="BY287">
            <v>56158</v>
          </cell>
          <cell r="BZ287">
            <v>102058</v>
          </cell>
          <cell r="CA287">
            <v>0</v>
          </cell>
          <cell r="CB287">
            <v>0</v>
          </cell>
          <cell r="CC287">
            <v>102058</v>
          </cell>
          <cell r="CD287">
            <v>-421</v>
          </cell>
          <cell r="CE287">
            <v>0</v>
          </cell>
          <cell r="CF287">
            <v>0</v>
          </cell>
          <cell r="CG287">
            <v>-421</v>
          </cell>
          <cell r="CH287">
            <v>139415</v>
          </cell>
          <cell r="CI287">
            <v>0</v>
          </cell>
          <cell r="CJ287">
            <v>0</v>
          </cell>
          <cell r="CK287">
            <v>139415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6349</v>
          </cell>
          <cell r="CQ287">
            <v>0</v>
          </cell>
          <cell r="CR287">
            <v>0</v>
          </cell>
          <cell r="CS287">
            <v>6349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2897</v>
          </cell>
          <cell r="CY287">
            <v>0</v>
          </cell>
          <cell r="CZ287">
            <v>0</v>
          </cell>
          <cell r="DA287">
            <v>2897</v>
          </cell>
          <cell r="DB287">
            <v>-65.91</v>
          </cell>
          <cell r="DC287">
            <v>0</v>
          </cell>
          <cell r="DD287">
            <v>0</v>
          </cell>
          <cell r="DE287">
            <v>-65.91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</row>
        <row r="288">
          <cell r="A288">
            <v>282</v>
          </cell>
          <cell r="B288" t="str">
            <v>E1502</v>
          </cell>
          <cell r="C288" t="str">
            <v>UA</v>
          </cell>
          <cell r="D288" t="str">
            <v>E</v>
          </cell>
          <cell r="E288" t="str">
            <v>Thurrock UA</v>
          </cell>
          <cell r="F288">
            <v>1239064</v>
          </cell>
          <cell r="G288">
            <v>0</v>
          </cell>
          <cell r="H288">
            <v>0</v>
          </cell>
          <cell r="I288">
            <v>1239064</v>
          </cell>
          <cell r="J288">
            <v>-76817</v>
          </cell>
          <cell r="K288">
            <v>0</v>
          </cell>
          <cell r="L288">
            <v>0</v>
          </cell>
          <cell r="M288">
            <v>-76817</v>
          </cell>
          <cell r="N288">
            <v>52221</v>
          </cell>
          <cell r="O288">
            <v>0</v>
          </cell>
          <cell r="P288">
            <v>0</v>
          </cell>
          <cell r="Q288">
            <v>52221</v>
          </cell>
          <cell r="R288">
            <v>39498</v>
          </cell>
          <cell r="S288">
            <v>0</v>
          </cell>
          <cell r="T288">
            <v>0</v>
          </cell>
          <cell r="U288">
            <v>39498</v>
          </cell>
          <cell r="V288">
            <v>1835219</v>
          </cell>
          <cell r="W288">
            <v>0</v>
          </cell>
          <cell r="X288">
            <v>0</v>
          </cell>
          <cell r="Y288">
            <v>1835219</v>
          </cell>
          <cell r="Z288">
            <v>173605</v>
          </cell>
          <cell r="AA288">
            <v>0</v>
          </cell>
          <cell r="AB288">
            <v>0</v>
          </cell>
          <cell r="AC288">
            <v>173605</v>
          </cell>
          <cell r="AD288">
            <v>2228643</v>
          </cell>
          <cell r="AE288">
            <v>0</v>
          </cell>
          <cell r="AF288">
            <v>0</v>
          </cell>
          <cell r="AG288">
            <v>2228643</v>
          </cell>
          <cell r="AH288">
            <v>44530</v>
          </cell>
          <cell r="AI288">
            <v>0</v>
          </cell>
          <cell r="AJ288">
            <v>0</v>
          </cell>
          <cell r="AK288">
            <v>44530</v>
          </cell>
          <cell r="AL288">
            <v>2836033</v>
          </cell>
          <cell r="AM288">
            <v>0</v>
          </cell>
          <cell r="AN288">
            <v>0</v>
          </cell>
          <cell r="AO288">
            <v>2836033</v>
          </cell>
          <cell r="AP288">
            <v>87671</v>
          </cell>
          <cell r="AQ288">
            <v>0</v>
          </cell>
          <cell r="AR288">
            <v>0</v>
          </cell>
          <cell r="AS288">
            <v>87671</v>
          </cell>
          <cell r="AT288">
            <v>33111</v>
          </cell>
          <cell r="AU288">
            <v>0</v>
          </cell>
          <cell r="AV288">
            <v>0</v>
          </cell>
          <cell r="AW288">
            <v>33111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111</v>
          </cell>
          <cell r="BC288">
            <v>0</v>
          </cell>
          <cell r="BD288">
            <v>0</v>
          </cell>
          <cell r="BE288">
            <v>111</v>
          </cell>
          <cell r="BF288">
            <v>-1276</v>
          </cell>
          <cell r="BG288">
            <v>0</v>
          </cell>
          <cell r="BH288">
            <v>0</v>
          </cell>
          <cell r="BI288">
            <v>-1276</v>
          </cell>
          <cell r="BJ288">
            <v>1599406</v>
          </cell>
          <cell r="BK288">
            <v>0</v>
          </cell>
          <cell r="BL288">
            <v>0</v>
          </cell>
          <cell r="BM288">
            <v>1599406</v>
          </cell>
          <cell r="BN288">
            <v>-644.25</v>
          </cell>
          <cell r="BO288">
            <v>0</v>
          </cell>
          <cell r="BP288">
            <v>0</v>
          </cell>
          <cell r="BQ288">
            <v>-644.25</v>
          </cell>
          <cell r="BR288">
            <v>9743407.3599999994</v>
          </cell>
          <cell r="BS288">
            <v>0</v>
          </cell>
          <cell r="BT288">
            <v>0</v>
          </cell>
          <cell r="BU288">
            <v>9743407.3599999994</v>
          </cell>
          <cell r="BV288">
            <v>-482102</v>
          </cell>
          <cell r="BW288">
            <v>0</v>
          </cell>
          <cell r="BX288">
            <v>0</v>
          </cell>
          <cell r="BY288">
            <v>-482102</v>
          </cell>
          <cell r="BZ288">
            <v>40811</v>
          </cell>
          <cell r="CA288">
            <v>0</v>
          </cell>
          <cell r="CB288">
            <v>0</v>
          </cell>
          <cell r="CC288">
            <v>40811</v>
          </cell>
          <cell r="CD288">
            <v>-1249</v>
          </cell>
          <cell r="CE288">
            <v>0</v>
          </cell>
          <cell r="CF288">
            <v>0</v>
          </cell>
          <cell r="CG288">
            <v>-1249</v>
          </cell>
          <cell r="CH288">
            <v>25969</v>
          </cell>
          <cell r="CI288">
            <v>0</v>
          </cell>
          <cell r="CJ288">
            <v>0</v>
          </cell>
          <cell r="CK288">
            <v>25969</v>
          </cell>
          <cell r="CL288">
            <v>-6967</v>
          </cell>
          <cell r="CM288">
            <v>0</v>
          </cell>
          <cell r="CN288">
            <v>0</v>
          </cell>
          <cell r="CO288">
            <v>-6967</v>
          </cell>
          <cell r="CP288">
            <v>892</v>
          </cell>
          <cell r="CQ288">
            <v>0</v>
          </cell>
          <cell r="CR288">
            <v>0</v>
          </cell>
          <cell r="CS288">
            <v>892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11264</v>
          </cell>
          <cell r="EC288">
            <v>0</v>
          </cell>
          <cell r="ED288">
            <v>0</v>
          </cell>
          <cell r="EE288">
            <v>11264</v>
          </cell>
          <cell r="EF288">
            <v>11083</v>
          </cell>
          <cell r="EG288">
            <v>0</v>
          </cell>
          <cell r="EH288">
            <v>0</v>
          </cell>
          <cell r="EI288">
            <v>11083</v>
          </cell>
          <cell r="EJ288">
            <v>1574</v>
          </cell>
          <cell r="EK288">
            <v>0</v>
          </cell>
          <cell r="EL288">
            <v>0</v>
          </cell>
          <cell r="EM288">
            <v>1574</v>
          </cell>
        </row>
        <row r="289">
          <cell r="A289">
            <v>283</v>
          </cell>
          <cell r="B289" t="str">
            <v>E2243</v>
          </cell>
          <cell r="C289" t="str">
            <v>SD</v>
          </cell>
          <cell r="D289" t="str">
            <v>SE</v>
          </cell>
          <cell r="E289" t="str">
            <v>Tonbridge &amp; Malling</v>
          </cell>
          <cell r="F289">
            <v>210274</v>
          </cell>
          <cell r="G289">
            <v>0</v>
          </cell>
          <cell r="H289">
            <v>0</v>
          </cell>
          <cell r="I289">
            <v>210274</v>
          </cell>
          <cell r="J289">
            <v>-190900</v>
          </cell>
          <cell r="K289">
            <v>0</v>
          </cell>
          <cell r="L289">
            <v>0</v>
          </cell>
          <cell r="M289">
            <v>-190900</v>
          </cell>
          <cell r="N289">
            <v>18430</v>
          </cell>
          <cell r="O289">
            <v>0</v>
          </cell>
          <cell r="P289">
            <v>0</v>
          </cell>
          <cell r="Q289">
            <v>18430</v>
          </cell>
          <cell r="R289">
            <v>422199</v>
          </cell>
          <cell r="S289">
            <v>0</v>
          </cell>
          <cell r="T289">
            <v>0</v>
          </cell>
          <cell r="U289">
            <v>422199</v>
          </cell>
          <cell r="V289">
            <v>1580725</v>
          </cell>
          <cell r="W289">
            <v>0</v>
          </cell>
          <cell r="X289">
            <v>0</v>
          </cell>
          <cell r="Y289">
            <v>1580725</v>
          </cell>
          <cell r="Z289">
            <v>162025</v>
          </cell>
          <cell r="AA289">
            <v>0</v>
          </cell>
          <cell r="AB289">
            <v>0</v>
          </cell>
          <cell r="AC289">
            <v>162025</v>
          </cell>
          <cell r="AD289">
            <v>1077625</v>
          </cell>
          <cell r="AE289">
            <v>0</v>
          </cell>
          <cell r="AF289">
            <v>0</v>
          </cell>
          <cell r="AG289">
            <v>1077625</v>
          </cell>
          <cell r="AH289">
            <v>3251</v>
          </cell>
          <cell r="AI289">
            <v>0</v>
          </cell>
          <cell r="AJ289">
            <v>0</v>
          </cell>
          <cell r="AK289">
            <v>3251</v>
          </cell>
          <cell r="AL289">
            <v>4319358</v>
          </cell>
          <cell r="AM289">
            <v>0</v>
          </cell>
          <cell r="AN289">
            <v>0</v>
          </cell>
          <cell r="AO289">
            <v>4319358</v>
          </cell>
          <cell r="AP289">
            <v>55424</v>
          </cell>
          <cell r="AQ289">
            <v>0</v>
          </cell>
          <cell r="AR289">
            <v>0</v>
          </cell>
          <cell r="AS289">
            <v>55424</v>
          </cell>
          <cell r="AT289">
            <v>83602</v>
          </cell>
          <cell r="AU289">
            <v>0</v>
          </cell>
          <cell r="AV289">
            <v>0</v>
          </cell>
          <cell r="AW289">
            <v>83602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10671</v>
          </cell>
          <cell r="BC289">
            <v>0</v>
          </cell>
          <cell r="BD289">
            <v>0</v>
          </cell>
          <cell r="BE289">
            <v>10671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19696</v>
          </cell>
          <cell r="BK289">
            <v>0</v>
          </cell>
          <cell r="BL289">
            <v>0</v>
          </cell>
          <cell r="BM289">
            <v>19696</v>
          </cell>
          <cell r="BN289">
            <v>-56405</v>
          </cell>
          <cell r="BO289">
            <v>0</v>
          </cell>
          <cell r="BP289">
            <v>0</v>
          </cell>
          <cell r="BQ289">
            <v>-56405</v>
          </cell>
          <cell r="BR289">
            <v>2009074</v>
          </cell>
          <cell r="BS289">
            <v>0</v>
          </cell>
          <cell r="BT289">
            <v>0</v>
          </cell>
          <cell r="BU289">
            <v>2009074</v>
          </cell>
          <cell r="BV289">
            <v>145817</v>
          </cell>
          <cell r="BW289">
            <v>0</v>
          </cell>
          <cell r="BX289">
            <v>0</v>
          </cell>
          <cell r="BY289">
            <v>145817</v>
          </cell>
          <cell r="BZ289">
            <v>77201</v>
          </cell>
          <cell r="CA289">
            <v>0</v>
          </cell>
          <cell r="CB289">
            <v>0</v>
          </cell>
          <cell r="CC289">
            <v>77201</v>
          </cell>
          <cell r="CD289">
            <v>4613</v>
          </cell>
          <cell r="CE289">
            <v>0</v>
          </cell>
          <cell r="CF289">
            <v>0</v>
          </cell>
          <cell r="CG289">
            <v>4613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17561</v>
          </cell>
          <cell r="CQ289">
            <v>0</v>
          </cell>
          <cell r="CR289">
            <v>0</v>
          </cell>
          <cell r="CS289">
            <v>17561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3468</v>
          </cell>
          <cell r="CY289">
            <v>0</v>
          </cell>
          <cell r="CZ289">
            <v>0</v>
          </cell>
          <cell r="DA289">
            <v>3468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17464</v>
          </cell>
          <cell r="DG289">
            <v>0</v>
          </cell>
          <cell r="DH289">
            <v>0</v>
          </cell>
          <cell r="DI289">
            <v>17464</v>
          </cell>
          <cell r="DJ289">
            <v>-324</v>
          </cell>
          <cell r="DK289">
            <v>0</v>
          </cell>
          <cell r="DL289">
            <v>0</v>
          </cell>
          <cell r="DM289">
            <v>-324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273503</v>
          </cell>
          <cell r="EC289">
            <v>0</v>
          </cell>
          <cell r="ED289">
            <v>0</v>
          </cell>
          <cell r="EE289">
            <v>273503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</row>
        <row r="290">
          <cell r="A290">
            <v>284</v>
          </cell>
          <cell r="B290" t="str">
            <v>E1102</v>
          </cell>
          <cell r="C290" t="str">
            <v>UA</v>
          </cell>
          <cell r="D290" t="str">
            <v>SW</v>
          </cell>
          <cell r="E290" t="str">
            <v>Torbay UA</v>
          </cell>
          <cell r="F290">
            <v>202329</v>
          </cell>
          <cell r="G290">
            <v>0</v>
          </cell>
          <cell r="H290">
            <v>0</v>
          </cell>
          <cell r="I290">
            <v>202329</v>
          </cell>
          <cell r="J290">
            <v>-159399</v>
          </cell>
          <cell r="K290">
            <v>0</v>
          </cell>
          <cell r="L290">
            <v>0</v>
          </cell>
          <cell r="M290">
            <v>-159399</v>
          </cell>
          <cell r="N290">
            <v>32632</v>
          </cell>
          <cell r="O290">
            <v>0</v>
          </cell>
          <cell r="P290">
            <v>0</v>
          </cell>
          <cell r="Q290">
            <v>32632</v>
          </cell>
          <cell r="R290">
            <v>34031</v>
          </cell>
          <cell r="S290">
            <v>0</v>
          </cell>
          <cell r="T290">
            <v>0</v>
          </cell>
          <cell r="U290">
            <v>34031</v>
          </cell>
          <cell r="V290">
            <v>3921386</v>
          </cell>
          <cell r="W290">
            <v>0</v>
          </cell>
          <cell r="X290">
            <v>0</v>
          </cell>
          <cell r="Y290">
            <v>3921386</v>
          </cell>
          <cell r="Z290">
            <v>140419</v>
          </cell>
          <cell r="AA290">
            <v>0</v>
          </cell>
          <cell r="AB290">
            <v>0</v>
          </cell>
          <cell r="AC290">
            <v>140419</v>
          </cell>
          <cell r="AD290">
            <v>705691</v>
          </cell>
          <cell r="AE290">
            <v>0</v>
          </cell>
          <cell r="AF290">
            <v>0</v>
          </cell>
          <cell r="AG290">
            <v>705691</v>
          </cell>
          <cell r="AH290">
            <v>-17557</v>
          </cell>
          <cell r="AI290">
            <v>0</v>
          </cell>
          <cell r="AJ290">
            <v>0</v>
          </cell>
          <cell r="AK290">
            <v>-17557</v>
          </cell>
          <cell r="AL290">
            <v>3272465</v>
          </cell>
          <cell r="AM290">
            <v>0</v>
          </cell>
          <cell r="AN290">
            <v>0</v>
          </cell>
          <cell r="AO290">
            <v>3272465</v>
          </cell>
          <cell r="AP290">
            <v>3750</v>
          </cell>
          <cell r="AQ290">
            <v>0</v>
          </cell>
          <cell r="AR290">
            <v>0</v>
          </cell>
          <cell r="AS290">
            <v>3750</v>
          </cell>
          <cell r="AT290">
            <v>143012</v>
          </cell>
          <cell r="AU290">
            <v>0</v>
          </cell>
          <cell r="AV290">
            <v>0</v>
          </cell>
          <cell r="AW290">
            <v>143012</v>
          </cell>
          <cell r="AX290">
            <v>-1743</v>
          </cell>
          <cell r="AY290">
            <v>0</v>
          </cell>
          <cell r="AZ290">
            <v>0</v>
          </cell>
          <cell r="BA290">
            <v>-1743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640</v>
          </cell>
          <cell r="BK290">
            <v>0</v>
          </cell>
          <cell r="BL290">
            <v>0</v>
          </cell>
          <cell r="BM290">
            <v>640</v>
          </cell>
          <cell r="BN290">
            <v>4777</v>
          </cell>
          <cell r="BO290">
            <v>0</v>
          </cell>
          <cell r="BP290">
            <v>0</v>
          </cell>
          <cell r="BQ290">
            <v>4777</v>
          </cell>
          <cell r="BR290">
            <v>1489060</v>
          </cell>
          <cell r="BS290">
            <v>0</v>
          </cell>
          <cell r="BT290">
            <v>0</v>
          </cell>
          <cell r="BU290">
            <v>1489060</v>
          </cell>
          <cell r="BV290">
            <v>31791</v>
          </cell>
          <cell r="BW290">
            <v>0</v>
          </cell>
          <cell r="BX290">
            <v>0</v>
          </cell>
          <cell r="BY290">
            <v>31791</v>
          </cell>
          <cell r="BZ290">
            <v>70771</v>
          </cell>
          <cell r="CA290">
            <v>0</v>
          </cell>
          <cell r="CB290">
            <v>0</v>
          </cell>
          <cell r="CC290">
            <v>70771</v>
          </cell>
          <cell r="CD290">
            <v>-105</v>
          </cell>
          <cell r="CE290">
            <v>0</v>
          </cell>
          <cell r="CF290">
            <v>0</v>
          </cell>
          <cell r="CG290">
            <v>-105</v>
          </cell>
          <cell r="CH290">
            <v>326113</v>
          </cell>
          <cell r="CI290">
            <v>0</v>
          </cell>
          <cell r="CJ290">
            <v>0</v>
          </cell>
          <cell r="CK290">
            <v>326113</v>
          </cell>
          <cell r="CL290">
            <v>71</v>
          </cell>
          <cell r="CM290">
            <v>0</v>
          </cell>
          <cell r="CN290">
            <v>0</v>
          </cell>
          <cell r="CO290">
            <v>71</v>
          </cell>
          <cell r="CP290">
            <v>4779</v>
          </cell>
          <cell r="CQ290">
            <v>0</v>
          </cell>
          <cell r="CR290">
            <v>0</v>
          </cell>
          <cell r="CS290">
            <v>4779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</row>
        <row r="291">
          <cell r="A291">
            <v>285</v>
          </cell>
          <cell r="B291" t="str">
            <v>E1139</v>
          </cell>
          <cell r="C291" t="str">
            <v>SD</v>
          </cell>
          <cell r="D291" t="str">
            <v>SW</v>
          </cell>
          <cell r="E291" t="str">
            <v>Torridge</v>
          </cell>
          <cell r="F291">
            <v>203026</v>
          </cell>
          <cell r="G291">
            <v>0</v>
          </cell>
          <cell r="H291">
            <v>0</v>
          </cell>
          <cell r="I291">
            <v>203026</v>
          </cell>
          <cell r="J291">
            <v>-80032</v>
          </cell>
          <cell r="K291">
            <v>0</v>
          </cell>
          <cell r="L291">
            <v>0</v>
          </cell>
          <cell r="M291">
            <v>-80032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-2251</v>
          </cell>
          <cell r="S291">
            <v>0</v>
          </cell>
          <cell r="T291">
            <v>0</v>
          </cell>
          <cell r="U291">
            <v>-2251</v>
          </cell>
          <cell r="V291">
            <v>2554339</v>
          </cell>
          <cell r="W291">
            <v>0</v>
          </cell>
          <cell r="X291">
            <v>0</v>
          </cell>
          <cell r="Y291">
            <v>2554339</v>
          </cell>
          <cell r="Z291">
            <v>172367</v>
          </cell>
          <cell r="AA291">
            <v>0</v>
          </cell>
          <cell r="AB291">
            <v>0</v>
          </cell>
          <cell r="AC291">
            <v>172367</v>
          </cell>
          <cell r="AD291">
            <v>181360</v>
          </cell>
          <cell r="AE291">
            <v>0</v>
          </cell>
          <cell r="AF291">
            <v>0</v>
          </cell>
          <cell r="AG291">
            <v>181360</v>
          </cell>
          <cell r="AH291">
            <v>1077</v>
          </cell>
          <cell r="AI291">
            <v>0</v>
          </cell>
          <cell r="AJ291">
            <v>0</v>
          </cell>
          <cell r="AK291">
            <v>1077</v>
          </cell>
          <cell r="AL291">
            <v>1054518</v>
          </cell>
          <cell r="AM291">
            <v>0</v>
          </cell>
          <cell r="AN291">
            <v>0</v>
          </cell>
          <cell r="AO291">
            <v>1054518</v>
          </cell>
          <cell r="AP291">
            <v>2264</v>
          </cell>
          <cell r="AQ291">
            <v>0</v>
          </cell>
          <cell r="AR291">
            <v>0</v>
          </cell>
          <cell r="AS291">
            <v>2264</v>
          </cell>
          <cell r="AT291">
            <v>10716</v>
          </cell>
          <cell r="AU291">
            <v>0</v>
          </cell>
          <cell r="AV291">
            <v>0</v>
          </cell>
          <cell r="AW291">
            <v>10716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58287</v>
          </cell>
          <cell r="BC291">
            <v>0</v>
          </cell>
          <cell r="BD291">
            <v>0</v>
          </cell>
          <cell r="BE291">
            <v>58287</v>
          </cell>
          <cell r="BF291">
            <v>-4763</v>
          </cell>
          <cell r="BG291">
            <v>0</v>
          </cell>
          <cell r="BH291">
            <v>0</v>
          </cell>
          <cell r="BI291">
            <v>-4763</v>
          </cell>
          <cell r="BJ291">
            <v>3355</v>
          </cell>
          <cell r="BK291">
            <v>0</v>
          </cell>
          <cell r="BL291">
            <v>0</v>
          </cell>
          <cell r="BM291">
            <v>3355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415107</v>
          </cell>
          <cell r="BS291">
            <v>0</v>
          </cell>
          <cell r="BT291">
            <v>0</v>
          </cell>
          <cell r="BU291">
            <v>415107</v>
          </cell>
          <cell r="BV291">
            <v>30616</v>
          </cell>
          <cell r="BW291">
            <v>0</v>
          </cell>
          <cell r="BX291">
            <v>0</v>
          </cell>
          <cell r="BY291">
            <v>30616</v>
          </cell>
          <cell r="BZ291">
            <v>64575</v>
          </cell>
          <cell r="CA291">
            <v>0</v>
          </cell>
          <cell r="CB291">
            <v>0</v>
          </cell>
          <cell r="CC291">
            <v>64575</v>
          </cell>
          <cell r="CD291">
            <v>273</v>
          </cell>
          <cell r="CE291">
            <v>0</v>
          </cell>
          <cell r="CF291">
            <v>0</v>
          </cell>
          <cell r="CG291">
            <v>273</v>
          </cell>
          <cell r="CH291">
            <v>19569</v>
          </cell>
          <cell r="CI291">
            <v>0</v>
          </cell>
          <cell r="CJ291">
            <v>0</v>
          </cell>
          <cell r="CK291">
            <v>19569</v>
          </cell>
          <cell r="CL291">
            <v>-686</v>
          </cell>
          <cell r="CM291">
            <v>0</v>
          </cell>
          <cell r="CN291">
            <v>0</v>
          </cell>
          <cell r="CO291">
            <v>-686</v>
          </cell>
          <cell r="CP291">
            <v>2220</v>
          </cell>
          <cell r="CQ291">
            <v>0</v>
          </cell>
          <cell r="CR291">
            <v>0</v>
          </cell>
          <cell r="CS291">
            <v>2220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14718</v>
          </cell>
          <cell r="CY291">
            <v>0</v>
          </cell>
          <cell r="CZ291">
            <v>0</v>
          </cell>
          <cell r="DA291">
            <v>14718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5336</v>
          </cell>
          <cell r="DG291">
            <v>0</v>
          </cell>
          <cell r="DH291">
            <v>0</v>
          </cell>
          <cell r="DI291">
            <v>5336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300</v>
          </cell>
          <cell r="DO291">
            <v>0</v>
          </cell>
          <cell r="DP291">
            <v>0</v>
          </cell>
          <cell r="DQ291">
            <v>300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12118</v>
          </cell>
          <cell r="EG291">
            <v>0</v>
          </cell>
          <cell r="EH291">
            <v>0</v>
          </cell>
          <cell r="EI291">
            <v>12118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</row>
        <row r="292">
          <cell r="A292">
            <v>286</v>
          </cell>
          <cell r="B292" t="str">
            <v>E5020</v>
          </cell>
          <cell r="C292" t="str">
            <v>ILB</v>
          </cell>
          <cell r="D292" t="str">
            <v>L</v>
          </cell>
          <cell r="E292" t="str">
            <v>Tower Hamlets</v>
          </cell>
          <cell r="F292">
            <v>1119297.98</v>
          </cell>
          <cell r="G292">
            <v>0</v>
          </cell>
          <cell r="H292">
            <v>0</v>
          </cell>
          <cell r="I292">
            <v>1119297.98</v>
          </cell>
          <cell r="J292">
            <v>-389801.14</v>
          </cell>
          <cell r="K292">
            <v>0</v>
          </cell>
          <cell r="L292">
            <v>0</v>
          </cell>
          <cell r="M292">
            <v>-389801.14</v>
          </cell>
          <cell r="N292">
            <v>85118.6</v>
          </cell>
          <cell r="O292">
            <v>0</v>
          </cell>
          <cell r="P292">
            <v>0</v>
          </cell>
          <cell r="Q292">
            <v>85118.6</v>
          </cell>
          <cell r="R292">
            <v>195513.59</v>
          </cell>
          <cell r="S292">
            <v>0</v>
          </cell>
          <cell r="T292">
            <v>0</v>
          </cell>
          <cell r="U292">
            <v>195513.59</v>
          </cell>
          <cell r="V292">
            <v>5356531.4800000004</v>
          </cell>
          <cell r="W292">
            <v>0</v>
          </cell>
          <cell r="X292">
            <v>0</v>
          </cell>
          <cell r="Y292">
            <v>5356531.4800000004</v>
          </cell>
          <cell r="Z292">
            <v>240784.38</v>
          </cell>
          <cell r="AA292">
            <v>0</v>
          </cell>
          <cell r="AB292">
            <v>0</v>
          </cell>
          <cell r="AC292">
            <v>240784.38</v>
          </cell>
          <cell r="AD292">
            <v>6666527.7400000002</v>
          </cell>
          <cell r="AE292">
            <v>0</v>
          </cell>
          <cell r="AF292">
            <v>0</v>
          </cell>
          <cell r="AG292">
            <v>6666527.7400000002</v>
          </cell>
          <cell r="AH292">
            <v>-56073.35</v>
          </cell>
          <cell r="AI292">
            <v>0</v>
          </cell>
          <cell r="AJ292">
            <v>0</v>
          </cell>
          <cell r="AK292">
            <v>-56073.35</v>
          </cell>
          <cell r="AL292">
            <v>12099410.1</v>
          </cell>
          <cell r="AM292">
            <v>0</v>
          </cell>
          <cell r="AN292">
            <v>0</v>
          </cell>
          <cell r="AO292">
            <v>12099410.1</v>
          </cell>
          <cell r="AP292">
            <v>-399830.25</v>
          </cell>
          <cell r="AQ292">
            <v>0</v>
          </cell>
          <cell r="AR292">
            <v>0</v>
          </cell>
          <cell r="AS292">
            <v>-399830.25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208993.42</v>
          </cell>
          <cell r="BK292">
            <v>0</v>
          </cell>
          <cell r="BL292">
            <v>0</v>
          </cell>
          <cell r="BM292">
            <v>208993.42</v>
          </cell>
          <cell r="BN292">
            <v>-307806.84000000003</v>
          </cell>
          <cell r="BO292">
            <v>0</v>
          </cell>
          <cell r="BP292">
            <v>0</v>
          </cell>
          <cell r="BQ292">
            <v>-307806.84000000003</v>
          </cell>
          <cell r="BR292">
            <v>9138226</v>
          </cell>
          <cell r="BS292">
            <v>0</v>
          </cell>
          <cell r="BT292">
            <v>0</v>
          </cell>
          <cell r="BU292">
            <v>9138226</v>
          </cell>
          <cell r="BV292">
            <v>-1891808.7</v>
          </cell>
          <cell r="BW292">
            <v>0</v>
          </cell>
          <cell r="BX292">
            <v>0</v>
          </cell>
          <cell r="BY292">
            <v>-1891808.7</v>
          </cell>
          <cell r="BZ292">
            <v>569318.98</v>
          </cell>
          <cell r="CA292">
            <v>0</v>
          </cell>
          <cell r="CB292">
            <v>0</v>
          </cell>
          <cell r="CC292">
            <v>569318.98</v>
          </cell>
          <cell r="CD292">
            <v>12682.77</v>
          </cell>
          <cell r="CE292">
            <v>0</v>
          </cell>
          <cell r="CF292">
            <v>0</v>
          </cell>
          <cell r="CG292">
            <v>12682.77</v>
          </cell>
          <cell r="CH292">
            <v>299738.59999999998</v>
          </cell>
          <cell r="CI292">
            <v>0</v>
          </cell>
          <cell r="CJ292">
            <v>0</v>
          </cell>
          <cell r="CK292">
            <v>299738.59999999998</v>
          </cell>
          <cell r="CL292">
            <v>23379.57</v>
          </cell>
          <cell r="CM292">
            <v>0</v>
          </cell>
          <cell r="CN292">
            <v>0</v>
          </cell>
          <cell r="CO292">
            <v>23379.57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</row>
        <row r="293">
          <cell r="A293">
            <v>287</v>
          </cell>
          <cell r="B293" t="str">
            <v>E4209</v>
          </cell>
          <cell r="C293" t="str">
            <v>Met</v>
          </cell>
          <cell r="D293" t="str">
            <v>NW</v>
          </cell>
          <cell r="E293" t="str">
            <v>Trafford</v>
          </cell>
          <cell r="F293">
            <v>179098.92</v>
          </cell>
          <cell r="G293">
            <v>0</v>
          </cell>
          <cell r="H293">
            <v>0</v>
          </cell>
          <cell r="I293">
            <v>179098.92</v>
          </cell>
          <cell r="J293">
            <v>-251080.71</v>
          </cell>
          <cell r="K293">
            <v>0</v>
          </cell>
          <cell r="L293">
            <v>0</v>
          </cell>
          <cell r="M293">
            <v>-251080.71</v>
          </cell>
          <cell r="N293">
            <v>117853.29</v>
          </cell>
          <cell r="O293">
            <v>0</v>
          </cell>
          <cell r="P293">
            <v>0</v>
          </cell>
          <cell r="Q293">
            <v>117853.29</v>
          </cell>
          <cell r="R293">
            <v>439288.19</v>
          </cell>
          <cell r="S293">
            <v>0</v>
          </cell>
          <cell r="T293">
            <v>0</v>
          </cell>
          <cell r="U293">
            <v>439288.19</v>
          </cell>
          <cell r="V293">
            <v>3831890.34</v>
          </cell>
          <cell r="W293">
            <v>0</v>
          </cell>
          <cell r="X293">
            <v>0</v>
          </cell>
          <cell r="Y293">
            <v>3831890.34</v>
          </cell>
          <cell r="Z293">
            <v>241271.83</v>
          </cell>
          <cell r="AA293">
            <v>0</v>
          </cell>
          <cell r="AB293">
            <v>0</v>
          </cell>
          <cell r="AC293">
            <v>241271.83</v>
          </cell>
          <cell r="AD293">
            <v>3177844.26</v>
          </cell>
          <cell r="AE293">
            <v>0</v>
          </cell>
          <cell r="AF293">
            <v>0</v>
          </cell>
          <cell r="AG293">
            <v>3177844.26</v>
          </cell>
          <cell r="AH293">
            <v>-48522.59</v>
          </cell>
          <cell r="AI293">
            <v>0</v>
          </cell>
          <cell r="AJ293">
            <v>0</v>
          </cell>
          <cell r="AK293">
            <v>-48522.59</v>
          </cell>
          <cell r="AL293">
            <v>4585360.63</v>
          </cell>
          <cell r="AM293">
            <v>0</v>
          </cell>
          <cell r="AN293">
            <v>0</v>
          </cell>
          <cell r="AO293">
            <v>4585360.63</v>
          </cell>
          <cell r="AP293">
            <v>103262</v>
          </cell>
          <cell r="AQ293">
            <v>0</v>
          </cell>
          <cell r="AR293">
            <v>0</v>
          </cell>
          <cell r="AS293">
            <v>103262</v>
          </cell>
          <cell r="AT293">
            <v>59346</v>
          </cell>
          <cell r="AU293">
            <v>0</v>
          </cell>
          <cell r="AV293">
            <v>0</v>
          </cell>
          <cell r="AW293">
            <v>59346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482.78</v>
          </cell>
          <cell r="BC293">
            <v>0</v>
          </cell>
          <cell r="BD293">
            <v>0</v>
          </cell>
          <cell r="BE293">
            <v>482.78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1710.71</v>
          </cell>
          <cell r="BK293">
            <v>0</v>
          </cell>
          <cell r="BL293">
            <v>0</v>
          </cell>
          <cell r="BM293">
            <v>1710.71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9846406.6799999997</v>
          </cell>
          <cell r="BS293">
            <v>0</v>
          </cell>
          <cell r="BT293">
            <v>0</v>
          </cell>
          <cell r="BU293">
            <v>9846406.6799999997</v>
          </cell>
          <cell r="BV293">
            <v>-800857.79</v>
          </cell>
          <cell r="BW293">
            <v>0</v>
          </cell>
          <cell r="BX293">
            <v>0</v>
          </cell>
          <cell r="BY293">
            <v>-800857.79</v>
          </cell>
          <cell r="BZ293">
            <v>126381</v>
          </cell>
          <cell r="CA293">
            <v>0</v>
          </cell>
          <cell r="CB293">
            <v>0</v>
          </cell>
          <cell r="CC293">
            <v>126381</v>
          </cell>
          <cell r="CD293">
            <v>16020.08</v>
          </cell>
          <cell r="CE293">
            <v>0</v>
          </cell>
          <cell r="CF293">
            <v>0</v>
          </cell>
          <cell r="CG293">
            <v>16020.08</v>
          </cell>
          <cell r="CH293">
            <v>277646.46000000002</v>
          </cell>
          <cell r="CI293">
            <v>0</v>
          </cell>
          <cell r="CJ293">
            <v>0</v>
          </cell>
          <cell r="CK293">
            <v>277646.46000000002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10668</v>
          </cell>
          <cell r="CQ293">
            <v>0</v>
          </cell>
          <cell r="CR293">
            <v>0</v>
          </cell>
          <cell r="CS293">
            <v>10668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482.77</v>
          </cell>
          <cell r="CY293">
            <v>0</v>
          </cell>
          <cell r="CZ293">
            <v>0</v>
          </cell>
          <cell r="DA293">
            <v>482.77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</row>
        <row r="294">
          <cell r="A294">
            <v>288</v>
          </cell>
          <cell r="B294" t="str">
            <v>E2244</v>
          </cell>
          <cell r="C294" t="str">
            <v>SD</v>
          </cell>
          <cell r="D294" t="str">
            <v>SE</v>
          </cell>
          <cell r="E294" t="str">
            <v>Tunbridge Wells</v>
          </cell>
          <cell r="F294">
            <v>148195</v>
          </cell>
          <cell r="G294">
            <v>0</v>
          </cell>
          <cell r="H294">
            <v>0</v>
          </cell>
          <cell r="I294">
            <v>148195</v>
          </cell>
          <cell r="J294">
            <v>-338556</v>
          </cell>
          <cell r="K294">
            <v>0</v>
          </cell>
          <cell r="L294">
            <v>0</v>
          </cell>
          <cell r="M294">
            <v>-338556</v>
          </cell>
          <cell r="N294">
            <v>26616</v>
          </cell>
          <cell r="O294">
            <v>0</v>
          </cell>
          <cell r="P294">
            <v>0</v>
          </cell>
          <cell r="Q294">
            <v>26616</v>
          </cell>
          <cell r="R294">
            <v>123522</v>
          </cell>
          <cell r="S294">
            <v>0</v>
          </cell>
          <cell r="T294">
            <v>0</v>
          </cell>
          <cell r="U294">
            <v>123522</v>
          </cell>
          <cell r="V294">
            <v>2079439</v>
          </cell>
          <cell r="W294">
            <v>0</v>
          </cell>
          <cell r="X294">
            <v>0</v>
          </cell>
          <cell r="Y294">
            <v>2079439</v>
          </cell>
          <cell r="Z294">
            <v>92016</v>
          </cell>
          <cell r="AA294">
            <v>0</v>
          </cell>
          <cell r="AB294">
            <v>0</v>
          </cell>
          <cell r="AC294">
            <v>92016</v>
          </cell>
          <cell r="AD294">
            <v>1008791</v>
          </cell>
          <cell r="AE294">
            <v>0</v>
          </cell>
          <cell r="AF294">
            <v>0</v>
          </cell>
          <cell r="AG294">
            <v>1008791</v>
          </cell>
          <cell r="AH294">
            <v>-26818</v>
          </cell>
          <cell r="AI294">
            <v>0</v>
          </cell>
          <cell r="AJ294">
            <v>0</v>
          </cell>
          <cell r="AK294">
            <v>-26818</v>
          </cell>
          <cell r="AL294">
            <v>3730383</v>
          </cell>
          <cell r="AM294">
            <v>0</v>
          </cell>
          <cell r="AN294">
            <v>0</v>
          </cell>
          <cell r="AO294">
            <v>3730383</v>
          </cell>
          <cell r="AP294">
            <v>72718</v>
          </cell>
          <cell r="AQ294">
            <v>0</v>
          </cell>
          <cell r="AR294">
            <v>0</v>
          </cell>
          <cell r="AS294">
            <v>72718</v>
          </cell>
          <cell r="AT294">
            <v>18188</v>
          </cell>
          <cell r="AU294">
            <v>0</v>
          </cell>
          <cell r="AV294">
            <v>0</v>
          </cell>
          <cell r="AW294">
            <v>18188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12050</v>
          </cell>
          <cell r="BC294">
            <v>0</v>
          </cell>
          <cell r="BD294">
            <v>0</v>
          </cell>
          <cell r="BE294">
            <v>12050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745</v>
          </cell>
          <cell r="BK294">
            <v>0</v>
          </cell>
          <cell r="BL294">
            <v>0</v>
          </cell>
          <cell r="BM294">
            <v>745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1926072</v>
          </cell>
          <cell r="BS294">
            <v>0</v>
          </cell>
          <cell r="BT294">
            <v>0</v>
          </cell>
          <cell r="BU294">
            <v>1926072</v>
          </cell>
          <cell r="BV294">
            <v>93058</v>
          </cell>
          <cell r="BW294">
            <v>0</v>
          </cell>
          <cell r="BX294">
            <v>0</v>
          </cell>
          <cell r="BY294">
            <v>93058</v>
          </cell>
          <cell r="BZ294">
            <v>26744</v>
          </cell>
          <cell r="CA294">
            <v>0</v>
          </cell>
          <cell r="CB294">
            <v>0</v>
          </cell>
          <cell r="CC294">
            <v>26744</v>
          </cell>
          <cell r="CD294">
            <v>1291</v>
          </cell>
          <cell r="CE294">
            <v>0</v>
          </cell>
          <cell r="CF294">
            <v>0</v>
          </cell>
          <cell r="CG294">
            <v>1291</v>
          </cell>
          <cell r="CH294">
            <v>12104</v>
          </cell>
          <cell r="CI294">
            <v>0</v>
          </cell>
          <cell r="CJ294">
            <v>0</v>
          </cell>
          <cell r="CK294">
            <v>12104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6988</v>
          </cell>
          <cell r="CY294">
            <v>0</v>
          </cell>
          <cell r="CZ294">
            <v>0</v>
          </cell>
          <cell r="DA294">
            <v>6988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30839</v>
          </cell>
          <cell r="DG294">
            <v>0</v>
          </cell>
          <cell r="DH294">
            <v>0</v>
          </cell>
          <cell r="DI294">
            <v>30839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</row>
        <row r="295">
          <cell r="A295">
            <v>289</v>
          </cell>
          <cell r="B295" t="str">
            <v>E1544</v>
          </cell>
          <cell r="C295" t="str">
            <v>SD</v>
          </cell>
          <cell r="D295" t="str">
            <v>E</v>
          </cell>
          <cell r="E295" t="str">
            <v>Uttlesford</v>
          </cell>
          <cell r="F295">
            <v>127145</v>
          </cell>
          <cell r="G295">
            <v>0</v>
          </cell>
          <cell r="H295">
            <v>0</v>
          </cell>
          <cell r="I295">
            <v>127145</v>
          </cell>
          <cell r="J295">
            <v>-415523</v>
          </cell>
          <cell r="K295">
            <v>0</v>
          </cell>
          <cell r="L295">
            <v>0</v>
          </cell>
          <cell r="M295">
            <v>-415523</v>
          </cell>
          <cell r="N295">
            <v>3975</v>
          </cell>
          <cell r="O295">
            <v>0</v>
          </cell>
          <cell r="P295">
            <v>0</v>
          </cell>
          <cell r="Q295">
            <v>3975</v>
          </cell>
          <cell r="R295">
            <v>17595</v>
          </cell>
          <cell r="S295">
            <v>0</v>
          </cell>
          <cell r="T295">
            <v>0</v>
          </cell>
          <cell r="U295">
            <v>17595</v>
          </cell>
          <cell r="V295">
            <v>1623609</v>
          </cell>
          <cell r="W295">
            <v>0</v>
          </cell>
          <cell r="X295">
            <v>0</v>
          </cell>
          <cell r="Y295">
            <v>1623609</v>
          </cell>
          <cell r="Z295">
            <v>93647</v>
          </cell>
          <cell r="AA295">
            <v>0</v>
          </cell>
          <cell r="AB295">
            <v>0</v>
          </cell>
          <cell r="AC295">
            <v>93647</v>
          </cell>
          <cell r="AD295">
            <v>801179</v>
          </cell>
          <cell r="AE295">
            <v>0</v>
          </cell>
          <cell r="AF295">
            <v>0</v>
          </cell>
          <cell r="AG295">
            <v>801179</v>
          </cell>
          <cell r="AH295">
            <v>-12066</v>
          </cell>
          <cell r="AI295">
            <v>0</v>
          </cell>
          <cell r="AJ295">
            <v>0</v>
          </cell>
          <cell r="AK295">
            <v>-12066</v>
          </cell>
          <cell r="AL295">
            <v>1696864</v>
          </cell>
          <cell r="AM295">
            <v>0</v>
          </cell>
          <cell r="AN295">
            <v>0</v>
          </cell>
          <cell r="AO295">
            <v>1696864</v>
          </cell>
          <cell r="AP295">
            <v>28601</v>
          </cell>
          <cell r="AQ295">
            <v>0</v>
          </cell>
          <cell r="AR295">
            <v>0</v>
          </cell>
          <cell r="AS295">
            <v>28601</v>
          </cell>
          <cell r="AT295">
            <v>51853</v>
          </cell>
          <cell r="AU295">
            <v>0</v>
          </cell>
          <cell r="AV295">
            <v>0</v>
          </cell>
          <cell r="AW295">
            <v>51853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47826</v>
          </cell>
          <cell r="BC295">
            <v>0</v>
          </cell>
          <cell r="BD295">
            <v>0</v>
          </cell>
          <cell r="BE295">
            <v>47826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12581</v>
          </cell>
          <cell r="BO295">
            <v>0</v>
          </cell>
          <cell r="BP295">
            <v>0</v>
          </cell>
          <cell r="BQ295">
            <v>12581</v>
          </cell>
          <cell r="BR295">
            <v>2229721</v>
          </cell>
          <cell r="BS295">
            <v>0</v>
          </cell>
          <cell r="BT295">
            <v>0</v>
          </cell>
          <cell r="BU295">
            <v>2229721</v>
          </cell>
          <cell r="BV295">
            <v>-40912</v>
          </cell>
          <cell r="BW295">
            <v>0</v>
          </cell>
          <cell r="BX295">
            <v>0</v>
          </cell>
          <cell r="BY295">
            <v>-40912</v>
          </cell>
          <cell r="BZ295">
            <v>36100</v>
          </cell>
          <cell r="CA295">
            <v>0</v>
          </cell>
          <cell r="CB295">
            <v>0</v>
          </cell>
          <cell r="CC295">
            <v>36100</v>
          </cell>
          <cell r="CD295">
            <v>737</v>
          </cell>
          <cell r="CE295">
            <v>0</v>
          </cell>
          <cell r="CF295">
            <v>0</v>
          </cell>
          <cell r="CG295">
            <v>737</v>
          </cell>
          <cell r="CH295">
            <v>92220</v>
          </cell>
          <cell r="CI295">
            <v>0</v>
          </cell>
          <cell r="CJ295">
            <v>0</v>
          </cell>
          <cell r="CK295">
            <v>92220</v>
          </cell>
          <cell r="CL295">
            <v>2767</v>
          </cell>
          <cell r="CM295">
            <v>0</v>
          </cell>
          <cell r="CN295">
            <v>0</v>
          </cell>
          <cell r="CO295">
            <v>2767</v>
          </cell>
          <cell r="CP295">
            <v>160</v>
          </cell>
          <cell r="CQ295">
            <v>0</v>
          </cell>
          <cell r="CR295">
            <v>0</v>
          </cell>
          <cell r="CS295">
            <v>160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43940</v>
          </cell>
          <cell r="CY295">
            <v>0</v>
          </cell>
          <cell r="CZ295">
            <v>0</v>
          </cell>
          <cell r="DA295">
            <v>43940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81143</v>
          </cell>
          <cell r="DG295">
            <v>0</v>
          </cell>
          <cell r="DH295">
            <v>0</v>
          </cell>
          <cell r="DI295">
            <v>81143</v>
          </cell>
          <cell r="DJ295">
            <v>7684</v>
          </cell>
          <cell r="DK295">
            <v>0</v>
          </cell>
          <cell r="DL295">
            <v>0</v>
          </cell>
          <cell r="DM295">
            <v>7684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726</v>
          </cell>
          <cell r="DY295">
            <v>0</v>
          </cell>
          <cell r="DZ295">
            <v>0</v>
          </cell>
          <cell r="EA295">
            <v>726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</row>
        <row r="296">
          <cell r="A296">
            <v>290</v>
          </cell>
          <cell r="B296" t="str">
            <v>E3134</v>
          </cell>
          <cell r="C296" t="str">
            <v>SD</v>
          </cell>
          <cell r="D296" t="str">
            <v>SE</v>
          </cell>
          <cell r="E296" t="str">
            <v>Vale of White Horse</v>
          </cell>
          <cell r="F296">
            <v>2249761</v>
          </cell>
          <cell r="G296">
            <v>0</v>
          </cell>
          <cell r="H296">
            <v>0</v>
          </cell>
          <cell r="I296">
            <v>2249761</v>
          </cell>
          <cell r="J296">
            <v>-395059</v>
          </cell>
          <cell r="K296">
            <v>0</v>
          </cell>
          <cell r="L296">
            <v>0</v>
          </cell>
          <cell r="M296">
            <v>-395059</v>
          </cell>
          <cell r="N296">
            <v>292547</v>
          </cell>
          <cell r="O296">
            <v>0</v>
          </cell>
          <cell r="P296">
            <v>3316</v>
          </cell>
          <cell r="Q296">
            <v>295863</v>
          </cell>
          <cell r="R296">
            <v>134715</v>
          </cell>
          <cell r="S296">
            <v>0</v>
          </cell>
          <cell r="T296">
            <v>0</v>
          </cell>
          <cell r="U296">
            <v>134715</v>
          </cell>
          <cell r="V296">
            <v>1539245</v>
          </cell>
          <cell r="W296">
            <v>0</v>
          </cell>
          <cell r="X296">
            <v>34245</v>
          </cell>
          <cell r="Y296">
            <v>1573490</v>
          </cell>
          <cell r="Z296">
            <v>79020</v>
          </cell>
          <cell r="AA296">
            <v>0</v>
          </cell>
          <cell r="AB296">
            <v>49</v>
          </cell>
          <cell r="AC296">
            <v>79069</v>
          </cell>
          <cell r="AD296">
            <v>1202974</v>
          </cell>
          <cell r="AE296">
            <v>0</v>
          </cell>
          <cell r="AF296">
            <v>19873</v>
          </cell>
          <cell r="AG296">
            <v>1222847</v>
          </cell>
          <cell r="AH296">
            <v>-31018</v>
          </cell>
          <cell r="AI296">
            <v>0</v>
          </cell>
          <cell r="AJ296">
            <v>10</v>
          </cell>
          <cell r="AK296">
            <v>-31008</v>
          </cell>
          <cell r="AL296">
            <v>6463853</v>
          </cell>
          <cell r="AM296">
            <v>0</v>
          </cell>
          <cell r="AN296">
            <v>22321</v>
          </cell>
          <cell r="AO296">
            <v>6486174</v>
          </cell>
          <cell r="AP296">
            <v>5416853</v>
          </cell>
          <cell r="AQ296">
            <v>0</v>
          </cell>
          <cell r="AR296">
            <v>0</v>
          </cell>
          <cell r="AS296">
            <v>5416853</v>
          </cell>
          <cell r="AT296">
            <v>78604</v>
          </cell>
          <cell r="AU296">
            <v>0</v>
          </cell>
          <cell r="AV296">
            <v>0</v>
          </cell>
          <cell r="AW296">
            <v>78604</v>
          </cell>
          <cell r="AX296">
            <v>3286</v>
          </cell>
          <cell r="AY296">
            <v>0</v>
          </cell>
          <cell r="AZ296">
            <v>0</v>
          </cell>
          <cell r="BA296">
            <v>3286</v>
          </cell>
          <cell r="BB296">
            <v>34822</v>
          </cell>
          <cell r="BC296">
            <v>0</v>
          </cell>
          <cell r="BD296">
            <v>661</v>
          </cell>
          <cell r="BE296">
            <v>35483</v>
          </cell>
          <cell r="BF296">
            <v>-1924</v>
          </cell>
          <cell r="BG296">
            <v>0</v>
          </cell>
          <cell r="BH296">
            <v>0</v>
          </cell>
          <cell r="BI296">
            <v>-1924</v>
          </cell>
          <cell r="BJ296">
            <v>6988</v>
          </cell>
          <cell r="BK296">
            <v>0</v>
          </cell>
          <cell r="BL296">
            <v>0</v>
          </cell>
          <cell r="BM296">
            <v>6988</v>
          </cell>
          <cell r="BN296">
            <v>-557</v>
          </cell>
          <cell r="BO296">
            <v>0</v>
          </cell>
          <cell r="BP296">
            <v>0</v>
          </cell>
          <cell r="BQ296">
            <v>-557</v>
          </cell>
          <cell r="BR296">
            <v>1897637</v>
          </cell>
          <cell r="BS296">
            <v>0</v>
          </cell>
          <cell r="BT296">
            <v>78947</v>
          </cell>
          <cell r="BU296">
            <v>1976584</v>
          </cell>
          <cell r="BV296">
            <v>-201170</v>
          </cell>
          <cell r="BW296">
            <v>0</v>
          </cell>
          <cell r="BX296">
            <v>562</v>
          </cell>
          <cell r="BY296">
            <v>-200608</v>
          </cell>
          <cell r="BZ296">
            <v>156983</v>
          </cell>
          <cell r="CA296">
            <v>0</v>
          </cell>
          <cell r="CB296">
            <v>2944</v>
          </cell>
          <cell r="CC296">
            <v>159927</v>
          </cell>
          <cell r="CD296">
            <v>144</v>
          </cell>
          <cell r="CE296">
            <v>0</v>
          </cell>
          <cell r="CF296">
            <v>0</v>
          </cell>
          <cell r="CG296">
            <v>144</v>
          </cell>
          <cell r="CH296">
            <v>5486</v>
          </cell>
          <cell r="CI296">
            <v>0</v>
          </cell>
          <cell r="CJ296">
            <v>0</v>
          </cell>
          <cell r="CK296">
            <v>5486</v>
          </cell>
          <cell r="CL296">
            <v>-8730</v>
          </cell>
          <cell r="CM296">
            <v>0</v>
          </cell>
          <cell r="CN296">
            <v>0</v>
          </cell>
          <cell r="CO296">
            <v>-8730</v>
          </cell>
          <cell r="CP296">
            <v>4913</v>
          </cell>
          <cell r="CQ296">
            <v>0</v>
          </cell>
          <cell r="CR296">
            <v>0</v>
          </cell>
          <cell r="CS296">
            <v>4913</v>
          </cell>
          <cell r="CT296">
            <v>205</v>
          </cell>
          <cell r="CU296">
            <v>0</v>
          </cell>
          <cell r="CV296">
            <v>0</v>
          </cell>
          <cell r="CW296">
            <v>205</v>
          </cell>
          <cell r="CX296">
            <v>13610</v>
          </cell>
          <cell r="CY296">
            <v>0</v>
          </cell>
          <cell r="CZ296">
            <v>661</v>
          </cell>
          <cell r="DA296">
            <v>14271</v>
          </cell>
          <cell r="DB296">
            <v>-92</v>
          </cell>
          <cell r="DC296">
            <v>0</v>
          </cell>
          <cell r="DD296">
            <v>0</v>
          </cell>
          <cell r="DE296">
            <v>-92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196410</v>
          </cell>
          <cell r="DQ296">
            <v>196410</v>
          </cell>
          <cell r="DR296">
            <v>0</v>
          </cell>
          <cell r="DS296">
            <v>0</v>
          </cell>
          <cell r="DT296">
            <v>71740</v>
          </cell>
          <cell r="DU296">
            <v>71740</v>
          </cell>
          <cell r="DV296">
            <v>268150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15436</v>
          </cell>
          <cell r="EC296">
            <v>0</v>
          </cell>
          <cell r="ED296">
            <v>0</v>
          </cell>
          <cell r="EE296">
            <v>15436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</row>
        <row r="297">
          <cell r="A297">
            <v>291</v>
          </cell>
          <cell r="B297" t="str">
            <v>E4705</v>
          </cell>
          <cell r="C297" t="str">
            <v>Met</v>
          </cell>
          <cell r="D297" t="str">
            <v>YH</v>
          </cell>
          <cell r="E297" t="str">
            <v>Wakefield</v>
          </cell>
          <cell r="F297">
            <v>496913.43</v>
          </cell>
          <cell r="G297">
            <v>0</v>
          </cell>
          <cell r="H297">
            <v>0</v>
          </cell>
          <cell r="I297">
            <v>496913.43</v>
          </cell>
          <cell r="J297">
            <v>-342642.93</v>
          </cell>
          <cell r="K297">
            <v>0</v>
          </cell>
          <cell r="L297">
            <v>0</v>
          </cell>
          <cell r="M297">
            <v>-342642.93</v>
          </cell>
          <cell r="N297">
            <v>96051</v>
          </cell>
          <cell r="O297">
            <v>0</v>
          </cell>
          <cell r="P297">
            <v>0</v>
          </cell>
          <cell r="Q297">
            <v>96051</v>
          </cell>
          <cell r="R297">
            <v>254778.34</v>
          </cell>
          <cell r="S297">
            <v>0</v>
          </cell>
          <cell r="T297">
            <v>0</v>
          </cell>
          <cell r="U297">
            <v>254778.34</v>
          </cell>
          <cell r="V297">
            <v>6919899.7400000002</v>
          </cell>
          <cell r="W297">
            <v>0</v>
          </cell>
          <cell r="X297">
            <v>0</v>
          </cell>
          <cell r="Y297">
            <v>6919899.7400000002</v>
          </cell>
          <cell r="Z297">
            <v>74376.05</v>
          </cell>
          <cell r="AA297">
            <v>0</v>
          </cell>
          <cell r="AB297">
            <v>0</v>
          </cell>
          <cell r="AC297">
            <v>74376.05</v>
          </cell>
          <cell r="AD297">
            <v>2411728.3199999998</v>
          </cell>
          <cell r="AE297">
            <v>0</v>
          </cell>
          <cell r="AF297">
            <v>0</v>
          </cell>
          <cell r="AG297">
            <v>2411728.3199999998</v>
          </cell>
          <cell r="AH297">
            <v>-67911.27</v>
          </cell>
          <cell r="AI297">
            <v>0</v>
          </cell>
          <cell r="AJ297">
            <v>0</v>
          </cell>
          <cell r="AK297">
            <v>-67911.27</v>
          </cell>
          <cell r="AL297">
            <v>6227958.4900000002</v>
          </cell>
          <cell r="AM297">
            <v>0</v>
          </cell>
          <cell r="AN297">
            <v>0</v>
          </cell>
          <cell r="AO297">
            <v>6227958.4900000002</v>
          </cell>
          <cell r="AP297">
            <v>80053.600000000006</v>
          </cell>
          <cell r="AQ297">
            <v>0</v>
          </cell>
          <cell r="AR297">
            <v>0</v>
          </cell>
          <cell r="AS297">
            <v>80053.600000000006</v>
          </cell>
          <cell r="AT297">
            <v>62980.2</v>
          </cell>
          <cell r="AU297">
            <v>0</v>
          </cell>
          <cell r="AV297">
            <v>0</v>
          </cell>
          <cell r="AW297">
            <v>62980.2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9208.64</v>
          </cell>
          <cell r="BC297">
            <v>0</v>
          </cell>
          <cell r="BD297">
            <v>0</v>
          </cell>
          <cell r="BE297">
            <v>9208.64</v>
          </cell>
          <cell r="BF297">
            <v>-276.72000000000003</v>
          </cell>
          <cell r="BG297">
            <v>0</v>
          </cell>
          <cell r="BH297">
            <v>0</v>
          </cell>
          <cell r="BI297">
            <v>-276.72000000000003</v>
          </cell>
          <cell r="BJ297">
            <v>263269.03999999998</v>
          </cell>
          <cell r="BK297">
            <v>0</v>
          </cell>
          <cell r="BL297">
            <v>0</v>
          </cell>
          <cell r="BM297">
            <v>263269.03999999998</v>
          </cell>
          <cell r="BN297">
            <v>56044.19</v>
          </cell>
          <cell r="BO297">
            <v>0</v>
          </cell>
          <cell r="BP297">
            <v>0</v>
          </cell>
          <cell r="BQ297">
            <v>56044.19</v>
          </cell>
          <cell r="BR297">
            <v>6969095.5800000001</v>
          </cell>
          <cell r="BS297">
            <v>0</v>
          </cell>
          <cell r="BT297">
            <v>0</v>
          </cell>
          <cell r="BU297">
            <v>6969095.5800000001</v>
          </cell>
          <cell r="BV297">
            <v>-54706.63</v>
          </cell>
          <cell r="BW297">
            <v>0</v>
          </cell>
          <cell r="BX297">
            <v>0</v>
          </cell>
          <cell r="BY297">
            <v>-54706.63</v>
          </cell>
          <cell r="BZ297">
            <v>694187.07</v>
          </cell>
          <cell r="CA297">
            <v>0</v>
          </cell>
          <cell r="CB297">
            <v>0</v>
          </cell>
          <cell r="CC297">
            <v>694187.07</v>
          </cell>
          <cell r="CD297">
            <v>134799.67999999999</v>
          </cell>
          <cell r="CE297">
            <v>0</v>
          </cell>
          <cell r="CF297">
            <v>0</v>
          </cell>
          <cell r="CG297">
            <v>134799.67999999999</v>
          </cell>
          <cell r="CH297">
            <v>447372.3</v>
          </cell>
          <cell r="CI297">
            <v>0</v>
          </cell>
          <cell r="CJ297">
            <v>0</v>
          </cell>
          <cell r="CK297">
            <v>447372.3</v>
          </cell>
          <cell r="CL297">
            <v>-135278.07</v>
          </cell>
          <cell r="CM297">
            <v>0</v>
          </cell>
          <cell r="CN297">
            <v>0</v>
          </cell>
          <cell r="CO297">
            <v>-135278.07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</row>
        <row r="298">
          <cell r="A298">
            <v>292</v>
          </cell>
          <cell r="B298" t="str">
            <v>E4606</v>
          </cell>
          <cell r="C298" t="str">
            <v>Met</v>
          </cell>
          <cell r="D298" t="str">
            <v>WM</v>
          </cell>
          <cell r="E298" t="str">
            <v>Walsall</v>
          </cell>
          <cell r="F298">
            <v>257874</v>
          </cell>
          <cell r="G298">
            <v>0</v>
          </cell>
          <cell r="H298">
            <v>0</v>
          </cell>
          <cell r="I298">
            <v>257874</v>
          </cell>
          <cell r="J298">
            <v>-84431</v>
          </cell>
          <cell r="K298">
            <v>0</v>
          </cell>
          <cell r="L298">
            <v>0</v>
          </cell>
          <cell r="M298">
            <v>-84431</v>
          </cell>
          <cell r="N298">
            <v>83356</v>
          </cell>
          <cell r="O298">
            <v>0</v>
          </cell>
          <cell r="P298">
            <v>0</v>
          </cell>
          <cell r="Q298">
            <v>83356</v>
          </cell>
          <cell r="R298">
            <v>258544</v>
          </cell>
          <cell r="S298">
            <v>0</v>
          </cell>
          <cell r="T298">
            <v>0</v>
          </cell>
          <cell r="U298">
            <v>258544</v>
          </cell>
          <cell r="V298">
            <v>5170349</v>
          </cell>
          <cell r="W298">
            <v>0</v>
          </cell>
          <cell r="X298">
            <v>866</v>
          </cell>
          <cell r="Y298">
            <v>5171215</v>
          </cell>
          <cell r="Z298">
            <v>209249</v>
          </cell>
          <cell r="AA298">
            <v>0</v>
          </cell>
          <cell r="AB298">
            <v>0</v>
          </cell>
          <cell r="AC298">
            <v>209249</v>
          </cell>
          <cell r="AD298">
            <v>1346092</v>
          </cell>
          <cell r="AE298">
            <v>0</v>
          </cell>
          <cell r="AF298">
            <v>3213</v>
          </cell>
          <cell r="AG298">
            <v>1349305</v>
          </cell>
          <cell r="AH298">
            <v>32118</v>
          </cell>
          <cell r="AI298">
            <v>0</v>
          </cell>
          <cell r="AJ298">
            <v>350</v>
          </cell>
          <cell r="AK298">
            <v>32468</v>
          </cell>
          <cell r="AL298">
            <v>4522886</v>
          </cell>
          <cell r="AM298">
            <v>0</v>
          </cell>
          <cell r="AN298">
            <v>0</v>
          </cell>
          <cell r="AO298">
            <v>4522886</v>
          </cell>
          <cell r="AP298">
            <v>16895</v>
          </cell>
          <cell r="AQ298">
            <v>0</v>
          </cell>
          <cell r="AR298">
            <v>0</v>
          </cell>
          <cell r="AS298">
            <v>16895</v>
          </cell>
          <cell r="AT298">
            <v>26301</v>
          </cell>
          <cell r="AU298">
            <v>0</v>
          </cell>
          <cell r="AV298">
            <v>0</v>
          </cell>
          <cell r="AW298">
            <v>26301</v>
          </cell>
          <cell r="AX298">
            <v>2729</v>
          </cell>
          <cell r="AY298">
            <v>0</v>
          </cell>
          <cell r="AZ298">
            <v>0</v>
          </cell>
          <cell r="BA298">
            <v>2729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108910</v>
          </cell>
          <cell r="BK298">
            <v>0</v>
          </cell>
          <cell r="BL298">
            <v>0</v>
          </cell>
          <cell r="BM298">
            <v>108910</v>
          </cell>
          <cell r="BN298">
            <v>60049</v>
          </cell>
          <cell r="BO298">
            <v>0</v>
          </cell>
          <cell r="BP298">
            <v>0</v>
          </cell>
          <cell r="BQ298">
            <v>60049</v>
          </cell>
          <cell r="BR298">
            <v>3205916</v>
          </cell>
          <cell r="BS298">
            <v>0</v>
          </cell>
          <cell r="BT298">
            <v>0</v>
          </cell>
          <cell r="BU298">
            <v>3205916</v>
          </cell>
          <cell r="BV298">
            <v>-44968</v>
          </cell>
          <cell r="BW298">
            <v>0</v>
          </cell>
          <cell r="BX298">
            <v>0</v>
          </cell>
          <cell r="BY298">
            <v>-44968</v>
          </cell>
          <cell r="BZ298">
            <v>167795</v>
          </cell>
          <cell r="CA298">
            <v>0</v>
          </cell>
          <cell r="CB298">
            <v>0</v>
          </cell>
          <cell r="CC298">
            <v>167795</v>
          </cell>
          <cell r="CD298">
            <v>941</v>
          </cell>
          <cell r="CE298">
            <v>0</v>
          </cell>
          <cell r="CF298">
            <v>0</v>
          </cell>
          <cell r="CG298">
            <v>941</v>
          </cell>
          <cell r="CH298">
            <v>55297</v>
          </cell>
          <cell r="CI298">
            <v>0</v>
          </cell>
          <cell r="CJ298">
            <v>0</v>
          </cell>
          <cell r="CK298">
            <v>55297</v>
          </cell>
          <cell r="CL298">
            <v>-7605</v>
          </cell>
          <cell r="CM298">
            <v>0</v>
          </cell>
          <cell r="CN298">
            <v>0</v>
          </cell>
          <cell r="CO298">
            <v>-7605</v>
          </cell>
          <cell r="CP298">
            <v>2014</v>
          </cell>
          <cell r="CQ298">
            <v>0</v>
          </cell>
          <cell r="CR298">
            <v>0</v>
          </cell>
          <cell r="CS298">
            <v>2014</v>
          </cell>
          <cell r="CT298">
            <v>532</v>
          </cell>
          <cell r="CU298">
            <v>0</v>
          </cell>
          <cell r="CV298">
            <v>0</v>
          </cell>
          <cell r="CW298">
            <v>532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</row>
        <row r="299">
          <cell r="A299">
            <v>293</v>
          </cell>
          <cell r="B299" t="str">
            <v>E5049</v>
          </cell>
          <cell r="C299" t="str">
            <v>OLB</v>
          </cell>
          <cell r="D299" t="str">
            <v>L</v>
          </cell>
          <cell r="E299" t="str">
            <v>Waltham Forest</v>
          </cell>
          <cell r="F299">
            <v>463049</v>
          </cell>
          <cell r="G299">
            <v>0</v>
          </cell>
          <cell r="H299">
            <v>0</v>
          </cell>
          <cell r="I299">
            <v>463049</v>
          </cell>
          <cell r="J299">
            <v>-116455</v>
          </cell>
          <cell r="K299">
            <v>0</v>
          </cell>
          <cell r="L299">
            <v>0</v>
          </cell>
          <cell r="M299">
            <v>-116455</v>
          </cell>
          <cell r="N299">
            <v>42531</v>
          </cell>
          <cell r="O299">
            <v>0</v>
          </cell>
          <cell r="P299">
            <v>0</v>
          </cell>
          <cell r="Q299">
            <v>42531</v>
          </cell>
          <cell r="R299">
            <v>-34768</v>
          </cell>
          <cell r="S299">
            <v>0</v>
          </cell>
          <cell r="T299">
            <v>0</v>
          </cell>
          <cell r="U299">
            <v>-34768</v>
          </cell>
          <cell r="V299">
            <v>5070904</v>
          </cell>
          <cell r="W299">
            <v>0</v>
          </cell>
          <cell r="X299">
            <v>0</v>
          </cell>
          <cell r="Y299">
            <v>5070904</v>
          </cell>
          <cell r="Z299">
            <v>82795</v>
          </cell>
          <cell r="AA299">
            <v>0</v>
          </cell>
          <cell r="AB299">
            <v>0</v>
          </cell>
          <cell r="AC299">
            <v>82795</v>
          </cell>
          <cell r="AD299">
            <v>950261</v>
          </cell>
          <cell r="AE299">
            <v>0</v>
          </cell>
          <cell r="AF299">
            <v>0</v>
          </cell>
          <cell r="AG299">
            <v>950261</v>
          </cell>
          <cell r="AH299">
            <v>5271</v>
          </cell>
          <cell r="AI299">
            <v>0</v>
          </cell>
          <cell r="AJ299">
            <v>0</v>
          </cell>
          <cell r="AK299">
            <v>5271</v>
          </cell>
          <cell r="AL299">
            <v>4484916</v>
          </cell>
          <cell r="AM299">
            <v>0</v>
          </cell>
          <cell r="AN299">
            <v>0</v>
          </cell>
          <cell r="AO299">
            <v>4484916</v>
          </cell>
          <cell r="AP299">
            <v>-37437</v>
          </cell>
          <cell r="AQ299">
            <v>0</v>
          </cell>
          <cell r="AR299">
            <v>0</v>
          </cell>
          <cell r="AS299">
            <v>-37437</v>
          </cell>
          <cell r="AT299">
            <v>32913</v>
          </cell>
          <cell r="AU299">
            <v>0</v>
          </cell>
          <cell r="AV299">
            <v>0</v>
          </cell>
          <cell r="AW299">
            <v>32913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9818</v>
          </cell>
          <cell r="BK299">
            <v>0</v>
          </cell>
          <cell r="BL299">
            <v>0</v>
          </cell>
          <cell r="BM299">
            <v>9818</v>
          </cell>
          <cell r="BN299">
            <v>-27819</v>
          </cell>
          <cell r="BO299">
            <v>0</v>
          </cell>
          <cell r="BP299">
            <v>0</v>
          </cell>
          <cell r="BQ299">
            <v>-27819</v>
          </cell>
          <cell r="BR299">
            <v>1468536</v>
          </cell>
          <cell r="BS299">
            <v>0</v>
          </cell>
          <cell r="BT299">
            <v>0</v>
          </cell>
          <cell r="BU299">
            <v>1468536</v>
          </cell>
          <cell r="BV299">
            <v>377846</v>
          </cell>
          <cell r="BW299">
            <v>0</v>
          </cell>
          <cell r="BX299">
            <v>0</v>
          </cell>
          <cell r="BY299">
            <v>377846</v>
          </cell>
          <cell r="BZ299">
            <v>138571</v>
          </cell>
          <cell r="CA299">
            <v>0</v>
          </cell>
          <cell r="CB299">
            <v>0</v>
          </cell>
          <cell r="CC299">
            <v>138571</v>
          </cell>
          <cell r="CD299">
            <v>-3695</v>
          </cell>
          <cell r="CE299">
            <v>0</v>
          </cell>
          <cell r="CF299">
            <v>0</v>
          </cell>
          <cell r="CG299">
            <v>-3695</v>
          </cell>
          <cell r="CH299">
            <v>31570</v>
          </cell>
          <cell r="CI299">
            <v>0</v>
          </cell>
          <cell r="CJ299">
            <v>0</v>
          </cell>
          <cell r="CK299">
            <v>31570</v>
          </cell>
          <cell r="CL299">
            <v>-4727</v>
          </cell>
          <cell r="CM299">
            <v>0</v>
          </cell>
          <cell r="CN299">
            <v>0</v>
          </cell>
          <cell r="CO299">
            <v>-4727</v>
          </cell>
          <cell r="CP299">
            <v>2883</v>
          </cell>
          <cell r="CQ299">
            <v>0</v>
          </cell>
          <cell r="CR299">
            <v>0</v>
          </cell>
          <cell r="CS299">
            <v>2883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8699</v>
          </cell>
          <cell r="DY299">
            <v>0</v>
          </cell>
          <cell r="DZ299">
            <v>0</v>
          </cell>
          <cell r="EA299">
            <v>8699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4031</v>
          </cell>
          <cell r="EK299">
            <v>0</v>
          </cell>
          <cell r="EL299">
            <v>0</v>
          </cell>
          <cell r="EM299">
            <v>4031</v>
          </cell>
        </row>
        <row r="300">
          <cell r="A300">
            <v>294</v>
          </cell>
          <cell r="B300" t="str">
            <v>E5021</v>
          </cell>
          <cell r="C300" t="str">
            <v>ILB</v>
          </cell>
          <cell r="D300" t="str">
            <v>L</v>
          </cell>
          <cell r="E300" t="str">
            <v>Wandsworth</v>
          </cell>
          <cell r="F300">
            <v>442854.35</v>
          </cell>
          <cell r="G300">
            <v>0</v>
          </cell>
          <cell r="H300">
            <v>0</v>
          </cell>
          <cell r="I300">
            <v>442854.35</v>
          </cell>
          <cell r="J300">
            <v>-307864.84999999998</v>
          </cell>
          <cell r="K300">
            <v>0</v>
          </cell>
          <cell r="L300">
            <v>0</v>
          </cell>
          <cell r="M300">
            <v>-307864.84999999998</v>
          </cell>
          <cell r="N300">
            <v>42176.79</v>
          </cell>
          <cell r="O300">
            <v>0</v>
          </cell>
          <cell r="P300">
            <v>0</v>
          </cell>
          <cell r="Q300">
            <v>42176.79</v>
          </cell>
          <cell r="R300">
            <v>286192.53999999998</v>
          </cell>
          <cell r="S300">
            <v>0</v>
          </cell>
          <cell r="T300">
            <v>0</v>
          </cell>
          <cell r="U300">
            <v>286192.53999999998</v>
          </cell>
          <cell r="V300">
            <v>3531649.32</v>
          </cell>
          <cell r="W300">
            <v>0</v>
          </cell>
          <cell r="X300">
            <v>0</v>
          </cell>
          <cell r="Y300">
            <v>3531649.32</v>
          </cell>
          <cell r="Z300">
            <v>189620.39</v>
          </cell>
          <cell r="AA300">
            <v>0</v>
          </cell>
          <cell r="AB300">
            <v>0</v>
          </cell>
          <cell r="AC300">
            <v>189620.39</v>
          </cell>
          <cell r="AD300">
            <v>1837941.58</v>
          </cell>
          <cell r="AE300">
            <v>0</v>
          </cell>
          <cell r="AF300">
            <v>0</v>
          </cell>
          <cell r="AG300">
            <v>1837941.58</v>
          </cell>
          <cell r="AH300">
            <v>70903.17</v>
          </cell>
          <cell r="AI300">
            <v>0</v>
          </cell>
          <cell r="AJ300">
            <v>0</v>
          </cell>
          <cell r="AK300">
            <v>70903.17</v>
          </cell>
          <cell r="AL300">
            <v>8368961.54</v>
          </cell>
          <cell r="AM300">
            <v>0</v>
          </cell>
          <cell r="AN300">
            <v>0</v>
          </cell>
          <cell r="AO300">
            <v>8368961.54</v>
          </cell>
          <cell r="AP300">
            <v>360187.68</v>
          </cell>
          <cell r="AQ300">
            <v>0</v>
          </cell>
          <cell r="AR300">
            <v>0</v>
          </cell>
          <cell r="AS300">
            <v>360187.68</v>
          </cell>
          <cell r="AT300">
            <v>29142.959999999999</v>
          </cell>
          <cell r="AU300">
            <v>0</v>
          </cell>
          <cell r="AV300">
            <v>0</v>
          </cell>
          <cell r="AW300">
            <v>29142.959999999999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150861.97</v>
          </cell>
          <cell r="BK300">
            <v>0</v>
          </cell>
          <cell r="BL300">
            <v>0</v>
          </cell>
          <cell r="BM300">
            <v>150861.97</v>
          </cell>
          <cell r="BN300">
            <v>365861.75</v>
          </cell>
          <cell r="BO300">
            <v>0</v>
          </cell>
          <cell r="BP300">
            <v>0</v>
          </cell>
          <cell r="BQ300">
            <v>365861.75</v>
          </cell>
          <cell r="BR300">
            <v>4298070.0999999996</v>
          </cell>
          <cell r="BS300">
            <v>0</v>
          </cell>
          <cell r="BT300">
            <v>0</v>
          </cell>
          <cell r="BU300">
            <v>4298070.0999999996</v>
          </cell>
          <cell r="BV300">
            <v>229612.03</v>
          </cell>
          <cell r="BW300">
            <v>0</v>
          </cell>
          <cell r="BX300">
            <v>0</v>
          </cell>
          <cell r="BY300">
            <v>229612.03</v>
          </cell>
          <cell r="BZ300">
            <v>161330.84</v>
          </cell>
          <cell r="CA300">
            <v>0</v>
          </cell>
          <cell r="CB300">
            <v>0</v>
          </cell>
          <cell r="CC300">
            <v>161330.84</v>
          </cell>
          <cell r="CD300">
            <v>1169.29</v>
          </cell>
          <cell r="CE300">
            <v>0</v>
          </cell>
          <cell r="CF300">
            <v>0</v>
          </cell>
          <cell r="CG300">
            <v>1169.29</v>
          </cell>
          <cell r="CH300">
            <v>602817.19999999995</v>
          </cell>
          <cell r="CI300">
            <v>0</v>
          </cell>
          <cell r="CJ300">
            <v>0</v>
          </cell>
          <cell r="CK300">
            <v>602817.19999999995</v>
          </cell>
          <cell r="CL300">
            <v>-8854.5499999999993</v>
          </cell>
          <cell r="CM300">
            <v>0</v>
          </cell>
          <cell r="CN300">
            <v>0</v>
          </cell>
          <cell r="CO300">
            <v>-8854.5499999999993</v>
          </cell>
          <cell r="CP300">
            <v>1321.32</v>
          </cell>
          <cell r="CQ300">
            <v>0</v>
          </cell>
          <cell r="CR300">
            <v>0</v>
          </cell>
          <cell r="CS300">
            <v>1321.32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</row>
        <row r="301">
          <cell r="A301">
            <v>295</v>
          </cell>
          <cell r="B301" t="str">
            <v>E0602</v>
          </cell>
          <cell r="C301" t="str">
            <v>UA</v>
          </cell>
          <cell r="D301" t="str">
            <v>NW</v>
          </cell>
          <cell r="E301" t="str">
            <v>Warrington UA</v>
          </cell>
          <cell r="F301">
            <v>167852.44</v>
          </cell>
          <cell r="G301">
            <v>0</v>
          </cell>
          <cell r="H301">
            <v>0</v>
          </cell>
          <cell r="I301">
            <v>167852.44</v>
          </cell>
          <cell r="J301">
            <v>-1072033.2</v>
          </cell>
          <cell r="K301">
            <v>0</v>
          </cell>
          <cell r="L301">
            <v>0</v>
          </cell>
          <cell r="M301">
            <v>-1072033.2</v>
          </cell>
          <cell r="N301">
            <v>154301.01</v>
          </cell>
          <cell r="O301">
            <v>0</v>
          </cell>
          <cell r="P301">
            <v>0</v>
          </cell>
          <cell r="Q301">
            <v>154301.01</v>
          </cell>
          <cell r="R301">
            <v>259674.23</v>
          </cell>
          <cell r="S301">
            <v>0</v>
          </cell>
          <cell r="T301">
            <v>0</v>
          </cell>
          <cell r="U301">
            <v>259674.23</v>
          </cell>
          <cell r="V301">
            <v>2725196.01</v>
          </cell>
          <cell r="W301">
            <v>0</v>
          </cell>
          <cell r="X301">
            <v>0</v>
          </cell>
          <cell r="Y301">
            <v>2725196.01</v>
          </cell>
          <cell r="Z301">
            <v>167585.18</v>
          </cell>
          <cell r="AA301">
            <v>0</v>
          </cell>
          <cell r="AB301">
            <v>0</v>
          </cell>
          <cell r="AC301">
            <v>167585.18</v>
          </cell>
          <cell r="AD301">
            <v>2061860.2</v>
          </cell>
          <cell r="AE301">
            <v>0</v>
          </cell>
          <cell r="AF301">
            <v>0</v>
          </cell>
          <cell r="AG301">
            <v>2061860.2</v>
          </cell>
          <cell r="AH301">
            <v>-55910.17</v>
          </cell>
          <cell r="AI301">
            <v>0</v>
          </cell>
          <cell r="AJ301">
            <v>0</v>
          </cell>
          <cell r="AK301">
            <v>-55910.17</v>
          </cell>
          <cell r="AL301">
            <v>3469293.51</v>
          </cell>
          <cell r="AM301">
            <v>0</v>
          </cell>
          <cell r="AN301">
            <v>0</v>
          </cell>
          <cell r="AO301">
            <v>3469293.51</v>
          </cell>
          <cell r="AP301">
            <v>403682.38</v>
          </cell>
          <cell r="AQ301">
            <v>0</v>
          </cell>
          <cell r="AR301">
            <v>0</v>
          </cell>
          <cell r="AS301">
            <v>403682.38</v>
          </cell>
          <cell r="AT301">
            <v>68279.259999999995</v>
          </cell>
          <cell r="AU301">
            <v>0</v>
          </cell>
          <cell r="AV301">
            <v>0</v>
          </cell>
          <cell r="AW301">
            <v>68279.259999999995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1736.81</v>
          </cell>
          <cell r="BC301">
            <v>0</v>
          </cell>
          <cell r="BD301">
            <v>0</v>
          </cell>
          <cell r="BE301">
            <v>1736.81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88104.66</v>
          </cell>
          <cell r="BK301">
            <v>0</v>
          </cell>
          <cell r="BL301">
            <v>0</v>
          </cell>
          <cell r="BM301">
            <v>88104.66</v>
          </cell>
          <cell r="BN301">
            <v>145112.41</v>
          </cell>
          <cell r="BO301">
            <v>0</v>
          </cell>
          <cell r="BP301">
            <v>0</v>
          </cell>
          <cell r="BQ301">
            <v>145112.41</v>
          </cell>
          <cell r="BR301">
            <v>4143025.97</v>
          </cell>
          <cell r="BS301">
            <v>0</v>
          </cell>
          <cell r="BT301">
            <v>0</v>
          </cell>
          <cell r="BU301">
            <v>4143025.97</v>
          </cell>
          <cell r="BV301">
            <v>-473835.6</v>
          </cell>
          <cell r="BW301">
            <v>0</v>
          </cell>
          <cell r="BX301">
            <v>0</v>
          </cell>
          <cell r="BY301">
            <v>-473835.6</v>
          </cell>
          <cell r="BZ301">
            <v>161746.91</v>
          </cell>
          <cell r="CA301">
            <v>0</v>
          </cell>
          <cell r="CB301">
            <v>0</v>
          </cell>
          <cell r="CC301">
            <v>161746.91</v>
          </cell>
          <cell r="CD301">
            <v>12264.12</v>
          </cell>
          <cell r="CE301">
            <v>0</v>
          </cell>
          <cell r="CF301">
            <v>0</v>
          </cell>
          <cell r="CG301">
            <v>12264.12</v>
          </cell>
          <cell r="CH301">
            <v>503753.08</v>
          </cell>
          <cell r="CI301">
            <v>0</v>
          </cell>
          <cell r="CJ301">
            <v>0</v>
          </cell>
          <cell r="CK301">
            <v>503753.08</v>
          </cell>
          <cell r="CL301">
            <v>88322.03</v>
          </cell>
          <cell r="CM301">
            <v>0</v>
          </cell>
          <cell r="CN301">
            <v>0</v>
          </cell>
          <cell r="CO301">
            <v>88322.03</v>
          </cell>
          <cell r="CP301">
            <v>4390.49</v>
          </cell>
          <cell r="CQ301">
            <v>0</v>
          </cell>
          <cell r="CR301">
            <v>0</v>
          </cell>
          <cell r="CS301">
            <v>4390.49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868.4</v>
          </cell>
          <cell r="CY301">
            <v>0</v>
          </cell>
          <cell r="CZ301">
            <v>0</v>
          </cell>
          <cell r="DA301">
            <v>868.4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3395.7</v>
          </cell>
          <cell r="DG301">
            <v>0</v>
          </cell>
          <cell r="DH301">
            <v>0</v>
          </cell>
          <cell r="DI301">
            <v>3395.7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</row>
        <row r="302">
          <cell r="A302">
            <v>296</v>
          </cell>
          <cell r="B302" t="str">
            <v>E3735</v>
          </cell>
          <cell r="C302" t="str">
            <v>SD</v>
          </cell>
          <cell r="D302" t="str">
            <v>WM</v>
          </cell>
          <cell r="E302" t="str">
            <v>Warwick</v>
          </cell>
          <cell r="F302">
            <v>70921.42</v>
          </cell>
          <cell r="G302">
            <v>0</v>
          </cell>
          <cell r="H302">
            <v>0</v>
          </cell>
          <cell r="I302">
            <v>70921.42</v>
          </cell>
          <cell r="J302">
            <v>-60880.47</v>
          </cell>
          <cell r="K302">
            <v>0</v>
          </cell>
          <cell r="L302">
            <v>0</v>
          </cell>
          <cell r="M302">
            <v>-60880.47</v>
          </cell>
          <cell r="N302">
            <v>21574.66</v>
          </cell>
          <cell r="O302">
            <v>0</v>
          </cell>
          <cell r="P302">
            <v>0</v>
          </cell>
          <cell r="Q302">
            <v>21574.66</v>
          </cell>
          <cell r="R302">
            <v>166386.42000000001</v>
          </cell>
          <cell r="S302">
            <v>0</v>
          </cell>
          <cell r="T302">
            <v>0</v>
          </cell>
          <cell r="U302">
            <v>166386.42000000001</v>
          </cell>
          <cell r="V302">
            <v>2624921.86</v>
          </cell>
          <cell r="W302">
            <v>0</v>
          </cell>
          <cell r="X302">
            <v>0</v>
          </cell>
          <cell r="Y302">
            <v>2624921.86</v>
          </cell>
          <cell r="Z302">
            <v>103667.03</v>
          </cell>
          <cell r="AA302">
            <v>0</v>
          </cell>
          <cell r="AB302">
            <v>0</v>
          </cell>
          <cell r="AC302">
            <v>103667.03</v>
          </cell>
          <cell r="AD302">
            <v>1316471.24</v>
          </cell>
          <cell r="AE302">
            <v>0</v>
          </cell>
          <cell r="AF302">
            <v>0</v>
          </cell>
          <cell r="AG302">
            <v>1316471.24</v>
          </cell>
          <cell r="AH302">
            <v>-170.55</v>
          </cell>
          <cell r="AI302">
            <v>0</v>
          </cell>
          <cell r="AJ302">
            <v>0</v>
          </cell>
          <cell r="AK302">
            <v>-170.55</v>
          </cell>
          <cell r="AL302">
            <v>4030595.75</v>
          </cell>
          <cell r="AM302">
            <v>0</v>
          </cell>
          <cell r="AN302">
            <v>0</v>
          </cell>
          <cell r="AO302">
            <v>4030595.75</v>
          </cell>
          <cell r="AP302">
            <v>547745</v>
          </cell>
          <cell r="AQ302">
            <v>0</v>
          </cell>
          <cell r="AR302">
            <v>0</v>
          </cell>
          <cell r="AS302">
            <v>547745</v>
          </cell>
          <cell r="AT302">
            <v>59848.77</v>
          </cell>
          <cell r="AU302">
            <v>0</v>
          </cell>
          <cell r="AV302">
            <v>0</v>
          </cell>
          <cell r="AW302">
            <v>59848.77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9308.15</v>
          </cell>
          <cell r="BC302">
            <v>0</v>
          </cell>
          <cell r="BD302">
            <v>0</v>
          </cell>
          <cell r="BE302">
            <v>9308.15</v>
          </cell>
          <cell r="BF302">
            <v>959.17</v>
          </cell>
          <cell r="BG302">
            <v>0</v>
          </cell>
          <cell r="BH302">
            <v>0</v>
          </cell>
          <cell r="BI302">
            <v>959.17</v>
          </cell>
          <cell r="BJ302">
            <v>56085.74</v>
          </cell>
          <cell r="BK302">
            <v>0</v>
          </cell>
          <cell r="BL302">
            <v>0</v>
          </cell>
          <cell r="BM302">
            <v>56085.74</v>
          </cell>
          <cell r="BN302">
            <v>89441.82</v>
          </cell>
          <cell r="BO302">
            <v>0</v>
          </cell>
          <cell r="BP302">
            <v>0</v>
          </cell>
          <cell r="BQ302">
            <v>89441.82</v>
          </cell>
          <cell r="BR302">
            <v>2884453.95</v>
          </cell>
          <cell r="BS302">
            <v>0</v>
          </cell>
          <cell r="BT302">
            <v>0</v>
          </cell>
          <cell r="BU302">
            <v>2884453.95</v>
          </cell>
          <cell r="BV302">
            <v>35179.03</v>
          </cell>
          <cell r="BW302">
            <v>0</v>
          </cell>
          <cell r="BX302">
            <v>0</v>
          </cell>
          <cell r="BY302">
            <v>35179.03</v>
          </cell>
          <cell r="BZ302">
            <v>6653.94</v>
          </cell>
          <cell r="CA302">
            <v>0</v>
          </cell>
          <cell r="CB302">
            <v>0</v>
          </cell>
          <cell r="CC302">
            <v>6653.94</v>
          </cell>
          <cell r="CD302">
            <v>-1472.48</v>
          </cell>
          <cell r="CE302">
            <v>0</v>
          </cell>
          <cell r="CF302">
            <v>0</v>
          </cell>
          <cell r="CG302">
            <v>-1472.48</v>
          </cell>
          <cell r="CH302">
            <v>91808.29</v>
          </cell>
          <cell r="CI302">
            <v>0</v>
          </cell>
          <cell r="CJ302">
            <v>0</v>
          </cell>
          <cell r="CK302">
            <v>91808.29</v>
          </cell>
          <cell r="CL302">
            <v>2622.93</v>
          </cell>
          <cell r="CM302">
            <v>0</v>
          </cell>
          <cell r="CN302">
            <v>0</v>
          </cell>
          <cell r="CO302">
            <v>2622.93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11107.58</v>
          </cell>
          <cell r="CY302">
            <v>0</v>
          </cell>
          <cell r="CZ302">
            <v>0</v>
          </cell>
          <cell r="DA302">
            <v>11107.58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</row>
        <row r="303">
          <cell r="A303">
            <v>297</v>
          </cell>
          <cell r="B303" t="str">
            <v>E1939</v>
          </cell>
          <cell r="C303" t="str">
            <v>SD</v>
          </cell>
          <cell r="D303" t="str">
            <v>E</v>
          </cell>
          <cell r="E303" t="str">
            <v>Watford</v>
          </cell>
          <cell r="F303">
            <v>425639</v>
          </cell>
          <cell r="G303">
            <v>0</v>
          </cell>
          <cell r="H303">
            <v>0</v>
          </cell>
          <cell r="I303">
            <v>425639</v>
          </cell>
          <cell r="J303">
            <v>-354123</v>
          </cell>
          <cell r="K303">
            <v>0</v>
          </cell>
          <cell r="L303">
            <v>0</v>
          </cell>
          <cell r="M303">
            <v>-354123</v>
          </cell>
          <cell r="N303">
            <v>258088</v>
          </cell>
          <cell r="O303">
            <v>0</v>
          </cell>
          <cell r="P303">
            <v>0</v>
          </cell>
          <cell r="Q303">
            <v>258088</v>
          </cell>
          <cell r="R303">
            <v>3268388</v>
          </cell>
          <cell r="S303">
            <v>0</v>
          </cell>
          <cell r="T303">
            <v>0</v>
          </cell>
          <cell r="U303">
            <v>3268388</v>
          </cell>
          <cell r="V303">
            <v>1256651</v>
          </cell>
          <cell r="W303">
            <v>0</v>
          </cell>
          <cell r="X303">
            <v>0</v>
          </cell>
          <cell r="Y303">
            <v>1256651</v>
          </cell>
          <cell r="Z303">
            <v>64689</v>
          </cell>
          <cell r="AA303">
            <v>0</v>
          </cell>
          <cell r="AB303">
            <v>0</v>
          </cell>
          <cell r="AC303">
            <v>64689</v>
          </cell>
          <cell r="AD303">
            <v>1317531</v>
          </cell>
          <cell r="AE303">
            <v>0</v>
          </cell>
          <cell r="AF303">
            <v>0</v>
          </cell>
          <cell r="AG303">
            <v>1317531</v>
          </cell>
          <cell r="AH303">
            <v>-71177</v>
          </cell>
          <cell r="AI303">
            <v>0</v>
          </cell>
          <cell r="AJ303">
            <v>0</v>
          </cell>
          <cell r="AK303">
            <v>-71177</v>
          </cell>
          <cell r="AL303">
            <v>2418447</v>
          </cell>
          <cell r="AM303">
            <v>0</v>
          </cell>
          <cell r="AN303">
            <v>0</v>
          </cell>
          <cell r="AO303">
            <v>2418447</v>
          </cell>
          <cell r="AP303">
            <v>-526</v>
          </cell>
          <cell r="AQ303">
            <v>0</v>
          </cell>
          <cell r="AR303">
            <v>0</v>
          </cell>
          <cell r="AS303">
            <v>-526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49113</v>
          </cell>
          <cell r="BK303">
            <v>0</v>
          </cell>
          <cell r="BL303">
            <v>0</v>
          </cell>
          <cell r="BM303">
            <v>49113</v>
          </cell>
          <cell r="BN303">
            <v>75359</v>
          </cell>
          <cell r="BO303">
            <v>0</v>
          </cell>
          <cell r="BP303">
            <v>0</v>
          </cell>
          <cell r="BQ303">
            <v>75359</v>
          </cell>
          <cell r="BR303">
            <v>2905737</v>
          </cell>
          <cell r="BS303">
            <v>0</v>
          </cell>
          <cell r="BT303">
            <v>0</v>
          </cell>
          <cell r="BU303">
            <v>2905737</v>
          </cell>
          <cell r="BV303">
            <v>34603</v>
          </cell>
          <cell r="BW303">
            <v>0</v>
          </cell>
          <cell r="BX303">
            <v>0</v>
          </cell>
          <cell r="BY303">
            <v>34603</v>
          </cell>
          <cell r="BZ303">
            <v>266689</v>
          </cell>
          <cell r="CA303">
            <v>0</v>
          </cell>
          <cell r="CB303">
            <v>0</v>
          </cell>
          <cell r="CC303">
            <v>266689</v>
          </cell>
          <cell r="CD303">
            <v>710</v>
          </cell>
          <cell r="CE303">
            <v>0</v>
          </cell>
          <cell r="CF303">
            <v>0</v>
          </cell>
          <cell r="CG303">
            <v>710</v>
          </cell>
          <cell r="CH303">
            <v>28577</v>
          </cell>
          <cell r="CI303">
            <v>0</v>
          </cell>
          <cell r="CJ303">
            <v>0</v>
          </cell>
          <cell r="CK303">
            <v>28577</v>
          </cell>
          <cell r="CL303">
            <v>-7765</v>
          </cell>
          <cell r="CM303">
            <v>0</v>
          </cell>
          <cell r="CN303">
            <v>0</v>
          </cell>
          <cell r="CO303">
            <v>-7765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</row>
        <row r="304">
          <cell r="A304">
            <v>298</v>
          </cell>
          <cell r="B304" t="str">
            <v>E3537</v>
          </cell>
          <cell r="C304" t="str">
            <v>SD</v>
          </cell>
          <cell r="D304" t="str">
            <v>E</v>
          </cell>
          <cell r="E304" t="str">
            <v>Waveney</v>
          </cell>
          <cell r="F304">
            <v>121104.58</v>
          </cell>
          <cell r="G304">
            <v>0</v>
          </cell>
          <cell r="H304">
            <v>0</v>
          </cell>
          <cell r="I304">
            <v>121104.58</v>
          </cell>
          <cell r="J304">
            <v>-168922.47</v>
          </cell>
          <cell r="K304">
            <v>0</v>
          </cell>
          <cell r="L304">
            <v>0</v>
          </cell>
          <cell r="M304">
            <v>-168922.47</v>
          </cell>
          <cell r="N304">
            <v>68570.710000000006</v>
          </cell>
          <cell r="O304">
            <v>0</v>
          </cell>
          <cell r="P304">
            <v>0</v>
          </cell>
          <cell r="Q304">
            <v>68570.710000000006</v>
          </cell>
          <cell r="R304">
            <v>59222.6</v>
          </cell>
          <cell r="S304">
            <v>0</v>
          </cell>
          <cell r="T304">
            <v>0</v>
          </cell>
          <cell r="U304">
            <v>59222.6</v>
          </cell>
          <cell r="V304">
            <v>2984968.24</v>
          </cell>
          <cell r="W304">
            <v>0</v>
          </cell>
          <cell r="X304">
            <v>0</v>
          </cell>
          <cell r="Y304">
            <v>2984968.24</v>
          </cell>
          <cell r="Z304">
            <v>94627.82</v>
          </cell>
          <cell r="AA304">
            <v>0</v>
          </cell>
          <cell r="AB304">
            <v>0</v>
          </cell>
          <cell r="AC304">
            <v>94627.82</v>
          </cell>
          <cell r="AD304">
            <v>498624.3</v>
          </cell>
          <cell r="AE304">
            <v>0</v>
          </cell>
          <cell r="AF304">
            <v>0</v>
          </cell>
          <cell r="AG304">
            <v>498624.3</v>
          </cell>
          <cell r="AH304">
            <v>-4348.66</v>
          </cell>
          <cell r="AI304">
            <v>0</v>
          </cell>
          <cell r="AJ304">
            <v>0</v>
          </cell>
          <cell r="AK304">
            <v>-4348.66</v>
          </cell>
          <cell r="AL304">
            <v>1848389.36</v>
          </cell>
          <cell r="AM304">
            <v>0</v>
          </cell>
          <cell r="AN304">
            <v>0</v>
          </cell>
          <cell r="AO304">
            <v>1848389.36</v>
          </cell>
          <cell r="AP304">
            <v>90184.2</v>
          </cell>
          <cell r="AQ304">
            <v>0</v>
          </cell>
          <cell r="AR304">
            <v>0</v>
          </cell>
          <cell r="AS304">
            <v>90184.2</v>
          </cell>
          <cell r="AT304">
            <v>61908.2</v>
          </cell>
          <cell r="AU304">
            <v>0</v>
          </cell>
          <cell r="AV304">
            <v>0</v>
          </cell>
          <cell r="AW304">
            <v>61908.2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18845.650000000001</v>
          </cell>
          <cell r="BC304">
            <v>0</v>
          </cell>
          <cell r="BD304">
            <v>0</v>
          </cell>
          <cell r="BE304">
            <v>18845.650000000001</v>
          </cell>
          <cell r="BF304">
            <v>-1850.85</v>
          </cell>
          <cell r="BG304">
            <v>0</v>
          </cell>
          <cell r="BH304">
            <v>0</v>
          </cell>
          <cell r="BI304">
            <v>-1850.85</v>
          </cell>
          <cell r="BJ304">
            <v>8396.18</v>
          </cell>
          <cell r="BK304">
            <v>0</v>
          </cell>
          <cell r="BL304">
            <v>0</v>
          </cell>
          <cell r="BM304">
            <v>8396.18</v>
          </cell>
          <cell r="BN304">
            <v>13350.35</v>
          </cell>
          <cell r="BO304">
            <v>0</v>
          </cell>
          <cell r="BP304">
            <v>0</v>
          </cell>
          <cell r="BQ304">
            <v>13350.35</v>
          </cell>
          <cell r="BR304">
            <v>864230.41</v>
          </cell>
          <cell r="BS304">
            <v>0</v>
          </cell>
          <cell r="BT304">
            <v>0</v>
          </cell>
          <cell r="BU304">
            <v>864230.41</v>
          </cell>
          <cell r="BV304">
            <v>-41143.269999999997</v>
          </cell>
          <cell r="BW304">
            <v>0</v>
          </cell>
          <cell r="BX304">
            <v>0</v>
          </cell>
          <cell r="BY304">
            <v>-41143.269999999997</v>
          </cell>
          <cell r="BZ304">
            <v>84254.399999999994</v>
          </cell>
          <cell r="CA304">
            <v>0</v>
          </cell>
          <cell r="CB304">
            <v>0</v>
          </cell>
          <cell r="CC304">
            <v>84254.399999999994</v>
          </cell>
          <cell r="CD304">
            <v>24684.03</v>
          </cell>
          <cell r="CE304">
            <v>0</v>
          </cell>
          <cell r="CF304">
            <v>0</v>
          </cell>
          <cell r="CG304">
            <v>24684.03</v>
          </cell>
          <cell r="CH304">
            <v>3465</v>
          </cell>
          <cell r="CI304">
            <v>0</v>
          </cell>
          <cell r="CJ304">
            <v>0</v>
          </cell>
          <cell r="CK304">
            <v>3465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258.11</v>
          </cell>
          <cell r="CQ304">
            <v>0</v>
          </cell>
          <cell r="CR304">
            <v>0</v>
          </cell>
          <cell r="CS304">
            <v>258.11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11280.44</v>
          </cell>
          <cell r="CY304">
            <v>0</v>
          </cell>
          <cell r="CZ304">
            <v>0</v>
          </cell>
          <cell r="DA304">
            <v>11280.44</v>
          </cell>
          <cell r="DB304">
            <v>824.4</v>
          </cell>
          <cell r="DC304">
            <v>0</v>
          </cell>
          <cell r="DD304">
            <v>0</v>
          </cell>
          <cell r="DE304">
            <v>824.4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</row>
        <row r="305">
          <cell r="A305">
            <v>299</v>
          </cell>
          <cell r="B305" t="str">
            <v>E3640</v>
          </cell>
          <cell r="C305" t="str">
            <v>SD</v>
          </cell>
          <cell r="D305" t="str">
            <v>SE</v>
          </cell>
          <cell r="E305" t="str">
            <v>Waverley</v>
          </cell>
          <cell r="F305">
            <v>68260</v>
          </cell>
          <cell r="G305">
            <v>0</v>
          </cell>
          <cell r="H305">
            <v>0</v>
          </cell>
          <cell r="I305">
            <v>68260</v>
          </cell>
          <cell r="J305">
            <v>-36610</v>
          </cell>
          <cell r="K305">
            <v>0</v>
          </cell>
          <cell r="L305">
            <v>0</v>
          </cell>
          <cell r="M305">
            <v>-36610</v>
          </cell>
          <cell r="N305">
            <v>24447</v>
          </cell>
          <cell r="O305">
            <v>0</v>
          </cell>
          <cell r="P305">
            <v>0</v>
          </cell>
          <cell r="Q305">
            <v>24447</v>
          </cell>
          <cell r="R305">
            <v>37883</v>
          </cell>
          <cell r="S305">
            <v>0</v>
          </cell>
          <cell r="T305">
            <v>0</v>
          </cell>
          <cell r="U305">
            <v>37883</v>
          </cell>
          <cell r="V305">
            <v>1980729</v>
          </cell>
          <cell r="W305">
            <v>0</v>
          </cell>
          <cell r="X305">
            <v>0</v>
          </cell>
          <cell r="Y305">
            <v>1980729</v>
          </cell>
          <cell r="Z305">
            <v>175596</v>
          </cell>
          <cell r="AA305">
            <v>0</v>
          </cell>
          <cell r="AB305">
            <v>0</v>
          </cell>
          <cell r="AC305">
            <v>175596</v>
          </cell>
          <cell r="AD305">
            <v>716137</v>
          </cell>
          <cell r="AE305">
            <v>0</v>
          </cell>
          <cell r="AF305">
            <v>0</v>
          </cell>
          <cell r="AG305">
            <v>716137</v>
          </cell>
          <cell r="AH305">
            <v>-10078</v>
          </cell>
          <cell r="AI305">
            <v>0</v>
          </cell>
          <cell r="AJ305">
            <v>0</v>
          </cell>
          <cell r="AK305">
            <v>-10078</v>
          </cell>
          <cell r="AL305">
            <v>4698268</v>
          </cell>
          <cell r="AM305">
            <v>0</v>
          </cell>
          <cell r="AN305">
            <v>0</v>
          </cell>
          <cell r="AO305">
            <v>4698268</v>
          </cell>
          <cell r="AP305">
            <v>-71451</v>
          </cell>
          <cell r="AQ305">
            <v>0</v>
          </cell>
          <cell r="AR305">
            <v>0</v>
          </cell>
          <cell r="AS305">
            <v>-71451</v>
          </cell>
          <cell r="AT305">
            <v>42536</v>
          </cell>
          <cell r="AU305">
            <v>0</v>
          </cell>
          <cell r="AV305">
            <v>0</v>
          </cell>
          <cell r="AW305">
            <v>42536</v>
          </cell>
          <cell r="AX305">
            <v>9320</v>
          </cell>
          <cell r="AY305">
            <v>0</v>
          </cell>
          <cell r="AZ305">
            <v>0</v>
          </cell>
          <cell r="BA305">
            <v>9320</v>
          </cell>
          <cell r="BB305">
            <v>6703</v>
          </cell>
          <cell r="BC305">
            <v>0</v>
          </cell>
          <cell r="BD305">
            <v>0</v>
          </cell>
          <cell r="BE305">
            <v>6703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-1686</v>
          </cell>
          <cell r="BO305">
            <v>0</v>
          </cell>
          <cell r="BP305">
            <v>0</v>
          </cell>
          <cell r="BQ305">
            <v>-1686</v>
          </cell>
          <cell r="BR305">
            <v>1141941</v>
          </cell>
          <cell r="BS305">
            <v>0</v>
          </cell>
          <cell r="BT305">
            <v>0</v>
          </cell>
          <cell r="BU305">
            <v>1141941</v>
          </cell>
          <cell r="BV305">
            <v>2441</v>
          </cell>
          <cell r="BW305">
            <v>0</v>
          </cell>
          <cell r="BX305">
            <v>0</v>
          </cell>
          <cell r="BY305">
            <v>2441</v>
          </cell>
          <cell r="BZ305">
            <v>61732</v>
          </cell>
          <cell r="CA305">
            <v>0</v>
          </cell>
          <cell r="CB305">
            <v>0</v>
          </cell>
          <cell r="CC305">
            <v>61732</v>
          </cell>
          <cell r="CD305">
            <v>261</v>
          </cell>
          <cell r="CE305">
            <v>0</v>
          </cell>
          <cell r="CF305">
            <v>0</v>
          </cell>
          <cell r="CG305">
            <v>261</v>
          </cell>
          <cell r="CH305">
            <v>370567</v>
          </cell>
          <cell r="CI305">
            <v>0</v>
          </cell>
          <cell r="CJ305">
            <v>0</v>
          </cell>
          <cell r="CK305">
            <v>370567</v>
          </cell>
          <cell r="CL305">
            <v>-4776</v>
          </cell>
          <cell r="CM305">
            <v>0</v>
          </cell>
          <cell r="CN305">
            <v>0</v>
          </cell>
          <cell r="CO305">
            <v>-4776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4022</v>
          </cell>
          <cell r="CY305">
            <v>0</v>
          </cell>
          <cell r="CZ305">
            <v>0</v>
          </cell>
          <cell r="DA305">
            <v>4022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6394</v>
          </cell>
          <cell r="DG305">
            <v>0</v>
          </cell>
          <cell r="DH305">
            <v>0</v>
          </cell>
          <cell r="DI305">
            <v>6394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730</v>
          </cell>
          <cell r="DY305">
            <v>0</v>
          </cell>
          <cell r="DZ305">
            <v>0</v>
          </cell>
          <cell r="EA305">
            <v>730</v>
          </cell>
          <cell r="EB305">
            <v>30019</v>
          </cell>
          <cell r="EC305">
            <v>0</v>
          </cell>
          <cell r="ED305">
            <v>0</v>
          </cell>
          <cell r="EE305">
            <v>30019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</row>
        <row r="306">
          <cell r="A306">
            <v>300</v>
          </cell>
          <cell r="B306" t="str">
            <v>E1437</v>
          </cell>
          <cell r="C306" t="str">
            <v>SD</v>
          </cell>
          <cell r="D306" t="str">
            <v>SE</v>
          </cell>
          <cell r="E306" t="str">
            <v>Wealden</v>
          </cell>
          <cell r="F306">
            <v>196273</v>
          </cell>
          <cell r="G306">
            <v>0</v>
          </cell>
          <cell r="H306">
            <v>0</v>
          </cell>
          <cell r="I306">
            <v>196273</v>
          </cell>
          <cell r="J306">
            <v>-143614</v>
          </cell>
          <cell r="K306">
            <v>0</v>
          </cell>
          <cell r="L306">
            <v>0</v>
          </cell>
          <cell r="M306">
            <v>-143614</v>
          </cell>
          <cell r="N306">
            <v>38110</v>
          </cell>
          <cell r="O306">
            <v>0</v>
          </cell>
          <cell r="P306">
            <v>0</v>
          </cell>
          <cell r="Q306">
            <v>38110</v>
          </cell>
          <cell r="R306">
            <v>33873</v>
          </cell>
          <cell r="S306">
            <v>0</v>
          </cell>
          <cell r="T306">
            <v>0</v>
          </cell>
          <cell r="U306">
            <v>33873</v>
          </cell>
          <cell r="V306">
            <v>4230888</v>
          </cell>
          <cell r="W306">
            <v>0</v>
          </cell>
          <cell r="X306">
            <v>0</v>
          </cell>
          <cell r="Y306">
            <v>4230888</v>
          </cell>
          <cell r="Z306">
            <v>114304</v>
          </cell>
          <cell r="AA306">
            <v>0</v>
          </cell>
          <cell r="AB306">
            <v>0</v>
          </cell>
          <cell r="AC306">
            <v>114304</v>
          </cell>
          <cell r="AD306">
            <v>505360</v>
          </cell>
          <cell r="AE306">
            <v>0</v>
          </cell>
          <cell r="AF306">
            <v>0</v>
          </cell>
          <cell r="AG306">
            <v>505360</v>
          </cell>
          <cell r="AH306">
            <v>-12517</v>
          </cell>
          <cell r="AI306">
            <v>0</v>
          </cell>
          <cell r="AJ306">
            <v>0</v>
          </cell>
          <cell r="AK306">
            <v>-12517</v>
          </cell>
          <cell r="AL306">
            <v>2455654</v>
          </cell>
          <cell r="AM306">
            <v>0</v>
          </cell>
          <cell r="AN306">
            <v>0</v>
          </cell>
          <cell r="AO306">
            <v>2455654</v>
          </cell>
          <cell r="AP306">
            <v>-27332.93</v>
          </cell>
          <cell r="AQ306">
            <v>0</v>
          </cell>
          <cell r="AR306">
            <v>0</v>
          </cell>
          <cell r="AS306">
            <v>-27332.93</v>
          </cell>
          <cell r="AT306">
            <v>126889</v>
          </cell>
          <cell r="AU306">
            <v>0</v>
          </cell>
          <cell r="AV306">
            <v>0</v>
          </cell>
          <cell r="AW306">
            <v>126889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72014</v>
          </cell>
          <cell r="BC306">
            <v>0</v>
          </cell>
          <cell r="BD306">
            <v>0</v>
          </cell>
          <cell r="BE306">
            <v>72014</v>
          </cell>
          <cell r="BF306">
            <v>689</v>
          </cell>
          <cell r="BG306">
            <v>0</v>
          </cell>
          <cell r="BH306">
            <v>0</v>
          </cell>
          <cell r="BI306">
            <v>689</v>
          </cell>
          <cell r="BJ306">
            <v>19077</v>
          </cell>
          <cell r="BK306">
            <v>0</v>
          </cell>
          <cell r="BL306">
            <v>0</v>
          </cell>
          <cell r="BM306">
            <v>19077</v>
          </cell>
          <cell r="BN306">
            <v>11083</v>
          </cell>
          <cell r="BO306">
            <v>0</v>
          </cell>
          <cell r="BP306">
            <v>0</v>
          </cell>
          <cell r="BQ306">
            <v>11083</v>
          </cell>
          <cell r="BR306">
            <v>1044393</v>
          </cell>
          <cell r="BS306">
            <v>0</v>
          </cell>
          <cell r="BT306">
            <v>0</v>
          </cell>
          <cell r="BU306">
            <v>1044393</v>
          </cell>
          <cell r="BV306">
            <v>-11377</v>
          </cell>
          <cell r="BW306">
            <v>0</v>
          </cell>
          <cell r="BX306">
            <v>0</v>
          </cell>
          <cell r="BY306">
            <v>-11377</v>
          </cell>
          <cell r="BZ306">
            <v>75673</v>
          </cell>
          <cell r="CA306">
            <v>0</v>
          </cell>
          <cell r="CB306">
            <v>0</v>
          </cell>
          <cell r="CC306">
            <v>75673</v>
          </cell>
          <cell r="CD306">
            <v>498</v>
          </cell>
          <cell r="CE306">
            <v>0</v>
          </cell>
          <cell r="CF306">
            <v>0</v>
          </cell>
          <cell r="CG306">
            <v>498</v>
          </cell>
          <cell r="CH306">
            <v>21774</v>
          </cell>
          <cell r="CI306">
            <v>0</v>
          </cell>
          <cell r="CJ306">
            <v>0</v>
          </cell>
          <cell r="CK306">
            <v>21774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15888</v>
          </cell>
          <cell r="CY306">
            <v>0</v>
          </cell>
          <cell r="CZ306">
            <v>0</v>
          </cell>
          <cell r="DA306">
            <v>15888</v>
          </cell>
          <cell r="DB306">
            <v>648</v>
          </cell>
          <cell r="DC306">
            <v>0</v>
          </cell>
          <cell r="DD306">
            <v>0</v>
          </cell>
          <cell r="DE306">
            <v>648</v>
          </cell>
          <cell r="DF306">
            <v>20038</v>
          </cell>
          <cell r="DG306">
            <v>0</v>
          </cell>
          <cell r="DH306">
            <v>0</v>
          </cell>
          <cell r="DI306">
            <v>20038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3775</v>
          </cell>
          <cell r="EC306">
            <v>0</v>
          </cell>
          <cell r="ED306">
            <v>0</v>
          </cell>
          <cell r="EE306">
            <v>3775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</row>
        <row r="307">
          <cell r="A307">
            <v>301</v>
          </cell>
          <cell r="B307" t="str">
            <v>E2837</v>
          </cell>
          <cell r="C307" t="str">
            <v>SD</v>
          </cell>
          <cell r="D307" t="str">
            <v>EM</v>
          </cell>
          <cell r="E307" t="str">
            <v>Wellingborough</v>
          </cell>
          <cell r="F307">
            <v>28791.8</v>
          </cell>
          <cell r="G307">
            <v>0</v>
          </cell>
          <cell r="H307">
            <v>0</v>
          </cell>
          <cell r="I307">
            <v>28791.8</v>
          </cell>
          <cell r="J307">
            <v>-20141.330000000002</v>
          </cell>
          <cell r="K307">
            <v>0</v>
          </cell>
          <cell r="L307">
            <v>0</v>
          </cell>
          <cell r="M307">
            <v>-20141.330000000002</v>
          </cell>
          <cell r="N307">
            <v>16797.12</v>
          </cell>
          <cell r="O307">
            <v>0</v>
          </cell>
          <cell r="P307">
            <v>0</v>
          </cell>
          <cell r="Q307">
            <v>16797.12</v>
          </cell>
          <cell r="R307">
            <v>89103.07</v>
          </cell>
          <cell r="S307">
            <v>0</v>
          </cell>
          <cell r="T307">
            <v>0</v>
          </cell>
          <cell r="U307">
            <v>89103.07</v>
          </cell>
          <cell r="V307">
            <v>1832656.68</v>
          </cell>
          <cell r="W307">
            <v>0</v>
          </cell>
          <cell r="X307">
            <v>0</v>
          </cell>
          <cell r="Y307">
            <v>1832656.68</v>
          </cell>
          <cell r="Z307">
            <v>15793.68</v>
          </cell>
          <cell r="AA307">
            <v>0</v>
          </cell>
          <cell r="AB307">
            <v>0</v>
          </cell>
          <cell r="AC307">
            <v>15793.68</v>
          </cell>
          <cell r="AD307">
            <v>555115.30000000005</v>
          </cell>
          <cell r="AE307">
            <v>0</v>
          </cell>
          <cell r="AF307">
            <v>0</v>
          </cell>
          <cell r="AG307">
            <v>555115.30000000005</v>
          </cell>
          <cell r="AH307">
            <v>-7874.12</v>
          </cell>
          <cell r="AI307">
            <v>0</v>
          </cell>
          <cell r="AJ307">
            <v>0</v>
          </cell>
          <cell r="AK307">
            <v>-7874.12</v>
          </cell>
          <cell r="AL307">
            <v>1628086.8</v>
          </cell>
          <cell r="AM307">
            <v>0</v>
          </cell>
          <cell r="AN307">
            <v>0</v>
          </cell>
          <cell r="AO307">
            <v>1628086.8</v>
          </cell>
          <cell r="AP307">
            <v>-16741.09</v>
          </cell>
          <cell r="AQ307">
            <v>0</v>
          </cell>
          <cell r="AR307">
            <v>0</v>
          </cell>
          <cell r="AS307">
            <v>-16741.09</v>
          </cell>
          <cell r="AT307">
            <v>2901.36</v>
          </cell>
          <cell r="AU307">
            <v>0</v>
          </cell>
          <cell r="AV307">
            <v>0</v>
          </cell>
          <cell r="AW307">
            <v>2901.36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2413.87</v>
          </cell>
          <cell r="BC307">
            <v>0</v>
          </cell>
          <cell r="BD307">
            <v>0</v>
          </cell>
          <cell r="BE307">
            <v>2413.87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121110.11</v>
          </cell>
          <cell r="BK307">
            <v>0</v>
          </cell>
          <cell r="BL307">
            <v>0</v>
          </cell>
          <cell r="BM307">
            <v>121110.11</v>
          </cell>
          <cell r="BN307">
            <v>-4998.92</v>
          </cell>
          <cell r="BO307">
            <v>0</v>
          </cell>
          <cell r="BP307">
            <v>0</v>
          </cell>
          <cell r="BQ307">
            <v>-4998.92</v>
          </cell>
          <cell r="BR307">
            <v>1355249.73</v>
          </cell>
          <cell r="BS307">
            <v>0</v>
          </cell>
          <cell r="BT307">
            <v>0</v>
          </cell>
          <cell r="BU307">
            <v>1355249.73</v>
          </cell>
          <cell r="BV307">
            <v>147192.54999999999</v>
          </cell>
          <cell r="BW307">
            <v>0</v>
          </cell>
          <cell r="BX307">
            <v>0</v>
          </cell>
          <cell r="BY307">
            <v>147192.54999999999</v>
          </cell>
          <cell r="BZ307">
            <v>89598.79</v>
          </cell>
          <cell r="CA307">
            <v>0</v>
          </cell>
          <cell r="CB307">
            <v>0</v>
          </cell>
          <cell r="CC307">
            <v>89598.79</v>
          </cell>
          <cell r="CD307">
            <v>192.54</v>
          </cell>
          <cell r="CE307">
            <v>0</v>
          </cell>
          <cell r="CF307">
            <v>0</v>
          </cell>
          <cell r="CG307">
            <v>192.54</v>
          </cell>
          <cell r="CH307">
            <v>11238.52</v>
          </cell>
          <cell r="CI307">
            <v>0</v>
          </cell>
          <cell r="CJ307">
            <v>0</v>
          </cell>
          <cell r="CK307">
            <v>11238.52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</row>
        <row r="308">
          <cell r="A308">
            <v>302</v>
          </cell>
          <cell r="B308" t="str">
            <v>E1940</v>
          </cell>
          <cell r="C308" t="str">
            <v>SD</v>
          </cell>
          <cell r="D308" t="str">
            <v>E</v>
          </cell>
          <cell r="E308" t="str">
            <v>Welwyn Hatfield</v>
          </cell>
          <cell r="F308">
            <v>98485.29</v>
          </cell>
          <cell r="G308">
            <v>0</v>
          </cell>
          <cell r="H308">
            <v>0</v>
          </cell>
          <cell r="I308">
            <v>98485.29</v>
          </cell>
          <cell r="J308">
            <v>1572.64</v>
          </cell>
          <cell r="K308">
            <v>0</v>
          </cell>
          <cell r="L308">
            <v>0</v>
          </cell>
          <cell r="M308">
            <v>1572.64</v>
          </cell>
          <cell r="N308">
            <v>62083.64</v>
          </cell>
          <cell r="O308">
            <v>0</v>
          </cell>
          <cell r="P308">
            <v>0</v>
          </cell>
          <cell r="Q308">
            <v>62083.64</v>
          </cell>
          <cell r="R308">
            <v>280573.81</v>
          </cell>
          <cell r="S308">
            <v>0</v>
          </cell>
          <cell r="T308">
            <v>0</v>
          </cell>
          <cell r="U308">
            <v>280573.81</v>
          </cell>
          <cell r="V308">
            <v>1168968.78</v>
          </cell>
          <cell r="W308">
            <v>0</v>
          </cell>
          <cell r="X308">
            <v>0</v>
          </cell>
          <cell r="Y308">
            <v>1168968.78</v>
          </cell>
          <cell r="Z308">
            <v>31542.52</v>
          </cell>
          <cell r="AA308">
            <v>0</v>
          </cell>
          <cell r="AB308">
            <v>0</v>
          </cell>
          <cell r="AC308">
            <v>31542.52</v>
          </cell>
          <cell r="AD308">
            <v>1183428.05</v>
          </cell>
          <cell r="AE308">
            <v>0</v>
          </cell>
          <cell r="AF308">
            <v>0</v>
          </cell>
          <cell r="AG308">
            <v>1183428.05</v>
          </cell>
          <cell r="AH308">
            <v>-19688.2</v>
          </cell>
          <cell r="AI308">
            <v>0</v>
          </cell>
          <cell r="AJ308">
            <v>0</v>
          </cell>
          <cell r="AK308">
            <v>-19688.2</v>
          </cell>
          <cell r="AL308">
            <v>5438860.2000000002</v>
          </cell>
          <cell r="AM308">
            <v>0</v>
          </cell>
          <cell r="AN308">
            <v>0</v>
          </cell>
          <cell r="AO308">
            <v>5438860.2000000002</v>
          </cell>
          <cell r="AP308">
            <v>-484519.99</v>
          </cell>
          <cell r="AQ308">
            <v>0</v>
          </cell>
          <cell r="AR308">
            <v>0</v>
          </cell>
          <cell r="AS308">
            <v>-484519.99</v>
          </cell>
          <cell r="AT308">
            <v>43426.2</v>
          </cell>
          <cell r="AU308">
            <v>0</v>
          </cell>
          <cell r="AV308">
            <v>0</v>
          </cell>
          <cell r="AW308">
            <v>43426.2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-2316</v>
          </cell>
          <cell r="BG308">
            <v>0</v>
          </cell>
          <cell r="BH308">
            <v>0</v>
          </cell>
          <cell r="BI308">
            <v>-2316</v>
          </cell>
          <cell r="BJ308">
            <v>232798.85</v>
          </cell>
          <cell r="BK308">
            <v>0</v>
          </cell>
          <cell r="BL308">
            <v>0</v>
          </cell>
          <cell r="BM308">
            <v>232798.85</v>
          </cell>
          <cell r="BN308">
            <v>-113334.35</v>
          </cell>
          <cell r="BO308">
            <v>0</v>
          </cell>
          <cell r="BP308">
            <v>0</v>
          </cell>
          <cell r="BQ308">
            <v>-113334.35</v>
          </cell>
          <cell r="BR308">
            <v>1846969.94</v>
          </cell>
          <cell r="BS308">
            <v>0</v>
          </cell>
          <cell r="BT308">
            <v>0</v>
          </cell>
          <cell r="BU308">
            <v>1846969.94</v>
          </cell>
          <cell r="BV308">
            <v>32158.36</v>
          </cell>
          <cell r="BW308">
            <v>0</v>
          </cell>
          <cell r="BX308">
            <v>0</v>
          </cell>
          <cell r="BY308">
            <v>32158.36</v>
          </cell>
          <cell r="BZ308">
            <v>235686.87</v>
          </cell>
          <cell r="CA308">
            <v>0</v>
          </cell>
          <cell r="CB308">
            <v>0</v>
          </cell>
          <cell r="CC308">
            <v>235686.87</v>
          </cell>
          <cell r="CD308">
            <v>427.88</v>
          </cell>
          <cell r="CE308">
            <v>0</v>
          </cell>
          <cell r="CF308">
            <v>0</v>
          </cell>
          <cell r="CG308">
            <v>427.88</v>
          </cell>
          <cell r="CH308">
            <v>49198.16</v>
          </cell>
          <cell r="CI308">
            <v>0</v>
          </cell>
          <cell r="CJ308">
            <v>0</v>
          </cell>
          <cell r="CK308">
            <v>49198.16</v>
          </cell>
          <cell r="CL308">
            <v>4840.37</v>
          </cell>
          <cell r="CM308">
            <v>0</v>
          </cell>
          <cell r="CN308">
            <v>0</v>
          </cell>
          <cell r="CO308">
            <v>4840.37</v>
          </cell>
          <cell r="CP308">
            <v>5516.59</v>
          </cell>
          <cell r="CQ308">
            <v>0</v>
          </cell>
          <cell r="CR308">
            <v>0</v>
          </cell>
          <cell r="CS308">
            <v>5516.59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</row>
        <row r="309">
          <cell r="A309">
            <v>303</v>
          </cell>
          <cell r="B309" t="str">
            <v>E0302</v>
          </cell>
          <cell r="C309" t="str">
            <v>UA</v>
          </cell>
          <cell r="D309" t="str">
            <v>SE</v>
          </cell>
          <cell r="E309" t="str">
            <v>West Berkshire UA</v>
          </cell>
          <cell r="F309">
            <v>208668</v>
          </cell>
          <cell r="G309">
            <v>0</v>
          </cell>
          <cell r="H309">
            <v>0</v>
          </cell>
          <cell r="I309">
            <v>208668</v>
          </cell>
          <cell r="J309">
            <v>-87978</v>
          </cell>
          <cell r="K309">
            <v>0</v>
          </cell>
          <cell r="L309">
            <v>0</v>
          </cell>
          <cell r="M309">
            <v>-87978</v>
          </cell>
          <cell r="N309">
            <v>96230</v>
          </cell>
          <cell r="O309">
            <v>0</v>
          </cell>
          <cell r="P309">
            <v>0</v>
          </cell>
          <cell r="Q309">
            <v>96230</v>
          </cell>
          <cell r="R309">
            <v>485426</v>
          </cell>
          <cell r="S309">
            <v>0</v>
          </cell>
          <cell r="T309">
            <v>0</v>
          </cell>
          <cell r="U309">
            <v>485426</v>
          </cell>
          <cell r="V309">
            <v>2027677</v>
          </cell>
          <cell r="W309">
            <v>0</v>
          </cell>
          <cell r="X309">
            <v>0</v>
          </cell>
          <cell r="Y309">
            <v>2027677</v>
          </cell>
          <cell r="Z309">
            <v>144135</v>
          </cell>
          <cell r="AA309">
            <v>0</v>
          </cell>
          <cell r="AB309">
            <v>0</v>
          </cell>
          <cell r="AC309">
            <v>144135</v>
          </cell>
          <cell r="AD309">
            <v>1548436</v>
          </cell>
          <cell r="AE309">
            <v>0</v>
          </cell>
          <cell r="AF309">
            <v>0</v>
          </cell>
          <cell r="AG309">
            <v>1548436</v>
          </cell>
          <cell r="AH309">
            <v>9200</v>
          </cell>
          <cell r="AI309">
            <v>0</v>
          </cell>
          <cell r="AJ309">
            <v>0</v>
          </cell>
          <cell r="AK309">
            <v>9200</v>
          </cell>
          <cell r="AL309">
            <v>3756292</v>
          </cell>
          <cell r="AM309">
            <v>0</v>
          </cell>
          <cell r="AN309">
            <v>0</v>
          </cell>
          <cell r="AO309">
            <v>3756292</v>
          </cell>
          <cell r="AP309">
            <v>-5234</v>
          </cell>
          <cell r="AQ309">
            <v>0</v>
          </cell>
          <cell r="AR309">
            <v>0</v>
          </cell>
          <cell r="AS309">
            <v>-5234</v>
          </cell>
          <cell r="AT309">
            <v>35227</v>
          </cell>
          <cell r="AU309">
            <v>0</v>
          </cell>
          <cell r="AV309">
            <v>0</v>
          </cell>
          <cell r="AW309">
            <v>35227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26782</v>
          </cell>
          <cell r="BC309">
            <v>0</v>
          </cell>
          <cell r="BD309">
            <v>0</v>
          </cell>
          <cell r="BE309">
            <v>26782</v>
          </cell>
          <cell r="BF309">
            <v>-572</v>
          </cell>
          <cell r="BG309">
            <v>0</v>
          </cell>
          <cell r="BH309">
            <v>0</v>
          </cell>
          <cell r="BI309">
            <v>-572</v>
          </cell>
          <cell r="BJ309">
            <v>62393</v>
          </cell>
          <cell r="BK309">
            <v>0</v>
          </cell>
          <cell r="BL309">
            <v>0</v>
          </cell>
          <cell r="BM309">
            <v>62393</v>
          </cell>
          <cell r="BN309">
            <v>4702</v>
          </cell>
          <cell r="BO309">
            <v>0</v>
          </cell>
          <cell r="BP309">
            <v>0</v>
          </cell>
          <cell r="BQ309">
            <v>4702</v>
          </cell>
          <cell r="BR309">
            <v>2760676</v>
          </cell>
          <cell r="BS309">
            <v>0</v>
          </cell>
          <cell r="BT309">
            <v>0</v>
          </cell>
          <cell r="BU309">
            <v>2760676</v>
          </cell>
          <cell r="BV309">
            <v>-712783</v>
          </cell>
          <cell r="BW309">
            <v>0</v>
          </cell>
          <cell r="BX309">
            <v>0</v>
          </cell>
          <cell r="BY309">
            <v>-712783</v>
          </cell>
          <cell r="BZ309">
            <v>39380</v>
          </cell>
          <cell r="CA309">
            <v>0</v>
          </cell>
          <cell r="CB309">
            <v>0</v>
          </cell>
          <cell r="CC309">
            <v>39380</v>
          </cell>
          <cell r="CD309">
            <v>-548</v>
          </cell>
          <cell r="CE309">
            <v>0</v>
          </cell>
          <cell r="CF309">
            <v>0</v>
          </cell>
          <cell r="CG309">
            <v>-548</v>
          </cell>
          <cell r="CH309">
            <v>38951</v>
          </cell>
          <cell r="CI309">
            <v>0</v>
          </cell>
          <cell r="CJ309">
            <v>0</v>
          </cell>
          <cell r="CK309">
            <v>38951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10994</v>
          </cell>
          <cell r="CY309">
            <v>0</v>
          </cell>
          <cell r="CZ309">
            <v>0</v>
          </cell>
          <cell r="DA309">
            <v>10994</v>
          </cell>
          <cell r="DB309">
            <v>-572</v>
          </cell>
          <cell r="DC309">
            <v>0</v>
          </cell>
          <cell r="DD309">
            <v>0</v>
          </cell>
          <cell r="DE309">
            <v>-572</v>
          </cell>
          <cell r="DF309">
            <v>45092</v>
          </cell>
          <cell r="DG309">
            <v>0</v>
          </cell>
          <cell r="DH309">
            <v>0</v>
          </cell>
          <cell r="DI309">
            <v>45092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19872</v>
          </cell>
          <cell r="EC309">
            <v>0</v>
          </cell>
          <cell r="ED309">
            <v>0</v>
          </cell>
          <cell r="EE309">
            <v>19872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</row>
        <row r="310">
          <cell r="A310">
            <v>304</v>
          </cell>
          <cell r="B310" t="str">
            <v>E1140</v>
          </cell>
          <cell r="C310" t="str">
            <v>SD</v>
          </cell>
          <cell r="D310" t="str">
            <v>SW</v>
          </cell>
          <cell r="E310" t="str">
            <v>West Devon</v>
          </cell>
          <cell r="F310">
            <v>148790</v>
          </cell>
          <cell r="G310">
            <v>0</v>
          </cell>
          <cell r="H310">
            <v>0</v>
          </cell>
          <cell r="I310">
            <v>148790</v>
          </cell>
          <cell r="J310">
            <v>-203184</v>
          </cell>
          <cell r="K310">
            <v>0</v>
          </cell>
          <cell r="L310">
            <v>0</v>
          </cell>
          <cell r="M310">
            <v>-203184</v>
          </cell>
          <cell r="N310">
            <v>9357</v>
          </cell>
          <cell r="O310">
            <v>0</v>
          </cell>
          <cell r="P310">
            <v>0</v>
          </cell>
          <cell r="Q310">
            <v>9357</v>
          </cell>
          <cell r="R310">
            <v>8471</v>
          </cell>
          <cell r="S310">
            <v>0</v>
          </cell>
          <cell r="T310">
            <v>0</v>
          </cell>
          <cell r="U310">
            <v>8471</v>
          </cell>
          <cell r="V310">
            <v>1295342</v>
          </cell>
          <cell r="W310">
            <v>0</v>
          </cell>
          <cell r="X310">
            <v>0</v>
          </cell>
          <cell r="Y310">
            <v>1295342</v>
          </cell>
          <cell r="Z310">
            <v>130451</v>
          </cell>
          <cell r="AA310">
            <v>0</v>
          </cell>
          <cell r="AB310">
            <v>0</v>
          </cell>
          <cell r="AC310">
            <v>130451</v>
          </cell>
          <cell r="AD310">
            <v>176698</v>
          </cell>
          <cell r="AE310">
            <v>0</v>
          </cell>
          <cell r="AF310">
            <v>0</v>
          </cell>
          <cell r="AG310">
            <v>176698</v>
          </cell>
          <cell r="AH310">
            <v>-6387</v>
          </cell>
          <cell r="AI310">
            <v>0</v>
          </cell>
          <cell r="AJ310">
            <v>0</v>
          </cell>
          <cell r="AK310">
            <v>-6387</v>
          </cell>
          <cell r="AL310">
            <v>714362</v>
          </cell>
          <cell r="AM310">
            <v>0</v>
          </cell>
          <cell r="AN310">
            <v>0</v>
          </cell>
          <cell r="AO310">
            <v>714362</v>
          </cell>
          <cell r="AP310">
            <v>-835</v>
          </cell>
          <cell r="AQ310">
            <v>0</v>
          </cell>
          <cell r="AR310">
            <v>0</v>
          </cell>
          <cell r="AS310">
            <v>-835</v>
          </cell>
          <cell r="AT310">
            <v>73156</v>
          </cell>
          <cell r="AU310">
            <v>0</v>
          </cell>
          <cell r="AV310">
            <v>0</v>
          </cell>
          <cell r="AW310">
            <v>73156</v>
          </cell>
          <cell r="AX310">
            <v>3476</v>
          </cell>
          <cell r="AY310">
            <v>0</v>
          </cell>
          <cell r="AZ310">
            <v>0</v>
          </cell>
          <cell r="BA310">
            <v>3476</v>
          </cell>
          <cell r="BB310">
            <v>45740</v>
          </cell>
          <cell r="BC310">
            <v>0</v>
          </cell>
          <cell r="BD310">
            <v>0</v>
          </cell>
          <cell r="BE310">
            <v>45740</v>
          </cell>
          <cell r="BF310">
            <v>3996</v>
          </cell>
          <cell r="BG310">
            <v>0</v>
          </cell>
          <cell r="BH310">
            <v>0</v>
          </cell>
          <cell r="BI310">
            <v>3996</v>
          </cell>
          <cell r="BJ310">
            <v>8956</v>
          </cell>
          <cell r="BK310">
            <v>0</v>
          </cell>
          <cell r="BL310">
            <v>0</v>
          </cell>
          <cell r="BM310">
            <v>8956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223480</v>
          </cell>
          <cell r="BS310">
            <v>0</v>
          </cell>
          <cell r="BT310">
            <v>0</v>
          </cell>
          <cell r="BU310">
            <v>223480</v>
          </cell>
          <cell r="BV310">
            <v>56439</v>
          </cell>
          <cell r="BW310">
            <v>0</v>
          </cell>
          <cell r="BX310">
            <v>0</v>
          </cell>
          <cell r="BY310">
            <v>56439</v>
          </cell>
          <cell r="BZ310">
            <v>65660</v>
          </cell>
          <cell r="CA310">
            <v>0</v>
          </cell>
          <cell r="CB310">
            <v>0</v>
          </cell>
          <cell r="CC310">
            <v>65660</v>
          </cell>
          <cell r="CD310">
            <v>1104</v>
          </cell>
          <cell r="CE310">
            <v>0</v>
          </cell>
          <cell r="CF310">
            <v>0</v>
          </cell>
          <cell r="CG310">
            <v>1104</v>
          </cell>
          <cell r="CH310">
            <v>20846</v>
          </cell>
          <cell r="CI310">
            <v>0</v>
          </cell>
          <cell r="CJ310">
            <v>0</v>
          </cell>
          <cell r="CK310">
            <v>20846</v>
          </cell>
          <cell r="CL310">
            <v>1736</v>
          </cell>
          <cell r="CM310">
            <v>0</v>
          </cell>
          <cell r="CN310">
            <v>0</v>
          </cell>
          <cell r="CO310">
            <v>1736</v>
          </cell>
          <cell r="CP310">
            <v>8372</v>
          </cell>
          <cell r="CQ310">
            <v>0</v>
          </cell>
          <cell r="CR310">
            <v>0</v>
          </cell>
          <cell r="CS310">
            <v>8372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15780</v>
          </cell>
          <cell r="CY310">
            <v>0</v>
          </cell>
          <cell r="CZ310">
            <v>0</v>
          </cell>
          <cell r="DA310">
            <v>15780</v>
          </cell>
          <cell r="DB310">
            <v>-1387</v>
          </cell>
          <cell r="DC310">
            <v>0</v>
          </cell>
          <cell r="DD310">
            <v>0</v>
          </cell>
          <cell r="DE310">
            <v>-1387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8874</v>
          </cell>
          <cell r="EG310">
            <v>0</v>
          </cell>
          <cell r="EH310">
            <v>0</v>
          </cell>
          <cell r="EI310">
            <v>8874</v>
          </cell>
          <cell r="EJ310">
            <v>4335</v>
          </cell>
          <cell r="EK310">
            <v>0</v>
          </cell>
          <cell r="EL310">
            <v>0</v>
          </cell>
          <cell r="EM310">
            <v>4335</v>
          </cell>
        </row>
        <row r="311">
          <cell r="A311">
            <v>305</v>
          </cell>
          <cell r="B311" t="str">
            <v>E1237</v>
          </cell>
          <cell r="C311" t="str">
            <v>SD</v>
          </cell>
          <cell r="D311" t="str">
            <v>SW</v>
          </cell>
          <cell r="E311" t="str">
            <v>West Dorset</v>
          </cell>
          <cell r="F311">
            <v>103273.11</v>
          </cell>
          <cell r="G311">
            <v>0</v>
          </cell>
          <cell r="H311">
            <v>0</v>
          </cell>
          <cell r="I311">
            <v>103273.11</v>
          </cell>
          <cell r="J311">
            <v>-57369.79</v>
          </cell>
          <cell r="K311">
            <v>0</v>
          </cell>
          <cell r="L311">
            <v>0</v>
          </cell>
          <cell r="M311">
            <v>-57369.79</v>
          </cell>
          <cell r="N311">
            <v>29653.13</v>
          </cell>
          <cell r="O311">
            <v>0</v>
          </cell>
          <cell r="P311">
            <v>0</v>
          </cell>
          <cell r="Q311">
            <v>29653.13</v>
          </cell>
          <cell r="R311">
            <v>49802.66</v>
          </cell>
          <cell r="S311">
            <v>0</v>
          </cell>
          <cell r="T311">
            <v>0</v>
          </cell>
          <cell r="U311">
            <v>49802.66</v>
          </cell>
          <cell r="V311">
            <v>3574523.76</v>
          </cell>
          <cell r="W311">
            <v>0</v>
          </cell>
          <cell r="X311">
            <v>0</v>
          </cell>
          <cell r="Y311">
            <v>3574523.76</v>
          </cell>
          <cell r="Z311">
            <v>196694.72</v>
          </cell>
          <cell r="AA311">
            <v>0</v>
          </cell>
          <cell r="AB311">
            <v>0</v>
          </cell>
          <cell r="AC311">
            <v>196694.72</v>
          </cell>
          <cell r="AD311">
            <v>534990.39</v>
          </cell>
          <cell r="AE311">
            <v>0</v>
          </cell>
          <cell r="AF311">
            <v>0</v>
          </cell>
          <cell r="AG311">
            <v>534990.39</v>
          </cell>
          <cell r="AH311">
            <v>-6544.59</v>
          </cell>
          <cell r="AI311">
            <v>0</v>
          </cell>
          <cell r="AJ311">
            <v>0</v>
          </cell>
          <cell r="AK311">
            <v>-6544.59</v>
          </cell>
          <cell r="AL311">
            <v>2740369.36</v>
          </cell>
          <cell r="AM311">
            <v>0</v>
          </cell>
          <cell r="AN311">
            <v>0</v>
          </cell>
          <cell r="AO311">
            <v>2740369.36</v>
          </cell>
          <cell r="AP311">
            <v>40191.69</v>
          </cell>
          <cell r="AQ311">
            <v>0</v>
          </cell>
          <cell r="AR311">
            <v>0</v>
          </cell>
          <cell r="AS311">
            <v>40191.69</v>
          </cell>
          <cell r="AT311">
            <v>103637.59</v>
          </cell>
          <cell r="AU311">
            <v>0</v>
          </cell>
          <cell r="AV311">
            <v>0</v>
          </cell>
          <cell r="AW311">
            <v>103637.59</v>
          </cell>
          <cell r="AX311">
            <v>2968.54</v>
          </cell>
          <cell r="AY311">
            <v>0</v>
          </cell>
          <cell r="AZ311">
            <v>0</v>
          </cell>
          <cell r="BA311">
            <v>2968.54</v>
          </cell>
          <cell r="BB311">
            <v>85460.56</v>
          </cell>
          <cell r="BC311">
            <v>0</v>
          </cell>
          <cell r="BD311">
            <v>0</v>
          </cell>
          <cell r="BE311">
            <v>85460.56</v>
          </cell>
          <cell r="BF311">
            <v>1350.61</v>
          </cell>
          <cell r="BG311">
            <v>0</v>
          </cell>
          <cell r="BH311">
            <v>0</v>
          </cell>
          <cell r="BI311">
            <v>1350.61</v>
          </cell>
          <cell r="BJ311">
            <v>18158.95</v>
          </cell>
          <cell r="BK311">
            <v>0</v>
          </cell>
          <cell r="BL311">
            <v>0</v>
          </cell>
          <cell r="BM311">
            <v>18158.95</v>
          </cell>
          <cell r="BN311">
            <v>135834</v>
          </cell>
          <cell r="BO311">
            <v>0</v>
          </cell>
          <cell r="BP311">
            <v>0</v>
          </cell>
          <cell r="BQ311">
            <v>135834</v>
          </cell>
          <cell r="BR311">
            <v>872358.01</v>
          </cell>
          <cell r="BS311">
            <v>0</v>
          </cell>
          <cell r="BT311">
            <v>0</v>
          </cell>
          <cell r="BU311">
            <v>872358.01</v>
          </cell>
          <cell r="BV311">
            <v>79566.399999999994</v>
          </cell>
          <cell r="BW311">
            <v>0</v>
          </cell>
          <cell r="BX311">
            <v>0</v>
          </cell>
          <cell r="BY311">
            <v>79566.399999999994</v>
          </cell>
          <cell r="BZ311">
            <v>154386.9</v>
          </cell>
          <cell r="CA311">
            <v>0</v>
          </cell>
          <cell r="CB311">
            <v>0</v>
          </cell>
          <cell r="CC311">
            <v>154386.9</v>
          </cell>
          <cell r="CD311">
            <v>444.26</v>
          </cell>
          <cell r="CE311">
            <v>0</v>
          </cell>
          <cell r="CF311">
            <v>0</v>
          </cell>
          <cell r="CG311">
            <v>444.26</v>
          </cell>
          <cell r="CH311">
            <v>7202.19</v>
          </cell>
          <cell r="CI311">
            <v>0</v>
          </cell>
          <cell r="CJ311">
            <v>0</v>
          </cell>
          <cell r="CK311">
            <v>7202.19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1450.67</v>
          </cell>
          <cell r="CQ311">
            <v>0</v>
          </cell>
          <cell r="CR311">
            <v>0</v>
          </cell>
          <cell r="CS311">
            <v>1450.67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72672.5</v>
          </cell>
          <cell r="CY311">
            <v>0</v>
          </cell>
          <cell r="CZ311">
            <v>0</v>
          </cell>
          <cell r="DA311">
            <v>72672.5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810.72</v>
          </cell>
          <cell r="EG311">
            <v>0</v>
          </cell>
          <cell r="EH311">
            <v>0</v>
          </cell>
          <cell r="EI311">
            <v>810.72</v>
          </cell>
          <cell r="EJ311">
            <v>-1184.6300000000001</v>
          </cell>
          <cell r="EK311">
            <v>0</v>
          </cell>
          <cell r="EL311">
            <v>0</v>
          </cell>
          <cell r="EM311">
            <v>-1184.6300000000001</v>
          </cell>
        </row>
        <row r="312">
          <cell r="A312">
            <v>306</v>
          </cell>
          <cell r="B312" t="str">
            <v>E2343</v>
          </cell>
          <cell r="C312" t="str">
            <v>SD</v>
          </cell>
          <cell r="D312" t="str">
            <v>NW</v>
          </cell>
          <cell r="E312" t="str">
            <v>West Lancashire</v>
          </cell>
          <cell r="F312">
            <v>111580</v>
          </cell>
          <cell r="G312">
            <v>0</v>
          </cell>
          <cell r="H312">
            <v>0</v>
          </cell>
          <cell r="I312">
            <v>111580</v>
          </cell>
          <cell r="J312">
            <v>-61128</v>
          </cell>
          <cell r="K312">
            <v>0</v>
          </cell>
          <cell r="L312">
            <v>0</v>
          </cell>
          <cell r="M312">
            <v>-61128</v>
          </cell>
          <cell r="N312">
            <v>19709</v>
          </cell>
          <cell r="O312">
            <v>0</v>
          </cell>
          <cell r="P312">
            <v>0</v>
          </cell>
          <cell r="Q312">
            <v>19709</v>
          </cell>
          <cell r="R312">
            <v>168559</v>
          </cell>
          <cell r="S312">
            <v>0</v>
          </cell>
          <cell r="T312">
            <v>0</v>
          </cell>
          <cell r="U312">
            <v>168559</v>
          </cell>
          <cell r="V312">
            <v>1865947</v>
          </cell>
          <cell r="W312">
            <v>0</v>
          </cell>
          <cell r="X312">
            <v>0</v>
          </cell>
          <cell r="Y312">
            <v>1865947</v>
          </cell>
          <cell r="Z312">
            <v>78325</v>
          </cell>
          <cell r="AA312">
            <v>0</v>
          </cell>
          <cell r="AB312">
            <v>0</v>
          </cell>
          <cell r="AC312">
            <v>78325</v>
          </cell>
          <cell r="AD312">
            <v>612568</v>
          </cell>
          <cell r="AE312">
            <v>0</v>
          </cell>
          <cell r="AF312">
            <v>0</v>
          </cell>
          <cell r="AG312">
            <v>612568</v>
          </cell>
          <cell r="AH312">
            <v>25146</v>
          </cell>
          <cell r="AI312">
            <v>0</v>
          </cell>
          <cell r="AJ312">
            <v>0</v>
          </cell>
          <cell r="AK312">
            <v>25146</v>
          </cell>
          <cell r="AL312">
            <v>2322037</v>
          </cell>
          <cell r="AM312">
            <v>0</v>
          </cell>
          <cell r="AN312">
            <v>0</v>
          </cell>
          <cell r="AO312">
            <v>2322037</v>
          </cell>
          <cell r="AP312">
            <v>84538</v>
          </cell>
          <cell r="AQ312">
            <v>0</v>
          </cell>
          <cell r="AR312">
            <v>0</v>
          </cell>
          <cell r="AS312">
            <v>84538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5263</v>
          </cell>
          <cell r="BC312">
            <v>0</v>
          </cell>
          <cell r="BD312">
            <v>0</v>
          </cell>
          <cell r="BE312">
            <v>5263</v>
          </cell>
          <cell r="BF312">
            <v>1721</v>
          </cell>
          <cell r="BG312">
            <v>0</v>
          </cell>
          <cell r="BH312">
            <v>0</v>
          </cell>
          <cell r="BI312">
            <v>1721</v>
          </cell>
          <cell r="BJ312">
            <v>157191</v>
          </cell>
          <cell r="BK312">
            <v>0</v>
          </cell>
          <cell r="BL312">
            <v>0</v>
          </cell>
          <cell r="BM312">
            <v>157191</v>
          </cell>
          <cell r="BN312">
            <v>46726</v>
          </cell>
          <cell r="BO312">
            <v>0</v>
          </cell>
          <cell r="BP312">
            <v>0</v>
          </cell>
          <cell r="BQ312">
            <v>46726</v>
          </cell>
          <cell r="BR312">
            <v>2209432</v>
          </cell>
          <cell r="BS312">
            <v>0</v>
          </cell>
          <cell r="BT312">
            <v>0</v>
          </cell>
          <cell r="BU312">
            <v>2209432</v>
          </cell>
          <cell r="BV312">
            <v>-324792</v>
          </cell>
          <cell r="BW312">
            <v>0</v>
          </cell>
          <cell r="BX312">
            <v>0</v>
          </cell>
          <cell r="BY312">
            <v>-324792</v>
          </cell>
          <cell r="BZ312">
            <v>9061</v>
          </cell>
          <cell r="CA312">
            <v>0</v>
          </cell>
          <cell r="CB312">
            <v>0</v>
          </cell>
          <cell r="CC312">
            <v>9061</v>
          </cell>
          <cell r="CD312">
            <v>-2540</v>
          </cell>
          <cell r="CE312">
            <v>0</v>
          </cell>
          <cell r="CF312">
            <v>0</v>
          </cell>
          <cell r="CG312">
            <v>-2540</v>
          </cell>
          <cell r="CH312">
            <v>25233</v>
          </cell>
          <cell r="CI312">
            <v>0</v>
          </cell>
          <cell r="CJ312">
            <v>0</v>
          </cell>
          <cell r="CK312">
            <v>25233</v>
          </cell>
          <cell r="CL312">
            <v>7489</v>
          </cell>
          <cell r="CM312">
            <v>0</v>
          </cell>
          <cell r="CN312">
            <v>0</v>
          </cell>
          <cell r="CO312">
            <v>7489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-2329</v>
          </cell>
          <cell r="DC312">
            <v>0</v>
          </cell>
          <cell r="DD312">
            <v>0</v>
          </cell>
          <cell r="DE312">
            <v>-2329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2554</v>
          </cell>
          <cell r="EG312">
            <v>0</v>
          </cell>
          <cell r="EH312">
            <v>0</v>
          </cell>
          <cell r="EI312">
            <v>2554</v>
          </cell>
          <cell r="EJ312">
            <v>2289</v>
          </cell>
          <cell r="EK312">
            <v>0</v>
          </cell>
          <cell r="EL312">
            <v>0</v>
          </cell>
          <cell r="EM312">
            <v>2289</v>
          </cell>
        </row>
        <row r="313">
          <cell r="A313">
            <v>307</v>
          </cell>
          <cell r="B313" t="str">
            <v>E2537</v>
          </cell>
          <cell r="C313" t="str">
            <v>SD</v>
          </cell>
          <cell r="D313" t="str">
            <v>EM</v>
          </cell>
          <cell r="E313" t="str">
            <v>West Lindsey</v>
          </cell>
          <cell r="F313">
            <v>61177.62</v>
          </cell>
          <cell r="G313">
            <v>0</v>
          </cell>
          <cell r="H313">
            <v>0</v>
          </cell>
          <cell r="I313">
            <v>61177.62</v>
          </cell>
          <cell r="J313">
            <v>-63208.43</v>
          </cell>
          <cell r="K313">
            <v>0</v>
          </cell>
          <cell r="L313">
            <v>0</v>
          </cell>
          <cell r="M313">
            <v>-63208.43</v>
          </cell>
          <cell r="N313">
            <v>608.65</v>
          </cell>
          <cell r="O313">
            <v>0</v>
          </cell>
          <cell r="P313">
            <v>0</v>
          </cell>
          <cell r="Q313">
            <v>608.65</v>
          </cell>
          <cell r="R313">
            <v>22522.75</v>
          </cell>
          <cell r="S313">
            <v>0</v>
          </cell>
          <cell r="T313">
            <v>0</v>
          </cell>
          <cell r="U313">
            <v>22522.75</v>
          </cell>
          <cell r="V313">
            <v>1582471.46</v>
          </cell>
          <cell r="W313">
            <v>0</v>
          </cell>
          <cell r="X313">
            <v>0</v>
          </cell>
          <cell r="Y313">
            <v>1582471.46</v>
          </cell>
          <cell r="Z313">
            <v>41634.54</v>
          </cell>
          <cell r="AA313">
            <v>0</v>
          </cell>
          <cell r="AB313">
            <v>0</v>
          </cell>
          <cell r="AC313">
            <v>41634.54</v>
          </cell>
          <cell r="AD313">
            <v>317773.19</v>
          </cell>
          <cell r="AE313">
            <v>0</v>
          </cell>
          <cell r="AF313">
            <v>0</v>
          </cell>
          <cell r="AG313">
            <v>317773.19</v>
          </cell>
          <cell r="AH313">
            <v>-15079.17</v>
          </cell>
          <cell r="AI313">
            <v>0</v>
          </cell>
          <cell r="AJ313">
            <v>0</v>
          </cell>
          <cell r="AK313">
            <v>-15079.17</v>
          </cell>
          <cell r="AL313">
            <v>1339282.46</v>
          </cell>
          <cell r="AM313">
            <v>0</v>
          </cell>
          <cell r="AN313">
            <v>0</v>
          </cell>
          <cell r="AO313">
            <v>1339282.46</v>
          </cell>
          <cell r="AP313">
            <v>13297.11</v>
          </cell>
          <cell r="AQ313">
            <v>0</v>
          </cell>
          <cell r="AR313">
            <v>0</v>
          </cell>
          <cell r="AS313">
            <v>13297.11</v>
          </cell>
          <cell r="AT313">
            <v>24576.78</v>
          </cell>
          <cell r="AU313">
            <v>0</v>
          </cell>
          <cell r="AV313">
            <v>0</v>
          </cell>
          <cell r="AW313">
            <v>24576.78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33780.42</v>
          </cell>
          <cell r="BC313">
            <v>0</v>
          </cell>
          <cell r="BD313">
            <v>0</v>
          </cell>
          <cell r="BE313">
            <v>33780.42</v>
          </cell>
          <cell r="BF313">
            <v>-2058</v>
          </cell>
          <cell r="BG313">
            <v>0</v>
          </cell>
          <cell r="BH313">
            <v>0</v>
          </cell>
          <cell r="BI313">
            <v>-2058</v>
          </cell>
          <cell r="BJ313">
            <v>17693.23</v>
          </cell>
          <cell r="BK313">
            <v>0</v>
          </cell>
          <cell r="BL313">
            <v>0</v>
          </cell>
          <cell r="BM313">
            <v>17693.23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674017.59</v>
          </cell>
          <cell r="BS313">
            <v>0</v>
          </cell>
          <cell r="BT313">
            <v>0</v>
          </cell>
          <cell r="BU313">
            <v>674017.59</v>
          </cell>
          <cell r="BV313">
            <v>-15389.66</v>
          </cell>
          <cell r="BW313">
            <v>0</v>
          </cell>
          <cell r="BX313">
            <v>0</v>
          </cell>
          <cell r="BY313">
            <v>-15389.66</v>
          </cell>
          <cell r="BZ313">
            <v>31212.11</v>
          </cell>
          <cell r="CA313">
            <v>0</v>
          </cell>
          <cell r="CB313">
            <v>0</v>
          </cell>
          <cell r="CC313">
            <v>31212.11</v>
          </cell>
          <cell r="CD313">
            <v>45.06</v>
          </cell>
          <cell r="CE313">
            <v>0</v>
          </cell>
          <cell r="CF313">
            <v>0</v>
          </cell>
          <cell r="CG313">
            <v>45.06</v>
          </cell>
          <cell r="CH313">
            <v>40202.11</v>
          </cell>
          <cell r="CI313">
            <v>0</v>
          </cell>
          <cell r="CJ313">
            <v>0</v>
          </cell>
          <cell r="CK313">
            <v>40202.11</v>
          </cell>
          <cell r="CL313">
            <v>509.59</v>
          </cell>
          <cell r="CM313">
            <v>0</v>
          </cell>
          <cell r="CN313">
            <v>0</v>
          </cell>
          <cell r="CO313">
            <v>509.59</v>
          </cell>
          <cell r="CP313">
            <v>1738.01</v>
          </cell>
          <cell r="CQ313">
            <v>0</v>
          </cell>
          <cell r="CR313">
            <v>0</v>
          </cell>
          <cell r="CS313">
            <v>1738.01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6475.53</v>
          </cell>
          <cell r="CY313">
            <v>0</v>
          </cell>
          <cell r="CZ313">
            <v>0</v>
          </cell>
          <cell r="DA313">
            <v>6475.53</v>
          </cell>
          <cell r="DB313">
            <v>88.93</v>
          </cell>
          <cell r="DC313">
            <v>0</v>
          </cell>
          <cell r="DD313">
            <v>0</v>
          </cell>
          <cell r="DE313">
            <v>88.93</v>
          </cell>
          <cell r="DF313">
            <v>232.56</v>
          </cell>
          <cell r="DG313">
            <v>0</v>
          </cell>
          <cell r="DH313">
            <v>0</v>
          </cell>
          <cell r="DI313">
            <v>232.56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281</v>
          </cell>
          <cell r="DY313">
            <v>0</v>
          </cell>
          <cell r="DZ313">
            <v>0</v>
          </cell>
          <cell r="EA313">
            <v>281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</row>
        <row r="314">
          <cell r="A314">
            <v>308</v>
          </cell>
          <cell r="B314" t="str">
            <v>E3135</v>
          </cell>
          <cell r="C314" t="str">
            <v>SD</v>
          </cell>
          <cell r="D314" t="str">
            <v>SE</v>
          </cell>
          <cell r="E314" t="str">
            <v>West Oxfordshire</v>
          </cell>
          <cell r="F314">
            <v>122518.25</v>
          </cell>
          <cell r="G314">
            <v>0</v>
          </cell>
          <cell r="H314">
            <v>0</v>
          </cell>
          <cell r="I314">
            <v>122518.25</v>
          </cell>
          <cell r="J314">
            <v>-49278.34</v>
          </cell>
          <cell r="K314">
            <v>0</v>
          </cell>
          <cell r="L314">
            <v>0</v>
          </cell>
          <cell r="M314">
            <v>-49278.34</v>
          </cell>
          <cell r="N314">
            <v>39577.519999999997</v>
          </cell>
          <cell r="O314">
            <v>0</v>
          </cell>
          <cell r="P314">
            <v>0</v>
          </cell>
          <cell r="Q314">
            <v>39577.519999999997</v>
          </cell>
          <cell r="R314">
            <v>31221.15</v>
          </cell>
          <cell r="S314">
            <v>0</v>
          </cell>
          <cell r="T314">
            <v>0</v>
          </cell>
          <cell r="U314">
            <v>31221.15</v>
          </cell>
          <cell r="V314">
            <v>2201983.08</v>
          </cell>
          <cell r="W314">
            <v>0</v>
          </cell>
          <cell r="X314">
            <v>0</v>
          </cell>
          <cell r="Y314">
            <v>2201983.08</v>
          </cell>
          <cell r="Z314">
            <v>86618.53</v>
          </cell>
          <cell r="AA314">
            <v>0</v>
          </cell>
          <cell r="AB314">
            <v>0</v>
          </cell>
          <cell r="AC314">
            <v>86618.53</v>
          </cell>
          <cell r="AD314">
            <v>570909.16</v>
          </cell>
          <cell r="AE314">
            <v>0</v>
          </cell>
          <cell r="AF314">
            <v>0</v>
          </cell>
          <cell r="AG314">
            <v>570909.16</v>
          </cell>
          <cell r="AH314">
            <v>32788.61</v>
          </cell>
          <cell r="AI314">
            <v>0</v>
          </cell>
          <cell r="AJ314">
            <v>0</v>
          </cell>
          <cell r="AK314">
            <v>32788.61</v>
          </cell>
          <cell r="AL314">
            <v>2231633.7999999998</v>
          </cell>
          <cell r="AM314">
            <v>0</v>
          </cell>
          <cell r="AN314">
            <v>0</v>
          </cell>
          <cell r="AO314">
            <v>2231633.7999999998</v>
          </cell>
          <cell r="AP314">
            <v>-32471.439999999999</v>
          </cell>
          <cell r="AQ314">
            <v>0</v>
          </cell>
          <cell r="AR314">
            <v>0</v>
          </cell>
          <cell r="AS314">
            <v>-32471.439999999999</v>
          </cell>
          <cell r="AT314">
            <v>62718.65</v>
          </cell>
          <cell r="AU314">
            <v>0</v>
          </cell>
          <cell r="AV314">
            <v>0</v>
          </cell>
          <cell r="AW314">
            <v>62718.65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42962.99</v>
          </cell>
          <cell r="BC314">
            <v>0</v>
          </cell>
          <cell r="BD314">
            <v>0</v>
          </cell>
          <cell r="BE314">
            <v>42962.99</v>
          </cell>
          <cell r="BF314">
            <v>7625</v>
          </cell>
          <cell r="BG314">
            <v>0</v>
          </cell>
          <cell r="BH314">
            <v>0</v>
          </cell>
          <cell r="BI314">
            <v>7625</v>
          </cell>
          <cell r="BJ314">
            <v>115.28</v>
          </cell>
          <cell r="BK314">
            <v>0</v>
          </cell>
          <cell r="BL314">
            <v>0</v>
          </cell>
          <cell r="BM314">
            <v>115.28</v>
          </cell>
          <cell r="BN314">
            <v>-55.86</v>
          </cell>
          <cell r="BO314">
            <v>0</v>
          </cell>
          <cell r="BP314">
            <v>0</v>
          </cell>
          <cell r="BQ314">
            <v>-55.86</v>
          </cell>
          <cell r="BR314">
            <v>816180.43</v>
          </cell>
          <cell r="BS314">
            <v>0</v>
          </cell>
          <cell r="BT314">
            <v>0</v>
          </cell>
          <cell r="BU314">
            <v>816180.43</v>
          </cell>
          <cell r="BV314">
            <v>15975.35</v>
          </cell>
          <cell r="BW314">
            <v>0</v>
          </cell>
          <cell r="BX314">
            <v>0</v>
          </cell>
          <cell r="BY314">
            <v>15975.35</v>
          </cell>
          <cell r="BZ314">
            <v>75719.11</v>
          </cell>
          <cell r="CA314">
            <v>0</v>
          </cell>
          <cell r="CB314">
            <v>0</v>
          </cell>
          <cell r="CC314">
            <v>75719.11</v>
          </cell>
          <cell r="CD314">
            <v>-877.8</v>
          </cell>
          <cell r="CE314">
            <v>0</v>
          </cell>
          <cell r="CF314">
            <v>0</v>
          </cell>
          <cell r="CG314">
            <v>-877.8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3373.53</v>
          </cell>
          <cell r="CY314">
            <v>0</v>
          </cell>
          <cell r="CZ314">
            <v>0</v>
          </cell>
          <cell r="DA314">
            <v>3373.53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5857.46</v>
          </cell>
          <cell r="EC314">
            <v>0</v>
          </cell>
          <cell r="ED314">
            <v>0</v>
          </cell>
          <cell r="EE314">
            <v>5857.46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</row>
        <row r="315">
          <cell r="A315">
            <v>309</v>
          </cell>
          <cell r="B315" t="str">
            <v>E3335</v>
          </cell>
          <cell r="C315" t="str">
            <v>SD</v>
          </cell>
          <cell r="D315" t="str">
            <v>SW</v>
          </cell>
          <cell r="E315" t="str">
            <v>West Somerset</v>
          </cell>
          <cell r="F315">
            <v>949134</v>
          </cell>
          <cell r="G315">
            <v>0</v>
          </cell>
          <cell r="H315">
            <v>0</v>
          </cell>
          <cell r="I315">
            <v>949134</v>
          </cell>
          <cell r="J315">
            <v>-64528</v>
          </cell>
          <cell r="K315">
            <v>0</v>
          </cell>
          <cell r="L315">
            <v>0</v>
          </cell>
          <cell r="M315">
            <v>-64528</v>
          </cell>
          <cell r="N315">
            <v>60760</v>
          </cell>
          <cell r="O315">
            <v>0</v>
          </cell>
          <cell r="P315">
            <v>0</v>
          </cell>
          <cell r="Q315">
            <v>60760</v>
          </cell>
          <cell r="R315">
            <v>4015</v>
          </cell>
          <cell r="S315">
            <v>0</v>
          </cell>
          <cell r="T315">
            <v>0</v>
          </cell>
          <cell r="U315">
            <v>4015</v>
          </cell>
          <cell r="V315">
            <v>1246018</v>
          </cell>
          <cell r="W315">
            <v>0</v>
          </cell>
          <cell r="X315">
            <v>0</v>
          </cell>
          <cell r="Y315">
            <v>1246018</v>
          </cell>
          <cell r="Z315">
            <v>57855</v>
          </cell>
          <cell r="AA315">
            <v>0</v>
          </cell>
          <cell r="AB315">
            <v>0</v>
          </cell>
          <cell r="AC315">
            <v>57855</v>
          </cell>
          <cell r="AD315">
            <v>219789</v>
          </cell>
          <cell r="AE315">
            <v>0</v>
          </cell>
          <cell r="AF315">
            <v>0</v>
          </cell>
          <cell r="AG315">
            <v>219789</v>
          </cell>
          <cell r="AH315">
            <v>-927</v>
          </cell>
          <cell r="AI315">
            <v>0</v>
          </cell>
          <cell r="AJ315">
            <v>0</v>
          </cell>
          <cell r="AK315">
            <v>-927</v>
          </cell>
          <cell r="AL315">
            <v>521645</v>
          </cell>
          <cell r="AM315">
            <v>0</v>
          </cell>
          <cell r="AN315">
            <v>0</v>
          </cell>
          <cell r="AO315">
            <v>521645</v>
          </cell>
          <cell r="AP315">
            <v>-621</v>
          </cell>
          <cell r="AQ315">
            <v>0</v>
          </cell>
          <cell r="AR315">
            <v>0</v>
          </cell>
          <cell r="AS315">
            <v>-621</v>
          </cell>
          <cell r="AT315">
            <v>11114</v>
          </cell>
          <cell r="AU315">
            <v>0</v>
          </cell>
          <cell r="AV315">
            <v>0</v>
          </cell>
          <cell r="AW315">
            <v>11114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39775</v>
          </cell>
          <cell r="BC315">
            <v>0</v>
          </cell>
          <cell r="BD315">
            <v>0</v>
          </cell>
          <cell r="BE315">
            <v>39775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129421</v>
          </cell>
          <cell r="BS315">
            <v>0</v>
          </cell>
          <cell r="BT315">
            <v>0</v>
          </cell>
          <cell r="BU315">
            <v>129421</v>
          </cell>
          <cell r="BV315">
            <v>4682</v>
          </cell>
          <cell r="BW315">
            <v>0</v>
          </cell>
          <cell r="BX315">
            <v>0</v>
          </cell>
          <cell r="BY315">
            <v>4682</v>
          </cell>
          <cell r="BZ315">
            <v>27490</v>
          </cell>
          <cell r="CA315">
            <v>0</v>
          </cell>
          <cell r="CB315">
            <v>0</v>
          </cell>
          <cell r="CC315">
            <v>27490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82531</v>
          </cell>
          <cell r="CI315">
            <v>0</v>
          </cell>
          <cell r="CJ315">
            <v>0</v>
          </cell>
          <cell r="CK315">
            <v>82531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2298</v>
          </cell>
          <cell r="CQ315">
            <v>0</v>
          </cell>
          <cell r="CR315">
            <v>0</v>
          </cell>
          <cell r="CS315">
            <v>2298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39775</v>
          </cell>
          <cell r="CY315">
            <v>0</v>
          </cell>
          <cell r="CZ315">
            <v>0</v>
          </cell>
          <cell r="DA315">
            <v>39775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57794</v>
          </cell>
          <cell r="DG315">
            <v>0</v>
          </cell>
          <cell r="DH315">
            <v>0</v>
          </cell>
          <cell r="DI315">
            <v>57794</v>
          </cell>
          <cell r="DJ315">
            <v>3297</v>
          </cell>
          <cell r="DK315">
            <v>0</v>
          </cell>
          <cell r="DL315">
            <v>0</v>
          </cell>
          <cell r="DM315">
            <v>3297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27481</v>
          </cell>
          <cell r="EK315">
            <v>0</v>
          </cell>
          <cell r="EL315">
            <v>0</v>
          </cell>
          <cell r="EM315">
            <v>27481</v>
          </cell>
        </row>
        <row r="316">
          <cell r="A316">
            <v>310</v>
          </cell>
          <cell r="B316" t="str">
            <v>E5022</v>
          </cell>
          <cell r="C316" t="str">
            <v>ILB</v>
          </cell>
          <cell r="D316" t="str">
            <v>L</v>
          </cell>
          <cell r="E316" t="str">
            <v>Westminster</v>
          </cell>
          <cell r="F316">
            <v>14271066</v>
          </cell>
          <cell r="G316">
            <v>0</v>
          </cell>
          <cell r="H316">
            <v>0</v>
          </cell>
          <cell r="I316">
            <v>14271066</v>
          </cell>
          <cell r="J316">
            <v>-34551691</v>
          </cell>
          <cell r="K316">
            <v>0</v>
          </cell>
          <cell r="L316">
            <v>0</v>
          </cell>
          <cell r="M316">
            <v>-34551691</v>
          </cell>
          <cell r="N316">
            <v>377698</v>
          </cell>
          <cell r="O316">
            <v>0</v>
          </cell>
          <cell r="P316">
            <v>0</v>
          </cell>
          <cell r="Q316">
            <v>377698</v>
          </cell>
          <cell r="R316">
            <v>2324288</v>
          </cell>
          <cell r="S316">
            <v>0</v>
          </cell>
          <cell r="T316">
            <v>0</v>
          </cell>
          <cell r="U316">
            <v>2324288</v>
          </cell>
          <cell r="V316">
            <v>1854069</v>
          </cell>
          <cell r="W316">
            <v>0</v>
          </cell>
          <cell r="X316">
            <v>0</v>
          </cell>
          <cell r="Y316">
            <v>1854069</v>
          </cell>
          <cell r="Z316">
            <v>106630</v>
          </cell>
          <cell r="AA316">
            <v>0</v>
          </cell>
          <cell r="AB316">
            <v>0</v>
          </cell>
          <cell r="AC316">
            <v>106630</v>
          </cell>
          <cell r="AD316">
            <v>36189158</v>
          </cell>
          <cell r="AE316">
            <v>0</v>
          </cell>
          <cell r="AF316">
            <v>0</v>
          </cell>
          <cell r="AG316">
            <v>36189158</v>
          </cell>
          <cell r="AH316">
            <v>-1043747</v>
          </cell>
          <cell r="AI316">
            <v>0</v>
          </cell>
          <cell r="AJ316">
            <v>0</v>
          </cell>
          <cell r="AK316">
            <v>-1043747</v>
          </cell>
          <cell r="AL316">
            <v>64530319</v>
          </cell>
          <cell r="AM316">
            <v>0</v>
          </cell>
          <cell r="AN316">
            <v>0</v>
          </cell>
          <cell r="AO316">
            <v>64530319</v>
          </cell>
          <cell r="AP316">
            <v>-37963</v>
          </cell>
          <cell r="AQ316">
            <v>0</v>
          </cell>
          <cell r="AR316">
            <v>0</v>
          </cell>
          <cell r="AS316">
            <v>-37963</v>
          </cell>
          <cell r="AT316">
            <v>22231</v>
          </cell>
          <cell r="AU316">
            <v>0</v>
          </cell>
          <cell r="AV316">
            <v>0</v>
          </cell>
          <cell r="AW316">
            <v>22231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5896652</v>
          </cell>
          <cell r="BK316">
            <v>0</v>
          </cell>
          <cell r="BL316">
            <v>0</v>
          </cell>
          <cell r="BM316">
            <v>5896652</v>
          </cell>
          <cell r="BN316">
            <v>1655243</v>
          </cell>
          <cell r="BO316">
            <v>0</v>
          </cell>
          <cell r="BP316">
            <v>0</v>
          </cell>
          <cell r="BQ316">
            <v>1655243</v>
          </cell>
          <cell r="BR316">
            <v>108643180</v>
          </cell>
          <cell r="BS316">
            <v>0</v>
          </cell>
          <cell r="BT316">
            <v>0</v>
          </cell>
          <cell r="BU316">
            <v>108643180</v>
          </cell>
          <cell r="BV316">
            <v>-3281101</v>
          </cell>
          <cell r="BW316">
            <v>0</v>
          </cell>
          <cell r="BX316">
            <v>0</v>
          </cell>
          <cell r="BY316">
            <v>-3281101</v>
          </cell>
          <cell r="BZ316">
            <v>405259</v>
          </cell>
          <cell r="CA316">
            <v>0</v>
          </cell>
          <cell r="CB316">
            <v>0</v>
          </cell>
          <cell r="CC316">
            <v>405259</v>
          </cell>
          <cell r="CD316">
            <v>9897</v>
          </cell>
          <cell r="CE316">
            <v>0</v>
          </cell>
          <cell r="CF316">
            <v>0</v>
          </cell>
          <cell r="CG316">
            <v>9897</v>
          </cell>
          <cell r="CH316">
            <v>20874</v>
          </cell>
          <cell r="CI316">
            <v>0</v>
          </cell>
          <cell r="CJ316">
            <v>0</v>
          </cell>
          <cell r="CK316">
            <v>20874</v>
          </cell>
          <cell r="CL316">
            <v>6915</v>
          </cell>
          <cell r="CM316">
            <v>0</v>
          </cell>
          <cell r="CN316">
            <v>0</v>
          </cell>
          <cell r="CO316">
            <v>6915</v>
          </cell>
          <cell r="CP316">
            <v>5558</v>
          </cell>
          <cell r="CQ316">
            <v>0</v>
          </cell>
          <cell r="CR316">
            <v>0</v>
          </cell>
          <cell r="CS316">
            <v>5558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21148</v>
          </cell>
          <cell r="EG316">
            <v>0</v>
          </cell>
          <cell r="EH316">
            <v>0</v>
          </cell>
          <cell r="EI316">
            <v>21148</v>
          </cell>
          <cell r="EJ316">
            <v>47465</v>
          </cell>
          <cell r="EK316">
            <v>0</v>
          </cell>
          <cell r="EL316">
            <v>0</v>
          </cell>
          <cell r="EM316">
            <v>47465</v>
          </cell>
        </row>
        <row r="317">
          <cell r="A317">
            <v>311</v>
          </cell>
          <cell r="B317" t="str">
            <v>E1238</v>
          </cell>
          <cell r="C317" t="str">
            <v>SD</v>
          </cell>
          <cell r="D317" t="str">
            <v>SW</v>
          </cell>
          <cell r="E317" t="str">
            <v>Weymouth &amp; Portland</v>
          </cell>
          <cell r="F317">
            <v>61191.06</v>
          </cell>
          <cell r="G317">
            <v>0</v>
          </cell>
          <cell r="H317">
            <v>0</v>
          </cell>
          <cell r="I317">
            <v>61191.06</v>
          </cell>
          <cell r="J317">
            <v>-8386.51</v>
          </cell>
          <cell r="K317">
            <v>0</v>
          </cell>
          <cell r="L317">
            <v>0</v>
          </cell>
          <cell r="M317">
            <v>-8386.51</v>
          </cell>
          <cell r="N317">
            <v>32097.439999999999</v>
          </cell>
          <cell r="O317">
            <v>0</v>
          </cell>
          <cell r="P317">
            <v>0</v>
          </cell>
          <cell r="Q317">
            <v>32097.439999999999</v>
          </cell>
          <cell r="R317">
            <v>82691.16</v>
          </cell>
          <cell r="S317">
            <v>0</v>
          </cell>
          <cell r="T317">
            <v>0</v>
          </cell>
          <cell r="U317">
            <v>82691.16</v>
          </cell>
          <cell r="V317">
            <v>1500619.7</v>
          </cell>
          <cell r="W317">
            <v>0</v>
          </cell>
          <cell r="X317">
            <v>0</v>
          </cell>
          <cell r="Y317">
            <v>1500619.7</v>
          </cell>
          <cell r="Z317">
            <v>81778.460000000006</v>
          </cell>
          <cell r="AA317">
            <v>0</v>
          </cell>
          <cell r="AB317">
            <v>0</v>
          </cell>
          <cell r="AC317">
            <v>81778.460000000006</v>
          </cell>
          <cell r="AD317">
            <v>307402.03000000003</v>
          </cell>
          <cell r="AE317">
            <v>0</v>
          </cell>
          <cell r="AF317">
            <v>0</v>
          </cell>
          <cell r="AG317">
            <v>307402.03000000003</v>
          </cell>
          <cell r="AH317">
            <v>-19038.580000000002</v>
          </cell>
          <cell r="AI317">
            <v>0</v>
          </cell>
          <cell r="AJ317">
            <v>0</v>
          </cell>
          <cell r="AK317">
            <v>-19038.580000000002</v>
          </cell>
          <cell r="AL317">
            <v>1093661.2</v>
          </cell>
          <cell r="AM317">
            <v>0</v>
          </cell>
          <cell r="AN317">
            <v>0</v>
          </cell>
          <cell r="AO317">
            <v>1093661.2</v>
          </cell>
          <cell r="AP317">
            <v>88643</v>
          </cell>
          <cell r="AQ317">
            <v>0</v>
          </cell>
          <cell r="AR317">
            <v>0</v>
          </cell>
          <cell r="AS317">
            <v>88643</v>
          </cell>
          <cell r="AT317">
            <v>69612.070000000007</v>
          </cell>
          <cell r="AU317">
            <v>0</v>
          </cell>
          <cell r="AV317">
            <v>0</v>
          </cell>
          <cell r="AW317">
            <v>69612.070000000007</v>
          </cell>
          <cell r="AX317">
            <v>3.88</v>
          </cell>
          <cell r="AY317">
            <v>0</v>
          </cell>
          <cell r="AZ317">
            <v>0</v>
          </cell>
          <cell r="BA317">
            <v>3.88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-7687.41</v>
          </cell>
          <cell r="BO317">
            <v>0</v>
          </cell>
          <cell r="BP317">
            <v>0</v>
          </cell>
          <cell r="BQ317">
            <v>-7687.41</v>
          </cell>
          <cell r="BR317">
            <v>523356.5</v>
          </cell>
          <cell r="BS317">
            <v>0</v>
          </cell>
          <cell r="BT317">
            <v>0</v>
          </cell>
          <cell r="BU317">
            <v>523356.5</v>
          </cell>
          <cell r="BV317">
            <v>15142.54</v>
          </cell>
          <cell r="BW317">
            <v>0</v>
          </cell>
          <cell r="BX317">
            <v>0</v>
          </cell>
          <cell r="BY317">
            <v>15142.54</v>
          </cell>
          <cell r="BZ317">
            <v>25172.61</v>
          </cell>
          <cell r="CA317">
            <v>0</v>
          </cell>
          <cell r="CB317">
            <v>0</v>
          </cell>
          <cell r="CC317">
            <v>25172.61</v>
          </cell>
          <cell r="CD317">
            <v>93.11</v>
          </cell>
          <cell r="CE317">
            <v>0</v>
          </cell>
          <cell r="CF317">
            <v>0</v>
          </cell>
          <cell r="CG317">
            <v>93.11</v>
          </cell>
          <cell r="CH317">
            <v>87682.25</v>
          </cell>
          <cell r="CI317">
            <v>0</v>
          </cell>
          <cell r="CJ317">
            <v>0</v>
          </cell>
          <cell r="CK317">
            <v>87682.25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</row>
        <row r="318">
          <cell r="A318">
            <v>312</v>
          </cell>
          <cell r="B318" t="str">
            <v>E4210</v>
          </cell>
          <cell r="C318" t="str">
            <v>Met</v>
          </cell>
          <cell r="D318" t="str">
            <v>NW</v>
          </cell>
          <cell r="E318" t="str">
            <v>Wigan</v>
          </cell>
          <cell r="F318">
            <v>635367</v>
          </cell>
          <cell r="G318">
            <v>0</v>
          </cell>
          <cell r="H318">
            <v>0</v>
          </cell>
          <cell r="I318">
            <v>635367</v>
          </cell>
          <cell r="J318">
            <v>-235505</v>
          </cell>
          <cell r="K318">
            <v>0</v>
          </cell>
          <cell r="L318">
            <v>0</v>
          </cell>
          <cell r="M318">
            <v>-235505</v>
          </cell>
          <cell r="N318">
            <v>100867</v>
          </cell>
          <cell r="O318">
            <v>0</v>
          </cell>
          <cell r="P318">
            <v>0</v>
          </cell>
          <cell r="Q318">
            <v>100867</v>
          </cell>
          <cell r="R318">
            <v>179138</v>
          </cell>
          <cell r="S318">
            <v>0</v>
          </cell>
          <cell r="T318">
            <v>0</v>
          </cell>
          <cell r="U318">
            <v>179138</v>
          </cell>
          <cell r="V318">
            <v>6318895</v>
          </cell>
          <cell r="W318">
            <v>0</v>
          </cell>
          <cell r="X318">
            <v>0</v>
          </cell>
          <cell r="Y318">
            <v>6318895</v>
          </cell>
          <cell r="Z318">
            <v>159750</v>
          </cell>
          <cell r="AA318">
            <v>0</v>
          </cell>
          <cell r="AB318">
            <v>0</v>
          </cell>
          <cell r="AC318">
            <v>159750</v>
          </cell>
          <cell r="AD318">
            <v>1571585</v>
          </cell>
          <cell r="AE318">
            <v>0</v>
          </cell>
          <cell r="AF318">
            <v>0</v>
          </cell>
          <cell r="AG318">
            <v>1571585</v>
          </cell>
          <cell r="AH318">
            <v>-17489</v>
          </cell>
          <cell r="AI318">
            <v>0</v>
          </cell>
          <cell r="AJ318">
            <v>0</v>
          </cell>
          <cell r="AK318">
            <v>-17489</v>
          </cell>
          <cell r="AL318">
            <v>4828158</v>
          </cell>
          <cell r="AM318">
            <v>0</v>
          </cell>
          <cell r="AN318">
            <v>0</v>
          </cell>
          <cell r="AO318">
            <v>4828158</v>
          </cell>
          <cell r="AP318">
            <v>-159114</v>
          </cell>
          <cell r="AQ318">
            <v>0</v>
          </cell>
          <cell r="AR318">
            <v>0</v>
          </cell>
          <cell r="AS318">
            <v>-159114</v>
          </cell>
          <cell r="AT318">
            <v>156786</v>
          </cell>
          <cell r="AU318">
            <v>0</v>
          </cell>
          <cell r="AV318">
            <v>0</v>
          </cell>
          <cell r="AW318">
            <v>156786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79431</v>
          </cell>
          <cell r="BK318">
            <v>0</v>
          </cell>
          <cell r="BL318">
            <v>0</v>
          </cell>
          <cell r="BM318">
            <v>79431</v>
          </cell>
          <cell r="BN318">
            <v>110653</v>
          </cell>
          <cell r="BO318">
            <v>0</v>
          </cell>
          <cell r="BP318">
            <v>0</v>
          </cell>
          <cell r="BQ318">
            <v>110653</v>
          </cell>
          <cell r="BR318">
            <v>4418725</v>
          </cell>
          <cell r="BS318">
            <v>0</v>
          </cell>
          <cell r="BT318">
            <v>0</v>
          </cell>
          <cell r="BU318">
            <v>4418725</v>
          </cell>
          <cell r="BV318">
            <v>-305795</v>
          </cell>
          <cell r="BW318">
            <v>0</v>
          </cell>
          <cell r="BX318">
            <v>0</v>
          </cell>
          <cell r="BY318">
            <v>-305795</v>
          </cell>
          <cell r="BZ318">
            <v>449106</v>
          </cell>
          <cell r="CA318">
            <v>0</v>
          </cell>
          <cell r="CB318">
            <v>0</v>
          </cell>
          <cell r="CC318">
            <v>449106</v>
          </cell>
          <cell r="CD318">
            <v>31618</v>
          </cell>
          <cell r="CE318">
            <v>0</v>
          </cell>
          <cell r="CF318">
            <v>0</v>
          </cell>
          <cell r="CG318">
            <v>31618</v>
          </cell>
          <cell r="CH318">
            <v>785358</v>
          </cell>
          <cell r="CI318">
            <v>0</v>
          </cell>
          <cell r="CJ318">
            <v>0</v>
          </cell>
          <cell r="CK318">
            <v>785358</v>
          </cell>
          <cell r="CL318">
            <v>83910</v>
          </cell>
          <cell r="CM318">
            <v>0</v>
          </cell>
          <cell r="CN318">
            <v>0</v>
          </cell>
          <cell r="CO318">
            <v>83910</v>
          </cell>
          <cell r="CP318">
            <v>27516</v>
          </cell>
          <cell r="CQ318">
            <v>0</v>
          </cell>
          <cell r="CR318">
            <v>0</v>
          </cell>
          <cell r="CS318">
            <v>27516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1030</v>
          </cell>
          <cell r="EK318">
            <v>0</v>
          </cell>
          <cell r="EL318">
            <v>0</v>
          </cell>
          <cell r="EM318">
            <v>1030</v>
          </cell>
        </row>
        <row r="319">
          <cell r="A319">
            <v>313</v>
          </cell>
          <cell r="B319" t="str">
            <v>E3902</v>
          </cell>
          <cell r="C319" t="str">
            <v>UA</v>
          </cell>
          <cell r="D319" t="str">
            <v>SW</v>
          </cell>
          <cell r="E319" t="str">
            <v>Wiltshire UA</v>
          </cell>
          <cell r="F319">
            <v>467687</v>
          </cell>
          <cell r="G319">
            <v>0</v>
          </cell>
          <cell r="H319">
            <v>0</v>
          </cell>
          <cell r="I319">
            <v>467687</v>
          </cell>
          <cell r="J319">
            <v>-262740</v>
          </cell>
          <cell r="K319">
            <v>0</v>
          </cell>
          <cell r="L319">
            <v>0</v>
          </cell>
          <cell r="M319">
            <v>-262740</v>
          </cell>
          <cell r="N319">
            <v>84206</v>
          </cell>
          <cell r="O319">
            <v>0</v>
          </cell>
          <cell r="P319">
            <v>0</v>
          </cell>
          <cell r="Q319">
            <v>84206</v>
          </cell>
          <cell r="R319">
            <v>640586</v>
          </cell>
          <cell r="S319">
            <v>0</v>
          </cell>
          <cell r="T319">
            <v>0</v>
          </cell>
          <cell r="U319">
            <v>640586</v>
          </cell>
          <cell r="V319">
            <v>8723804</v>
          </cell>
          <cell r="W319">
            <v>0</v>
          </cell>
          <cell r="X319">
            <v>0</v>
          </cell>
          <cell r="Y319">
            <v>8723804</v>
          </cell>
          <cell r="Z319">
            <v>1025079</v>
          </cell>
          <cell r="AA319">
            <v>0</v>
          </cell>
          <cell r="AB319">
            <v>0</v>
          </cell>
          <cell r="AC319">
            <v>1025079</v>
          </cell>
          <cell r="AD319">
            <v>2678493</v>
          </cell>
          <cell r="AE319">
            <v>0</v>
          </cell>
          <cell r="AF319">
            <v>0</v>
          </cell>
          <cell r="AG319">
            <v>2678493</v>
          </cell>
          <cell r="AH319">
            <v>-24171</v>
          </cell>
          <cell r="AI319">
            <v>0</v>
          </cell>
          <cell r="AJ319">
            <v>0</v>
          </cell>
          <cell r="AK319">
            <v>-24171</v>
          </cell>
          <cell r="AL319">
            <v>9019016</v>
          </cell>
          <cell r="AM319">
            <v>0</v>
          </cell>
          <cell r="AN319">
            <v>0</v>
          </cell>
          <cell r="AO319">
            <v>9019016</v>
          </cell>
          <cell r="AP319">
            <v>84836</v>
          </cell>
          <cell r="AQ319">
            <v>0</v>
          </cell>
          <cell r="AR319">
            <v>0</v>
          </cell>
          <cell r="AS319">
            <v>84836</v>
          </cell>
          <cell r="AT319">
            <v>159842</v>
          </cell>
          <cell r="AU319">
            <v>0</v>
          </cell>
          <cell r="AV319">
            <v>0</v>
          </cell>
          <cell r="AW319">
            <v>159842</v>
          </cell>
          <cell r="AX319">
            <v>6397</v>
          </cell>
          <cell r="AY319">
            <v>0</v>
          </cell>
          <cell r="AZ319">
            <v>0</v>
          </cell>
          <cell r="BA319">
            <v>6397</v>
          </cell>
          <cell r="BB319">
            <v>230017</v>
          </cell>
          <cell r="BC319">
            <v>0</v>
          </cell>
          <cell r="BD319">
            <v>0</v>
          </cell>
          <cell r="BE319">
            <v>230017</v>
          </cell>
          <cell r="BF319">
            <v>5946</v>
          </cell>
          <cell r="BG319">
            <v>0</v>
          </cell>
          <cell r="BH319">
            <v>0</v>
          </cell>
          <cell r="BI319">
            <v>5946</v>
          </cell>
          <cell r="BJ319">
            <v>388637</v>
          </cell>
          <cell r="BK319">
            <v>0</v>
          </cell>
          <cell r="BL319">
            <v>0</v>
          </cell>
          <cell r="BM319">
            <v>388637</v>
          </cell>
          <cell r="BN319">
            <v>1133544</v>
          </cell>
          <cell r="BO319">
            <v>0</v>
          </cell>
          <cell r="BP319">
            <v>0</v>
          </cell>
          <cell r="BQ319">
            <v>1133544</v>
          </cell>
          <cell r="BR319">
            <v>4418589</v>
          </cell>
          <cell r="BS319">
            <v>0</v>
          </cell>
          <cell r="BT319">
            <v>0</v>
          </cell>
          <cell r="BU319">
            <v>4418589</v>
          </cell>
          <cell r="BV319">
            <v>422405</v>
          </cell>
          <cell r="BW319">
            <v>0</v>
          </cell>
          <cell r="BX319">
            <v>0</v>
          </cell>
          <cell r="BY319">
            <v>422405</v>
          </cell>
          <cell r="BZ319">
            <v>213030.27</v>
          </cell>
          <cell r="CA319">
            <v>0</v>
          </cell>
          <cell r="CB319">
            <v>0</v>
          </cell>
          <cell r="CC319">
            <v>213030.27</v>
          </cell>
          <cell r="CD319">
            <v>10078.549999999999</v>
          </cell>
          <cell r="CE319">
            <v>0</v>
          </cell>
          <cell r="CF319">
            <v>0</v>
          </cell>
          <cell r="CG319">
            <v>10078.549999999999</v>
          </cell>
          <cell r="CH319">
            <v>599805.24</v>
          </cell>
          <cell r="CI319">
            <v>0</v>
          </cell>
          <cell r="CJ319">
            <v>0</v>
          </cell>
          <cell r="CK319">
            <v>599805.24</v>
          </cell>
          <cell r="CL319">
            <v>-36805.46</v>
          </cell>
          <cell r="CM319">
            <v>0</v>
          </cell>
          <cell r="CN319">
            <v>0</v>
          </cell>
          <cell r="CO319">
            <v>-36805.46</v>
          </cell>
          <cell r="CP319">
            <v>624</v>
          </cell>
          <cell r="CQ319">
            <v>0</v>
          </cell>
          <cell r="CR319">
            <v>0</v>
          </cell>
          <cell r="CS319">
            <v>624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238053</v>
          </cell>
          <cell r="CY319">
            <v>0</v>
          </cell>
          <cell r="CZ319">
            <v>0</v>
          </cell>
          <cell r="DA319">
            <v>238053</v>
          </cell>
          <cell r="DB319">
            <v>18658</v>
          </cell>
          <cell r="DC319">
            <v>0</v>
          </cell>
          <cell r="DD319">
            <v>0</v>
          </cell>
          <cell r="DE319">
            <v>18658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16286</v>
          </cell>
          <cell r="EC319">
            <v>0</v>
          </cell>
          <cell r="ED319">
            <v>0</v>
          </cell>
          <cell r="EE319">
            <v>16286</v>
          </cell>
          <cell r="EF319">
            <v>68657</v>
          </cell>
          <cell r="EG319">
            <v>0</v>
          </cell>
          <cell r="EH319">
            <v>0</v>
          </cell>
          <cell r="EI319">
            <v>68657</v>
          </cell>
          <cell r="EJ319">
            <v>-779</v>
          </cell>
          <cell r="EK319">
            <v>0</v>
          </cell>
          <cell r="EL319">
            <v>0</v>
          </cell>
          <cell r="EM319">
            <v>-779</v>
          </cell>
        </row>
        <row r="320">
          <cell r="A320">
            <v>314</v>
          </cell>
          <cell r="B320" t="str">
            <v>E1743</v>
          </cell>
          <cell r="C320" t="str">
            <v>SD</v>
          </cell>
          <cell r="D320" t="str">
            <v>SE</v>
          </cell>
          <cell r="E320" t="str">
            <v>Winchester</v>
          </cell>
          <cell r="F320">
            <v>178726</v>
          </cell>
          <cell r="G320">
            <v>0</v>
          </cell>
          <cell r="H320">
            <v>0</v>
          </cell>
          <cell r="I320">
            <v>178726</v>
          </cell>
          <cell r="J320">
            <v>-187920</v>
          </cell>
          <cell r="K320">
            <v>0</v>
          </cell>
          <cell r="L320">
            <v>0</v>
          </cell>
          <cell r="M320">
            <v>-187920</v>
          </cell>
          <cell r="N320">
            <v>14871</v>
          </cell>
          <cell r="O320">
            <v>0</v>
          </cell>
          <cell r="P320">
            <v>0</v>
          </cell>
          <cell r="Q320">
            <v>14871</v>
          </cell>
          <cell r="R320">
            <v>66808</v>
          </cell>
          <cell r="S320">
            <v>0</v>
          </cell>
          <cell r="T320">
            <v>0</v>
          </cell>
          <cell r="U320">
            <v>66808</v>
          </cell>
          <cell r="V320">
            <v>2244746</v>
          </cell>
          <cell r="W320">
            <v>0</v>
          </cell>
          <cell r="X320">
            <v>0</v>
          </cell>
          <cell r="Y320">
            <v>2244746</v>
          </cell>
          <cell r="Z320">
            <v>153390</v>
          </cell>
          <cell r="AA320">
            <v>0</v>
          </cell>
          <cell r="AB320">
            <v>0</v>
          </cell>
          <cell r="AC320">
            <v>153390</v>
          </cell>
          <cell r="AD320">
            <v>1042220</v>
          </cell>
          <cell r="AE320">
            <v>0</v>
          </cell>
          <cell r="AF320">
            <v>0</v>
          </cell>
          <cell r="AG320">
            <v>1042220</v>
          </cell>
          <cell r="AH320">
            <v>793</v>
          </cell>
          <cell r="AI320">
            <v>0</v>
          </cell>
          <cell r="AJ320">
            <v>0</v>
          </cell>
          <cell r="AK320">
            <v>793</v>
          </cell>
          <cell r="AL320">
            <v>3156188</v>
          </cell>
          <cell r="AM320">
            <v>0</v>
          </cell>
          <cell r="AN320">
            <v>0</v>
          </cell>
          <cell r="AO320">
            <v>3156188</v>
          </cell>
          <cell r="AP320">
            <v>-22029</v>
          </cell>
          <cell r="AQ320">
            <v>0</v>
          </cell>
          <cell r="AR320">
            <v>0</v>
          </cell>
          <cell r="AS320">
            <v>-22029</v>
          </cell>
          <cell r="AT320">
            <v>42962</v>
          </cell>
          <cell r="AU320">
            <v>0</v>
          </cell>
          <cell r="AV320">
            <v>0</v>
          </cell>
          <cell r="AW320">
            <v>42962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14651</v>
          </cell>
          <cell r="BC320">
            <v>0</v>
          </cell>
          <cell r="BD320">
            <v>0</v>
          </cell>
          <cell r="BE320">
            <v>14651</v>
          </cell>
          <cell r="BF320">
            <v>186</v>
          </cell>
          <cell r="BG320">
            <v>0</v>
          </cell>
          <cell r="BH320">
            <v>0</v>
          </cell>
          <cell r="BI320">
            <v>186</v>
          </cell>
          <cell r="BJ320">
            <v>1482</v>
          </cell>
          <cell r="BK320">
            <v>0</v>
          </cell>
          <cell r="BL320">
            <v>0</v>
          </cell>
          <cell r="BM320">
            <v>1482</v>
          </cell>
          <cell r="BN320">
            <v>5915</v>
          </cell>
          <cell r="BO320">
            <v>0</v>
          </cell>
          <cell r="BP320">
            <v>0</v>
          </cell>
          <cell r="BQ320">
            <v>5915</v>
          </cell>
          <cell r="BR320">
            <v>1299546</v>
          </cell>
          <cell r="BS320">
            <v>0</v>
          </cell>
          <cell r="BT320">
            <v>0</v>
          </cell>
          <cell r="BU320">
            <v>1299546</v>
          </cell>
          <cell r="BV320">
            <v>49992</v>
          </cell>
          <cell r="BW320">
            <v>0</v>
          </cell>
          <cell r="BX320">
            <v>0</v>
          </cell>
          <cell r="BY320">
            <v>49992</v>
          </cell>
          <cell r="BZ320">
            <v>72273</v>
          </cell>
          <cell r="CA320">
            <v>0</v>
          </cell>
          <cell r="CB320">
            <v>0</v>
          </cell>
          <cell r="CC320">
            <v>72273</v>
          </cell>
          <cell r="CD320">
            <v>531</v>
          </cell>
          <cell r="CE320">
            <v>0</v>
          </cell>
          <cell r="CF320">
            <v>0</v>
          </cell>
          <cell r="CG320">
            <v>531</v>
          </cell>
          <cell r="CH320">
            <v>178757</v>
          </cell>
          <cell r="CI320">
            <v>0</v>
          </cell>
          <cell r="CJ320">
            <v>0</v>
          </cell>
          <cell r="CK320">
            <v>178757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3898</v>
          </cell>
          <cell r="CQ320">
            <v>0</v>
          </cell>
          <cell r="CR320">
            <v>0</v>
          </cell>
          <cell r="CS320">
            <v>3898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8448</v>
          </cell>
          <cell r="CY320">
            <v>0</v>
          </cell>
          <cell r="CZ320">
            <v>0</v>
          </cell>
          <cell r="DA320">
            <v>8448</v>
          </cell>
          <cell r="DB320">
            <v>186</v>
          </cell>
          <cell r="DC320">
            <v>0</v>
          </cell>
          <cell r="DD320">
            <v>0</v>
          </cell>
          <cell r="DE320">
            <v>186</v>
          </cell>
          <cell r="DF320">
            <v>9331</v>
          </cell>
          <cell r="DG320">
            <v>0</v>
          </cell>
          <cell r="DH320">
            <v>0</v>
          </cell>
          <cell r="DI320">
            <v>9331</v>
          </cell>
          <cell r="DJ320">
            <v>-4</v>
          </cell>
          <cell r="DK320">
            <v>0</v>
          </cell>
          <cell r="DL320">
            <v>0</v>
          </cell>
          <cell r="DM320">
            <v>-4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</row>
        <row r="321">
          <cell r="A321">
            <v>315</v>
          </cell>
          <cell r="B321" t="str">
            <v>E0305</v>
          </cell>
          <cell r="C321" t="str">
            <v>UA</v>
          </cell>
          <cell r="D321" t="str">
            <v>SE</v>
          </cell>
          <cell r="E321" t="str">
            <v>Windsor &amp; Maidenhead UA</v>
          </cell>
          <cell r="F321">
            <v>158055</v>
          </cell>
          <cell r="G321">
            <v>0</v>
          </cell>
          <cell r="H321">
            <v>0</v>
          </cell>
          <cell r="I321">
            <v>158055</v>
          </cell>
          <cell r="J321">
            <v>-222536.71</v>
          </cell>
          <cell r="K321">
            <v>0</v>
          </cell>
          <cell r="L321">
            <v>0</v>
          </cell>
          <cell r="M321">
            <v>-222536.71</v>
          </cell>
          <cell r="N321">
            <v>132155.63</v>
          </cell>
          <cell r="O321">
            <v>0</v>
          </cell>
          <cell r="P321">
            <v>0</v>
          </cell>
          <cell r="Q321">
            <v>132155.63</v>
          </cell>
          <cell r="R321">
            <v>251360.41</v>
          </cell>
          <cell r="S321">
            <v>0</v>
          </cell>
          <cell r="T321">
            <v>0</v>
          </cell>
          <cell r="U321">
            <v>251360.41</v>
          </cell>
          <cell r="V321">
            <v>1651565.48</v>
          </cell>
          <cell r="W321">
            <v>0</v>
          </cell>
          <cell r="X321">
            <v>0</v>
          </cell>
          <cell r="Y321">
            <v>1651565.48</v>
          </cell>
          <cell r="Z321">
            <v>131193.76</v>
          </cell>
          <cell r="AA321">
            <v>0</v>
          </cell>
          <cell r="AB321">
            <v>0</v>
          </cell>
          <cell r="AC321">
            <v>131193.76</v>
          </cell>
          <cell r="AD321">
            <v>1570106.47</v>
          </cell>
          <cell r="AE321">
            <v>0</v>
          </cell>
          <cell r="AF321">
            <v>0</v>
          </cell>
          <cell r="AG321">
            <v>1570106.47</v>
          </cell>
          <cell r="AH321">
            <v>-50370.61</v>
          </cell>
          <cell r="AI321">
            <v>0</v>
          </cell>
          <cell r="AJ321">
            <v>0</v>
          </cell>
          <cell r="AK321">
            <v>-50370.61</v>
          </cell>
          <cell r="AL321">
            <v>5277030.2699999996</v>
          </cell>
          <cell r="AM321">
            <v>0</v>
          </cell>
          <cell r="AN321">
            <v>0</v>
          </cell>
          <cell r="AO321">
            <v>5277030.2699999996</v>
          </cell>
          <cell r="AP321">
            <v>-135436.01</v>
          </cell>
          <cell r="AQ321">
            <v>0</v>
          </cell>
          <cell r="AR321">
            <v>0</v>
          </cell>
          <cell r="AS321">
            <v>-135436.01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10573.95</v>
          </cell>
          <cell r="BC321">
            <v>0</v>
          </cell>
          <cell r="BD321">
            <v>0</v>
          </cell>
          <cell r="BE321">
            <v>10573.95</v>
          </cell>
          <cell r="BF321">
            <v>0.02</v>
          </cell>
          <cell r="BG321">
            <v>0</v>
          </cell>
          <cell r="BH321">
            <v>0</v>
          </cell>
          <cell r="BI321">
            <v>0.02</v>
          </cell>
          <cell r="BJ321">
            <v>18072.650000000001</v>
          </cell>
          <cell r="BK321">
            <v>0</v>
          </cell>
          <cell r="BL321">
            <v>0</v>
          </cell>
          <cell r="BM321">
            <v>18072.650000000001</v>
          </cell>
          <cell r="BN321">
            <v>560.69000000000005</v>
          </cell>
          <cell r="BO321">
            <v>0</v>
          </cell>
          <cell r="BP321">
            <v>0</v>
          </cell>
          <cell r="BQ321">
            <v>560.69000000000005</v>
          </cell>
          <cell r="BR321">
            <v>3875396.05</v>
          </cell>
          <cell r="BS321">
            <v>0</v>
          </cell>
          <cell r="BT321">
            <v>0</v>
          </cell>
          <cell r="BU321">
            <v>3875396.05</v>
          </cell>
          <cell r="BV321">
            <v>-782306.88</v>
          </cell>
          <cell r="BW321">
            <v>0</v>
          </cell>
          <cell r="BX321">
            <v>0</v>
          </cell>
          <cell r="BY321">
            <v>-782306.88</v>
          </cell>
          <cell r="BZ321">
            <v>207561.69</v>
          </cell>
          <cell r="CA321">
            <v>0</v>
          </cell>
          <cell r="CB321">
            <v>0</v>
          </cell>
          <cell r="CC321">
            <v>207561.69</v>
          </cell>
          <cell r="CD321">
            <v>2534.41</v>
          </cell>
          <cell r="CE321">
            <v>0</v>
          </cell>
          <cell r="CF321">
            <v>0</v>
          </cell>
          <cell r="CG321">
            <v>2534.41</v>
          </cell>
          <cell r="CH321">
            <v>163343.57999999999</v>
          </cell>
          <cell r="CI321">
            <v>0</v>
          </cell>
          <cell r="CJ321">
            <v>0</v>
          </cell>
          <cell r="CK321">
            <v>163343.57999999999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27165.64</v>
          </cell>
          <cell r="DG321">
            <v>0</v>
          </cell>
          <cell r="DH321">
            <v>0</v>
          </cell>
          <cell r="DI321">
            <v>27165.64</v>
          </cell>
          <cell r="DJ321">
            <v>-1.02</v>
          </cell>
          <cell r="DK321">
            <v>0</v>
          </cell>
          <cell r="DL321">
            <v>0</v>
          </cell>
          <cell r="DM321">
            <v>-1.02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181143.9</v>
          </cell>
          <cell r="EC321">
            <v>0</v>
          </cell>
          <cell r="ED321">
            <v>0</v>
          </cell>
          <cell r="EE321">
            <v>181143.9</v>
          </cell>
          <cell r="EF321">
            <v>15947.66</v>
          </cell>
          <cell r="EG321">
            <v>0</v>
          </cell>
          <cell r="EH321">
            <v>0</v>
          </cell>
          <cell r="EI321">
            <v>15947.66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</row>
        <row r="322">
          <cell r="A322">
            <v>316</v>
          </cell>
          <cell r="B322" t="str">
            <v>E4305</v>
          </cell>
          <cell r="C322" t="str">
            <v>Met</v>
          </cell>
          <cell r="D322" t="str">
            <v>NW</v>
          </cell>
          <cell r="E322" t="str">
            <v>Wirral</v>
          </cell>
          <cell r="F322">
            <v>221435.68</v>
          </cell>
          <cell r="G322">
            <v>0</v>
          </cell>
          <cell r="H322">
            <v>0</v>
          </cell>
          <cell r="I322">
            <v>221435.68</v>
          </cell>
          <cell r="J322">
            <v>-172095.52</v>
          </cell>
          <cell r="K322">
            <v>0</v>
          </cell>
          <cell r="L322">
            <v>0</v>
          </cell>
          <cell r="M322">
            <v>-172095.52</v>
          </cell>
          <cell r="N322">
            <v>135703.51</v>
          </cell>
          <cell r="O322">
            <v>0</v>
          </cell>
          <cell r="P322">
            <v>0</v>
          </cell>
          <cell r="Q322">
            <v>135703.51</v>
          </cell>
          <cell r="R322">
            <v>176634.73</v>
          </cell>
          <cell r="S322">
            <v>0</v>
          </cell>
          <cell r="T322">
            <v>0</v>
          </cell>
          <cell r="U322">
            <v>176634.73</v>
          </cell>
          <cell r="V322">
            <v>5815423.3799999999</v>
          </cell>
          <cell r="W322">
            <v>0</v>
          </cell>
          <cell r="X322">
            <v>0</v>
          </cell>
          <cell r="Y322">
            <v>5815423.3799999999</v>
          </cell>
          <cell r="Z322">
            <v>176064</v>
          </cell>
          <cell r="AA322">
            <v>0</v>
          </cell>
          <cell r="AB322">
            <v>0</v>
          </cell>
          <cell r="AC322">
            <v>176064</v>
          </cell>
          <cell r="AD322">
            <v>1346091.35</v>
          </cell>
          <cell r="AE322">
            <v>0</v>
          </cell>
          <cell r="AF322">
            <v>0</v>
          </cell>
          <cell r="AG322">
            <v>1346091.35</v>
          </cell>
          <cell r="AH322">
            <v>-23206</v>
          </cell>
          <cell r="AI322">
            <v>0</v>
          </cell>
          <cell r="AJ322">
            <v>0</v>
          </cell>
          <cell r="AK322">
            <v>-23206</v>
          </cell>
          <cell r="AL322">
            <v>4634656</v>
          </cell>
          <cell r="AM322">
            <v>0</v>
          </cell>
          <cell r="AN322">
            <v>0</v>
          </cell>
          <cell r="AO322">
            <v>4634656</v>
          </cell>
          <cell r="AP322">
            <v>24827</v>
          </cell>
          <cell r="AQ322">
            <v>0</v>
          </cell>
          <cell r="AR322">
            <v>0</v>
          </cell>
          <cell r="AS322">
            <v>24827</v>
          </cell>
          <cell r="AT322">
            <v>30992</v>
          </cell>
          <cell r="AU322">
            <v>0</v>
          </cell>
          <cell r="AV322">
            <v>0</v>
          </cell>
          <cell r="AW322">
            <v>30992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565</v>
          </cell>
          <cell r="BC322">
            <v>0</v>
          </cell>
          <cell r="BD322">
            <v>0</v>
          </cell>
          <cell r="BE322">
            <v>565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123546</v>
          </cell>
          <cell r="BK322">
            <v>0</v>
          </cell>
          <cell r="BL322">
            <v>0</v>
          </cell>
          <cell r="BM322">
            <v>123546</v>
          </cell>
          <cell r="BN322">
            <v>1684</v>
          </cell>
          <cell r="BO322">
            <v>0</v>
          </cell>
          <cell r="BP322">
            <v>0</v>
          </cell>
          <cell r="BQ322">
            <v>1684</v>
          </cell>
          <cell r="BR322">
            <v>3710641</v>
          </cell>
          <cell r="BS322">
            <v>0</v>
          </cell>
          <cell r="BT322">
            <v>0</v>
          </cell>
          <cell r="BU322">
            <v>3710641</v>
          </cell>
          <cell r="BV322">
            <v>243575</v>
          </cell>
          <cell r="BW322">
            <v>0</v>
          </cell>
          <cell r="BX322">
            <v>0</v>
          </cell>
          <cell r="BY322">
            <v>243575</v>
          </cell>
          <cell r="BZ322">
            <v>567801</v>
          </cell>
          <cell r="CA322">
            <v>0</v>
          </cell>
          <cell r="CB322">
            <v>0</v>
          </cell>
          <cell r="CC322">
            <v>567801</v>
          </cell>
          <cell r="CD322">
            <v>-31466</v>
          </cell>
          <cell r="CE322">
            <v>0</v>
          </cell>
          <cell r="CF322">
            <v>0</v>
          </cell>
          <cell r="CG322">
            <v>-31466</v>
          </cell>
          <cell r="CH322">
            <v>140899</v>
          </cell>
          <cell r="CI322">
            <v>0</v>
          </cell>
          <cell r="CJ322">
            <v>0</v>
          </cell>
          <cell r="CK322">
            <v>140899</v>
          </cell>
          <cell r="CL322">
            <v>16794</v>
          </cell>
          <cell r="CM322">
            <v>0</v>
          </cell>
          <cell r="CN322">
            <v>0</v>
          </cell>
          <cell r="CO322">
            <v>16794</v>
          </cell>
          <cell r="CP322">
            <v>7748</v>
          </cell>
          <cell r="CQ322">
            <v>0</v>
          </cell>
          <cell r="CR322">
            <v>0</v>
          </cell>
          <cell r="CS322">
            <v>7748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565</v>
          </cell>
          <cell r="CY322">
            <v>0</v>
          </cell>
          <cell r="CZ322">
            <v>0</v>
          </cell>
          <cell r="DA322">
            <v>565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16343</v>
          </cell>
          <cell r="DS322">
            <v>0</v>
          </cell>
          <cell r="DT322">
            <v>0</v>
          </cell>
          <cell r="DU322">
            <v>16343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323623</v>
          </cell>
          <cell r="EC322">
            <v>0</v>
          </cell>
          <cell r="ED322">
            <v>0</v>
          </cell>
          <cell r="EE322">
            <v>323623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</row>
        <row r="323">
          <cell r="A323">
            <v>317</v>
          </cell>
          <cell r="B323" t="str">
            <v>E3641</v>
          </cell>
          <cell r="C323" t="str">
            <v>SD</v>
          </cell>
          <cell r="D323" t="str">
            <v>SE</v>
          </cell>
          <cell r="E323" t="str">
            <v>Woking</v>
          </cell>
          <cell r="F323">
            <v>36781.760000000002</v>
          </cell>
          <cell r="G323">
            <v>0</v>
          </cell>
          <cell r="H323">
            <v>0</v>
          </cell>
          <cell r="I323">
            <v>36781.760000000002</v>
          </cell>
          <cell r="J323">
            <v>-15574.13</v>
          </cell>
          <cell r="K323">
            <v>0</v>
          </cell>
          <cell r="L323">
            <v>0</v>
          </cell>
          <cell r="M323">
            <v>-15574.13</v>
          </cell>
          <cell r="N323">
            <v>117824.16</v>
          </cell>
          <cell r="O323">
            <v>0</v>
          </cell>
          <cell r="P323">
            <v>0</v>
          </cell>
          <cell r="Q323">
            <v>117824.16</v>
          </cell>
          <cell r="R323">
            <v>326521.75</v>
          </cell>
          <cell r="S323">
            <v>0</v>
          </cell>
          <cell r="T323">
            <v>0</v>
          </cell>
          <cell r="U323">
            <v>326521.75</v>
          </cell>
          <cell r="V323">
            <v>966127.73</v>
          </cell>
          <cell r="W323">
            <v>0</v>
          </cell>
          <cell r="X323">
            <v>0</v>
          </cell>
          <cell r="Y323">
            <v>966127.73</v>
          </cell>
          <cell r="Z323">
            <v>10630.36</v>
          </cell>
          <cell r="AA323">
            <v>0</v>
          </cell>
          <cell r="AB323">
            <v>0</v>
          </cell>
          <cell r="AC323">
            <v>10630.36</v>
          </cell>
          <cell r="AD323">
            <v>878328.7</v>
          </cell>
          <cell r="AE323">
            <v>0</v>
          </cell>
          <cell r="AF323">
            <v>0</v>
          </cell>
          <cell r="AG323">
            <v>878328.7</v>
          </cell>
          <cell r="AH323">
            <v>-14644.65</v>
          </cell>
          <cell r="AI323">
            <v>0</v>
          </cell>
          <cell r="AJ323">
            <v>0</v>
          </cell>
          <cell r="AK323">
            <v>-14644.65</v>
          </cell>
          <cell r="AL323">
            <v>2168139.17</v>
          </cell>
          <cell r="AM323">
            <v>0</v>
          </cell>
          <cell r="AN323">
            <v>0</v>
          </cell>
          <cell r="AO323">
            <v>2168139.17</v>
          </cell>
          <cell r="AP323">
            <v>17084.46</v>
          </cell>
          <cell r="AQ323">
            <v>0</v>
          </cell>
          <cell r="AR323">
            <v>0</v>
          </cell>
          <cell r="AS323">
            <v>17084.46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682.95</v>
          </cell>
          <cell r="BC323">
            <v>0</v>
          </cell>
          <cell r="BD323">
            <v>0</v>
          </cell>
          <cell r="BE323">
            <v>682.95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7111.88</v>
          </cell>
          <cell r="BK323">
            <v>0</v>
          </cell>
          <cell r="BL323">
            <v>0</v>
          </cell>
          <cell r="BM323">
            <v>7111.88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1480444.29</v>
          </cell>
          <cell r="BS323">
            <v>0</v>
          </cell>
          <cell r="BT323">
            <v>0</v>
          </cell>
          <cell r="BU323">
            <v>1480444.29</v>
          </cell>
          <cell r="BV323">
            <v>73660.69</v>
          </cell>
          <cell r="BW323">
            <v>0</v>
          </cell>
          <cell r="BX323">
            <v>0</v>
          </cell>
          <cell r="BY323">
            <v>73660.69</v>
          </cell>
          <cell r="BZ323">
            <v>294018.69</v>
          </cell>
          <cell r="CA323">
            <v>0</v>
          </cell>
          <cell r="CB323">
            <v>0</v>
          </cell>
          <cell r="CC323">
            <v>294018.69</v>
          </cell>
          <cell r="CD323">
            <v>1491.71</v>
          </cell>
          <cell r="CE323">
            <v>0</v>
          </cell>
          <cell r="CF323">
            <v>0</v>
          </cell>
          <cell r="CG323">
            <v>1491.71</v>
          </cell>
          <cell r="CH323">
            <v>42296.83</v>
          </cell>
          <cell r="CI323">
            <v>0</v>
          </cell>
          <cell r="CJ323">
            <v>0</v>
          </cell>
          <cell r="CK323">
            <v>42296.83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349323.08</v>
          </cell>
          <cell r="EG323">
            <v>0</v>
          </cell>
          <cell r="EH323">
            <v>0</v>
          </cell>
          <cell r="EI323">
            <v>349323.08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</row>
        <row r="324">
          <cell r="A324">
            <v>318</v>
          </cell>
          <cell r="B324" t="str">
            <v>E0306</v>
          </cell>
          <cell r="C324" t="str">
            <v>UA</v>
          </cell>
          <cell r="D324" t="str">
            <v>SE</v>
          </cell>
          <cell r="E324" t="str">
            <v>Wokingham UA</v>
          </cell>
          <cell r="F324">
            <v>78120</v>
          </cell>
          <cell r="G324">
            <v>0</v>
          </cell>
          <cell r="H324">
            <v>0</v>
          </cell>
          <cell r="I324">
            <v>78120</v>
          </cell>
          <cell r="J324">
            <v>-35950</v>
          </cell>
          <cell r="K324">
            <v>0</v>
          </cell>
          <cell r="L324">
            <v>0</v>
          </cell>
          <cell r="M324">
            <v>-35950</v>
          </cell>
          <cell r="N324">
            <v>103771</v>
          </cell>
          <cell r="O324">
            <v>0</v>
          </cell>
          <cell r="P324">
            <v>0</v>
          </cell>
          <cell r="Q324">
            <v>103771</v>
          </cell>
          <cell r="R324">
            <v>164315</v>
          </cell>
          <cell r="S324">
            <v>0</v>
          </cell>
          <cell r="T324">
            <v>0</v>
          </cell>
          <cell r="U324">
            <v>164315</v>
          </cell>
          <cell r="V324">
            <v>1590307</v>
          </cell>
          <cell r="W324">
            <v>0</v>
          </cell>
          <cell r="X324">
            <v>0</v>
          </cell>
          <cell r="Y324">
            <v>1590307</v>
          </cell>
          <cell r="Z324">
            <v>80201</v>
          </cell>
          <cell r="AA324">
            <v>0</v>
          </cell>
          <cell r="AB324">
            <v>0</v>
          </cell>
          <cell r="AC324">
            <v>80201</v>
          </cell>
          <cell r="AD324">
            <v>1115232</v>
          </cell>
          <cell r="AE324">
            <v>0</v>
          </cell>
          <cell r="AF324">
            <v>0</v>
          </cell>
          <cell r="AG324">
            <v>1115232</v>
          </cell>
          <cell r="AH324">
            <v>17794</v>
          </cell>
          <cell r="AI324">
            <v>0</v>
          </cell>
          <cell r="AJ324">
            <v>0</v>
          </cell>
          <cell r="AK324">
            <v>17794</v>
          </cell>
          <cell r="AL324">
            <v>5296561</v>
          </cell>
          <cell r="AM324">
            <v>0</v>
          </cell>
          <cell r="AN324">
            <v>0</v>
          </cell>
          <cell r="AO324">
            <v>5296561</v>
          </cell>
          <cell r="AP324">
            <v>43504</v>
          </cell>
          <cell r="AQ324">
            <v>0</v>
          </cell>
          <cell r="AR324">
            <v>0</v>
          </cell>
          <cell r="AS324">
            <v>43504</v>
          </cell>
          <cell r="AT324">
            <v>52903</v>
          </cell>
          <cell r="AU324">
            <v>0</v>
          </cell>
          <cell r="AV324">
            <v>0</v>
          </cell>
          <cell r="AW324">
            <v>52903</v>
          </cell>
          <cell r="AX324">
            <v>4659</v>
          </cell>
          <cell r="AY324">
            <v>0</v>
          </cell>
          <cell r="AZ324">
            <v>0</v>
          </cell>
          <cell r="BA324">
            <v>4659</v>
          </cell>
          <cell r="BB324">
            <v>4814</v>
          </cell>
          <cell r="BC324">
            <v>0</v>
          </cell>
          <cell r="BD324">
            <v>0</v>
          </cell>
          <cell r="BE324">
            <v>4814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88455</v>
          </cell>
          <cell r="BK324">
            <v>0</v>
          </cell>
          <cell r="BL324">
            <v>0</v>
          </cell>
          <cell r="BM324">
            <v>88455</v>
          </cell>
          <cell r="BN324">
            <v>21189</v>
          </cell>
          <cell r="BO324">
            <v>0</v>
          </cell>
          <cell r="BP324">
            <v>0</v>
          </cell>
          <cell r="BQ324">
            <v>21189</v>
          </cell>
          <cell r="BR324">
            <v>1723330</v>
          </cell>
          <cell r="BS324">
            <v>0</v>
          </cell>
          <cell r="BT324">
            <v>0</v>
          </cell>
          <cell r="BU324">
            <v>1723330</v>
          </cell>
          <cell r="BV324">
            <v>-22790</v>
          </cell>
          <cell r="BW324">
            <v>0</v>
          </cell>
          <cell r="BX324">
            <v>0</v>
          </cell>
          <cell r="BY324">
            <v>-22790</v>
          </cell>
          <cell r="BZ324">
            <v>5460</v>
          </cell>
          <cell r="CA324">
            <v>0</v>
          </cell>
          <cell r="CB324">
            <v>0</v>
          </cell>
          <cell r="CC324">
            <v>5460</v>
          </cell>
          <cell r="CD324">
            <v>-4</v>
          </cell>
          <cell r="CE324">
            <v>0</v>
          </cell>
          <cell r="CF324">
            <v>0</v>
          </cell>
          <cell r="CG324">
            <v>-4</v>
          </cell>
          <cell r="CH324">
            <v>29453</v>
          </cell>
          <cell r="CI324">
            <v>0</v>
          </cell>
          <cell r="CJ324">
            <v>0</v>
          </cell>
          <cell r="CK324">
            <v>29453</v>
          </cell>
          <cell r="CL324">
            <v>11325</v>
          </cell>
          <cell r="CM324">
            <v>0</v>
          </cell>
          <cell r="CN324">
            <v>0</v>
          </cell>
          <cell r="CO324">
            <v>11325</v>
          </cell>
          <cell r="CP324">
            <v>796</v>
          </cell>
          <cell r="CQ324">
            <v>0</v>
          </cell>
          <cell r="CR324">
            <v>0</v>
          </cell>
          <cell r="CS324">
            <v>796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810</v>
          </cell>
          <cell r="CY324">
            <v>0</v>
          </cell>
          <cell r="CZ324">
            <v>0</v>
          </cell>
          <cell r="DA324">
            <v>810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7304</v>
          </cell>
          <cell r="DO324">
            <v>0</v>
          </cell>
          <cell r="DP324">
            <v>0</v>
          </cell>
          <cell r="DQ324">
            <v>7304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67781</v>
          </cell>
          <cell r="EC324">
            <v>0</v>
          </cell>
          <cell r="ED324">
            <v>0</v>
          </cell>
          <cell r="EE324">
            <v>67781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</row>
        <row r="325">
          <cell r="A325">
            <v>319</v>
          </cell>
          <cell r="B325" t="str">
            <v>E4607</v>
          </cell>
          <cell r="C325" t="str">
            <v>Met</v>
          </cell>
          <cell r="D325" t="str">
            <v>WM</v>
          </cell>
          <cell r="E325" t="str">
            <v>Wolverhampton</v>
          </cell>
          <cell r="F325">
            <v>420897</v>
          </cell>
          <cell r="G325">
            <v>0</v>
          </cell>
          <cell r="H325">
            <v>0</v>
          </cell>
          <cell r="I325">
            <v>420897</v>
          </cell>
          <cell r="J325">
            <v>-148463</v>
          </cell>
          <cell r="K325">
            <v>0</v>
          </cell>
          <cell r="L325">
            <v>0</v>
          </cell>
          <cell r="M325">
            <v>-148463</v>
          </cell>
          <cell r="N325">
            <v>58453</v>
          </cell>
          <cell r="O325">
            <v>0</v>
          </cell>
          <cell r="P325">
            <v>0</v>
          </cell>
          <cell r="Q325">
            <v>58453</v>
          </cell>
          <cell r="R325">
            <v>147432</v>
          </cell>
          <cell r="S325">
            <v>0</v>
          </cell>
          <cell r="T325">
            <v>0</v>
          </cell>
          <cell r="U325">
            <v>147432</v>
          </cell>
          <cell r="V325">
            <v>4825496</v>
          </cell>
          <cell r="W325">
            <v>0</v>
          </cell>
          <cell r="X325">
            <v>0</v>
          </cell>
          <cell r="Y325">
            <v>4825496</v>
          </cell>
          <cell r="Z325">
            <v>435105</v>
          </cell>
          <cell r="AA325">
            <v>0</v>
          </cell>
          <cell r="AB325">
            <v>0</v>
          </cell>
          <cell r="AC325">
            <v>435105</v>
          </cell>
          <cell r="AD325">
            <v>1442262</v>
          </cell>
          <cell r="AE325">
            <v>0</v>
          </cell>
          <cell r="AF325">
            <v>0</v>
          </cell>
          <cell r="AG325">
            <v>1442262</v>
          </cell>
          <cell r="AH325">
            <v>28148</v>
          </cell>
          <cell r="AI325">
            <v>0</v>
          </cell>
          <cell r="AJ325">
            <v>0</v>
          </cell>
          <cell r="AK325">
            <v>28148</v>
          </cell>
          <cell r="AL325">
            <v>4027612</v>
          </cell>
          <cell r="AM325">
            <v>0</v>
          </cell>
          <cell r="AN325">
            <v>0</v>
          </cell>
          <cell r="AO325">
            <v>4027612</v>
          </cell>
          <cell r="AP325">
            <v>-40420</v>
          </cell>
          <cell r="AQ325">
            <v>0</v>
          </cell>
          <cell r="AR325">
            <v>0</v>
          </cell>
          <cell r="AS325">
            <v>-40420</v>
          </cell>
          <cell r="AT325">
            <v>13291</v>
          </cell>
          <cell r="AU325">
            <v>0</v>
          </cell>
          <cell r="AV325">
            <v>0</v>
          </cell>
          <cell r="AW325">
            <v>13291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11856</v>
          </cell>
          <cell r="BK325">
            <v>0</v>
          </cell>
          <cell r="BL325">
            <v>0</v>
          </cell>
          <cell r="BM325">
            <v>11856</v>
          </cell>
          <cell r="BN325">
            <v>29561</v>
          </cell>
          <cell r="BO325">
            <v>0</v>
          </cell>
          <cell r="BP325">
            <v>0</v>
          </cell>
          <cell r="BQ325">
            <v>29561</v>
          </cell>
          <cell r="BR325">
            <v>3675115</v>
          </cell>
          <cell r="BS325">
            <v>0</v>
          </cell>
          <cell r="BT325">
            <v>0</v>
          </cell>
          <cell r="BU325">
            <v>3675115</v>
          </cell>
          <cell r="BV325">
            <v>-45685</v>
          </cell>
          <cell r="BW325">
            <v>0</v>
          </cell>
          <cell r="BX325">
            <v>0</v>
          </cell>
          <cell r="BY325">
            <v>-45685</v>
          </cell>
          <cell r="BZ325">
            <v>424796</v>
          </cell>
          <cell r="CA325">
            <v>0</v>
          </cell>
          <cell r="CB325">
            <v>0</v>
          </cell>
          <cell r="CC325">
            <v>424796</v>
          </cell>
          <cell r="CD325">
            <v>2180</v>
          </cell>
          <cell r="CE325">
            <v>0</v>
          </cell>
          <cell r="CF325">
            <v>0</v>
          </cell>
          <cell r="CG325">
            <v>2180</v>
          </cell>
          <cell r="CH325">
            <v>369373</v>
          </cell>
          <cell r="CI325">
            <v>0</v>
          </cell>
          <cell r="CJ325">
            <v>0</v>
          </cell>
          <cell r="CK325">
            <v>369373</v>
          </cell>
          <cell r="CL325">
            <v>5540</v>
          </cell>
          <cell r="CM325">
            <v>0</v>
          </cell>
          <cell r="CN325">
            <v>0</v>
          </cell>
          <cell r="CO325">
            <v>5540</v>
          </cell>
          <cell r="CP325">
            <v>1754</v>
          </cell>
          <cell r="CQ325">
            <v>0</v>
          </cell>
          <cell r="CR325">
            <v>0</v>
          </cell>
          <cell r="CS325">
            <v>1754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4188</v>
          </cell>
          <cell r="EK325">
            <v>0</v>
          </cell>
          <cell r="EL325">
            <v>0</v>
          </cell>
          <cell r="EM325">
            <v>4188</v>
          </cell>
        </row>
        <row r="326">
          <cell r="A326">
            <v>320</v>
          </cell>
          <cell r="B326" t="str">
            <v>E1837</v>
          </cell>
          <cell r="C326" t="str">
            <v>SD</v>
          </cell>
          <cell r="D326" t="str">
            <v>WM</v>
          </cell>
          <cell r="E326" t="str">
            <v>Worcester</v>
          </cell>
          <cell r="F326">
            <v>74726</v>
          </cell>
          <cell r="G326">
            <v>0</v>
          </cell>
          <cell r="H326">
            <v>0</v>
          </cell>
          <cell r="I326">
            <v>74726</v>
          </cell>
          <cell r="J326">
            <v>-25407</v>
          </cell>
          <cell r="K326">
            <v>0</v>
          </cell>
          <cell r="L326">
            <v>0</v>
          </cell>
          <cell r="M326">
            <v>-25407</v>
          </cell>
          <cell r="N326">
            <v>37746</v>
          </cell>
          <cell r="O326">
            <v>0</v>
          </cell>
          <cell r="P326">
            <v>0</v>
          </cell>
          <cell r="Q326">
            <v>37746</v>
          </cell>
          <cell r="R326">
            <v>263409</v>
          </cell>
          <cell r="S326">
            <v>0</v>
          </cell>
          <cell r="T326">
            <v>0</v>
          </cell>
          <cell r="U326">
            <v>263409</v>
          </cell>
          <cell r="V326">
            <v>1668266</v>
          </cell>
          <cell r="W326">
            <v>0</v>
          </cell>
          <cell r="X326">
            <v>0</v>
          </cell>
          <cell r="Y326">
            <v>1668266</v>
          </cell>
          <cell r="Z326">
            <v>9052</v>
          </cell>
          <cell r="AA326">
            <v>0</v>
          </cell>
          <cell r="AB326">
            <v>0</v>
          </cell>
          <cell r="AC326">
            <v>9052</v>
          </cell>
          <cell r="AD326">
            <v>813931</v>
          </cell>
          <cell r="AE326">
            <v>0</v>
          </cell>
          <cell r="AF326">
            <v>0</v>
          </cell>
          <cell r="AG326">
            <v>813931</v>
          </cell>
          <cell r="AH326">
            <v>-19069</v>
          </cell>
          <cell r="AI326">
            <v>0</v>
          </cell>
          <cell r="AJ326">
            <v>0</v>
          </cell>
          <cell r="AK326">
            <v>-19069</v>
          </cell>
          <cell r="AL326">
            <v>3279573</v>
          </cell>
          <cell r="AM326">
            <v>0</v>
          </cell>
          <cell r="AN326">
            <v>0</v>
          </cell>
          <cell r="AO326">
            <v>3279573</v>
          </cell>
          <cell r="AP326">
            <v>-73894</v>
          </cell>
          <cell r="AQ326">
            <v>0</v>
          </cell>
          <cell r="AR326">
            <v>0</v>
          </cell>
          <cell r="AS326">
            <v>-73894</v>
          </cell>
          <cell r="AT326">
            <v>17239</v>
          </cell>
          <cell r="AU326">
            <v>0</v>
          </cell>
          <cell r="AV326">
            <v>0</v>
          </cell>
          <cell r="AW326">
            <v>17239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44561</v>
          </cell>
          <cell r="BK326">
            <v>0</v>
          </cell>
          <cell r="BL326">
            <v>0</v>
          </cell>
          <cell r="BM326">
            <v>44561</v>
          </cell>
          <cell r="BN326">
            <v>5020</v>
          </cell>
          <cell r="BO326">
            <v>0</v>
          </cell>
          <cell r="BP326">
            <v>0</v>
          </cell>
          <cell r="BQ326">
            <v>5020</v>
          </cell>
          <cell r="BR326">
            <v>1690453</v>
          </cell>
          <cell r="BS326">
            <v>0</v>
          </cell>
          <cell r="BT326">
            <v>0</v>
          </cell>
          <cell r="BU326">
            <v>1690453</v>
          </cell>
          <cell r="BV326">
            <v>88455</v>
          </cell>
          <cell r="BW326">
            <v>0</v>
          </cell>
          <cell r="BX326">
            <v>0</v>
          </cell>
          <cell r="BY326">
            <v>88455</v>
          </cell>
          <cell r="BZ326">
            <v>196620</v>
          </cell>
          <cell r="CA326">
            <v>0</v>
          </cell>
          <cell r="CB326">
            <v>0</v>
          </cell>
          <cell r="CC326">
            <v>196620</v>
          </cell>
          <cell r="CD326">
            <v>5135</v>
          </cell>
          <cell r="CE326">
            <v>0</v>
          </cell>
          <cell r="CF326">
            <v>0</v>
          </cell>
          <cell r="CG326">
            <v>5135</v>
          </cell>
          <cell r="CH326">
            <v>20631</v>
          </cell>
          <cell r="CI326">
            <v>0</v>
          </cell>
          <cell r="CJ326">
            <v>0</v>
          </cell>
          <cell r="CK326">
            <v>20631</v>
          </cell>
          <cell r="CL326">
            <v>3300</v>
          </cell>
          <cell r="CM326">
            <v>0</v>
          </cell>
          <cell r="CN326">
            <v>0</v>
          </cell>
          <cell r="CO326">
            <v>3300</v>
          </cell>
          <cell r="CP326">
            <v>4310</v>
          </cell>
          <cell r="CQ326">
            <v>0</v>
          </cell>
          <cell r="CR326">
            <v>0</v>
          </cell>
          <cell r="CS326">
            <v>4310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29378</v>
          </cell>
          <cell r="EC326">
            <v>0</v>
          </cell>
          <cell r="ED326">
            <v>0</v>
          </cell>
          <cell r="EE326">
            <v>29378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</row>
        <row r="327">
          <cell r="A327">
            <v>321</v>
          </cell>
          <cell r="B327" t="str">
            <v>E3837</v>
          </cell>
          <cell r="C327" t="str">
            <v>SD</v>
          </cell>
          <cell r="D327" t="str">
            <v>SE</v>
          </cell>
          <cell r="E327" t="str">
            <v>Worthing</v>
          </cell>
          <cell r="F327">
            <v>46113</v>
          </cell>
          <cell r="G327">
            <v>0</v>
          </cell>
          <cell r="H327">
            <v>0</v>
          </cell>
          <cell r="I327">
            <v>46113</v>
          </cell>
          <cell r="J327">
            <v>-6636</v>
          </cell>
          <cell r="K327">
            <v>0</v>
          </cell>
          <cell r="L327">
            <v>0</v>
          </cell>
          <cell r="M327">
            <v>-6636</v>
          </cell>
          <cell r="N327">
            <v>52101</v>
          </cell>
          <cell r="O327">
            <v>0</v>
          </cell>
          <cell r="P327">
            <v>0</v>
          </cell>
          <cell r="Q327">
            <v>52101</v>
          </cell>
          <cell r="R327">
            <v>36148</v>
          </cell>
          <cell r="S327">
            <v>0</v>
          </cell>
          <cell r="T327">
            <v>0</v>
          </cell>
          <cell r="U327">
            <v>36148</v>
          </cell>
          <cell r="V327">
            <v>1945097</v>
          </cell>
          <cell r="W327">
            <v>0</v>
          </cell>
          <cell r="X327">
            <v>0</v>
          </cell>
          <cell r="Y327">
            <v>1945097</v>
          </cell>
          <cell r="Z327">
            <v>27442</v>
          </cell>
          <cell r="AA327">
            <v>0</v>
          </cell>
          <cell r="AB327">
            <v>0</v>
          </cell>
          <cell r="AC327">
            <v>27442</v>
          </cell>
          <cell r="AD327">
            <v>592734</v>
          </cell>
          <cell r="AE327">
            <v>0</v>
          </cell>
          <cell r="AF327">
            <v>0</v>
          </cell>
          <cell r="AG327">
            <v>592734</v>
          </cell>
          <cell r="AH327">
            <v>-2738</v>
          </cell>
          <cell r="AI327">
            <v>0</v>
          </cell>
          <cell r="AJ327">
            <v>0</v>
          </cell>
          <cell r="AK327">
            <v>-2738</v>
          </cell>
          <cell r="AL327">
            <v>1613119</v>
          </cell>
          <cell r="AM327">
            <v>0</v>
          </cell>
          <cell r="AN327">
            <v>0</v>
          </cell>
          <cell r="AO327">
            <v>1613119</v>
          </cell>
          <cell r="AP327">
            <v>15891</v>
          </cell>
          <cell r="AQ327">
            <v>0</v>
          </cell>
          <cell r="AR327">
            <v>0</v>
          </cell>
          <cell r="AS327">
            <v>15891</v>
          </cell>
          <cell r="AT327">
            <v>38575</v>
          </cell>
          <cell r="AU327">
            <v>0</v>
          </cell>
          <cell r="AV327">
            <v>0</v>
          </cell>
          <cell r="AW327">
            <v>38575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13512</v>
          </cell>
          <cell r="BK327">
            <v>0</v>
          </cell>
          <cell r="BL327">
            <v>0</v>
          </cell>
          <cell r="BM327">
            <v>13512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1034634</v>
          </cell>
          <cell r="BS327">
            <v>0</v>
          </cell>
          <cell r="BT327">
            <v>0</v>
          </cell>
          <cell r="BU327">
            <v>1034634</v>
          </cell>
          <cell r="BV327">
            <v>-26713</v>
          </cell>
          <cell r="BW327">
            <v>0</v>
          </cell>
          <cell r="BX327">
            <v>0</v>
          </cell>
          <cell r="BY327">
            <v>-26713</v>
          </cell>
          <cell r="BZ327">
            <v>84475</v>
          </cell>
          <cell r="CA327">
            <v>0</v>
          </cell>
          <cell r="CB327">
            <v>0</v>
          </cell>
          <cell r="CC327">
            <v>84475</v>
          </cell>
          <cell r="CD327">
            <v>2065</v>
          </cell>
          <cell r="CE327">
            <v>0</v>
          </cell>
          <cell r="CF327">
            <v>0</v>
          </cell>
          <cell r="CG327">
            <v>2065</v>
          </cell>
          <cell r="CH327">
            <v>1719</v>
          </cell>
          <cell r="CI327">
            <v>0</v>
          </cell>
          <cell r="CJ327">
            <v>0</v>
          </cell>
          <cell r="CK327">
            <v>1719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</row>
        <row r="328">
          <cell r="A328">
            <v>322</v>
          </cell>
          <cell r="B328" t="str">
            <v>E1838</v>
          </cell>
          <cell r="C328" t="str">
            <v>SD</v>
          </cell>
          <cell r="D328" t="str">
            <v>WM</v>
          </cell>
          <cell r="E328" t="str">
            <v>Wychavon</v>
          </cell>
          <cell r="F328">
            <v>93740</v>
          </cell>
          <cell r="G328">
            <v>0</v>
          </cell>
          <cell r="H328">
            <v>0</v>
          </cell>
          <cell r="I328">
            <v>93740</v>
          </cell>
          <cell r="J328">
            <v>-60598</v>
          </cell>
          <cell r="K328">
            <v>0</v>
          </cell>
          <cell r="L328">
            <v>0</v>
          </cell>
          <cell r="M328">
            <v>-60598</v>
          </cell>
          <cell r="N328">
            <v>31310</v>
          </cell>
          <cell r="O328">
            <v>0</v>
          </cell>
          <cell r="P328">
            <v>0</v>
          </cell>
          <cell r="Q328">
            <v>31310</v>
          </cell>
          <cell r="R328">
            <v>121788</v>
          </cell>
          <cell r="S328">
            <v>0</v>
          </cell>
          <cell r="T328">
            <v>0</v>
          </cell>
          <cell r="U328">
            <v>121788</v>
          </cell>
          <cell r="V328">
            <v>2852924</v>
          </cell>
          <cell r="W328">
            <v>0</v>
          </cell>
          <cell r="X328">
            <v>0</v>
          </cell>
          <cell r="Y328">
            <v>2852924</v>
          </cell>
          <cell r="Z328">
            <v>53212</v>
          </cell>
          <cell r="AA328">
            <v>0</v>
          </cell>
          <cell r="AB328">
            <v>0</v>
          </cell>
          <cell r="AC328">
            <v>53212</v>
          </cell>
          <cell r="AD328">
            <v>734148</v>
          </cell>
          <cell r="AE328">
            <v>0</v>
          </cell>
          <cell r="AF328">
            <v>0</v>
          </cell>
          <cell r="AG328">
            <v>734148</v>
          </cell>
          <cell r="AH328">
            <v>-7457</v>
          </cell>
          <cell r="AI328">
            <v>0</v>
          </cell>
          <cell r="AJ328">
            <v>0</v>
          </cell>
          <cell r="AK328">
            <v>-7457</v>
          </cell>
          <cell r="AL328">
            <v>1714537</v>
          </cell>
          <cell r="AM328">
            <v>0</v>
          </cell>
          <cell r="AN328">
            <v>0</v>
          </cell>
          <cell r="AO328">
            <v>1714537</v>
          </cell>
          <cell r="AP328">
            <v>22717</v>
          </cell>
          <cell r="AQ328">
            <v>0</v>
          </cell>
          <cell r="AR328">
            <v>0</v>
          </cell>
          <cell r="AS328">
            <v>22717</v>
          </cell>
          <cell r="AT328">
            <v>34331</v>
          </cell>
          <cell r="AU328">
            <v>0</v>
          </cell>
          <cell r="AV328">
            <v>0</v>
          </cell>
          <cell r="AW328">
            <v>34331</v>
          </cell>
          <cell r="AX328">
            <v>283</v>
          </cell>
          <cell r="AY328">
            <v>0</v>
          </cell>
          <cell r="AZ328">
            <v>0</v>
          </cell>
          <cell r="BA328">
            <v>283</v>
          </cell>
          <cell r="BB328">
            <v>65180</v>
          </cell>
          <cell r="BC328">
            <v>0</v>
          </cell>
          <cell r="BD328">
            <v>0</v>
          </cell>
          <cell r="BE328">
            <v>65180</v>
          </cell>
          <cell r="BF328">
            <v>13908</v>
          </cell>
          <cell r="BG328">
            <v>0</v>
          </cell>
          <cell r="BH328">
            <v>0</v>
          </cell>
          <cell r="BI328">
            <v>13908</v>
          </cell>
          <cell r="BJ328">
            <v>171128</v>
          </cell>
          <cell r="BK328">
            <v>0</v>
          </cell>
          <cell r="BL328">
            <v>0</v>
          </cell>
          <cell r="BM328">
            <v>171128</v>
          </cell>
          <cell r="BN328">
            <v>67666</v>
          </cell>
          <cell r="BO328">
            <v>0</v>
          </cell>
          <cell r="BP328">
            <v>0</v>
          </cell>
          <cell r="BQ328">
            <v>67666</v>
          </cell>
          <cell r="BR328">
            <v>1685356</v>
          </cell>
          <cell r="BS328">
            <v>0</v>
          </cell>
          <cell r="BT328">
            <v>0</v>
          </cell>
          <cell r="BU328">
            <v>1685356</v>
          </cell>
          <cell r="BV328">
            <v>87738</v>
          </cell>
          <cell r="BW328">
            <v>0</v>
          </cell>
          <cell r="BX328">
            <v>0</v>
          </cell>
          <cell r="BY328">
            <v>87738</v>
          </cell>
          <cell r="BZ328">
            <v>193198</v>
          </cell>
          <cell r="CA328">
            <v>0</v>
          </cell>
          <cell r="CB328">
            <v>0</v>
          </cell>
          <cell r="CC328">
            <v>193198</v>
          </cell>
          <cell r="CD328">
            <v>797</v>
          </cell>
          <cell r="CE328">
            <v>0</v>
          </cell>
          <cell r="CF328">
            <v>0</v>
          </cell>
          <cell r="CG328">
            <v>797</v>
          </cell>
          <cell r="CH328">
            <v>64003</v>
          </cell>
          <cell r="CI328">
            <v>0</v>
          </cell>
          <cell r="CJ328">
            <v>0</v>
          </cell>
          <cell r="CK328">
            <v>64003</v>
          </cell>
          <cell r="CL328">
            <v>-5484</v>
          </cell>
          <cell r="CM328">
            <v>0</v>
          </cell>
          <cell r="CN328">
            <v>0</v>
          </cell>
          <cell r="CO328">
            <v>-5484</v>
          </cell>
          <cell r="CP328">
            <v>8106</v>
          </cell>
          <cell r="CQ328">
            <v>0</v>
          </cell>
          <cell r="CR328">
            <v>0</v>
          </cell>
          <cell r="CS328">
            <v>8106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47237</v>
          </cell>
          <cell r="CY328">
            <v>0</v>
          </cell>
          <cell r="CZ328">
            <v>0</v>
          </cell>
          <cell r="DA328">
            <v>47237</v>
          </cell>
          <cell r="DB328">
            <v>9143</v>
          </cell>
          <cell r="DC328">
            <v>0</v>
          </cell>
          <cell r="DD328">
            <v>0</v>
          </cell>
          <cell r="DE328">
            <v>9143</v>
          </cell>
          <cell r="DF328">
            <v>25944</v>
          </cell>
          <cell r="DG328">
            <v>0</v>
          </cell>
          <cell r="DH328">
            <v>0</v>
          </cell>
          <cell r="DI328">
            <v>25944</v>
          </cell>
          <cell r="DJ328">
            <v>-222</v>
          </cell>
          <cell r="DK328">
            <v>0</v>
          </cell>
          <cell r="DL328">
            <v>0</v>
          </cell>
          <cell r="DM328">
            <v>-222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4908</v>
          </cell>
          <cell r="EC328">
            <v>0</v>
          </cell>
          <cell r="ED328">
            <v>0</v>
          </cell>
          <cell r="EE328">
            <v>4908</v>
          </cell>
          <cell r="EF328">
            <v>800</v>
          </cell>
          <cell r="EG328">
            <v>0</v>
          </cell>
          <cell r="EH328">
            <v>0</v>
          </cell>
          <cell r="EI328">
            <v>800</v>
          </cell>
          <cell r="EJ328">
            <v>4000</v>
          </cell>
          <cell r="EK328">
            <v>0</v>
          </cell>
          <cell r="EL328">
            <v>0</v>
          </cell>
          <cell r="EM328">
            <v>4000</v>
          </cell>
        </row>
        <row r="329">
          <cell r="A329">
            <v>323</v>
          </cell>
          <cell r="B329" t="str">
            <v>E0435</v>
          </cell>
          <cell r="C329" t="str">
            <v>SD</v>
          </cell>
          <cell r="D329" t="str">
            <v>SE</v>
          </cell>
          <cell r="E329" t="str">
            <v>Wycombe</v>
          </cell>
          <cell r="F329">
            <v>97470.71</v>
          </cell>
          <cell r="G329">
            <v>0</v>
          </cell>
          <cell r="H329">
            <v>0</v>
          </cell>
          <cell r="I329">
            <v>97470.71</v>
          </cell>
          <cell r="J329">
            <v>-388413.65</v>
          </cell>
          <cell r="K329">
            <v>0</v>
          </cell>
          <cell r="L329">
            <v>0</v>
          </cell>
          <cell r="M329">
            <v>-388413.65</v>
          </cell>
          <cell r="N329">
            <v>161716.82999999999</v>
          </cell>
          <cell r="O329">
            <v>0</v>
          </cell>
          <cell r="P329">
            <v>0</v>
          </cell>
          <cell r="Q329">
            <v>161716.82999999999</v>
          </cell>
          <cell r="R329">
            <v>443078.11</v>
          </cell>
          <cell r="S329">
            <v>0</v>
          </cell>
          <cell r="T329">
            <v>0</v>
          </cell>
          <cell r="U329">
            <v>443078.11</v>
          </cell>
          <cell r="V329">
            <v>2115949.75</v>
          </cell>
          <cell r="W329">
            <v>0</v>
          </cell>
          <cell r="X329">
            <v>0</v>
          </cell>
          <cell r="Y329">
            <v>2115949.75</v>
          </cell>
          <cell r="Z329">
            <v>173094.71</v>
          </cell>
          <cell r="AA329">
            <v>0</v>
          </cell>
          <cell r="AB329">
            <v>0</v>
          </cell>
          <cell r="AC329">
            <v>173094.71</v>
          </cell>
          <cell r="AD329">
            <v>1383696.7</v>
          </cell>
          <cell r="AE329">
            <v>0</v>
          </cell>
          <cell r="AF329">
            <v>0</v>
          </cell>
          <cell r="AG329">
            <v>1383696.7</v>
          </cell>
          <cell r="AH329">
            <v>-12663.79</v>
          </cell>
          <cell r="AI329">
            <v>0</v>
          </cell>
          <cell r="AJ329">
            <v>0</v>
          </cell>
          <cell r="AK329">
            <v>-12663.79</v>
          </cell>
          <cell r="AL329">
            <v>3875774.7</v>
          </cell>
          <cell r="AM329">
            <v>0</v>
          </cell>
          <cell r="AN329">
            <v>0</v>
          </cell>
          <cell r="AO329">
            <v>3875774.7</v>
          </cell>
          <cell r="AP329">
            <v>13354.69</v>
          </cell>
          <cell r="AQ329">
            <v>0</v>
          </cell>
          <cell r="AR329">
            <v>0</v>
          </cell>
          <cell r="AS329">
            <v>13354.69</v>
          </cell>
          <cell r="AT329">
            <v>33533.39</v>
          </cell>
          <cell r="AU329">
            <v>0</v>
          </cell>
          <cell r="AV329">
            <v>0</v>
          </cell>
          <cell r="AW329">
            <v>33533.39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17710.099999999999</v>
          </cell>
          <cell r="BC329">
            <v>0</v>
          </cell>
          <cell r="BD329">
            <v>0</v>
          </cell>
          <cell r="BE329">
            <v>17710.099999999999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37189.78</v>
          </cell>
          <cell r="BK329">
            <v>0</v>
          </cell>
          <cell r="BL329">
            <v>0</v>
          </cell>
          <cell r="BM329">
            <v>37189.78</v>
          </cell>
          <cell r="BN329">
            <v>16238.14</v>
          </cell>
          <cell r="BO329">
            <v>0</v>
          </cell>
          <cell r="BP329">
            <v>0</v>
          </cell>
          <cell r="BQ329">
            <v>16238.14</v>
          </cell>
          <cell r="BR329">
            <v>3166913.93</v>
          </cell>
          <cell r="BS329">
            <v>0</v>
          </cell>
          <cell r="BT329">
            <v>0</v>
          </cell>
          <cell r="BU329">
            <v>3166913.93</v>
          </cell>
          <cell r="BV329">
            <v>93963.04</v>
          </cell>
          <cell r="BW329">
            <v>0</v>
          </cell>
          <cell r="BX329">
            <v>0</v>
          </cell>
          <cell r="BY329">
            <v>93963.04</v>
          </cell>
          <cell r="BZ329">
            <v>55312.76</v>
          </cell>
          <cell r="CA329">
            <v>0</v>
          </cell>
          <cell r="CB329">
            <v>0</v>
          </cell>
          <cell r="CC329">
            <v>55312.76</v>
          </cell>
          <cell r="CD329">
            <v>1905.94</v>
          </cell>
          <cell r="CE329">
            <v>0</v>
          </cell>
          <cell r="CF329">
            <v>0</v>
          </cell>
          <cell r="CG329">
            <v>1905.94</v>
          </cell>
          <cell r="CH329">
            <v>366657.18</v>
          </cell>
          <cell r="CI329">
            <v>0</v>
          </cell>
          <cell r="CJ329">
            <v>0</v>
          </cell>
          <cell r="CK329">
            <v>366657.18</v>
          </cell>
          <cell r="CL329">
            <v>664.54</v>
          </cell>
          <cell r="CM329">
            <v>0</v>
          </cell>
          <cell r="CN329">
            <v>0</v>
          </cell>
          <cell r="CO329">
            <v>664.54</v>
          </cell>
          <cell r="CP329">
            <v>3047.39</v>
          </cell>
          <cell r="CQ329">
            <v>0</v>
          </cell>
          <cell r="CR329">
            <v>0</v>
          </cell>
          <cell r="CS329">
            <v>3047.39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14471.46</v>
          </cell>
          <cell r="CY329">
            <v>0</v>
          </cell>
          <cell r="CZ329">
            <v>0</v>
          </cell>
          <cell r="DA329">
            <v>14471.46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23216.3</v>
          </cell>
          <cell r="DG329">
            <v>0</v>
          </cell>
          <cell r="DH329">
            <v>0</v>
          </cell>
          <cell r="DI329">
            <v>23216.3</v>
          </cell>
          <cell r="DJ329">
            <v>120.02</v>
          </cell>
          <cell r="DK329">
            <v>0</v>
          </cell>
          <cell r="DL329">
            <v>0</v>
          </cell>
          <cell r="DM329">
            <v>120.02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</row>
        <row r="330">
          <cell r="A330">
            <v>324</v>
          </cell>
          <cell r="B330" t="str">
            <v>E2344</v>
          </cell>
          <cell r="C330" t="str">
            <v>SD</v>
          </cell>
          <cell r="D330" t="str">
            <v>NW</v>
          </cell>
          <cell r="E330" t="str">
            <v>Wyre</v>
          </cell>
          <cell r="F330">
            <v>241180.56</v>
          </cell>
          <cell r="G330">
            <v>0</v>
          </cell>
          <cell r="H330">
            <v>0</v>
          </cell>
          <cell r="I330">
            <v>241180.56</v>
          </cell>
          <cell r="J330">
            <v>-22956.99</v>
          </cell>
          <cell r="K330">
            <v>0</v>
          </cell>
          <cell r="L330">
            <v>0</v>
          </cell>
          <cell r="M330">
            <v>-22956.99</v>
          </cell>
          <cell r="N330">
            <v>10450.44</v>
          </cell>
          <cell r="O330">
            <v>0</v>
          </cell>
          <cell r="P330">
            <v>0</v>
          </cell>
          <cell r="Q330">
            <v>10450.44</v>
          </cell>
          <cell r="R330">
            <v>5364.32</v>
          </cell>
          <cell r="S330">
            <v>0</v>
          </cell>
          <cell r="T330">
            <v>0</v>
          </cell>
          <cell r="U330">
            <v>5364.32</v>
          </cell>
          <cell r="V330">
            <v>2687403.44</v>
          </cell>
          <cell r="W330">
            <v>0</v>
          </cell>
          <cell r="X330">
            <v>0</v>
          </cell>
          <cell r="Y330">
            <v>2687403.44</v>
          </cell>
          <cell r="Z330">
            <v>65042.23</v>
          </cell>
          <cell r="AA330">
            <v>0</v>
          </cell>
          <cell r="AB330">
            <v>0</v>
          </cell>
          <cell r="AC330">
            <v>65042.23</v>
          </cell>
          <cell r="AD330">
            <v>477079.16</v>
          </cell>
          <cell r="AE330">
            <v>0</v>
          </cell>
          <cell r="AF330">
            <v>0</v>
          </cell>
          <cell r="AG330">
            <v>477079.16</v>
          </cell>
          <cell r="AH330">
            <v>15716.35</v>
          </cell>
          <cell r="AI330">
            <v>0</v>
          </cell>
          <cell r="AJ330">
            <v>0</v>
          </cell>
          <cell r="AK330">
            <v>15716.35</v>
          </cell>
          <cell r="AL330">
            <v>1613567.85</v>
          </cell>
          <cell r="AM330">
            <v>0</v>
          </cell>
          <cell r="AN330">
            <v>0</v>
          </cell>
          <cell r="AO330">
            <v>1613567.85</v>
          </cell>
          <cell r="AP330">
            <v>19431</v>
          </cell>
          <cell r="AQ330">
            <v>0</v>
          </cell>
          <cell r="AR330">
            <v>0</v>
          </cell>
          <cell r="AS330">
            <v>19431</v>
          </cell>
          <cell r="AT330">
            <v>20375.599999999999</v>
          </cell>
          <cell r="AU330">
            <v>0</v>
          </cell>
          <cell r="AV330">
            <v>0</v>
          </cell>
          <cell r="AW330">
            <v>20375.599999999999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4610.54</v>
          </cell>
          <cell r="BC330">
            <v>0</v>
          </cell>
          <cell r="BD330">
            <v>0</v>
          </cell>
          <cell r="BE330">
            <v>4610.54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830683.87</v>
          </cell>
          <cell r="BS330">
            <v>0</v>
          </cell>
          <cell r="BT330">
            <v>0</v>
          </cell>
          <cell r="BU330">
            <v>830683.87</v>
          </cell>
          <cell r="BV330">
            <v>24831.03</v>
          </cell>
          <cell r="BW330">
            <v>0</v>
          </cell>
          <cell r="BX330">
            <v>0</v>
          </cell>
          <cell r="BY330">
            <v>24831.03</v>
          </cell>
          <cell r="BZ330">
            <v>3014.4</v>
          </cell>
          <cell r="CA330">
            <v>0</v>
          </cell>
          <cell r="CB330">
            <v>0</v>
          </cell>
          <cell r="CC330">
            <v>3014.4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80705.899999999994</v>
          </cell>
          <cell r="CI330">
            <v>0</v>
          </cell>
          <cell r="CJ330">
            <v>0</v>
          </cell>
          <cell r="CK330">
            <v>80705.899999999994</v>
          </cell>
          <cell r="CL330">
            <v>270.58999999999997</v>
          </cell>
          <cell r="CM330">
            <v>0</v>
          </cell>
          <cell r="CN330">
            <v>0</v>
          </cell>
          <cell r="CO330">
            <v>270.58999999999997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38.15</v>
          </cell>
          <cell r="CY330">
            <v>0</v>
          </cell>
          <cell r="CZ330">
            <v>0</v>
          </cell>
          <cell r="DA330">
            <v>38.15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</row>
        <row r="331">
          <cell r="A331">
            <v>325</v>
          </cell>
          <cell r="B331" t="str">
            <v>E1839</v>
          </cell>
          <cell r="C331" t="str">
            <v>SD</v>
          </cell>
          <cell r="D331" t="str">
            <v>WM</v>
          </cell>
          <cell r="E331" t="str">
            <v>Wyre Forest</v>
          </cell>
          <cell r="F331">
            <v>66259.75</v>
          </cell>
          <cell r="G331">
            <v>0</v>
          </cell>
          <cell r="H331">
            <v>0</v>
          </cell>
          <cell r="I331">
            <v>66259.75</v>
          </cell>
          <cell r="J331">
            <v>-95385.67</v>
          </cell>
          <cell r="K331">
            <v>0</v>
          </cell>
          <cell r="L331">
            <v>0</v>
          </cell>
          <cell r="M331">
            <v>-95385.67</v>
          </cell>
          <cell r="N331">
            <v>37201.03</v>
          </cell>
          <cell r="O331">
            <v>0</v>
          </cell>
          <cell r="P331">
            <v>0</v>
          </cell>
          <cell r="Q331">
            <v>37201.03</v>
          </cell>
          <cell r="R331">
            <v>100501.13</v>
          </cell>
          <cell r="S331">
            <v>0</v>
          </cell>
          <cell r="T331">
            <v>0</v>
          </cell>
          <cell r="U331">
            <v>100501.13</v>
          </cell>
          <cell r="V331">
            <v>2001130.39</v>
          </cell>
          <cell r="W331">
            <v>0</v>
          </cell>
          <cell r="X331">
            <v>0</v>
          </cell>
          <cell r="Y331">
            <v>2001130.39</v>
          </cell>
          <cell r="Z331">
            <v>113366.06</v>
          </cell>
          <cell r="AA331">
            <v>0</v>
          </cell>
          <cell r="AB331">
            <v>0</v>
          </cell>
          <cell r="AC331">
            <v>113366.06</v>
          </cell>
          <cell r="AD331">
            <v>551528.12</v>
          </cell>
          <cell r="AE331">
            <v>0</v>
          </cell>
          <cell r="AF331">
            <v>0</v>
          </cell>
          <cell r="AG331">
            <v>551528.12</v>
          </cell>
          <cell r="AH331">
            <v>-12750.28</v>
          </cell>
          <cell r="AI331">
            <v>0</v>
          </cell>
          <cell r="AJ331">
            <v>0</v>
          </cell>
          <cell r="AK331">
            <v>-12750.28</v>
          </cell>
          <cell r="AL331">
            <v>1632452.23</v>
          </cell>
          <cell r="AM331">
            <v>0</v>
          </cell>
          <cell r="AN331">
            <v>0</v>
          </cell>
          <cell r="AO331">
            <v>1632452.23</v>
          </cell>
          <cell r="AP331">
            <v>-2599.87</v>
          </cell>
          <cell r="AQ331">
            <v>0</v>
          </cell>
          <cell r="AR331">
            <v>0</v>
          </cell>
          <cell r="AS331">
            <v>-2599.87</v>
          </cell>
          <cell r="AT331">
            <v>45242.97</v>
          </cell>
          <cell r="AU331">
            <v>0</v>
          </cell>
          <cell r="AV331">
            <v>0</v>
          </cell>
          <cell r="AW331">
            <v>45242.97</v>
          </cell>
          <cell r="AX331">
            <v>1261.06</v>
          </cell>
          <cell r="AY331">
            <v>0</v>
          </cell>
          <cell r="AZ331">
            <v>0</v>
          </cell>
          <cell r="BA331">
            <v>1261.06</v>
          </cell>
          <cell r="BB331">
            <v>9645.77</v>
          </cell>
          <cell r="BC331">
            <v>0</v>
          </cell>
          <cell r="BD331">
            <v>0</v>
          </cell>
          <cell r="BE331">
            <v>9645.77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105868.04</v>
          </cell>
          <cell r="BK331">
            <v>0</v>
          </cell>
          <cell r="BL331">
            <v>0</v>
          </cell>
          <cell r="BM331">
            <v>105868.04</v>
          </cell>
          <cell r="BN331">
            <v>8607.0499999999993</v>
          </cell>
          <cell r="BO331">
            <v>0</v>
          </cell>
          <cell r="BP331">
            <v>0</v>
          </cell>
          <cell r="BQ331">
            <v>8607.0499999999993</v>
          </cell>
          <cell r="BR331">
            <v>1689643.04</v>
          </cell>
          <cell r="BS331">
            <v>0</v>
          </cell>
          <cell r="BT331">
            <v>0</v>
          </cell>
          <cell r="BU331">
            <v>1689643.04</v>
          </cell>
          <cell r="BV331">
            <v>57981.68</v>
          </cell>
          <cell r="BW331">
            <v>0</v>
          </cell>
          <cell r="BX331">
            <v>0</v>
          </cell>
          <cell r="BY331">
            <v>57981.68</v>
          </cell>
          <cell r="BZ331">
            <v>112809.57</v>
          </cell>
          <cell r="CA331">
            <v>0</v>
          </cell>
          <cell r="CB331">
            <v>0</v>
          </cell>
          <cell r="CC331">
            <v>112809.57</v>
          </cell>
          <cell r="CD331">
            <v>-2134.92</v>
          </cell>
          <cell r="CE331">
            <v>0</v>
          </cell>
          <cell r="CF331">
            <v>0</v>
          </cell>
          <cell r="CG331">
            <v>-2134.92</v>
          </cell>
          <cell r="CH331">
            <v>268071</v>
          </cell>
          <cell r="CI331">
            <v>0</v>
          </cell>
          <cell r="CJ331">
            <v>0</v>
          </cell>
          <cell r="CK331">
            <v>268071</v>
          </cell>
          <cell r="CL331">
            <v>-4748.54</v>
          </cell>
          <cell r="CM331">
            <v>0</v>
          </cell>
          <cell r="CN331">
            <v>0</v>
          </cell>
          <cell r="CO331">
            <v>-4748.54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6193.43</v>
          </cell>
          <cell r="CY331">
            <v>0</v>
          </cell>
          <cell r="CZ331">
            <v>0</v>
          </cell>
          <cell r="DA331">
            <v>6193.43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61056</v>
          </cell>
          <cell r="EC331">
            <v>0</v>
          </cell>
          <cell r="ED331">
            <v>0</v>
          </cell>
          <cell r="EE331">
            <v>61056</v>
          </cell>
          <cell r="EF331">
            <v>75360</v>
          </cell>
          <cell r="EG331">
            <v>0</v>
          </cell>
          <cell r="EH331">
            <v>0</v>
          </cell>
          <cell r="EI331">
            <v>75360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</row>
        <row r="332">
          <cell r="A332">
            <v>326</v>
          </cell>
          <cell r="B332" t="str">
            <v>E2701</v>
          </cell>
          <cell r="C332" t="str">
            <v>UA</v>
          </cell>
          <cell r="D332" t="str">
            <v>YH</v>
          </cell>
          <cell r="E332" t="str">
            <v>York UA</v>
          </cell>
          <cell r="F332">
            <v>212026.1</v>
          </cell>
          <cell r="G332">
            <v>0</v>
          </cell>
          <cell r="H332">
            <v>0</v>
          </cell>
          <cell r="I332">
            <v>212026.1</v>
          </cell>
          <cell r="J332">
            <v>-403817.25</v>
          </cell>
          <cell r="K332">
            <v>0</v>
          </cell>
          <cell r="L332">
            <v>0</v>
          </cell>
          <cell r="M332">
            <v>-403817.25</v>
          </cell>
          <cell r="N332">
            <v>72221.05</v>
          </cell>
          <cell r="O332">
            <v>0</v>
          </cell>
          <cell r="P332">
            <v>0</v>
          </cell>
          <cell r="Q332">
            <v>72221.05</v>
          </cell>
          <cell r="R332">
            <v>167605.82999999999</v>
          </cell>
          <cell r="S332">
            <v>0</v>
          </cell>
          <cell r="T332">
            <v>0</v>
          </cell>
          <cell r="U332">
            <v>167605.82999999999</v>
          </cell>
          <cell r="V332">
            <v>2989326.78</v>
          </cell>
          <cell r="W332">
            <v>0</v>
          </cell>
          <cell r="X332">
            <v>0</v>
          </cell>
          <cell r="Y332">
            <v>2989326.78</v>
          </cell>
          <cell r="Z332">
            <v>254294.45</v>
          </cell>
          <cell r="AA332">
            <v>0</v>
          </cell>
          <cell r="AB332">
            <v>0</v>
          </cell>
          <cell r="AC332">
            <v>254294.45</v>
          </cell>
          <cell r="AD332">
            <v>1956292.83</v>
          </cell>
          <cell r="AE332">
            <v>0</v>
          </cell>
          <cell r="AF332">
            <v>0</v>
          </cell>
          <cell r="AG332">
            <v>1956292.83</v>
          </cell>
          <cell r="AH332">
            <v>11798.84</v>
          </cell>
          <cell r="AI332">
            <v>0</v>
          </cell>
          <cell r="AJ332">
            <v>0</v>
          </cell>
          <cell r="AK332">
            <v>11798.84</v>
          </cell>
          <cell r="AL332">
            <v>8307529.2599999998</v>
          </cell>
          <cell r="AM332">
            <v>0</v>
          </cell>
          <cell r="AN332">
            <v>0</v>
          </cell>
          <cell r="AO332">
            <v>8307529.2599999998</v>
          </cell>
          <cell r="AP332">
            <v>-120343.47</v>
          </cell>
          <cell r="AQ332">
            <v>0</v>
          </cell>
          <cell r="AR332">
            <v>0</v>
          </cell>
          <cell r="AS332">
            <v>-120343.47</v>
          </cell>
          <cell r="AT332">
            <v>149728.48000000001</v>
          </cell>
          <cell r="AU332">
            <v>0</v>
          </cell>
          <cell r="AV332">
            <v>0</v>
          </cell>
          <cell r="AW332">
            <v>149728.48000000001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10321.41</v>
          </cell>
          <cell r="BC332">
            <v>0</v>
          </cell>
          <cell r="BD332">
            <v>0</v>
          </cell>
          <cell r="BE332">
            <v>10321.41</v>
          </cell>
          <cell r="BF332">
            <v>-156.34</v>
          </cell>
          <cell r="BG332">
            <v>0</v>
          </cell>
          <cell r="BH332">
            <v>0</v>
          </cell>
          <cell r="BI332">
            <v>-156.34</v>
          </cell>
          <cell r="BJ332">
            <v>12834.8</v>
          </cell>
          <cell r="BK332">
            <v>0</v>
          </cell>
          <cell r="BL332">
            <v>0</v>
          </cell>
          <cell r="BM332">
            <v>12834.8</v>
          </cell>
          <cell r="BN332">
            <v>37333.78</v>
          </cell>
          <cell r="BO332">
            <v>0</v>
          </cell>
          <cell r="BP332">
            <v>0</v>
          </cell>
          <cell r="BQ332">
            <v>37333.78</v>
          </cell>
          <cell r="BR332">
            <v>3028624.44</v>
          </cell>
          <cell r="BS332">
            <v>0</v>
          </cell>
          <cell r="BT332">
            <v>0</v>
          </cell>
          <cell r="BU332">
            <v>3028624.44</v>
          </cell>
          <cell r="BV332">
            <v>77377.48</v>
          </cell>
          <cell r="BW332">
            <v>0</v>
          </cell>
          <cell r="BX332">
            <v>0</v>
          </cell>
          <cell r="BY332">
            <v>77377.48</v>
          </cell>
          <cell r="BZ332">
            <v>120479.3</v>
          </cell>
          <cell r="CA332">
            <v>0</v>
          </cell>
          <cell r="CB332">
            <v>0</v>
          </cell>
          <cell r="CC332">
            <v>120479.3</v>
          </cell>
          <cell r="CD332">
            <v>-3627.9</v>
          </cell>
          <cell r="CE332">
            <v>0</v>
          </cell>
          <cell r="CF332">
            <v>0</v>
          </cell>
          <cell r="CG332">
            <v>-3627.9</v>
          </cell>
          <cell r="CH332">
            <v>9086.6299999999992</v>
          </cell>
          <cell r="CI332">
            <v>0</v>
          </cell>
          <cell r="CJ332">
            <v>0</v>
          </cell>
          <cell r="CK332">
            <v>9086.6299999999992</v>
          </cell>
          <cell r="CL332">
            <v>2764.98</v>
          </cell>
          <cell r="CM332">
            <v>0</v>
          </cell>
          <cell r="CN332">
            <v>0</v>
          </cell>
          <cell r="CO332">
            <v>2764.98</v>
          </cell>
          <cell r="CP332">
            <v>21482.99</v>
          </cell>
          <cell r="CQ332">
            <v>0</v>
          </cell>
          <cell r="CR332">
            <v>0</v>
          </cell>
          <cell r="CS332">
            <v>21482.99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5317.01</v>
          </cell>
          <cell r="CY332">
            <v>0</v>
          </cell>
          <cell r="CZ332">
            <v>0</v>
          </cell>
          <cell r="DA332">
            <v>5317.01</v>
          </cell>
          <cell r="DB332">
            <v>-156.35</v>
          </cell>
          <cell r="DC332">
            <v>0</v>
          </cell>
          <cell r="DD332">
            <v>0</v>
          </cell>
          <cell r="DE332">
            <v>-156.35</v>
          </cell>
          <cell r="DF332">
            <v>37990.11</v>
          </cell>
          <cell r="DG332">
            <v>0</v>
          </cell>
          <cell r="DH332">
            <v>0</v>
          </cell>
          <cell r="DI332">
            <v>37990.11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-247.32</v>
          </cell>
          <cell r="EK332">
            <v>0</v>
          </cell>
          <cell r="EL332">
            <v>0</v>
          </cell>
          <cell r="EM332">
            <v>-247.32</v>
          </cell>
        </row>
        <row r="333">
          <cell r="A333">
            <v>327</v>
          </cell>
          <cell r="D333" t="str">
            <v>E</v>
          </cell>
          <cell r="E333" t="str">
            <v>England</v>
          </cell>
          <cell r="F333">
            <v>158334445.09999999</v>
          </cell>
          <cell r="G333">
            <v>9665</v>
          </cell>
          <cell r="H333">
            <v>218215.64</v>
          </cell>
          <cell r="I333">
            <v>158562325.73999998</v>
          </cell>
          <cell r="J333">
            <v>-95894251.399999976</v>
          </cell>
          <cell r="K333">
            <v>0</v>
          </cell>
          <cell r="L333">
            <v>-74331.87</v>
          </cell>
          <cell r="M333">
            <v>-95968583.269999966</v>
          </cell>
          <cell r="N333">
            <v>30078904.430000007</v>
          </cell>
          <cell r="O333">
            <v>59665</v>
          </cell>
          <cell r="P333">
            <v>10741.380000000001</v>
          </cell>
          <cell r="Q333">
            <v>30149310.810000006</v>
          </cell>
          <cell r="R333">
            <v>68043498.36999996</v>
          </cell>
          <cell r="S333">
            <v>17062</v>
          </cell>
          <cell r="T333">
            <v>113289.74</v>
          </cell>
          <cell r="U333">
            <v>68173850.109999955</v>
          </cell>
          <cell r="V333">
            <v>984683765.9400003</v>
          </cell>
          <cell r="W333">
            <v>276137</v>
          </cell>
          <cell r="X333">
            <v>904536.86</v>
          </cell>
          <cell r="Y333">
            <v>985864439.80000019</v>
          </cell>
          <cell r="Z333">
            <v>48087897.360000022</v>
          </cell>
          <cell r="AA333">
            <v>3882</v>
          </cell>
          <cell r="AB333">
            <v>54677.440000000002</v>
          </cell>
          <cell r="AC333">
            <v>48146456.800000027</v>
          </cell>
          <cell r="AD333">
            <v>445797640.33000016</v>
          </cell>
          <cell r="AE333">
            <v>289379</v>
          </cell>
          <cell r="AF333">
            <v>763066.03</v>
          </cell>
          <cell r="AG333">
            <v>446850085.36000013</v>
          </cell>
          <cell r="AH333">
            <v>-3487457.8600000003</v>
          </cell>
          <cell r="AI333">
            <v>1124</v>
          </cell>
          <cell r="AJ333">
            <v>-26663.84</v>
          </cell>
          <cell r="AK333">
            <v>-3512997.7</v>
          </cell>
          <cell r="AL333">
            <v>1387682147.0299997</v>
          </cell>
          <cell r="AM333">
            <v>1606243</v>
          </cell>
          <cell r="AN333">
            <v>1480685.33</v>
          </cell>
          <cell r="AO333">
            <v>1390769075.3599997</v>
          </cell>
          <cell r="AP333">
            <v>4840060.3499999996</v>
          </cell>
          <cell r="AQ333">
            <v>7541</v>
          </cell>
          <cell r="AR333">
            <v>567541.14</v>
          </cell>
          <cell r="AS333">
            <v>5415142.4900000002</v>
          </cell>
          <cell r="AT333">
            <v>18215146.389999997</v>
          </cell>
          <cell r="AU333">
            <v>0</v>
          </cell>
          <cell r="AV333">
            <v>0</v>
          </cell>
          <cell r="AW333">
            <v>18215146.389999997</v>
          </cell>
          <cell r="AX333">
            <v>94658.55</v>
          </cell>
          <cell r="AY333">
            <v>0</v>
          </cell>
          <cell r="AZ333">
            <v>0</v>
          </cell>
          <cell r="BA333">
            <v>94658.55</v>
          </cell>
          <cell r="BB333">
            <v>5999764.5700000012</v>
          </cell>
          <cell r="BC333">
            <v>0</v>
          </cell>
          <cell r="BD333">
            <v>661</v>
          </cell>
          <cell r="BE333">
            <v>6000425.5700000012</v>
          </cell>
          <cell r="BF333">
            <v>190725.09</v>
          </cell>
          <cell r="BG333">
            <v>0</v>
          </cell>
          <cell r="BH333">
            <v>0</v>
          </cell>
          <cell r="BI333">
            <v>190725.09</v>
          </cell>
          <cell r="BJ333">
            <v>33846544.079999991</v>
          </cell>
          <cell r="BK333">
            <v>103956</v>
          </cell>
          <cell r="BL333">
            <v>239914.88</v>
          </cell>
          <cell r="BM333">
            <v>34190414.959999986</v>
          </cell>
          <cell r="BN333">
            <v>13956912.349999996</v>
          </cell>
          <cell r="BO333">
            <v>0</v>
          </cell>
          <cell r="BP333">
            <v>-7382.47</v>
          </cell>
          <cell r="BQ333">
            <v>13949529.879999995</v>
          </cell>
          <cell r="BR333">
            <v>974332570.65999985</v>
          </cell>
          <cell r="BS333">
            <v>2026774</v>
          </cell>
          <cell r="BT333">
            <v>12082742.710000001</v>
          </cell>
          <cell r="BU333">
            <v>988442087.36999989</v>
          </cell>
          <cell r="BV333">
            <v>-5639589.0800000029</v>
          </cell>
          <cell r="BW333">
            <v>48872</v>
          </cell>
          <cell r="BX333">
            <v>20981.160000000003</v>
          </cell>
          <cell r="BY333">
            <v>-5569735.9200000027</v>
          </cell>
          <cell r="BZ333">
            <v>43297862.019999973</v>
          </cell>
          <cell r="CA333">
            <v>2299</v>
          </cell>
          <cell r="CB333">
            <v>16987.800000000003</v>
          </cell>
          <cell r="CC333">
            <v>43317148.81999997</v>
          </cell>
          <cell r="CD333">
            <v>-55680.249999999913</v>
          </cell>
          <cell r="CE333">
            <v>0</v>
          </cell>
          <cell r="CF333">
            <v>-165.23</v>
          </cell>
          <cell r="CG333">
            <v>-55845.479999999894</v>
          </cell>
          <cell r="CH333">
            <v>34849166.589999996</v>
          </cell>
          <cell r="CI333">
            <v>263194</v>
          </cell>
          <cell r="CJ333">
            <v>61920.5</v>
          </cell>
          <cell r="CK333">
            <v>35174281.089999996</v>
          </cell>
          <cell r="CL333">
            <v>236790.28999999992</v>
          </cell>
          <cell r="CM333">
            <v>-6686</v>
          </cell>
          <cell r="CN333">
            <v>454</v>
          </cell>
          <cell r="CO333">
            <v>230558.28999999992</v>
          </cell>
          <cell r="CP333">
            <v>1128483.5599999998</v>
          </cell>
          <cell r="CQ333">
            <v>0</v>
          </cell>
          <cell r="CR333">
            <v>0</v>
          </cell>
          <cell r="CS333">
            <v>1128483.5599999998</v>
          </cell>
          <cell r="CT333">
            <v>30487.61</v>
          </cell>
          <cell r="CU333">
            <v>0</v>
          </cell>
          <cell r="CV333">
            <v>0</v>
          </cell>
          <cell r="CW333">
            <v>30487.61</v>
          </cell>
          <cell r="CX333">
            <v>3023983.48</v>
          </cell>
          <cell r="CY333">
            <v>0</v>
          </cell>
          <cell r="CZ333">
            <v>661</v>
          </cell>
          <cell r="DA333">
            <v>3024644.48</v>
          </cell>
          <cell r="DB333">
            <v>55451.299999999996</v>
          </cell>
          <cell r="DC333">
            <v>0</v>
          </cell>
          <cell r="DD333">
            <v>0</v>
          </cell>
          <cell r="DE333">
            <v>55451.299999999996</v>
          </cell>
          <cell r="DF333">
            <v>1702346.6</v>
          </cell>
          <cell r="DG333">
            <v>0</v>
          </cell>
          <cell r="DH333">
            <v>0</v>
          </cell>
          <cell r="DI333">
            <v>1702346.6</v>
          </cell>
          <cell r="DJ333">
            <v>164611.41</v>
          </cell>
          <cell r="DK333">
            <v>0</v>
          </cell>
          <cell r="DL333">
            <v>0</v>
          </cell>
          <cell r="DM333">
            <v>164611.41</v>
          </cell>
          <cell r="DN333">
            <v>2191971.44</v>
          </cell>
          <cell r="DO333">
            <v>0</v>
          </cell>
          <cell r="DP333">
            <v>5340280.67</v>
          </cell>
          <cell r="DQ333">
            <v>7532252.1100000003</v>
          </cell>
          <cell r="DR333">
            <v>408038.82000000007</v>
          </cell>
          <cell r="DS333">
            <v>0</v>
          </cell>
          <cell r="DT333">
            <v>473698.35</v>
          </cell>
          <cell r="DU333">
            <v>881737.17</v>
          </cell>
          <cell r="DV333">
            <v>5841456.6799999997</v>
          </cell>
          <cell r="DW333">
            <v>1992261.88</v>
          </cell>
          <cell r="DX333">
            <v>562047.03999999992</v>
          </cell>
          <cell r="DY333">
            <v>0</v>
          </cell>
          <cell r="DZ333">
            <v>0</v>
          </cell>
          <cell r="EA333">
            <v>562047.03999999992</v>
          </cell>
          <cell r="EB333">
            <v>3199358.74</v>
          </cell>
          <cell r="EC333">
            <v>0</v>
          </cell>
          <cell r="ED333">
            <v>0</v>
          </cell>
          <cell r="EE333">
            <v>3199358.74</v>
          </cell>
          <cell r="EF333">
            <v>2999199.7700000005</v>
          </cell>
          <cell r="EG333">
            <v>0</v>
          </cell>
          <cell r="EH333">
            <v>0</v>
          </cell>
          <cell r="EI333">
            <v>2999199.7700000005</v>
          </cell>
          <cell r="EJ333">
            <v>359277.30999999994</v>
          </cell>
          <cell r="EK333">
            <v>0</v>
          </cell>
          <cell r="EL333">
            <v>0</v>
          </cell>
          <cell r="EM333">
            <v>359277.30999999994</v>
          </cell>
        </row>
        <row r="334">
          <cell r="A334">
            <v>328</v>
          </cell>
          <cell r="D334" t="str">
            <v>ILB</v>
          </cell>
          <cell r="E334" t="str">
            <v>Inner London Boroughs</v>
          </cell>
          <cell r="F334">
            <v>24161749.810000002</v>
          </cell>
          <cell r="G334">
            <v>0</v>
          </cell>
          <cell r="H334">
            <v>0</v>
          </cell>
          <cell r="I334">
            <v>24161749.810000002</v>
          </cell>
          <cell r="J334">
            <v>-45689176.560000002</v>
          </cell>
          <cell r="K334">
            <v>0</v>
          </cell>
          <cell r="L334">
            <v>0</v>
          </cell>
          <cell r="M334">
            <v>-45689176.560000002</v>
          </cell>
          <cell r="N334">
            <v>1586835.54</v>
          </cell>
          <cell r="O334">
            <v>0</v>
          </cell>
          <cell r="P334">
            <v>0</v>
          </cell>
          <cell r="Q334">
            <v>1586835.54</v>
          </cell>
          <cell r="R334">
            <v>3970030.08</v>
          </cell>
          <cell r="S334">
            <v>0</v>
          </cell>
          <cell r="T334">
            <v>0</v>
          </cell>
          <cell r="U334">
            <v>3970030.08</v>
          </cell>
          <cell r="V334">
            <v>43252177.240000002</v>
          </cell>
          <cell r="W334">
            <v>0</v>
          </cell>
          <cell r="X334">
            <v>0</v>
          </cell>
          <cell r="Y334">
            <v>43252177.240000002</v>
          </cell>
          <cell r="Z334">
            <v>2521917.39</v>
          </cell>
          <cell r="AA334">
            <v>0</v>
          </cell>
          <cell r="AB334">
            <v>0</v>
          </cell>
          <cell r="AC334">
            <v>2521917.39</v>
          </cell>
          <cell r="AD334">
            <v>94410326.550000012</v>
          </cell>
          <cell r="AE334">
            <v>0</v>
          </cell>
          <cell r="AF334">
            <v>0</v>
          </cell>
          <cell r="AG334">
            <v>94410326.550000012</v>
          </cell>
          <cell r="AH334">
            <v>-1100339.46</v>
          </cell>
          <cell r="AI334">
            <v>0</v>
          </cell>
          <cell r="AJ334">
            <v>0</v>
          </cell>
          <cell r="AK334">
            <v>-1100339.46</v>
          </cell>
          <cell r="AL334">
            <v>254039333.28</v>
          </cell>
          <cell r="AM334">
            <v>0</v>
          </cell>
          <cell r="AN334">
            <v>0</v>
          </cell>
          <cell r="AO334">
            <v>254039333.28</v>
          </cell>
          <cell r="AP334">
            <v>337373.42</v>
          </cell>
          <cell r="AQ334">
            <v>0</v>
          </cell>
          <cell r="AR334">
            <v>0</v>
          </cell>
          <cell r="AS334">
            <v>337373.42</v>
          </cell>
          <cell r="AT334">
            <v>251792.66</v>
          </cell>
          <cell r="AU334">
            <v>0</v>
          </cell>
          <cell r="AV334">
            <v>0</v>
          </cell>
          <cell r="AW334">
            <v>251792.66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8137693.2200000007</v>
          </cell>
          <cell r="BK334">
            <v>0</v>
          </cell>
          <cell r="BL334">
            <v>0</v>
          </cell>
          <cell r="BM334">
            <v>8137693.2200000007</v>
          </cell>
          <cell r="BN334">
            <v>6831030.3199999994</v>
          </cell>
          <cell r="BO334">
            <v>0</v>
          </cell>
          <cell r="BP334">
            <v>0</v>
          </cell>
          <cell r="BQ334">
            <v>6831030.3199999994</v>
          </cell>
          <cell r="BR334">
            <v>209254673.66999999</v>
          </cell>
          <cell r="BS334">
            <v>0</v>
          </cell>
          <cell r="BT334">
            <v>0</v>
          </cell>
          <cell r="BU334">
            <v>209254673.66999999</v>
          </cell>
          <cell r="BV334">
            <v>-4573414.8899999997</v>
          </cell>
          <cell r="BW334">
            <v>0</v>
          </cell>
          <cell r="BX334">
            <v>0</v>
          </cell>
          <cell r="BY334">
            <v>-4573414.8899999997</v>
          </cell>
          <cell r="BZ334">
            <v>3769396.86</v>
          </cell>
          <cell r="CA334">
            <v>0</v>
          </cell>
          <cell r="CB334">
            <v>0</v>
          </cell>
          <cell r="CC334">
            <v>3769396.86</v>
          </cell>
          <cell r="CD334">
            <v>101317.47</v>
          </cell>
          <cell r="CE334">
            <v>0</v>
          </cell>
          <cell r="CF334">
            <v>0</v>
          </cell>
          <cell r="CG334">
            <v>101317.47</v>
          </cell>
          <cell r="CH334">
            <v>2336705.63</v>
          </cell>
          <cell r="CI334">
            <v>0</v>
          </cell>
          <cell r="CJ334">
            <v>0</v>
          </cell>
          <cell r="CK334">
            <v>2336705.63</v>
          </cell>
          <cell r="CL334">
            <v>137818.68</v>
          </cell>
          <cell r="CM334">
            <v>0</v>
          </cell>
          <cell r="CN334">
            <v>0</v>
          </cell>
          <cell r="CO334">
            <v>137818.68</v>
          </cell>
          <cell r="CP334">
            <v>6879.32</v>
          </cell>
          <cell r="CQ334">
            <v>0</v>
          </cell>
          <cell r="CR334">
            <v>0</v>
          </cell>
          <cell r="CS334">
            <v>6879.32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83785</v>
          </cell>
          <cell r="EG334">
            <v>0</v>
          </cell>
          <cell r="EH334">
            <v>0</v>
          </cell>
          <cell r="EI334">
            <v>83785</v>
          </cell>
          <cell r="EJ334">
            <v>76968.63</v>
          </cell>
          <cell r="EK334">
            <v>0</v>
          </cell>
          <cell r="EL334">
            <v>0</v>
          </cell>
          <cell r="EM334">
            <v>76968.63</v>
          </cell>
        </row>
        <row r="335">
          <cell r="A335">
            <v>329</v>
          </cell>
          <cell r="D335" t="str">
            <v>OLB</v>
          </cell>
          <cell r="E335" t="str">
            <v>Outer London Boroughs</v>
          </cell>
          <cell r="F335">
            <v>8568609.6500000004</v>
          </cell>
          <cell r="G335">
            <v>0</v>
          </cell>
          <cell r="H335">
            <v>394</v>
          </cell>
          <cell r="I335">
            <v>8569003.6500000004</v>
          </cell>
          <cell r="J335">
            <v>-3957633.46</v>
          </cell>
          <cell r="K335">
            <v>0</v>
          </cell>
          <cell r="L335">
            <v>0</v>
          </cell>
          <cell r="M335">
            <v>-3957633.46</v>
          </cell>
          <cell r="N335">
            <v>2213978.0900000003</v>
          </cell>
          <cell r="O335">
            <v>0</v>
          </cell>
          <cell r="P335">
            <v>0</v>
          </cell>
          <cell r="Q335">
            <v>2213978.0900000003</v>
          </cell>
          <cell r="R335">
            <v>5368874.7699999996</v>
          </cell>
          <cell r="S335">
            <v>0</v>
          </cell>
          <cell r="T335">
            <v>0</v>
          </cell>
          <cell r="U335">
            <v>5368874.7699999996</v>
          </cell>
          <cell r="V335">
            <v>68473875.689999998</v>
          </cell>
          <cell r="W335">
            <v>0</v>
          </cell>
          <cell r="X335">
            <v>4512</v>
          </cell>
          <cell r="Y335">
            <v>68478387.689999998</v>
          </cell>
          <cell r="Z335">
            <v>3624211.63</v>
          </cell>
          <cell r="AA335">
            <v>0</v>
          </cell>
          <cell r="AB335">
            <v>0</v>
          </cell>
          <cell r="AC335">
            <v>3624211.63</v>
          </cell>
          <cell r="AD335">
            <v>35286889.640000001</v>
          </cell>
          <cell r="AE335">
            <v>0</v>
          </cell>
          <cell r="AF335">
            <v>10847</v>
          </cell>
          <cell r="AG335">
            <v>35297736.640000001</v>
          </cell>
          <cell r="AH335">
            <v>-320678.75999999995</v>
          </cell>
          <cell r="AI335">
            <v>0</v>
          </cell>
          <cell r="AJ335">
            <v>0</v>
          </cell>
          <cell r="AK335">
            <v>-320678.75999999995</v>
          </cell>
          <cell r="AL335">
            <v>114759655.05000001</v>
          </cell>
          <cell r="AM335">
            <v>0</v>
          </cell>
          <cell r="AN335">
            <v>78751</v>
          </cell>
          <cell r="AO335">
            <v>114838406.05000001</v>
          </cell>
          <cell r="AP335">
            <v>82737.499999999927</v>
          </cell>
          <cell r="AQ335">
            <v>0</v>
          </cell>
          <cell r="AR335">
            <v>0</v>
          </cell>
          <cell r="AS335">
            <v>82737.499999999927</v>
          </cell>
          <cell r="AT335">
            <v>1773683.1300000004</v>
          </cell>
          <cell r="AU335">
            <v>0</v>
          </cell>
          <cell r="AV335">
            <v>0</v>
          </cell>
          <cell r="AW335">
            <v>1773683.1300000004</v>
          </cell>
          <cell r="AX335">
            <v>-591.55999999999767</v>
          </cell>
          <cell r="AY335">
            <v>0</v>
          </cell>
          <cell r="AZ335">
            <v>0</v>
          </cell>
          <cell r="BA335">
            <v>-591.55999999999767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1589005.3099999998</v>
          </cell>
          <cell r="BK335">
            <v>0</v>
          </cell>
          <cell r="BL335">
            <v>0</v>
          </cell>
          <cell r="BM335">
            <v>1589005.3099999998</v>
          </cell>
          <cell r="BN335">
            <v>1156617.8899999999</v>
          </cell>
          <cell r="BO335">
            <v>0</v>
          </cell>
          <cell r="BP335">
            <v>0</v>
          </cell>
          <cell r="BQ335">
            <v>1156617.8899999999</v>
          </cell>
          <cell r="BR335">
            <v>77850827.349999994</v>
          </cell>
          <cell r="BS335">
            <v>0</v>
          </cell>
          <cell r="BT335">
            <v>748</v>
          </cell>
          <cell r="BU335">
            <v>77851575.349999994</v>
          </cell>
          <cell r="BV335">
            <v>-847133.82999999961</v>
          </cell>
          <cell r="BW335">
            <v>0</v>
          </cell>
          <cell r="BX335">
            <v>0</v>
          </cell>
          <cell r="BY335">
            <v>-847133.82999999961</v>
          </cell>
          <cell r="BZ335">
            <v>4052786.6100000003</v>
          </cell>
          <cell r="CA335">
            <v>0</v>
          </cell>
          <cell r="CB335">
            <v>0</v>
          </cell>
          <cell r="CC335">
            <v>4052786.6100000003</v>
          </cell>
          <cell r="CD335">
            <v>5295.6800000000039</v>
          </cell>
          <cell r="CE335">
            <v>0</v>
          </cell>
          <cell r="CF335">
            <v>0</v>
          </cell>
          <cell r="CG335">
            <v>5295.6800000000039</v>
          </cell>
          <cell r="CH335">
            <v>2337500.89</v>
          </cell>
          <cell r="CI335">
            <v>0</v>
          </cell>
          <cell r="CJ335">
            <v>0</v>
          </cell>
          <cell r="CK335">
            <v>2337500.89</v>
          </cell>
          <cell r="CL335">
            <v>-40049.67</v>
          </cell>
          <cell r="CM335">
            <v>0</v>
          </cell>
          <cell r="CN335">
            <v>0</v>
          </cell>
          <cell r="CO335">
            <v>-40049.67</v>
          </cell>
          <cell r="CP335">
            <v>129420.61</v>
          </cell>
          <cell r="CQ335">
            <v>0</v>
          </cell>
          <cell r="CR335">
            <v>0</v>
          </cell>
          <cell r="CS335">
            <v>129420.61</v>
          </cell>
          <cell r="CT335">
            <v>1397.7000000000003</v>
          </cell>
          <cell r="CU335">
            <v>0</v>
          </cell>
          <cell r="CV335">
            <v>0</v>
          </cell>
          <cell r="CW335">
            <v>1397.7000000000003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135870</v>
          </cell>
          <cell r="DO335">
            <v>0</v>
          </cell>
          <cell r="DP335">
            <v>101389</v>
          </cell>
          <cell r="DQ335">
            <v>237259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101389</v>
          </cell>
          <cell r="DW335">
            <v>0</v>
          </cell>
          <cell r="DX335">
            <v>71049.929999999993</v>
          </cell>
          <cell r="DY335">
            <v>0</v>
          </cell>
          <cell r="DZ335">
            <v>0</v>
          </cell>
          <cell r="EA335">
            <v>71049.929999999993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22803.51</v>
          </cell>
          <cell r="EG335">
            <v>0</v>
          </cell>
          <cell r="EH335">
            <v>0</v>
          </cell>
          <cell r="EI335">
            <v>22803.51</v>
          </cell>
          <cell r="EJ335">
            <v>105888.03</v>
          </cell>
          <cell r="EK335">
            <v>0</v>
          </cell>
          <cell r="EL335">
            <v>0</v>
          </cell>
          <cell r="EM335">
            <v>105888.03</v>
          </cell>
        </row>
        <row r="336">
          <cell r="A336">
            <v>330</v>
          </cell>
          <cell r="D336" t="str">
            <v>Met</v>
          </cell>
          <cell r="E336" t="str">
            <v>Metropolitan Districts</v>
          </cell>
          <cell r="F336">
            <v>10787342.969999999</v>
          </cell>
          <cell r="G336">
            <v>5370</v>
          </cell>
          <cell r="H336">
            <v>105797</v>
          </cell>
          <cell r="I336">
            <v>10898509.969999999</v>
          </cell>
          <cell r="J336">
            <v>-12576949.77</v>
          </cell>
          <cell r="K336">
            <v>0</v>
          </cell>
          <cell r="L336">
            <v>-67825</v>
          </cell>
          <cell r="M336">
            <v>-12644774.77</v>
          </cell>
          <cell r="N336">
            <v>5266121.3999999994</v>
          </cell>
          <cell r="O336">
            <v>20742</v>
          </cell>
          <cell r="P336">
            <v>43211</v>
          </cell>
          <cell r="Q336">
            <v>5330074.3999999994</v>
          </cell>
          <cell r="R336">
            <v>12959857.389999999</v>
          </cell>
          <cell r="S336">
            <v>17062</v>
          </cell>
          <cell r="T336">
            <v>45192</v>
          </cell>
          <cell r="U336">
            <v>13022111.389999999</v>
          </cell>
          <cell r="V336">
            <v>225173019.35999998</v>
          </cell>
          <cell r="W336">
            <v>78932</v>
          </cell>
          <cell r="X336">
            <v>632811.9</v>
          </cell>
          <cell r="Y336">
            <v>225884763.26000002</v>
          </cell>
          <cell r="Z336">
            <v>9840997.6800000016</v>
          </cell>
          <cell r="AA336">
            <v>3882</v>
          </cell>
          <cell r="AB336">
            <v>57276</v>
          </cell>
          <cell r="AC336">
            <v>9902155.6800000016</v>
          </cell>
          <cell r="AD336">
            <v>81891468.229999989</v>
          </cell>
          <cell r="AE336">
            <v>186592</v>
          </cell>
          <cell r="AF336">
            <v>193513</v>
          </cell>
          <cell r="AG336">
            <v>82271573.229999989</v>
          </cell>
          <cell r="AH336">
            <v>-164626.29999999999</v>
          </cell>
          <cell r="AI336">
            <v>1124</v>
          </cell>
          <cell r="AJ336">
            <v>-13437</v>
          </cell>
          <cell r="AK336">
            <v>-176939.3</v>
          </cell>
          <cell r="AL336">
            <v>250624088.12</v>
          </cell>
          <cell r="AM336">
            <v>1084540</v>
          </cell>
          <cell r="AN336">
            <v>1130064</v>
          </cell>
          <cell r="AO336">
            <v>252838692.12</v>
          </cell>
          <cell r="AP336">
            <v>-604618.68000000005</v>
          </cell>
          <cell r="AQ336">
            <v>7541</v>
          </cell>
          <cell r="AR336">
            <v>545552</v>
          </cell>
          <cell r="AS336">
            <v>-51525.679999999993</v>
          </cell>
          <cell r="AT336">
            <v>2990530.5100000002</v>
          </cell>
          <cell r="AU336">
            <v>0</v>
          </cell>
          <cell r="AV336">
            <v>0</v>
          </cell>
          <cell r="AW336">
            <v>2990530.5100000002</v>
          </cell>
          <cell r="AX336">
            <v>15336.980000000001</v>
          </cell>
          <cell r="AY336">
            <v>0</v>
          </cell>
          <cell r="AZ336">
            <v>0</v>
          </cell>
          <cell r="BA336">
            <v>15336.980000000001</v>
          </cell>
          <cell r="BB336">
            <v>106781.25</v>
          </cell>
          <cell r="BC336">
            <v>0</v>
          </cell>
          <cell r="BD336">
            <v>0</v>
          </cell>
          <cell r="BE336">
            <v>106781.25</v>
          </cell>
          <cell r="BF336">
            <v>-276.72000000000003</v>
          </cell>
          <cell r="BG336">
            <v>0</v>
          </cell>
          <cell r="BH336">
            <v>0</v>
          </cell>
          <cell r="BI336">
            <v>-276.72000000000003</v>
          </cell>
          <cell r="BJ336">
            <v>4208542.5199999996</v>
          </cell>
          <cell r="BK336">
            <v>96034</v>
          </cell>
          <cell r="BL336">
            <v>5670</v>
          </cell>
          <cell r="BM336">
            <v>4310246.5199999996</v>
          </cell>
          <cell r="BN336">
            <v>938591.40999999992</v>
          </cell>
          <cell r="BO336">
            <v>0</v>
          </cell>
          <cell r="BP336">
            <v>-13752</v>
          </cell>
          <cell r="BQ336">
            <v>924839.40999999992</v>
          </cell>
          <cell r="BR336">
            <v>233586506.00000003</v>
          </cell>
          <cell r="BS336">
            <v>1459443</v>
          </cell>
          <cell r="BT336">
            <v>10080551</v>
          </cell>
          <cell r="BU336">
            <v>245126500.00000003</v>
          </cell>
          <cell r="BV336">
            <v>-139588.07999999996</v>
          </cell>
          <cell r="BW336">
            <v>48872</v>
          </cell>
          <cell r="BX336">
            <v>50435</v>
          </cell>
          <cell r="BY336">
            <v>-40281.079999999958</v>
          </cell>
          <cell r="BZ336">
            <v>9541225.9900000002</v>
          </cell>
          <cell r="CA336">
            <v>622</v>
          </cell>
          <cell r="CB336">
            <v>0</v>
          </cell>
          <cell r="CC336">
            <v>9541847.9900000002</v>
          </cell>
          <cell r="CD336">
            <v>-177747.25999999995</v>
          </cell>
          <cell r="CE336">
            <v>0</v>
          </cell>
          <cell r="CF336">
            <v>0</v>
          </cell>
          <cell r="CG336">
            <v>-177747.25999999995</v>
          </cell>
          <cell r="CH336">
            <v>8043692.1999999993</v>
          </cell>
          <cell r="CI336">
            <v>0</v>
          </cell>
          <cell r="CJ336">
            <v>9655.5</v>
          </cell>
          <cell r="CK336">
            <v>8053347.6999999993</v>
          </cell>
          <cell r="CL336">
            <v>-138419.44</v>
          </cell>
          <cell r="CM336">
            <v>-6686</v>
          </cell>
          <cell r="CN336">
            <v>454</v>
          </cell>
          <cell r="CO336">
            <v>-144651.44</v>
          </cell>
          <cell r="CP336">
            <v>212229.04</v>
          </cell>
          <cell r="CQ336">
            <v>0</v>
          </cell>
          <cell r="CR336">
            <v>0</v>
          </cell>
          <cell r="CS336">
            <v>212229.04</v>
          </cell>
          <cell r="CT336">
            <v>17807.46</v>
          </cell>
          <cell r="CU336">
            <v>0</v>
          </cell>
          <cell r="CV336">
            <v>0</v>
          </cell>
          <cell r="CW336">
            <v>17807.46</v>
          </cell>
          <cell r="CX336">
            <v>24014.959999999999</v>
          </cell>
          <cell r="CY336">
            <v>0</v>
          </cell>
          <cell r="CZ336">
            <v>0</v>
          </cell>
          <cell r="DA336">
            <v>24014.959999999999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127200.21</v>
          </cell>
          <cell r="DG336">
            <v>0</v>
          </cell>
          <cell r="DH336">
            <v>0</v>
          </cell>
          <cell r="DI336">
            <v>127200.21</v>
          </cell>
          <cell r="DJ336">
            <v>-10</v>
          </cell>
          <cell r="DK336">
            <v>0</v>
          </cell>
          <cell r="DL336">
            <v>0</v>
          </cell>
          <cell r="DM336">
            <v>-10</v>
          </cell>
          <cell r="DN336">
            <v>0</v>
          </cell>
          <cell r="DO336">
            <v>0</v>
          </cell>
          <cell r="DP336">
            <v>1163548</v>
          </cell>
          <cell r="DQ336">
            <v>1163548</v>
          </cell>
          <cell r="DR336">
            <v>31509</v>
          </cell>
          <cell r="DS336">
            <v>0</v>
          </cell>
          <cell r="DT336">
            <v>121382</v>
          </cell>
          <cell r="DU336">
            <v>152891</v>
          </cell>
          <cell r="DV336">
            <v>1394930</v>
          </cell>
          <cell r="DW336">
            <v>0</v>
          </cell>
          <cell r="DX336">
            <v>6142.36</v>
          </cell>
          <cell r="DY336">
            <v>0</v>
          </cell>
          <cell r="DZ336">
            <v>0</v>
          </cell>
          <cell r="EA336">
            <v>6142.36</v>
          </cell>
          <cell r="EB336">
            <v>323623</v>
          </cell>
          <cell r="EC336">
            <v>0</v>
          </cell>
          <cell r="ED336">
            <v>0</v>
          </cell>
          <cell r="EE336">
            <v>323623</v>
          </cell>
          <cell r="EF336">
            <v>442985.15</v>
          </cell>
          <cell r="EG336">
            <v>0</v>
          </cell>
          <cell r="EH336">
            <v>0</v>
          </cell>
          <cell r="EI336">
            <v>442985.15</v>
          </cell>
          <cell r="EJ336">
            <v>56626.010000000009</v>
          </cell>
          <cell r="EK336">
            <v>0</v>
          </cell>
          <cell r="EL336">
            <v>0</v>
          </cell>
          <cell r="EM336">
            <v>56626.010000000009</v>
          </cell>
        </row>
        <row r="337">
          <cell r="A337">
            <v>331</v>
          </cell>
          <cell r="D337" t="str">
            <v>UA</v>
          </cell>
          <cell r="E337" t="str">
            <v>Unitary Authorities</v>
          </cell>
          <cell r="F337">
            <v>37559025</v>
          </cell>
          <cell r="G337">
            <v>4295</v>
          </cell>
          <cell r="H337">
            <v>83504</v>
          </cell>
          <cell r="I337">
            <v>37646824</v>
          </cell>
          <cell r="J337">
            <v>-11566062.730000002</v>
          </cell>
          <cell r="K337">
            <v>0</v>
          </cell>
          <cell r="L337">
            <v>-7418.16</v>
          </cell>
          <cell r="M337">
            <v>-11573480.890000002</v>
          </cell>
          <cell r="N337">
            <v>9463621.0099999998</v>
          </cell>
          <cell r="O337">
            <v>38923</v>
          </cell>
          <cell r="P337">
            <v>10851.94</v>
          </cell>
          <cell r="Q337">
            <v>9513395.9500000011</v>
          </cell>
          <cell r="R337">
            <v>22437246.799999997</v>
          </cell>
          <cell r="S337">
            <v>0</v>
          </cell>
          <cell r="T337">
            <v>409</v>
          </cell>
          <cell r="U337">
            <v>22437655.799999997</v>
          </cell>
          <cell r="V337">
            <v>230419538.10999992</v>
          </cell>
          <cell r="W337">
            <v>197205</v>
          </cell>
          <cell r="X337">
            <v>106190.41</v>
          </cell>
          <cell r="Y337">
            <v>230722933.51999995</v>
          </cell>
          <cell r="Z337">
            <v>12022724.830000002</v>
          </cell>
          <cell r="AA337">
            <v>0</v>
          </cell>
          <cell r="AB337">
            <v>-2910.06</v>
          </cell>
          <cell r="AC337">
            <v>12019814.77</v>
          </cell>
          <cell r="AD337">
            <v>90701137.74000001</v>
          </cell>
          <cell r="AE337">
            <v>102787</v>
          </cell>
          <cell r="AF337">
            <v>295969.65000000002</v>
          </cell>
          <cell r="AG337">
            <v>91099894.390000015</v>
          </cell>
          <cell r="AH337">
            <v>-538109.70000000007</v>
          </cell>
          <cell r="AI337">
            <v>0</v>
          </cell>
          <cell r="AJ337">
            <v>-8146.89</v>
          </cell>
          <cell r="AK337">
            <v>-546256.58999999985</v>
          </cell>
          <cell r="AL337">
            <v>287029358.74999994</v>
          </cell>
          <cell r="AM337">
            <v>521703</v>
          </cell>
          <cell r="AN337">
            <v>119091.43000000001</v>
          </cell>
          <cell r="AO337">
            <v>287670153.17999995</v>
          </cell>
          <cell r="AP337">
            <v>-1133262.5900000001</v>
          </cell>
          <cell r="AQ337">
            <v>0</v>
          </cell>
          <cell r="AR337">
            <v>21911.14</v>
          </cell>
          <cell r="AS337">
            <v>-1111351.4500000004</v>
          </cell>
          <cell r="AT337">
            <v>3862974.1199999996</v>
          </cell>
          <cell r="AU337">
            <v>0</v>
          </cell>
          <cell r="AV337">
            <v>0</v>
          </cell>
          <cell r="AW337">
            <v>3862974.1199999996</v>
          </cell>
          <cell r="AX337">
            <v>6845.16</v>
          </cell>
          <cell r="AY337">
            <v>0</v>
          </cell>
          <cell r="AZ337">
            <v>0</v>
          </cell>
          <cell r="BA337">
            <v>6845.16</v>
          </cell>
          <cell r="BB337">
            <v>1403732.87</v>
          </cell>
          <cell r="BC337">
            <v>0</v>
          </cell>
          <cell r="BD337">
            <v>0</v>
          </cell>
          <cell r="BE337">
            <v>1403732.87</v>
          </cell>
          <cell r="BF337">
            <v>51000.680000000008</v>
          </cell>
          <cell r="BG337">
            <v>0</v>
          </cell>
          <cell r="BH337">
            <v>0</v>
          </cell>
          <cell r="BI337">
            <v>51000.680000000008</v>
          </cell>
          <cell r="BJ337">
            <v>7030934.79</v>
          </cell>
          <cell r="BK337">
            <v>7922</v>
          </cell>
          <cell r="BL337">
            <v>96634</v>
          </cell>
          <cell r="BM337">
            <v>7135490.7899999991</v>
          </cell>
          <cell r="BN337">
            <v>2852630.78</v>
          </cell>
          <cell r="BO337">
            <v>0</v>
          </cell>
          <cell r="BP337">
            <v>0</v>
          </cell>
          <cell r="BQ337">
            <v>2852630.78</v>
          </cell>
          <cell r="BR337">
            <v>189699283.59000006</v>
          </cell>
          <cell r="BS337">
            <v>567331</v>
          </cell>
          <cell r="BT337">
            <v>299969.37</v>
          </cell>
          <cell r="BU337">
            <v>190566583.96000007</v>
          </cell>
          <cell r="BV337">
            <v>-3310418.6</v>
          </cell>
          <cell r="BW337">
            <v>0</v>
          </cell>
          <cell r="BX337">
            <v>-1100.18</v>
          </cell>
          <cell r="BY337">
            <v>-3311518.78</v>
          </cell>
          <cell r="BZ337">
            <v>10018582.1</v>
          </cell>
          <cell r="CA337">
            <v>1677</v>
          </cell>
          <cell r="CB337">
            <v>0</v>
          </cell>
          <cell r="CC337">
            <v>10020259.1</v>
          </cell>
          <cell r="CD337">
            <v>-113524.40000000001</v>
          </cell>
          <cell r="CE337">
            <v>0</v>
          </cell>
          <cell r="CF337">
            <v>-185.23</v>
          </cell>
          <cell r="CG337">
            <v>-113709.63000000002</v>
          </cell>
          <cell r="CH337">
            <v>9309977.6100000013</v>
          </cell>
          <cell r="CI337">
            <v>263194</v>
          </cell>
          <cell r="CJ337">
            <v>15186</v>
          </cell>
          <cell r="CK337">
            <v>9588357.6100000013</v>
          </cell>
          <cell r="CL337">
            <v>359050.38999999996</v>
          </cell>
          <cell r="CM337">
            <v>0</v>
          </cell>
          <cell r="CN337">
            <v>0</v>
          </cell>
          <cell r="CO337">
            <v>359050.38999999996</v>
          </cell>
          <cell r="CP337">
            <v>284766.76</v>
          </cell>
          <cell r="CQ337">
            <v>0</v>
          </cell>
          <cell r="CR337">
            <v>0</v>
          </cell>
          <cell r="CS337">
            <v>284766.76</v>
          </cell>
          <cell r="CT337">
            <v>5826.1299999999992</v>
          </cell>
          <cell r="CU337">
            <v>0</v>
          </cell>
          <cell r="CV337">
            <v>0</v>
          </cell>
          <cell r="CW337">
            <v>5826.1299999999992</v>
          </cell>
          <cell r="CX337">
            <v>816830.84</v>
          </cell>
          <cell r="CY337">
            <v>0</v>
          </cell>
          <cell r="CZ337">
            <v>0</v>
          </cell>
          <cell r="DA337">
            <v>816830.84</v>
          </cell>
          <cell r="DB337">
            <v>34925.450000000004</v>
          </cell>
          <cell r="DC337">
            <v>0</v>
          </cell>
          <cell r="DD337">
            <v>0</v>
          </cell>
          <cell r="DE337">
            <v>34925.450000000004</v>
          </cell>
          <cell r="DF337">
            <v>435919.77999999997</v>
          </cell>
          <cell r="DG337">
            <v>0</v>
          </cell>
          <cell r="DH337">
            <v>0</v>
          </cell>
          <cell r="DI337">
            <v>435919.77999999997</v>
          </cell>
          <cell r="DJ337">
            <v>-4663.7000000000007</v>
          </cell>
          <cell r="DK337">
            <v>0</v>
          </cell>
          <cell r="DL337">
            <v>0</v>
          </cell>
          <cell r="DM337">
            <v>-4663.7000000000007</v>
          </cell>
          <cell r="DN337">
            <v>369685.38</v>
          </cell>
          <cell r="DO337">
            <v>0</v>
          </cell>
          <cell r="DP337">
            <v>920155.51</v>
          </cell>
          <cell r="DQ337">
            <v>1289840.8899999999</v>
          </cell>
          <cell r="DR337">
            <v>56071.5</v>
          </cell>
          <cell r="DS337">
            <v>0</v>
          </cell>
          <cell r="DT337">
            <v>8292.35</v>
          </cell>
          <cell r="DU337">
            <v>64363.85</v>
          </cell>
          <cell r="DV337">
            <v>858525.34</v>
          </cell>
          <cell r="DW337">
            <v>250782</v>
          </cell>
          <cell r="DX337">
            <v>78979</v>
          </cell>
          <cell r="DY337">
            <v>0</v>
          </cell>
          <cell r="DZ337">
            <v>0</v>
          </cell>
          <cell r="EA337">
            <v>78979</v>
          </cell>
          <cell r="EB337">
            <v>1682546.5799999998</v>
          </cell>
          <cell r="EC337">
            <v>0</v>
          </cell>
          <cell r="ED337">
            <v>0</v>
          </cell>
          <cell r="EE337">
            <v>1682546.5799999998</v>
          </cell>
          <cell r="EF337">
            <v>1364223.5199999998</v>
          </cell>
          <cell r="EG337">
            <v>0</v>
          </cell>
          <cell r="EH337">
            <v>0</v>
          </cell>
          <cell r="EI337">
            <v>1364223.5199999998</v>
          </cell>
          <cell r="EJ337">
            <v>58837.280000000006</v>
          </cell>
          <cell r="EK337">
            <v>0</v>
          </cell>
          <cell r="EL337">
            <v>0</v>
          </cell>
          <cell r="EM337">
            <v>58837.280000000006</v>
          </cell>
        </row>
        <row r="338">
          <cell r="A338">
            <v>332</v>
          </cell>
          <cell r="D338" t="str">
            <v>SD</v>
          </cell>
          <cell r="E338" t="str">
            <v>Shire Districts</v>
          </cell>
          <cell r="F338">
            <v>77257717.669999987</v>
          </cell>
          <cell r="G338">
            <v>0</v>
          </cell>
          <cell r="H338">
            <v>28520.639999999999</v>
          </cell>
          <cell r="I338">
            <v>77286238.309999987</v>
          </cell>
          <cell r="J338">
            <v>-22104428.879999992</v>
          </cell>
          <cell r="K338">
            <v>0</v>
          </cell>
          <cell r="L338">
            <v>911.29</v>
          </cell>
          <cell r="M338">
            <v>-22103517.589999992</v>
          </cell>
          <cell r="N338">
            <v>11548348.390000001</v>
          </cell>
          <cell r="O338">
            <v>0</v>
          </cell>
          <cell r="P338">
            <v>-43321.56</v>
          </cell>
          <cell r="Q338">
            <v>11505026.830000002</v>
          </cell>
          <cell r="R338">
            <v>23307489.330000002</v>
          </cell>
          <cell r="S338">
            <v>0</v>
          </cell>
          <cell r="T338">
            <v>67688.740000000005</v>
          </cell>
          <cell r="U338">
            <v>23375178.07</v>
          </cell>
          <cell r="V338">
            <v>417365155.54000002</v>
          </cell>
          <cell r="W338">
            <v>0</v>
          </cell>
          <cell r="X338">
            <v>161022.54999999999</v>
          </cell>
          <cell r="Y338">
            <v>417526178.08999997</v>
          </cell>
          <cell r="Z338">
            <v>20078045.829999998</v>
          </cell>
          <cell r="AA338">
            <v>0</v>
          </cell>
          <cell r="AB338">
            <v>311.5</v>
          </cell>
          <cell r="AC338">
            <v>20078357.329999998</v>
          </cell>
          <cell r="AD338">
            <v>143507818.16999999</v>
          </cell>
          <cell r="AE338">
            <v>0</v>
          </cell>
          <cell r="AF338">
            <v>262736.38</v>
          </cell>
          <cell r="AG338">
            <v>143770554.54999998</v>
          </cell>
          <cell r="AH338">
            <v>-1363703.6399999997</v>
          </cell>
          <cell r="AI338">
            <v>0</v>
          </cell>
          <cell r="AJ338">
            <v>-5079.95</v>
          </cell>
          <cell r="AK338">
            <v>-1368783.5899999996</v>
          </cell>
          <cell r="AL338">
            <v>481229711.82999998</v>
          </cell>
          <cell r="AM338">
            <v>0</v>
          </cell>
          <cell r="AN338">
            <v>152778.9</v>
          </cell>
          <cell r="AO338">
            <v>481382490.73000002</v>
          </cell>
          <cell r="AP338">
            <v>6157830.7000000011</v>
          </cell>
          <cell r="AQ338">
            <v>0</v>
          </cell>
          <cell r="AR338">
            <v>78</v>
          </cell>
          <cell r="AS338">
            <v>6157908.7000000011</v>
          </cell>
          <cell r="AT338">
            <v>9336165.9699999988</v>
          </cell>
          <cell r="AU338">
            <v>0</v>
          </cell>
          <cell r="AV338">
            <v>0</v>
          </cell>
          <cell r="AW338">
            <v>9336165.9699999988</v>
          </cell>
          <cell r="AX338">
            <v>73067.969999999987</v>
          </cell>
          <cell r="AY338">
            <v>0</v>
          </cell>
          <cell r="AZ338">
            <v>0</v>
          </cell>
          <cell r="BA338">
            <v>73067.969999999987</v>
          </cell>
          <cell r="BB338">
            <v>4489250.45</v>
          </cell>
          <cell r="BC338">
            <v>0</v>
          </cell>
          <cell r="BD338">
            <v>661</v>
          </cell>
          <cell r="BE338">
            <v>4489911.45</v>
          </cell>
          <cell r="BF338">
            <v>140001.13</v>
          </cell>
          <cell r="BG338">
            <v>0</v>
          </cell>
          <cell r="BH338">
            <v>0</v>
          </cell>
          <cell r="BI338">
            <v>140001.13</v>
          </cell>
          <cell r="BJ338">
            <v>12880368.240000002</v>
          </cell>
          <cell r="BK338">
            <v>0</v>
          </cell>
          <cell r="BL338">
            <v>137610.88</v>
          </cell>
          <cell r="BM338">
            <v>13017979.120000001</v>
          </cell>
          <cell r="BN338">
            <v>2178041.9499999997</v>
          </cell>
          <cell r="BO338">
            <v>0</v>
          </cell>
          <cell r="BP338">
            <v>6369.53</v>
          </cell>
          <cell r="BQ338">
            <v>2184411.48</v>
          </cell>
          <cell r="BR338">
            <v>263941280.05000001</v>
          </cell>
          <cell r="BS338">
            <v>0</v>
          </cell>
          <cell r="BT338">
            <v>1701474.3399999999</v>
          </cell>
          <cell r="BU338">
            <v>265642754.38999996</v>
          </cell>
          <cell r="BV338">
            <v>3230966.3199999975</v>
          </cell>
          <cell r="BW338">
            <v>0</v>
          </cell>
          <cell r="BX338">
            <v>-28353.660000000003</v>
          </cell>
          <cell r="BY338">
            <v>3202612.6599999992</v>
          </cell>
          <cell r="BZ338">
            <v>15915870.459999997</v>
          </cell>
          <cell r="CA338">
            <v>0</v>
          </cell>
          <cell r="CB338">
            <v>16987.800000000003</v>
          </cell>
          <cell r="CC338">
            <v>15932858.259999996</v>
          </cell>
          <cell r="CD338">
            <v>128978.25999999997</v>
          </cell>
          <cell r="CE338">
            <v>0</v>
          </cell>
          <cell r="CF338">
            <v>20</v>
          </cell>
          <cell r="CG338">
            <v>128998.25999999997</v>
          </cell>
          <cell r="CH338">
            <v>12821290.259999998</v>
          </cell>
          <cell r="CI338">
            <v>0</v>
          </cell>
          <cell r="CJ338">
            <v>37079</v>
          </cell>
          <cell r="CK338">
            <v>12858369.259999998</v>
          </cell>
          <cell r="CL338">
            <v>-81609.670000000013</v>
          </cell>
          <cell r="CM338">
            <v>0</v>
          </cell>
          <cell r="CN338">
            <v>0</v>
          </cell>
          <cell r="CO338">
            <v>-81609.670000000013</v>
          </cell>
          <cell r="CP338">
            <v>495187.82999999996</v>
          </cell>
          <cell r="CQ338">
            <v>0</v>
          </cell>
          <cell r="CR338">
            <v>0</v>
          </cell>
          <cell r="CS338">
            <v>495187.82999999996</v>
          </cell>
          <cell r="CT338">
            <v>5456.32</v>
          </cell>
          <cell r="CU338">
            <v>0</v>
          </cell>
          <cell r="CV338">
            <v>0</v>
          </cell>
          <cell r="CW338">
            <v>5456.32</v>
          </cell>
          <cell r="CX338">
            <v>2183137.6799999997</v>
          </cell>
          <cell r="CY338">
            <v>0</v>
          </cell>
          <cell r="CZ338">
            <v>661</v>
          </cell>
          <cell r="DA338">
            <v>2183798.6799999997</v>
          </cell>
          <cell r="DB338">
            <v>20525.849999999995</v>
          </cell>
          <cell r="DC338">
            <v>0</v>
          </cell>
          <cell r="DD338">
            <v>0</v>
          </cell>
          <cell r="DE338">
            <v>20525.849999999995</v>
          </cell>
          <cell r="DF338">
            <v>1139226.6100000001</v>
          </cell>
          <cell r="DG338">
            <v>0</v>
          </cell>
          <cell r="DH338">
            <v>0</v>
          </cell>
          <cell r="DI338">
            <v>1139226.6100000001</v>
          </cell>
          <cell r="DJ338">
            <v>169285.11</v>
          </cell>
          <cell r="DK338">
            <v>0</v>
          </cell>
          <cell r="DL338">
            <v>0</v>
          </cell>
          <cell r="DM338">
            <v>169285.11</v>
          </cell>
          <cell r="DN338">
            <v>1686416.06</v>
          </cell>
          <cell r="DO338">
            <v>0</v>
          </cell>
          <cell r="DP338">
            <v>3155188.16</v>
          </cell>
          <cell r="DQ338">
            <v>4841604.2200000007</v>
          </cell>
          <cell r="DR338">
            <v>320458.32</v>
          </cell>
          <cell r="DS338">
            <v>0</v>
          </cell>
          <cell r="DT338">
            <v>344024</v>
          </cell>
          <cell r="DU338">
            <v>664482.32000000007</v>
          </cell>
          <cell r="DV338">
            <v>3486612.34</v>
          </cell>
          <cell r="DW338">
            <v>1741479.88</v>
          </cell>
          <cell r="DX338">
            <v>405875.75</v>
          </cell>
          <cell r="DY338">
            <v>0</v>
          </cell>
          <cell r="DZ338">
            <v>0</v>
          </cell>
          <cell r="EA338">
            <v>405875.75</v>
          </cell>
          <cell r="EB338">
            <v>1193189.1600000001</v>
          </cell>
          <cell r="EC338">
            <v>0</v>
          </cell>
          <cell r="ED338">
            <v>0</v>
          </cell>
          <cell r="EE338">
            <v>1193189.1600000001</v>
          </cell>
          <cell r="EF338">
            <v>1085402.5900000001</v>
          </cell>
          <cell r="EG338">
            <v>0</v>
          </cell>
          <cell r="EH338">
            <v>0</v>
          </cell>
          <cell r="EI338">
            <v>1085402.5900000001</v>
          </cell>
          <cell r="EJ338">
            <v>60957.36</v>
          </cell>
          <cell r="EK338">
            <v>0</v>
          </cell>
          <cell r="EL338">
            <v>0</v>
          </cell>
          <cell r="EM338">
            <v>60957.36</v>
          </cell>
        </row>
      </sheetData>
      <sheetData sheetId="9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17209579</v>
          </cell>
          <cell r="G8">
            <v>0</v>
          </cell>
          <cell r="H8">
            <v>0</v>
          </cell>
          <cell r="I8">
            <v>17209579</v>
          </cell>
          <cell r="J8">
            <v>16627384</v>
          </cell>
          <cell r="K8">
            <v>0</v>
          </cell>
          <cell r="L8">
            <v>0</v>
          </cell>
          <cell r="M8">
            <v>16627384</v>
          </cell>
          <cell r="N8">
            <v>582195</v>
          </cell>
          <cell r="O8">
            <v>0</v>
          </cell>
          <cell r="P8">
            <v>0</v>
          </cell>
          <cell r="Q8">
            <v>582195</v>
          </cell>
          <cell r="R8">
            <v>70973</v>
          </cell>
          <cell r="S8">
            <v>0</v>
          </cell>
          <cell r="T8">
            <v>0</v>
          </cell>
          <cell r="U8">
            <v>70973</v>
          </cell>
          <cell r="V8">
            <v>511222</v>
          </cell>
          <cell r="W8">
            <v>0</v>
          </cell>
          <cell r="X8">
            <v>0</v>
          </cell>
          <cell r="Y8">
            <v>511222</v>
          </cell>
          <cell r="Z8">
            <v>84623</v>
          </cell>
          <cell r="AA8">
            <v>84623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221970</v>
          </cell>
          <cell r="BB8">
            <v>192236</v>
          </cell>
          <cell r="BC8">
            <v>29734</v>
          </cell>
          <cell r="BD8">
            <v>55492</v>
          </cell>
          <cell r="BE8">
            <v>48059</v>
          </cell>
          <cell r="BF8">
            <v>7433</v>
          </cell>
          <cell r="BG8">
            <v>0</v>
          </cell>
          <cell r="BH8">
            <v>0</v>
          </cell>
          <cell r="BI8">
            <v>0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32357059</v>
          </cell>
          <cell r="G9">
            <v>0</v>
          </cell>
          <cell r="H9">
            <v>0</v>
          </cell>
          <cell r="I9">
            <v>32357059</v>
          </cell>
          <cell r="J9">
            <v>32436347</v>
          </cell>
          <cell r="K9">
            <v>0</v>
          </cell>
          <cell r="L9">
            <v>0</v>
          </cell>
          <cell r="M9">
            <v>32436347</v>
          </cell>
          <cell r="N9">
            <v>-79288</v>
          </cell>
          <cell r="O9">
            <v>0</v>
          </cell>
          <cell r="P9">
            <v>0</v>
          </cell>
          <cell r="Q9">
            <v>-79288</v>
          </cell>
          <cell r="R9">
            <v>175867</v>
          </cell>
          <cell r="S9">
            <v>0</v>
          </cell>
          <cell r="T9">
            <v>0</v>
          </cell>
          <cell r="U9">
            <v>175867</v>
          </cell>
          <cell r="V9">
            <v>-255155</v>
          </cell>
          <cell r="W9">
            <v>0</v>
          </cell>
          <cell r="X9">
            <v>0</v>
          </cell>
          <cell r="Y9">
            <v>-255155</v>
          </cell>
          <cell r="Z9">
            <v>182676</v>
          </cell>
          <cell r="AA9">
            <v>182676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151152</v>
          </cell>
          <cell r="AJ9">
            <v>0</v>
          </cell>
          <cell r="AK9">
            <v>151152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613720</v>
          </cell>
          <cell r="BB9">
            <v>511846</v>
          </cell>
          <cell r="BC9">
            <v>101874</v>
          </cell>
          <cell r="BD9">
            <v>153430</v>
          </cell>
          <cell r="BE9">
            <v>127961</v>
          </cell>
          <cell r="BF9">
            <v>25469</v>
          </cell>
          <cell r="BG9">
            <v>0</v>
          </cell>
          <cell r="BH9">
            <v>0</v>
          </cell>
          <cell r="BI9">
            <v>0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30621609</v>
          </cell>
          <cell r="G10">
            <v>0</v>
          </cell>
          <cell r="H10">
            <v>0</v>
          </cell>
          <cell r="I10">
            <v>30621609</v>
          </cell>
          <cell r="J10">
            <v>30662158</v>
          </cell>
          <cell r="K10">
            <v>0</v>
          </cell>
          <cell r="L10">
            <v>0</v>
          </cell>
          <cell r="M10">
            <v>30662158</v>
          </cell>
          <cell r="N10">
            <v>-40549</v>
          </cell>
          <cell r="O10">
            <v>0</v>
          </cell>
          <cell r="P10">
            <v>0</v>
          </cell>
          <cell r="Q10">
            <v>-40549</v>
          </cell>
          <cell r="R10">
            <v>48245</v>
          </cell>
          <cell r="S10">
            <v>0</v>
          </cell>
          <cell r="T10">
            <v>0</v>
          </cell>
          <cell r="U10">
            <v>48245</v>
          </cell>
          <cell r="V10">
            <v>-88794</v>
          </cell>
          <cell r="W10">
            <v>0</v>
          </cell>
          <cell r="X10">
            <v>0</v>
          </cell>
          <cell r="Y10">
            <v>-88794</v>
          </cell>
          <cell r="Z10">
            <v>154747</v>
          </cell>
          <cell r="AA10">
            <v>154747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498667</v>
          </cell>
          <cell r="BB10">
            <v>427663</v>
          </cell>
          <cell r="BC10">
            <v>71004</v>
          </cell>
          <cell r="BD10">
            <v>112200</v>
          </cell>
          <cell r="BE10">
            <v>96224</v>
          </cell>
          <cell r="BF10">
            <v>15976</v>
          </cell>
          <cell r="BG10">
            <v>12467</v>
          </cell>
          <cell r="BH10">
            <v>10692</v>
          </cell>
          <cell r="BI10">
            <v>1775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33543975</v>
          </cell>
          <cell r="G11">
            <v>0</v>
          </cell>
          <cell r="H11">
            <v>0</v>
          </cell>
          <cell r="I11">
            <v>33543975</v>
          </cell>
          <cell r="J11">
            <v>33737826</v>
          </cell>
          <cell r="K11">
            <v>0</v>
          </cell>
          <cell r="L11">
            <v>0</v>
          </cell>
          <cell r="M11">
            <v>33737826</v>
          </cell>
          <cell r="N11">
            <v>-193851</v>
          </cell>
          <cell r="O11">
            <v>0</v>
          </cell>
          <cell r="P11">
            <v>0</v>
          </cell>
          <cell r="Q11">
            <v>-193851</v>
          </cell>
          <cell r="R11">
            <v>9266</v>
          </cell>
          <cell r="S11">
            <v>0</v>
          </cell>
          <cell r="T11">
            <v>0</v>
          </cell>
          <cell r="U11">
            <v>9266</v>
          </cell>
          <cell r="V11">
            <v>-203117</v>
          </cell>
          <cell r="W11">
            <v>0</v>
          </cell>
          <cell r="X11">
            <v>0</v>
          </cell>
          <cell r="Y11">
            <v>-203117</v>
          </cell>
          <cell r="Z11">
            <v>173257</v>
          </cell>
          <cell r="AA11">
            <v>173257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596213</v>
          </cell>
          <cell r="BB11">
            <v>515878</v>
          </cell>
          <cell r="BC11">
            <v>80335</v>
          </cell>
          <cell r="BD11">
            <v>149053</v>
          </cell>
          <cell r="BE11">
            <v>128969</v>
          </cell>
          <cell r="BF11">
            <v>20084</v>
          </cell>
          <cell r="BG11">
            <v>0</v>
          </cell>
          <cell r="BH11">
            <v>0</v>
          </cell>
          <cell r="BI11">
            <v>0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36788579</v>
          </cell>
          <cell r="G12">
            <v>0</v>
          </cell>
          <cell r="H12">
            <v>0</v>
          </cell>
          <cell r="I12">
            <v>36788579</v>
          </cell>
          <cell r="J12">
            <v>36938965.799999997</v>
          </cell>
          <cell r="K12">
            <v>0</v>
          </cell>
          <cell r="L12">
            <v>0</v>
          </cell>
          <cell r="M12">
            <v>36938965.799999997</v>
          </cell>
          <cell r="N12">
            <v>-150386.78</v>
          </cell>
          <cell r="O12">
            <v>0</v>
          </cell>
          <cell r="P12">
            <v>0</v>
          </cell>
          <cell r="Q12">
            <v>-150386.78</v>
          </cell>
          <cell r="R12">
            <v>-11037</v>
          </cell>
          <cell r="S12">
            <v>0</v>
          </cell>
          <cell r="T12">
            <v>0</v>
          </cell>
          <cell r="U12">
            <v>-11037</v>
          </cell>
          <cell r="V12">
            <v>-139350</v>
          </cell>
          <cell r="W12">
            <v>0</v>
          </cell>
          <cell r="X12">
            <v>0</v>
          </cell>
          <cell r="Y12">
            <v>-139350</v>
          </cell>
          <cell r="Z12">
            <v>127890</v>
          </cell>
          <cell r="AA12">
            <v>127890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342358</v>
          </cell>
          <cell r="BB12">
            <v>296722</v>
          </cell>
          <cell r="BC12">
            <v>45636</v>
          </cell>
          <cell r="BD12">
            <v>77030</v>
          </cell>
          <cell r="BE12">
            <v>66763</v>
          </cell>
          <cell r="BF12">
            <v>10267</v>
          </cell>
          <cell r="BG12">
            <v>8559</v>
          </cell>
          <cell r="BH12">
            <v>7418</v>
          </cell>
          <cell r="BI12">
            <v>1141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299207</v>
          </cell>
          <cell r="G13">
            <v>0</v>
          </cell>
          <cell r="H13">
            <v>0</v>
          </cell>
          <cell r="I13">
            <v>299207</v>
          </cell>
          <cell r="J13">
            <v>101648</v>
          </cell>
          <cell r="K13">
            <v>0</v>
          </cell>
          <cell r="L13">
            <v>0</v>
          </cell>
          <cell r="M13">
            <v>101648</v>
          </cell>
          <cell r="N13">
            <v>197559</v>
          </cell>
          <cell r="O13">
            <v>0</v>
          </cell>
          <cell r="P13">
            <v>0</v>
          </cell>
          <cell r="Q13">
            <v>197559</v>
          </cell>
          <cell r="R13">
            <v>11104</v>
          </cell>
          <cell r="S13">
            <v>0</v>
          </cell>
          <cell r="T13">
            <v>0</v>
          </cell>
          <cell r="U13">
            <v>11104</v>
          </cell>
          <cell r="V13">
            <v>186455</v>
          </cell>
          <cell r="W13">
            <v>0</v>
          </cell>
          <cell r="X13">
            <v>0</v>
          </cell>
          <cell r="Y13">
            <v>186455</v>
          </cell>
          <cell r="Z13">
            <v>179047</v>
          </cell>
          <cell r="AA13">
            <v>179047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470305</v>
          </cell>
          <cell r="BB13">
            <v>388457</v>
          </cell>
          <cell r="BC13">
            <v>81848</v>
          </cell>
          <cell r="BD13">
            <v>105819</v>
          </cell>
          <cell r="BE13">
            <v>87403</v>
          </cell>
          <cell r="BF13">
            <v>18416</v>
          </cell>
          <cell r="BG13">
            <v>11758</v>
          </cell>
          <cell r="BH13">
            <v>9711</v>
          </cell>
          <cell r="BI13">
            <v>2047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58524906</v>
          </cell>
          <cell r="G14">
            <v>0</v>
          </cell>
          <cell r="H14">
            <v>0</v>
          </cell>
          <cell r="I14">
            <v>58524906</v>
          </cell>
          <cell r="J14">
            <v>58284052</v>
          </cell>
          <cell r="K14">
            <v>0</v>
          </cell>
          <cell r="L14">
            <v>0</v>
          </cell>
          <cell r="M14">
            <v>58284052</v>
          </cell>
          <cell r="N14">
            <v>240854</v>
          </cell>
          <cell r="O14">
            <v>0</v>
          </cell>
          <cell r="P14">
            <v>0</v>
          </cell>
          <cell r="Q14">
            <v>240854</v>
          </cell>
          <cell r="R14">
            <v>-66922</v>
          </cell>
          <cell r="S14">
            <v>0</v>
          </cell>
          <cell r="T14">
            <v>0</v>
          </cell>
          <cell r="U14">
            <v>-66922</v>
          </cell>
          <cell r="V14">
            <v>307776</v>
          </cell>
          <cell r="W14">
            <v>0</v>
          </cell>
          <cell r="X14">
            <v>0</v>
          </cell>
          <cell r="Y14">
            <v>307776</v>
          </cell>
          <cell r="Z14">
            <v>223664</v>
          </cell>
          <cell r="AA14">
            <v>223664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586191</v>
          </cell>
          <cell r="BB14">
            <v>498582</v>
          </cell>
          <cell r="BC14">
            <v>87609</v>
          </cell>
          <cell r="BD14">
            <v>131893</v>
          </cell>
          <cell r="BE14">
            <v>112181</v>
          </cell>
          <cell r="BF14">
            <v>19712</v>
          </cell>
          <cell r="BG14">
            <v>14655</v>
          </cell>
          <cell r="BH14">
            <v>12465</v>
          </cell>
          <cell r="BI14">
            <v>2190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28352110.5</v>
          </cell>
          <cell r="G15">
            <v>0</v>
          </cell>
          <cell r="H15">
            <v>0</v>
          </cell>
          <cell r="I15">
            <v>28352110.5</v>
          </cell>
          <cell r="J15">
            <v>28406893.300000001</v>
          </cell>
          <cell r="K15">
            <v>0</v>
          </cell>
          <cell r="L15">
            <v>0</v>
          </cell>
          <cell r="M15">
            <v>28406893.300000001</v>
          </cell>
          <cell r="N15">
            <v>-54782.81</v>
          </cell>
          <cell r="O15">
            <v>0</v>
          </cell>
          <cell r="P15">
            <v>0</v>
          </cell>
          <cell r="Q15">
            <v>-54782.81</v>
          </cell>
          <cell r="R15">
            <v>93935</v>
          </cell>
          <cell r="S15">
            <v>0</v>
          </cell>
          <cell r="T15">
            <v>0</v>
          </cell>
          <cell r="U15">
            <v>93935</v>
          </cell>
          <cell r="V15">
            <v>-148718</v>
          </cell>
          <cell r="W15">
            <v>0</v>
          </cell>
          <cell r="X15">
            <v>0</v>
          </cell>
          <cell r="Y15">
            <v>-148718</v>
          </cell>
          <cell r="Z15">
            <v>126602</v>
          </cell>
          <cell r="AA15">
            <v>126602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401450</v>
          </cell>
          <cell r="BB15">
            <v>340684</v>
          </cell>
          <cell r="BC15">
            <v>60766</v>
          </cell>
          <cell r="BD15">
            <v>100363</v>
          </cell>
          <cell r="BE15">
            <v>85171</v>
          </cell>
          <cell r="BF15">
            <v>15192</v>
          </cell>
          <cell r="BG15">
            <v>0</v>
          </cell>
          <cell r="BH15">
            <v>0</v>
          </cell>
          <cell r="BI15">
            <v>0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67553669</v>
          </cell>
          <cell r="G16">
            <v>0</v>
          </cell>
          <cell r="H16">
            <v>0</v>
          </cell>
          <cell r="I16">
            <v>67553669</v>
          </cell>
          <cell r="J16">
            <v>66701654</v>
          </cell>
          <cell r="K16">
            <v>0</v>
          </cell>
          <cell r="L16">
            <v>0</v>
          </cell>
          <cell r="M16">
            <v>66701654</v>
          </cell>
          <cell r="N16">
            <v>852015</v>
          </cell>
          <cell r="O16">
            <v>0</v>
          </cell>
          <cell r="P16">
            <v>0</v>
          </cell>
          <cell r="Q16">
            <v>852015</v>
          </cell>
          <cell r="R16">
            <v>-1528504</v>
          </cell>
          <cell r="S16">
            <v>0</v>
          </cell>
          <cell r="T16">
            <v>0</v>
          </cell>
          <cell r="U16">
            <v>-1528504</v>
          </cell>
          <cell r="V16">
            <v>2380519</v>
          </cell>
          <cell r="W16">
            <v>0</v>
          </cell>
          <cell r="X16">
            <v>0</v>
          </cell>
          <cell r="Y16">
            <v>2380519</v>
          </cell>
          <cell r="Z16">
            <v>205809</v>
          </cell>
          <cell r="AA16">
            <v>205809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337407</v>
          </cell>
          <cell r="BB16">
            <v>282859</v>
          </cell>
          <cell r="BC16">
            <v>54548</v>
          </cell>
          <cell r="BD16">
            <v>224938</v>
          </cell>
          <cell r="BE16">
            <v>188572</v>
          </cell>
          <cell r="BF16">
            <v>36366</v>
          </cell>
          <cell r="BG16">
            <v>0</v>
          </cell>
          <cell r="BH16">
            <v>0</v>
          </cell>
          <cell r="BI16">
            <v>0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111711922</v>
          </cell>
          <cell r="G17">
            <v>0</v>
          </cell>
          <cell r="H17">
            <v>0</v>
          </cell>
          <cell r="I17">
            <v>111711922</v>
          </cell>
          <cell r="J17">
            <v>112928940</v>
          </cell>
          <cell r="K17">
            <v>0</v>
          </cell>
          <cell r="L17">
            <v>0</v>
          </cell>
          <cell r="M17">
            <v>112928940</v>
          </cell>
          <cell r="N17">
            <v>-1217017.3999999999</v>
          </cell>
          <cell r="O17">
            <v>0</v>
          </cell>
          <cell r="P17">
            <v>0</v>
          </cell>
          <cell r="Q17">
            <v>-1217017.3999999999</v>
          </cell>
          <cell r="R17">
            <v>634496</v>
          </cell>
          <cell r="S17">
            <v>0</v>
          </cell>
          <cell r="T17">
            <v>0</v>
          </cell>
          <cell r="U17">
            <v>634496</v>
          </cell>
          <cell r="V17">
            <v>-1851513</v>
          </cell>
          <cell r="W17">
            <v>0</v>
          </cell>
          <cell r="X17">
            <v>0</v>
          </cell>
          <cell r="Y17">
            <v>-1851513</v>
          </cell>
          <cell r="Z17">
            <v>419218</v>
          </cell>
          <cell r="AA17">
            <v>419218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499547</v>
          </cell>
          <cell r="BB17">
            <v>413785</v>
          </cell>
          <cell r="BC17">
            <v>85762</v>
          </cell>
          <cell r="BD17">
            <v>333031</v>
          </cell>
          <cell r="BE17">
            <v>275857</v>
          </cell>
          <cell r="BF17">
            <v>57174</v>
          </cell>
          <cell r="BG17">
            <v>0</v>
          </cell>
          <cell r="BH17">
            <v>0</v>
          </cell>
          <cell r="BI17">
            <v>0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52352332</v>
          </cell>
          <cell r="G18">
            <v>0</v>
          </cell>
          <cell r="H18">
            <v>0</v>
          </cell>
          <cell r="I18">
            <v>52352332</v>
          </cell>
          <cell r="J18">
            <v>52095922</v>
          </cell>
          <cell r="K18">
            <v>0</v>
          </cell>
          <cell r="L18">
            <v>0</v>
          </cell>
          <cell r="M18">
            <v>52095922</v>
          </cell>
          <cell r="N18">
            <v>256410</v>
          </cell>
          <cell r="O18">
            <v>0</v>
          </cell>
          <cell r="P18">
            <v>0</v>
          </cell>
          <cell r="Q18">
            <v>256410</v>
          </cell>
          <cell r="R18">
            <v>115756</v>
          </cell>
          <cell r="S18">
            <v>0</v>
          </cell>
          <cell r="T18">
            <v>0</v>
          </cell>
          <cell r="U18">
            <v>115756</v>
          </cell>
          <cell r="V18">
            <v>140654</v>
          </cell>
          <cell r="W18">
            <v>0</v>
          </cell>
          <cell r="X18">
            <v>0</v>
          </cell>
          <cell r="Y18">
            <v>140654</v>
          </cell>
          <cell r="Z18">
            <v>271283</v>
          </cell>
          <cell r="AA18">
            <v>271283</v>
          </cell>
          <cell r="AB18">
            <v>0</v>
          </cell>
          <cell r="AC18">
            <v>222673</v>
          </cell>
          <cell r="AD18">
            <v>366400</v>
          </cell>
          <cell r="AE18">
            <v>-143727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55000</v>
          </cell>
          <cell r="AP18">
            <v>110000</v>
          </cell>
          <cell r="AQ18">
            <v>-55000</v>
          </cell>
          <cell r="AR18">
            <v>55000</v>
          </cell>
          <cell r="AS18">
            <v>0</v>
          </cell>
          <cell r="AT18">
            <v>55000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1089636</v>
          </cell>
          <cell r="BB18">
            <v>911904</v>
          </cell>
          <cell r="BC18">
            <v>177732</v>
          </cell>
          <cell r="BD18">
            <v>0</v>
          </cell>
          <cell r="BE18">
            <v>0</v>
          </cell>
          <cell r="BF18">
            <v>0</v>
          </cell>
          <cell r="BG18">
            <v>22237</v>
          </cell>
          <cell r="BH18">
            <v>18610</v>
          </cell>
          <cell r="BI18">
            <v>3627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27190490</v>
          </cell>
          <cell r="G19">
            <v>0</v>
          </cell>
          <cell r="H19">
            <v>0</v>
          </cell>
          <cell r="I19">
            <v>27190490</v>
          </cell>
          <cell r="J19">
            <v>27082964</v>
          </cell>
          <cell r="K19">
            <v>0</v>
          </cell>
          <cell r="L19">
            <v>0</v>
          </cell>
          <cell r="M19">
            <v>27082964</v>
          </cell>
          <cell r="N19">
            <v>107526</v>
          </cell>
          <cell r="O19">
            <v>0</v>
          </cell>
          <cell r="P19">
            <v>0</v>
          </cell>
          <cell r="Q19">
            <v>107526</v>
          </cell>
          <cell r="R19">
            <v>210651</v>
          </cell>
          <cell r="S19">
            <v>0</v>
          </cell>
          <cell r="T19">
            <v>0</v>
          </cell>
          <cell r="U19">
            <v>210651</v>
          </cell>
          <cell r="V19">
            <v>-103125</v>
          </cell>
          <cell r="W19">
            <v>0</v>
          </cell>
          <cell r="X19">
            <v>0</v>
          </cell>
          <cell r="Y19">
            <v>-103125</v>
          </cell>
          <cell r="Z19">
            <v>99249</v>
          </cell>
          <cell r="AA19">
            <v>99249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254769</v>
          </cell>
          <cell r="BB19">
            <v>211037</v>
          </cell>
          <cell r="BC19">
            <v>43732</v>
          </cell>
          <cell r="BD19">
            <v>63692</v>
          </cell>
          <cell r="BE19">
            <v>52759</v>
          </cell>
          <cell r="BF19">
            <v>10933</v>
          </cell>
          <cell r="BG19">
            <v>0</v>
          </cell>
          <cell r="BH19">
            <v>0</v>
          </cell>
          <cell r="BI19">
            <v>0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85844138</v>
          </cell>
          <cell r="G20">
            <v>0</v>
          </cell>
          <cell r="H20">
            <v>0</v>
          </cell>
          <cell r="I20">
            <v>85844138</v>
          </cell>
          <cell r="J20">
            <v>86328804</v>
          </cell>
          <cell r="K20">
            <v>0</v>
          </cell>
          <cell r="L20">
            <v>0</v>
          </cell>
          <cell r="M20">
            <v>86328804</v>
          </cell>
          <cell r="N20">
            <v>-484666</v>
          </cell>
          <cell r="O20">
            <v>0</v>
          </cell>
          <cell r="P20">
            <v>0</v>
          </cell>
          <cell r="Q20">
            <v>-484666</v>
          </cell>
          <cell r="R20">
            <v>-239148</v>
          </cell>
          <cell r="S20">
            <v>0</v>
          </cell>
          <cell r="T20">
            <v>0</v>
          </cell>
          <cell r="U20">
            <v>-239148</v>
          </cell>
          <cell r="V20">
            <v>-245518</v>
          </cell>
          <cell r="W20">
            <v>0</v>
          </cell>
          <cell r="X20">
            <v>0</v>
          </cell>
          <cell r="Y20">
            <v>-245518</v>
          </cell>
          <cell r="Z20">
            <v>236652</v>
          </cell>
          <cell r="AA20">
            <v>236652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444540</v>
          </cell>
          <cell r="BB20">
            <v>371612</v>
          </cell>
          <cell r="BC20">
            <v>72928</v>
          </cell>
          <cell r="BD20">
            <v>100022</v>
          </cell>
          <cell r="BE20">
            <v>83613</v>
          </cell>
          <cell r="BF20">
            <v>16409</v>
          </cell>
          <cell r="BG20">
            <v>11114</v>
          </cell>
          <cell r="BH20">
            <v>9290</v>
          </cell>
          <cell r="BI20">
            <v>1824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80960943</v>
          </cell>
          <cell r="G21">
            <v>0</v>
          </cell>
          <cell r="H21">
            <v>0</v>
          </cell>
          <cell r="I21">
            <v>80960943</v>
          </cell>
          <cell r="J21">
            <v>80728617</v>
          </cell>
          <cell r="K21">
            <v>0</v>
          </cell>
          <cell r="L21">
            <v>0</v>
          </cell>
          <cell r="M21">
            <v>80728617</v>
          </cell>
          <cell r="N21">
            <v>232326</v>
          </cell>
          <cell r="O21">
            <v>0</v>
          </cell>
          <cell r="P21">
            <v>0</v>
          </cell>
          <cell r="Q21">
            <v>232326</v>
          </cell>
          <cell r="R21">
            <v>837255</v>
          </cell>
          <cell r="S21">
            <v>0</v>
          </cell>
          <cell r="T21">
            <v>0</v>
          </cell>
          <cell r="U21">
            <v>837255</v>
          </cell>
          <cell r="V21">
            <v>-604929</v>
          </cell>
          <cell r="W21">
            <v>0</v>
          </cell>
          <cell r="X21">
            <v>0</v>
          </cell>
          <cell r="Y21">
            <v>-604929</v>
          </cell>
          <cell r="Z21">
            <v>206499</v>
          </cell>
          <cell r="AA21">
            <v>206499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46806</v>
          </cell>
          <cell r="AJ21">
            <v>0</v>
          </cell>
          <cell r="AK21">
            <v>46806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304341</v>
          </cell>
          <cell r="BB21">
            <v>257726</v>
          </cell>
          <cell r="BC21">
            <v>46615</v>
          </cell>
          <cell r="BD21">
            <v>68477</v>
          </cell>
          <cell r="BE21">
            <v>57988</v>
          </cell>
          <cell r="BF21">
            <v>10489</v>
          </cell>
          <cell r="BG21">
            <v>7609</v>
          </cell>
          <cell r="BH21">
            <v>6443</v>
          </cell>
          <cell r="BI21">
            <v>1166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51014964</v>
          </cell>
          <cell r="G22">
            <v>0</v>
          </cell>
          <cell r="H22">
            <v>0</v>
          </cell>
          <cell r="I22">
            <v>51014964</v>
          </cell>
          <cell r="J22">
            <v>49406728</v>
          </cell>
          <cell r="K22">
            <v>0</v>
          </cell>
          <cell r="L22">
            <v>0</v>
          </cell>
          <cell r="M22">
            <v>49406728</v>
          </cell>
          <cell r="N22">
            <v>1608236</v>
          </cell>
          <cell r="O22">
            <v>0</v>
          </cell>
          <cell r="P22">
            <v>0</v>
          </cell>
          <cell r="Q22">
            <v>1608236</v>
          </cell>
          <cell r="R22">
            <v>1702753</v>
          </cell>
          <cell r="S22">
            <v>0</v>
          </cell>
          <cell r="T22">
            <v>0</v>
          </cell>
          <cell r="U22">
            <v>1702753</v>
          </cell>
          <cell r="V22">
            <v>-94517</v>
          </cell>
          <cell r="W22">
            <v>0</v>
          </cell>
          <cell r="X22">
            <v>0</v>
          </cell>
          <cell r="Y22">
            <v>-94517</v>
          </cell>
          <cell r="Z22">
            <v>167257</v>
          </cell>
          <cell r="AA22">
            <v>167257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439891</v>
          </cell>
          <cell r="BB22">
            <v>186350</v>
          </cell>
          <cell r="BC22">
            <v>253541</v>
          </cell>
          <cell r="BD22">
            <v>98975</v>
          </cell>
          <cell r="BE22">
            <v>41929</v>
          </cell>
          <cell r="BF22">
            <v>57046</v>
          </cell>
          <cell r="BG22">
            <v>10997</v>
          </cell>
          <cell r="BH22">
            <v>4659</v>
          </cell>
          <cell r="BI22">
            <v>6338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63593637</v>
          </cell>
          <cell r="G23">
            <v>0</v>
          </cell>
          <cell r="H23">
            <v>0</v>
          </cell>
          <cell r="I23">
            <v>63593637</v>
          </cell>
          <cell r="J23">
            <v>63536352</v>
          </cell>
          <cell r="K23">
            <v>0</v>
          </cell>
          <cell r="L23">
            <v>0</v>
          </cell>
          <cell r="M23">
            <v>63536352</v>
          </cell>
          <cell r="N23">
            <v>57285</v>
          </cell>
          <cell r="O23">
            <v>0</v>
          </cell>
          <cell r="P23">
            <v>0</v>
          </cell>
          <cell r="Q23">
            <v>57285</v>
          </cell>
          <cell r="R23">
            <v>266204</v>
          </cell>
          <cell r="S23">
            <v>0</v>
          </cell>
          <cell r="T23">
            <v>0</v>
          </cell>
          <cell r="U23">
            <v>266204</v>
          </cell>
          <cell r="V23">
            <v>-208919</v>
          </cell>
          <cell r="W23">
            <v>0</v>
          </cell>
          <cell r="X23">
            <v>0</v>
          </cell>
          <cell r="Y23">
            <v>-208919</v>
          </cell>
          <cell r="Z23">
            <v>260612</v>
          </cell>
          <cell r="AA23">
            <v>260612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860614</v>
          </cell>
          <cell r="BB23">
            <v>724832</v>
          </cell>
          <cell r="BC23">
            <v>135782</v>
          </cell>
          <cell r="BD23">
            <v>0</v>
          </cell>
          <cell r="BE23">
            <v>0</v>
          </cell>
          <cell r="BF23">
            <v>0</v>
          </cell>
          <cell r="BG23">
            <v>17564</v>
          </cell>
          <cell r="BH23">
            <v>14792</v>
          </cell>
          <cell r="BI23">
            <v>2772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74637399.299999997</v>
          </cell>
          <cell r="G24">
            <v>0</v>
          </cell>
          <cell r="H24">
            <v>0</v>
          </cell>
          <cell r="I24">
            <v>74637399.299999997</v>
          </cell>
          <cell r="J24">
            <v>74136379.099999994</v>
          </cell>
          <cell r="K24">
            <v>0</v>
          </cell>
          <cell r="L24">
            <v>0</v>
          </cell>
          <cell r="M24">
            <v>74136379.099999994</v>
          </cell>
          <cell r="N24">
            <v>501020.15</v>
          </cell>
          <cell r="O24">
            <v>0</v>
          </cell>
          <cell r="P24">
            <v>0</v>
          </cell>
          <cell r="Q24">
            <v>501020.15</v>
          </cell>
          <cell r="R24">
            <v>769600</v>
          </cell>
          <cell r="S24">
            <v>0</v>
          </cell>
          <cell r="T24">
            <v>0</v>
          </cell>
          <cell r="U24">
            <v>769600</v>
          </cell>
          <cell r="V24">
            <v>-268580</v>
          </cell>
          <cell r="W24">
            <v>0</v>
          </cell>
          <cell r="X24">
            <v>0</v>
          </cell>
          <cell r="Y24">
            <v>-268580</v>
          </cell>
          <cell r="Z24">
            <v>233924</v>
          </cell>
          <cell r="AA24">
            <v>233924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697243</v>
          </cell>
          <cell r="BB24">
            <v>584239</v>
          </cell>
          <cell r="BC24">
            <v>113004</v>
          </cell>
          <cell r="BD24">
            <v>0</v>
          </cell>
          <cell r="BE24">
            <v>0</v>
          </cell>
          <cell r="BF24">
            <v>0</v>
          </cell>
          <cell r="BG24">
            <v>14229</v>
          </cell>
          <cell r="BH24">
            <v>11923</v>
          </cell>
          <cell r="BI24">
            <v>2306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67662766</v>
          </cell>
          <cell r="G25">
            <v>0</v>
          </cell>
          <cell r="H25">
            <v>0</v>
          </cell>
          <cell r="I25">
            <v>67662766</v>
          </cell>
          <cell r="J25">
            <v>68054333</v>
          </cell>
          <cell r="K25">
            <v>0</v>
          </cell>
          <cell r="L25">
            <v>0</v>
          </cell>
          <cell r="M25">
            <v>68054333</v>
          </cell>
          <cell r="N25">
            <v>-391567</v>
          </cell>
          <cell r="O25">
            <v>0</v>
          </cell>
          <cell r="P25">
            <v>0</v>
          </cell>
          <cell r="Q25">
            <v>-391567</v>
          </cell>
          <cell r="R25">
            <v>-304775</v>
          </cell>
          <cell r="S25">
            <v>0</v>
          </cell>
          <cell r="T25">
            <v>0</v>
          </cell>
          <cell r="U25">
            <v>-304775</v>
          </cell>
          <cell r="V25">
            <v>-86792</v>
          </cell>
          <cell r="W25">
            <v>0</v>
          </cell>
          <cell r="X25">
            <v>0</v>
          </cell>
          <cell r="Y25">
            <v>-86792</v>
          </cell>
          <cell r="Z25">
            <v>263898</v>
          </cell>
          <cell r="AA25">
            <v>263898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567060</v>
          </cell>
          <cell r="BB25">
            <v>484993</v>
          </cell>
          <cell r="BC25">
            <v>82067</v>
          </cell>
          <cell r="BD25">
            <v>378040</v>
          </cell>
          <cell r="BE25">
            <v>323328</v>
          </cell>
          <cell r="BF25">
            <v>54712</v>
          </cell>
          <cell r="BG25">
            <v>0</v>
          </cell>
          <cell r="BH25">
            <v>0</v>
          </cell>
          <cell r="BI25">
            <v>0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474611346</v>
          </cell>
          <cell r="G26">
            <v>0</v>
          </cell>
          <cell r="H26">
            <v>5785351</v>
          </cell>
          <cell r="I26">
            <v>480396697</v>
          </cell>
          <cell r="J26">
            <v>475067265</v>
          </cell>
          <cell r="K26">
            <v>0</v>
          </cell>
          <cell r="L26">
            <v>5784176</v>
          </cell>
          <cell r="M26">
            <v>480851441</v>
          </cell>
          <cell r="N26">
            <v>-455919</v>
          </cell>
          <cell r="O26">
            <v>0</v>
          </cell>
          <cell r="P26">
            <v>1175</v>
          </cell>
          <cell r="Q26">
            <v>-454744</v>
          </cell>
          <cell r="R26">
            <v>-1134010</v>
          </cell>
          <cell r="S26">
            <v>0</v>
          </cell>
          <cell r="T26">
            <v>0</v>
          </cell>
          <cell r="U26">
            <v>-1134010</v>
          </cell>
          <cell r="V26">
            <v>678091</v>
          </cell>
          <cell r="W26">
            <v>0</v>
          </cell>
          <cell r="X26">
            <v>1175</v>
          </cell>
          <cell r="Y26">
            <v>679266</v>
          </cell>
          <cell r="Z26">
            <v>1925174</v>
          </cell>
          <cell r="AA26">
            <v>1925174</v>
          </cell>
          <cell r="AB26">
            <v>0</v>
          </cell>
          <cell r="AC26">
            <v>270833</v>
          </cell>
          <cell r="AD26">
            <v>1800000</v>
          </cell>
          <cell r="AE26">
            <v>-1529167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187552</v>
          </cell>
          <cell r="AK26">
            <v>-187552</v>
          </cell>
          <cell r="AL26">
            <v>0</v>
          </cell>
          <cell r="AM26">
            <v>0</v>
          </cell>
          <cell r="AN26">
            <v>0</v>
          </cell>
          <cell r="AO26">
            <v>258556</v>
          </cell>
          <cell r="AP26">
            <v>191031</v>
          </cell>
          <cell r="AQ26">
            <v>67525</v>
          </cell>
          <cell r="AR26">
            <v>258556</v>
          </cell>
          <cell r="AS26">
            <v>191031</v>
          </cell>
          <cell r="AT26">
            <v>67525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4934309</v>
          </cell>
          <cell r="BB26">
            <v>3980244</v>
          </cell>
          <cell r="BC26">
            <v>954065</v>
          </cell>
          <cell r="BD26">
            <v>0</v>
          </cell>
          <cell r="BE26">
            <v>0</v>
          </cell>
          <cell r="BF26">
            <v>0</v>
          </cell>
          <cell r="BG26">
            <v>98819</v>
          </cell>
          <cell r="BH26">
            <v>81229</v>
          </cell>
          <cell r="BI26">
            <v>17590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39615779</v>
          </cell>
          <cell r="G27">
            <v>0</v>
          </cell>
          <cell r="H27">
            <v>0</v>
          </cell>
          <cell r="I27">
            <v>39615779</v>
          </cell>
          <cell r="J27">
            <v>39488192</v>
          </cell>
          <cell r="K27">
            <v>0</v>
          </cell>
          <cell r="L27">
            <v>0</v>
          </cell>
          <cell r="M27">
            <v>39488192</v>
          </cell>
          <cell r="N27">
            <v>127587</v>
          </cell>
          <cell r="O27">
            <v>0</v>
          </cell>
          <cell r="P27">
            <v>0</v>
          </cell>
          <cell r="Q27">
            <v>127587</v>
          </cell>
          <cell r="R27">
            <v>-125791</v>
          </cell>
          <cell r="S27">
            <v>0</v>
          </cell>
          <cell r="T27">
            <v>0</v>
          </cell>
          <cell r="U27">
            <v>-125791</v>
          </cell>
          <cell r="V27">
            <v>253378</v>
          </cell>
          <cell r="W27">
            <v>0</v>
          </cell>
          <cell r="X27">
            <v>0</v>
          </cell>
          <cell r="Y27">
            <v>253378</v>
          </cell>
          <cell r="Z27">
            <v>101281</v>
          </cell>
          <cell r="AA27">
            <v>101281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220596</v>
          </cell>
          <cell r="BB27">
            <v>185626</v>
          </cell>
          <cell r="BC27">
            <v>34970</v>
          </cell>
          <cell r="BD27">
            <v>49634</v>
          </cell>
          <cell r="BE27">
            <v>41766</v>
          </cell>
          <cell r="BF27">
            <v>7868</v>
          </cell>
          <cell r="BG27">
            <v>5515</v>
          </cell>
          <cell r="BH27">
            <v>4641</v>
          </cell>
          <cell r="BI27">
            <v>874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57541941</v>
          </cell>
          <cell r="G28">
            <v>0</v>
          </cell>
          <cell r="H28">
            <v>0</v>
          </cell>
          <cell r="I28">
            <v>57541941</v>
          </cell>
          <cell r="J28">
            <v>57663579</v>
          </cell>
          <cell r="K28">
            <v>0</v>
          </cell>
          <cell r="L28">
            <v>0</v>
          </cell>
          <cell r="M28">
            <v>57663579</v>
          </cell>
          <cell r="N28">
            <v>-121638</v>
          </cell>
          <cell r="O28">
            <v>0</v>
          </cell>
          <cell r="P28">
            <v>0</v>
          </cell>
          <cell r="Q28">
            <v>-121638</v>
          </cell>
          <cell r="R28">
            <v>141357</v>
          </cell>
          <cell r="S28">
            <v>0</v>
          </cell>
          <cell r="T28">
            <v>0</v>
          </cell>
          <cell r="U28">
            <v>141357</v>
          </cell>
          <cell r="V28">
            <v>-262995</v>
          </cell>
          <cell r="W28">
            <v>0</v>
          </cell>
          <cell r="X28">
            <v>0</v>
          </cell>
          <cell r="Y28">
            <v>-262995</v>
          </cell>
          <cell r="Z28">
            <v>252639</v>
          </cell>
          <cell r="AA28">
            <v>252639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1126976</v>
          </cell>
          <cell r="BB28">
            <v>967715</v>
          </cell>
          <cell r="BC28">
            <v>159261</v>
          </cell>
          <cell r="BD28">
            <v>0</v>
          </cell>
          <cell r="BE28">
            <v>0</v>
          </cell>
          <cell r="BF28">
            <v>0</v>
          </cell>
          <cell r="BG28">
            <v>23000</v>
          </cell>
          <cell r="BH28">
            <v>19749</v>
          </cell>
          <cell r="BI28">
            <v>3251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50142747</v>
          </cell>
          <cell r="G29">
            <v>0</v>
          </cell>
          <cell r="H29">
            <v>0</v>
          </cell>
          <cell r="I29">
            <v>50142747</v>
          </cell>
          <cell r="J29">
            <v>50045672</v>
          </cell>
          <cell r="K29">
            <v>0</v>
          </cell>
          <cell r="L29">
            <v>0</v>
          </cell>
          <cell r="M29">
            <v>50045672</v>
          </cell>
          <cell r="N29">
            <v>97075</v>
          </cell>
          <cell r="O29">
            <v>0</v>
          </cell>
          <cell r="P29">
            <v>0</v>
          </cell>
          <cell r="Q29">
            <v>97075</v>
          </cell>
          <cell r="R29">
            <v>349495</v>
          </cell>
          <cell r="S29">
            <v>0</v>
          </cell>
          <cell r="T29">
            <v>0</v>
          </cell>
          <cell r="U29">
            <v>349495</v>
          </cell>
          <cell r="V29">
            <v>-252420</v>
          </cell>
          <cell r="W29">
            <v>0</v>
          </cell>
          <cell r="X29">
            <v>0</v>
          </cell>
          <cell r="Y29">
            <v>-252420</v>
          </cell>
          <cell r="Z29">
            <v>279753</v>
          </cell>
          <cell r="AA29">
            <v>279753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1419640</v>
          </cell>
          <cell r="BB29">
            <v>1250679</v>
          </cell>
          <cell r="BC29">
            <v>168961</v>
          </cell>
          <cell r="BD29">
            <v>0</v>
          </cell>
          <cell r="BE29">
            <v>0</v>
          </cell>
          <cell r="BF29">
            <v>0</v>
          </cell>
          <cell r="BG29">
            <v>28972</v>
          </cell>
          <cell r="BH29">
            <v>25524</v>
          </cell>
          <cell r="BI29">
            <v>3448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23635914</v>
          </cell>
          <cell r="G30">
            <v>0</v>
          </cell>
          <cell r="H30">
            <v>0</v>
          </cell>
          <cell r="I30">
            <v>23635914</v>
          </cell>
          <cell r="J30">
            <v>23721254</v>
          </cell>
          <cell r="K30">
            <v>0</v>
          </cell>
          <cell r="L30">
            <v>0</v>
          </cell>
          <cell r="M30">
            <v>23721254</v>
          </cell>
          <cell r="N30">
            <v>-85340</v>
          </cell>
          <cell r="O30">
            <v>0</v>
          </cell>
          <cell r="P30">
            <v>0</v>
          </cell>
          <cell r="Q30">
            <v>-85340</v>
          </cell>
          <cell r="R30">
            <v>-105763</v>
          </cell>
          <cell r="S30">
            <v>0</v>
          </cell>
          <cell r="T30">
            <v>0</v>
          </cell>
          <cell r="U30">
            <v>-105763</v>
          </cell>
          <cell r="V30">
            <v>20423</v>
          </cell>
          <cell r="W30">
            <v>0</v>
          </cell>
          <cell r="X30">
            <v>0</v>
          </cell>
          <cell r="Y30">
            <v>20423</v>
          </cell>
          <cell r="Z30">
            <v>93264</v>
          </cell>
          <cell r="AA30">
            <v>93264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232430</v>
          </cell>
          <cell r="BB30">
            <v>198427</v>
          </cell>
          <cell r="BC30">
            <v>34003</v>
          </cell>
          <cell r="BD30">
            <v>52297</v>
          </cell>
          <cell r="BE30">
            <v>44646</v>
          </cell>
          <cell r="BF30">
            <v>7651</v>
          </cell>
          <cell r="BG30">
            <v>5811</v>
          </cell>
          <cell r="BH30">
            <v>4961</v>
          </cell>
          <cell r="BI30">
            <v>850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103213632</v>
          </cell>
          <cell r="G31">
            <v>0</v>
          </cell>
          <cell r="H31">
            <v>0</v>
          </cell>
          <cell r="I31">
            <v>103213632</v>
          </cell>
          <cell r="J31">
            <v>103715640</v>
          </cell>
          <cell r="K31">
            <v>0</v>
          </cell>
          <cell r="L31">
            <v>0</v>
          </cell>
          <cell r="M31">
            <v>103715640</v>
          </cell>
          <cell r="N31">
            <v>-502008</v>
          </cell>
          <cell r="O31">
            <v>0</v>
          </cell>
          <cell r="P31">
            <v>0</v>
          </cell>
          <cell r="Q31">
            <v>-502008</v>
          </cell>
          <cell r="R31">
            <v>443406</v>
          </cell>
          <cell r="S31">
            <v>0</v>
          </cell>
          <cell r="T31">
            <v>0</v>
          </cell>
          <cell r="U31">
            <v>443406</v>
          </cell>
          <cell r="V31">
            <v>-945414</v>
          </cell>
          <cell r="W31">
            <v>0</v>
          </cell>
          <cell r="X31">
            <v>0</v>
          </cell>
          <cell r="Y31">
            <v>-945414</v>
          </cell>
          <cell r="Z31">
            <v>407353</v>
          </cell>
          <cell r="AA31">
            <v>407353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1724550</v>
          </cell>
          <cell r="BB31">
            <v>1471521</v>
          </cell>
          <cell r="BC31">
            <v>253029</v>
          </cell>
          <cell r="BD31">
            <v>0</v>
          </cell>
          <cell r="BE31">
            <v>0</v>
          </cell>
          <cell r="BF31">
            <v>0</v>
          </cell>
          <cell r="BG31">
            <v>35195</v>
          </cell>
          <cell r="BH31">
            <v>30031</v>
          </cell>
          <cell r="BI31">
            <v>5164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18481742.899999999</v>
          </cell>
          <cell r="G32">
            <v>0</v>
          </cell>
          <cell r="H32">
            <v>0</v>
          </cell>
          <cell r="I32">
            <v>18481742.899999999</v>
          </cell>
          <cell r="J32">
            <v>18513776.199999999</v>
          </cell>
          <cell r="K32">
            <v>0</v>
          </cell>
          <cell r="L32">
            <v>0</v>
          </cell>
          <cell r="M32">
            <v>18513776.199999999</v>
          </cell>
          <cell r="N32">
            <v>-32033.26</v>
          </cell>
          <cell r="O32">
            <v>0</v>
          </cell>
          <cell r="P32">
            <v>0</v>
          </cell>
          <cell r="Q32">
            <v>-32033.26</v>
          </cell>
          <cell r="R32">
            <v>12988</v>
          </cell>
          <cell r="S32">
            <v>0</v>
          </cell>
          <cell r="T32">
            <v>0</v>
          </cell>
          <cell r="U32">
            <v>12988</v>
          </cell>
          <cell r="V32">
            <v>-45021</v>
          </cell>
          <cell r="W32">
            <v>0</v>
          </cell>
          <cell r="X32">
            <v>0</v>
          </cell>
          <cell r="Y32">
            <v>-45021</v>
          </cell>
          <cell r="Z32">
            <v>87470</v>
          </cell>
          <cell r="AA32">
            <v>87470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259262</v>
          </cell>
          <cell r="BB32">
            <v>217540</v>
          </cell>
          <cell r="BC32">
            <v>41722</v>
          </cell>
          <cell r="BD32">
            <v>64815</v>
          </cell>
          <cell r="BE32">
            <v>54385</v>
          </cell>
          <cell r="BF32">
            <v>10430</v>
          </cell>
          <cell r="BG32">
            <v>0</v>
          </cell>
          <cell r="BH32">
            <v>0</v>
          </cell>
          <cell r="BI32">
            <v>0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72819929.5</v>
          </cell>
          <cell r="G33">
            <v>0</v>
          </cell>
          <cell r="H33">
            <v>0</v>
          </cell>
          <cell r="I33">
            <v>72819929.5</v>
          </cell>
          <cell r="J33">
            <v>73965249</v>
          </cell>
          <cell r="K33">
            <v>0</v>
          </cell>
          <cell r="L33">
            <v>0</v>
          </cell>
          <cell r="M33">
            <v>73965249</v>
          </cell>
          <cell r="N33">
            <v>-1145319.5</v>
          </cell>
          <cell r="O33">
            <v>0</v>
          </cell>
          <cell r="P33">
            <v>0</v>
          </cell>
          <cell r="Q33">
            <v>-1145319.5</v>
          </cell>
          <cell r="R33">
            <v>91368</v>
          </cell>
          <cell r="S33">
            <v>0</v>
          </cell>
          <cell r="T33">
            <v>0</v>
          </cell>
          <cell r="U33">
            <v>91368</v>
          </cell>
          <cell r="V33">
            <v>-1236688</v>
          </cell>
          <cell r="W33">
            <v>0</v>
          </cell>
          <cell r="X33">
            <v>0</v>
          </cell>
          <cell r="Y33">
            <v>-1236688</v>
          </cell>
          <cell r="Z33">
            <v>305765</v>
          </cell>
          <cell r="AA33">
            <v>305765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360</v>
          </cell>
          <cell r="AJ33">
            <v>0</v>
          </cell>
          <cell r="AK33">
            <v>360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1049789</v>
          </cell>
          <cell r="BB33">
            <v>918347</v>
          </cell>
          <cell r="BC33">
            <v>131442</v>
          </cell>
          <cell r="BD33">
            <v>0</v>
          </cell>
          <cell r="BE33">
            <v>0</v>
          </cell>
          <cell r="BF33">
            <v>0</v>
          </cell>
          <cell r="BG33">
            <v>21424</v>
          </cell>
          <cell r="BH33">
            <v>18742</v>
          </cell>
          <cell r="BI33">
            <v>2682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76379714</v>
          </cell>
          <cell r="G34">
            <v>0</v>
          </cell>
          <cell r="H34">
            <v>0</v>
          </cell>
          <cell r="I34">
            <v>76379714</v>
          </cell>
          <cell r="J34">
            <v>77251480</v>
          </cell>
          <cell r="K34">
            <v>0</v>
          </cell>
          <cell r="L34">
            <v>0</v>
          </cell>
          <cell r="M34">
            <v>77251480</v>
          </cell>
          <cell r="N34">
            <v>-871766</v>
          </cell>
          <cell r="O34">
            <v>0</v>
          </cell>
          <cell r="P34">
            <v>0</v>
          </cell>
          <cell r="Q34">
            <v>-871766</v>
          </cell>
          <cell r="R34">
            <v>72375</v>
          </cell>
          <cell r="S34">
            <v>0</v>
          </cell>
          <cell r="T34">
            <v>0</v>
          </cell>
          <cell r="U34">
            <v>72375</v>
          </cell>
          <cell r="V34">
            <v>-944141</v>
          </cell>
          <cell r="W34">
            <v>0</v>
          </cell>
          <cell r="X34">
            <v>0</v>
          </cell>
          <cell r="Y34">
            <v>-944141</v>
          </cell>
          <cell r="Z34">
            <v>143520</v>
          </cell>
          <cell r="AA34">
            <v>143520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730</v>
          </cell>
          <cell r="AJ34">
            <v>10000</v>
          </cell>
          <cell r="AK34">
            <v>-9270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188642</v>
          </cell>
          <cell r="BB34">
            <v>172425</v>
          </cell>
          <cell r="BC34">
            <v>16217</v>
          </cell>
          <cell r="BD34">
            <v>0</v>
          </cell>
          <cell r="BE34">
            <v>0</v>
          </cell>
          <cell r="BF34">
            <v>0</v>
          </cell>
          <cell r="BG34">
            <v>3850</v>
          </cell>
          <cell r="BH34">
            <v>3519</v>
          </cell>
          <cell r="BI34">
            <v>331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138775996</v>
          </cell>
          <cell r="G35">
            <v>0</v>
          </cell>
          <cell r="H35">
            <v>0</v>
          </cell>
          <cell r="I35">
            <v>138775996</v>
          </cell>
          <cell r="J35">
            <v>139785175</v>
          </cell>
          <cell r="K35">
            <v>0</v>
          </cell>
          <cell r="L35">
            <v>0</v>
          </cell>
          <cell r="M35">
            <v>139785175</v>
          </cell>
          <cell r="N35">
            <v>-1009178.5</v>
          </cell>
          <cell r="O35">
            <v>0</v>
          </cell>
          <cell r="P35">
            <v>0</v>
          </cell>
          <cell r="Q35">
            <v>-1009178.5</v>
          </cell>
          <cell r="R35">
            <v>448074</v>
          </cell>
          <cell r="S35">
            <v>0</v>
          </cell>
          <cell r="T35">
            <v>0</v>
          </cell>
          <cell r="U35">
            <v>448074</v>
          </cell>
          <cell r="V35">
            <v>-1457253</v>
          </cell>
          <cell r="W35">
            <v>0</v>
          </cell>
          <cell r="X35">
            <v>0</v>
          </cell>
          <cell r="Y35">
            <v>-1457253</v>
          </cell>
          <cell r="Z35">
            <v>734055</v>
          </cell>
          <cell r="AA35">
            <v>734055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3354612</v>
          </cell>
          <cell r="BB35">
            <v>2810755</v>
          </cell>
          <cell r="BC35">
            <v>543857</v>
          </cell>
          <cell r="BD35">
            <v>0</v>
          </cell>
          <cell r="BE35">
            <v>0</v>
          </cell>
          <cell r="BF35">
            <v>0</v>
          </cell>
          <cell r="BG35">
            <v>68461</v>
          </cell>
          <cell r="BH35">
            <v>57362</v>
          </cell>
          <cell r="BI35">
            <v>11099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46997438</v>
          </cell>
          <cell r="G36">
            <v>0</v>
          </cell>
          <cell r="H36">
            <v>0</v>
          </cell>
          <cell r="I36">
            <v>46997438</v>
          </cell>
          <cell r="J36">
            <v>46994799</v>
          </cell>
          <cell r="K36">
            <v>0</v>
          </cell>
          <cell r="L36">
            <v>0</v>
          </cell>
          <cell r="M36">
            <v>46994799</v>
          </cell>
          <cell r="N36">
            <v>2639</v>
          </cell>
          <cell r="O36">
            <v>0</v>
          </cell>
          <cell r="P36">
            <v>0</v>
          </cell>
          <cell r="Q36">
            <v>2639</v>
          </cell>
          <cell r="R36">
            <v>111748</v>
          </cell>
          <cell r="S36">
            <v>0</v>
          </cell>
          <cell r="T36">
            <v>0</v>
          </cell>
          <cell r="U36">
            <v>111748</v>
          </cell>
          <cell r="V36">
            <v>-109109</v>
          </cell>
          <cell r="W36">
            <v>0</v>
          </cell>
          <cell r="X36">
            <v>0</v>
          </cell>
          <cell r="Y36">
            <v>-109109</v>
          </cell>
          <cell r="Z36">
            <v>186394</v>
          </cell>
          <cell r="AA36">
            <v>186394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558095</v>
          </cell>
          <cell r="BB36">
            <v>469613</v>
          </cell>
          <cell r="BC36">
            <v>88482</v>
          </cell>
          <cell r="BD36">
            <v>125571</v>
          </cell>
          <cell r="BE36">
            <v>105663</v>
          </cell>
          <cell r="BF36">
            <v>19908</v>
          </cell>
          <cell r="BG36">
            <v>13952</v>
          </cell>
          <cell r="BH36">
            <v>11740</v>
          </cell>
          <cell r="BI36">
            <v>2212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29583667</v>
          </cell>
          <cell r="G37">
            <v>0</v>
          </cell>
          <cell r="H37">
            <v>0</v>
          </cell>
          <cell r="I37">
            <v>29583667</v>
          </cell>
          <cell r="J37">
            <v>29261302</v>
          </cell>
          <cell r="K37">
            <v>0</v>
          </cell>
          <cell r="L37">
            <v>0</v>
          </cell>
          <cell r="M37">
            <v>29261302</v>
          </cell>
          <cell r="N37">
            <v>322365</v>
          </cell>
          <cell r="O37">
            <v>0</v>
          </cell>
          <cell r="P37">
            <v>0</v>
          </cell>
          <cell r="Q37">
            <v>322365</v>
          </cell>
          <cell r="R37">
            <v>129540</v>
          </cell>
          <cell r="S37">
            <v>0</v>
          </cell>
          <cell r="T37">
            <v>0</v>
          </cell>
          <cell r="U37">
            <v>129540</v>
          </cell>
          <cell r="V37">
            <v>192825</v>
          </cell>
          <cell r="W37">
            <v>0</v>
          </cell>
          <cell r="X37">
            <v>0</v>
          </cell>
          <cell r="Y37">
            <v>192825</v>
          </cell>
          <cell r="Z37">
            <v>167038</v>
          </cell>
          <cell r="AA37">
            <v>167038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29673</v>
          </cell>
          <cell r="AJ37">
            <v>0</v>
          </cell>
          <cell r="AK37">
            <v>29673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539320</v>
          </cell>
          <cell r="BB37">
            <v>460656</v>
          </cell>
          <cell r="BC37">
            <v>78664</v>
          </cell>
          <cell r="BD37">
            <v>134830</v>
          </cell>
          <cell r="BE37">
            <v>115164</v>
          </cell>
          <cell r="BF37">
            <v>19666</v>
          </cell>
          <cell r="BG37">
            <v>0</v>
          </cell>
          <cell r="BH37">
            <v>0</v>
          </cell>
          <cell r="BI37">
            <v>0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109445940</v>
          </cell>
          <cell r="G38">
            <v>0</v>
          </cell>
          <cell r="H38">
            <v>0</v>
          </cell>
          <cell r="I38">
            <v>109445940</v>
          </cell>
          <cell r="J38">
            <v>109373894</v>
          </cell>
          <cell r="K38">
            <v>0</v>
          </cell>
          <cell r="L38">
            <v>0</v>
          </cell>
          <cell r="M38">
            <v>109373894</v>
          </cell>
          <cell r="N38">
            <v>72046</v>
          </cell>
          <cell r="O38">
            <v>0</v>
          </cell>
          <cell r="P38">
            <v>0</v>
          </cell>
          <cell r="Q38">
            <v>72046</v>
          </cell>
          <cell r="R38">
            <v>289651</v>
          </cell>
          <cell r="S38">
            <v>0</v>
          </cell>
          <cell r="T38">
            <v>0</v>
          </cell>
          <cell r="U38">
            <v>289651</v>
          </cell>
          <cell r="V38">
            <v>-217605</v>
          </cell>
          <cell r="W38">
            <v>0</v>
          </cell>
          <cell r="X38">
            <v>0</v>
          </cell>
          <cell r="Y38">
            <v>-217605</v>
          </cell>
          <cell r="Z38">
            <v>416951</v>
          </cell>
          <cell r="AA38">
            <v>416951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600534</v>
          </cell>
          <cell r="BB38">
            <v>497946</v>
          </cell>
          <cell r="BC38">
            <v>102588</v>
          </cell>
          <cell r="BD38">
            <v>400356</v>
          </cell>
          <cell r="BE38">
            <v>331964</v>
          </cell>
          <cell r="BF38">
            <v>68392</v>
          </cell>
          <cell r="BG38">
            <v>0</v>
          </cell>
          <cell r="BH38">
            <v>0</v>
          </cell>
          <cell r="BI38">
            <v>0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26596941</v>
          </cell>
          <cell r="G39">
            <v>0</v>
          </cell>
          <cell r="H39">
            <v>0</v>
          </cell>
          <cell r="I39">
            <v>26596941</v>
          </cell>
          <cell r="J39">
            <v>26705505</v>
          </cell>
          <cell r="K39">
            <v>0</v>
          </cell>
          <cell r="L39">
            <v>0</v>
          </cell>
          <cell r="M39">
            <v>26705505</v>
          </cell>
          <cell r="N39">
            <v>-108564</v>
          </cell>
          <cell r="O39">
            <v>0</v>
          </cell>
          <cell r="P39">
            <v>0</v>
          </cell>
          <cell r="Q39">
            <v>-108564</v>
          </cell>
          <cell r="R39">
            <v>42659</v>
          </cell>
          <cell r="S39">
            <v>0</v>
          </cell>
          <cell r="T39">
            <v>0</v>
          </cell>
          <cell r="U39">
            <v>42659</v>
          </cell>
          <cell r="V39">
            <v>-151223</v>
          </cell>
          <cell r="W39">
            <v>0</v>
          </cell>
          <cell r="X39">
            <v>0</v>
          </cell>
          <cell r="Y39">
            <v>-151223</v>
          </cell>
          <cell r="Z39">
            <v>104553</v>
          </cell>
          <cell r="AA39">
            <v>104553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206712</v>
          </cell>
          <cell r="BB39">
            <v>178251</v>
          </cell>
          <cell r="BC39">
            <v>28461</v>
          </cell>
          <cell r="BD39">
            <v>46510</v>
          </cell>
          <cell r="BE39">
            <v>40107</v>
          </cell>
          <cell r="BF39">
            <v>6403</v>
          </cell>
          <cell r="BG39">
            <v>5168</v>
          </cell>
          <cell r="BH39">
            <v>4456</v>
          </cell>
          <cell r="BI39">
            <v>712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121666684</v>
          </cell>
          <cell r="G40">
            <v>0</v>
          </cell>
          <cell r="H40">
            <v>0</v>
          </cell>
          <cell r="I40">
            <v>121666684</v>
          </cell>
          <cell r="J40">
            <v>121967718</v>
          </cell>
          <cell r="K40">
            <v>0</v>
          </cell>
          <cell r="L40">
            <v>0</v>
          </cell>
          <cell r="M40">
            <v>121967718</v>
          </cell>
          <cell r="N40">
            <v>-301034</v>
          </cell>
          <cell r="O40">
            <v>0</v>
          </cell>
          <cell r="P40">
            <v>0</v>
          </cell>
          <cell r="Q40">
            <v>-301034</v>
          </cell>
          <cell r="R40">
            <v>122853</v>
          </cell>
          <cell r="S40">
            <v>0</v>
          </cell>
          <cell r="T40">
            <v>0</v>
          </cell>
          <cell r="U40">
            <v>122853</v>
          </cell>
          <cell r="V40">
            <v>-423887</v>
          </cell>
          <cell r="W40">
            <v>0</v>
          </cell>
          <cell r="X40">
            <v>0</v>
          </cell>
          <cell r="Y40">
            <v>-423887</v>
          </cell>
          <cell r="Z40">
            <v>417809</v>
          </cell>
          <cell r="AA40">
            <v>417809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1415898</v>
          </cell>
          <cell r="BB40">
            <v>1223130</v>
          </cell>
          <cell r="BC40">
            <v>192768</v>
          </cell>
          <cell r="BD40">
            <v>0</v>
          </cell>
          <cell r="BE40">
            <v>0</v>
          </cell>
          <cell r="BF40">
            <v>0</v>
          </cell>
          <cell r="BG40">
            <v>28896</v>
          </cell>
          <cell r="BH40">
            <v>24962</v>
          </cell>
          <cell r="BI40">
            <v>3934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196309331</v>
          </cell>
          <cell r="G41">
            <v>0</v>
          </cell>
          <cell r="H41">
            <v>12631026</v>
          </cell>
          <cell r="I41">
            <v>208940357</v>
          </cell>
          <cell r="J41">
            <v>194220090</v>
          </cell>
          <cell r="K41">
            <v>0</v>
          </cell>
          <cell r="L41">
            <v>12547523</v>
          </cell>
          <cell r="M41">
            <v>206767613</v>
          </cell>
          <cell r="N41">
            <v>2089241</v>
          </cell>
          <cell r="O41">
            <v>0</v>
          </cell>
          <cell r="P41">
            <v>83503</v>
          </cell>
          <cell r="Q41">
            <v>2172744</v>
          </cell>
          <cell r="R41">
            <v>3052424</v>
          </cell>
          <cell r="S41">
            <v>0</v>
          </cell>
          <cell r="T41">
            <v>0</v>
          </cell>
          <cell r="U41">
            <v>3052424</v>
          </cell>
          <cell r="V41">
            <v>-963183</v>
          </cell>
          <cell r="W41">
            <v>0</v>
          </cell>
          <cell r="X41">
            <v>83503</v>
          </cell>
          <cell r="Y41">
            <v>-879680</v>
          </cell>
          <cell r="Z41">
            <v>720617</v>
          </cell>
          <cell r="AA41">
            <v>720617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221</v>
          </cell>
          <cell r="AJ41">
            <v>0</v>
          </cell>
          <cell r="AK41">
            <v>221</v>
          </cell>
          <cell r="AL41">
            <v>0</v>
          </cell>
          <cell r="AM41">
            <v>0</v>
          </cell>
          <cell r="AN41">
            <v>0</v>
          </cell>
          <cell r="AO41">
            <v>341768</v>
          </cell>
          <cell r="AP41">
            <v>1000000</v>
          </cell>
          <cell r="AQ41">
            <v>-658232</v>
          </cell>
          <cell r="AR41">
            <v>341768</v>
          </cell>
          <cell r="AS41">
            <v>1000000</v>
          </cell>
          <cell r="AT41">
            <v>-658232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1922725</v>
          </cell>
          <cell r="BB41">
            <v>1593391</v>
          </cell>
          <cell r="BC41">
            <v>329334</v>
          </cell>
          <cell r="BD41">
            <v>0</v>
          </cell>
          <cell r="BE41">
            <v>0</v>
          </cell>
          <cell r="BF41">
            <v>0</v>
          </cell>
          <cell r="BG41">
            <v>38473</v>
          </cell>
          <cell r="BH41">
            <v>32518</v>
          </cell>
          <cell r="BI41">
            <v>5955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28811372</v>
          </cell>
          <cell r="G42">
            <v>0</v>
          </cell>
          <cell r="H42">
            <v>0</v>
          </cell>
          <cell r="I42">
            <v>28811372</v>
          </cell>
          <cell r="J42">
            <v>29088655</v>
          </cell>
          <cell r="K42">
            <v>0</v>
          </cell>
          <cell r="L42">
            <v>0</v>
          </cell>
          <cell r="M42">
            <v>29088655</v>
          </cell>
          <cell r="N42">
            <v>-277283</v>
          </cell>
          <cell r="O42">
            <v>0</v>
          </cell>
          <cell r="P42">
            <v>0</v>
          </cell>
          <cell r="Q42">
            <v>-277283</v>
          </cell>
          <cell r="R42">
            <v>-29596</v>
          </cell>
          <cell r="S42">
            <v>0</v>
          </cell>
          <cell r="T42">
            <v>0</v>
          </cell>
          <cell r="U42">
            <v>-29596</v>
          </cell>
          <cell r="V42">
            <v>-247687</v>
          </cell>
          <cell r="W42">
            <v>0</v>
          </cell>
          <cell r="X42">
            <v>0</v>
          </cell>
          <cell r="Y42">
            <v>-247687</v>
          </cell>
          <cell r="Z42">
            <v>136365</v>
          </cell>
          <cell r="AA42">
            <v>136365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3297</v>
          </cell>
          <cell r="AK42">
            <v>-3297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472669</v>
          </cell>
          <cell r="BB42">
            <v>403110</v>
          </cell>
          <cell r="BC42">
            <v>69559</v>
          </cell>
          <cell r="BD42">
            <v>118167</v>
          </cell>
          <cell r="BE42">
            <v>100777</v>
          </cell>
          <cell r="BF42">
            <v>17390</v>
          </cell>
          <cell r="BG42">
            <v>0</v>
          </cell>
          <cell r="BH42">
            <v>0</v>
          </cell>
          <cell r="BI42">
            <v>0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96611738.799999997</v>
          </cell>
          <cell r="G43">
            <v>0</v>
          </cell>
          <cell r="H43">
            <v>0</v>
          </cell>
          <cell r="I43">
            <v>96611738.799999997</v>
          </cell>
          <cell r="J43">
            <v>96987783.200000003</v>
          </cell>
          <cell r="K43">
            <v>0</v>
          </cell>
          <cell r="L43">
            <v>0</v>
          </cell>
          <cell r="M43">
            <v>96987783.200000003</v>
          </cell>
          <cell r="N43">
            <v>-376044.45</v>
          </cell>
          <cell r="O43">
            <v>0</v>
          </cell>
          <cell r="P43">
            <v>0</v>
          </cell>
          <cell r="Q43">
            <v>-376044.45</v>
          </cell>
          <cell r="R43">
            <v>-187673</v>
          </cell>
          <cell r="S43">
            <v>0</v>
          </cell>
          <cell r="T43">
            <v>0</v>
          </cell>
          <cell r="U43">
            <v>-187673</v>
          </cell>
          <cell r="V43">
            <v>-188371</v>
          </cell>
          <cell r="W43">
            <v>0</v>
          </cell>
          <cell r="X43">
            <v>0</v>
          </cell>
          <cell r="Y43">
            <v>-188371</v>
          </cell>
          <cell r="Z43">
            <v>347530</v>
          </cell>
          <cell r="AA43">
            <v>347530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634635</v>
          </cell>
          <cell r="BB43">
            <v>561295</v>
          </cell>
          <cell r="BC43">
            <v>73340</v>
          </cell>
          <cell r="BD43">
            <v>423090</v>
          </cell>
          <cell r="BE43">
            <v>374196</v>
          </cell>
          <cell r="BF43">
            <v>48894</v>
          </cell>
          <cell r="BG43">
            <v>0</v>
          </cell>
          <cell r="BH43">
            <v>0</v>
          </cell>
          <cell r="BI43">
            <v>0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218888.32000000001</v>
          </cell>
          <cell r="K44">
            <v>0</v>
          </cell>
          <cell r="L44">
            <v>0</v>
          </cell>
          <cell r="M44">
            <v>218888.32000000001</v>
          </cell>
          <cell r="N44">
            <v>-218888.32000000001</v>
          </cell>
          <cell r="O44">
            <v>0</v>
          </cell>
          <cell r="P44">
            <v>0</v>
          </cell>
          <cell r="Q44">
            <v>-218888.32000000001</v>
          </cell>
          <cell r="R44">
            <v>145752</v>
          </cell>
          <cell r="S44">
            <v>0</v>
          </cell>
          <cell r="T44">
            <v>0</v>
          </cell>
          <cell r="U44">
            <v>145752</v>
          </cell>
          <cell r="V44">
            <v>-364640</v>
          </cell>
          <cell r="W44">
            <v>0</v>
          </cell>
          <cell r="X44">
            <v>0</v>
          </cell>
          <cell r="Y44">
            <v>-364640</v>
          </cell>
          <cell r="Z44">
            <v>124548</v>
          </cell>
          <cell r="AA44">
            <v>124548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370713</v>
          </cell>
          <cell r="BB44">
            <v>300962</v>
          </cell>
          <cell r="BC44">
            <v>69751</v>
          </cell>
          <cell r="BD44">
            <v>83410</v>
          </cell>
          <cell r="BE44">
            <v>67716</v>
          </cell>
          <cell r="BF44">
            <v>15694</v>
          </cell>
          <cell r="BG44">
            <v>9268</v>
          </cell>
          <cell r="BH44">
            <v>7524</v>
          </cell>
          <cell r="BI44">
            <v>1744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41620150</v>
          </cell>
          <cell r="G45">
            <v>0</v>
          </cell>
          <cell r="H45">
            <v>0</v>
          </cell>
          <cell r="I45">
            <v>41620150</v>
          </cell>
          <cell r="J45">
            <v>40664676</v>
          </cell>
          <cell r="K45">
            <v>0</v>
          </cell>
          <cell r="L45">
            <v>0</v>
          </cell>
          <cell r="M45">
            <v>40664676</v>
          </cell>
          <cell r="N45">
            <v>955474</v>
          </cell>
          <cell r="O45">
            <v>0</v>
          </cell>
          <cell r="P45">
            <v>0</v>
          </cell>
          <cell r="Q45">
            <v>955474</v>
          </cell>
          <cell r="R45">
            <v>-688650</v>
          </cell>
          <cell r="S45">
            <v>0</v>
          </cell>
          <cell r="T45">
            <v>0</v>
          </cell>
          <cell r="U45">
            <v>-688650</v>
          </cell>
          <cell r="V45">
            <v>1644124</v>
          </cell>
          <cell r="W45">
            <v>0</v>
          </cell>
          <cell r="X45">
            <v>0</v>
          </cell>
          <cell r="Y45">
            <v>1644124</v>
          </cell>
          <cell r="Z45">
            <v>116696</v>
          </cell>
          <cell r="AA45">
            <v>116696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254803</v>
          </cell>
          <cell r="BB45">
            <v>185677</v>
          </cell>
          <cell r="BC45">
            <v>69126</v>
          </cell>
          <cell r="BD45">
            <v>63701</v>
          </cell>
          <cell r="BE45">
            <v>46419</v>
          </cell>
          <cell r="BF45">
            <v>17282</v>
          </cell>
          <cell r="BG45">
            <v>0</v>
          </cell>
          <cell r="BH45">
            <v>0</v>
          </cell>
          <cell r="BI45">
            <v>0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27479267</v>
          </cell>
          <cell r="G46">
            <v>0</v>
          </cell>
          <cell r="H46">
            <v>1176757</v>
          </cell>
          <cell r="I46">
            <v>28656024</v>
          </cell>
          <cell r="J46">
            <v>27590858</v>
          </cell>
          <cell r="K46">
            <v>0</v>
          </cell>
          <cell r="L46">
            <v>1176865</v>
          </cell>
          <cell r="M46">
            <v>28767723</v>
          </cell>
          <cell r="N46">
            <v>-111591</v>
          </cell>
          <cell r="O46">
            <v>0</v>
          </cell>
          <cell r="P46">
            <v>-108</v>
          </cell>
          <cell r="Q46">
            <v>-111699</v>
          </cell>
          <cell r="R46">
            <v>102106</v>
          </cell>
          <cell r="S46">
            <v>0</v>
          </cell>
          <cell r="T46">
            <v>0</v>
          </cell>
          <cell r="U46">
            <v>102106</v>
          </cell>
          <cell r="V46">
            <v>-213697</v>
          </cell>
          <cell r="W46">
            <v>0</v>
          </cell>
          <cell r="X46">
            <v>-108</v>
          </cell>
          <cell r="Y46">
            <v>-213805</v>
          </cell>
          <cell r="Z46">
            <v>108209</v>
          </cell>
          <cell r="AA46">
            <v>108209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301693</v>
          </cell>
          <cell r="BB46">
            <v>257332</v>
          </cell>
          <cell r="BC46">
            <v>44361</v>
          </cell>
          <cell r="BD46">
            <v>67305</v>
          </cell>
          <cell r="BE46">
            <v>57900</v>
          </cell>
          <cell r="BF46">
            <v>9405</v>
          </cell>
          <cell r="BG46">
            <v>7478</v>
          </cell>
          <cell r="BH46">
            <v>6433</v>
          </cell>
          <cell r="BI46">
            <v>1045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33197291.600000001</v>
          </cell>
          <cell r="G47">
            <v>0</v>
          </cell>
          <cell r="H47">
            <v>0</v>
          </cell>
          <cell r="I47">
            <v>33197291.600000001</v>
          </cell>
          <cell r="J47">
            <v>33157205.5</v>
          </cell>
          <cell r="K47">
            <v>0</v>
          </cell>
          <cell r="L47">
            <v>0</v>
          </cell>
          <cell r="M47">
            <v>33157205.5</v>
          </cell>
          <cell r="N47">
            <v>40086.17</v>
          </cell>
          <cell r="O47">
            <v>0</v>
          </cell>
          <cell r="P47">
            <v>0</v>
          </cell>
          <cell r="Q47">
            <v>40086.17</v>
          </cell>
          <cell r="R47">
            <v>112120</v>
          </cell>
          <cell r="S47">
            <v>0</v>
          </cell>
          <cell r="T47">
            <v>0</v>
          </cell>
          <cell r="U47">
            <v>112120</v>
          </cell>
          <cell r="V47">
            <v>-72034</v>
          </cell>
          <cell r="W47">
            <v>0</v>
          </cell>
          <cell r="X47">
            <v>0</v>
          </cell>
          <cell r="Y47">
            <v>-72034</v>
          </cell>
          <cell r="Z47">
            <v>147506</v>
          </cell>
          <cell r="AA47">
            <v>147506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480614</v>
          </cell>
          <cell r="BB47">
            <v>410087</v>
          </cell>
          <cell r="BC47">
            <v>70527</v>
          </cell>
          <cell r="BD47">
            <v>108138</v>
          </cell>
          <cell r="BE47">
            <v>92270</v>
          </cell>
          <cell r="BF47">
            <v>15868</v>
          </cell>
          <cell r="BG47">
            <v>12015</v>
          </cell>
          <cell r="BH47">
            <v>10252</v>
          </cell>
          <cell r="BI47">
            <v>1763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49640468</v>
          </cell>
          <cell r="G48">
            <v>0</v>
          </cell>
          <cell r="H48">
            <v>0</v>
          </cell>
          <cell r="I48">
            <v>49640468</v>
          </cell>
          <cell r="J48">
            <v>49633643</v>
          </cell>
          <cell r="K48">
            <v>0</v>
          </cell>
          <cell r="L48">
            <v>0</v>
          </cell>
          <cell r="M48">
            <v>49633643</v>
          </cell>
          <cell r="N48">
            <v>6825</v>
          </cell>
          <cell r="O48">
            <v>0</v>
          </cell>
          <cell r="P48">
            <v>0</v>
          </cell>
          <cell r="Q48">
            <v>6825</v>
          </cell>
          <cell r="R48">
            <v>92708</v>
          </cell>
          <cell r="S48">
            <v>0</v>
          </cell>
          <cell r="T48">
            <v>0</v>
          </cell>
          <cell r="U48">
            <v>92708</v>
          </cell>
          <cell r="V48">
            <v>-85883</v>
          </cell>
          <cell r="W48">
            <v>0</v>
          </cell>
          <cell r="X48">
            <v>0</v>
          </cell>
          <cell r="Y48">
            <v>-85883</v>
          </cell>
          <cell r="Z48">
            <v>240185</v>
          </cell>
          <cell r="AA48">
            <v>240185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1049631</v>
          </cell>
          <cell r="BB48">
            <v>868299</v>
          </cell>
          <cell r="BC48">
            <v>181332</v>
          </cell>
          <cell r="BD48">
            <v>0</v>
          </cell>
          <cell r="BE48">
            <v>0</v>
          </cell>
          <cell r="BF48">
            <v>0</v>
          </cell>
          <cell r="BG48">
            <v>21421</v>
          </cell>
          <cell r="BH48">
            <v>17720</v>
          </cell>
          <cell r="BI48">
            <v>3701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59255785</v>
          </cell>
          <cell r="G49">
            <v>0</v>
          </cell>
          <cell r="H49">
            <v>0</v>
          </cell>
          <cell r="I49">
            <v>59255785</v>
          </cell>
          <cell r="J49">
            <v>59432772</v>
          </cell>
          <cell r="K49">
            <v>0</v>
          </cell>
          <cell r="L49">
            <v>0</v>
          </cell>
          <cell r="M49">
            <v>59432772</v>
          </cell>
          <cell r="N49">
            <v>-176987</v>
          </cell>
          <cell r="O49">
            <v>0</v>
          </cell>
          <cell r="P49">
            <v>0</v>
          </cell>
          <cell r="Q49">
            <v>-176987</v>
          </cell>
          <cell r="R49">
            <v>94085</v>
          </cell>
          <cell r="S49">
            <v>0</v>
          </cell>
          <cell r="T49">
            <v>0</v>
          </cell>
          <cell r="U49">
            <v>94085</v>
          </cell>
          <cell r="V49">
            <v>-271072</v>
          </cell>
          <cell r="W49">
            <v>0</v>
          </cell>
          <cell r="X49">
            <v>0</v>
          </cell>
          <cell r="Y49">
            <v>-271072</v>
          </cell>
          <cell r="Z49">
            <v>350658</v>
          </cell>
          <cell r="AA49">
            <v>350658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1484856</v>
          </cell>
          <cell r="BB49">
            <v>1270988</v>
          </cell>
          <cell r="BC49">
            <v>213868</v>
          </cell>
          <cell r="BD49">
            <v>0</v>
          </cell>
          <cell r="BE49">
            <v>0</v>
          </cell>
          <cell r="BF49">
            <v>0</v>
          </cell>
          <cell r="BG49">
            <v>30303</v>
          </cell>
          <cell r="BH49">
            <v>25939</v>
          </cell>
          <cell r="BI49">
            <v>4364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115992388</v>
          </cell>
          <cell r="G50">
            <v>0</v>
          </cell>
          <cell r="H50">
            <v>0</v>
          </cell>
          <cell r="I50">
            <v>115992388</v>
          </cell>
          <cell r="J50">
            <v>116446127</v>
          </cell>
          <cell r="K50">
            <v>0</v>
          </cell>
          <cell r="L50">
            <v>0</v>
          </cell>
          <cell r="M50">
            <v>116446127</v>
          </cell>
          <cell r="N50">
            <v>-453739</v>
          </cell>
          <cell r="O50">
            <v>0</v>
          </cell>
          <cell r="P50">
            <v>0</v>
          </cell>
          <cell r="Q50">
            <v>-453739</v>
          </cell>
          <cell r="R50">
            <v>-2700</v>
          </cell>
          <cell r="S50">
            <v>0</v>
          </cell>
          <cell r="T50">
            <v>0</v>
          </cell>
          <cell r="U50">
            <v>-2700</v>
          </cell>
          <cell r="V50">
            <v>-451039</v>
          </cell>
          <cell r="W50">
            <v>0</v>
          </cell>
          <cell r="X50">
            <v>0</v>
          </cell>
          <cell r="Y50">
            <v>-451039</v>
          </cell>
          <cell r="Z50">
            <v>227587</v>
          </cell>
          <cell r="AA50">
            <v>227587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253830</v>
          </cell>
          <cell r="BB50">
            <v>207523</v>
          </cell>
          <cell r="BC50">
            <v>46307</v>
          </cell>
          <cell r="BD50">
            <v>57112</v>
          </cell>
          <cell r="BE50">
            <v>46693</v>
          </cell>
          <cell r="BF50">
            <v>10419</v>
          </cell>
          <cell r="BG50">
            <v>6346</v>
          </cell>
          <cell r="BH50">
            <v>5188</v>
          </cell>
          <cell r="BI50">
            <v>1158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549378319</v>
          </cell>
          <cell r="G51">
            <v>0</v>
          </cell>
          <cell r="H51">
            <v>0</v>
          </cell>
          <cell r="I51">
            <v>549378319</v>
          </cell>
          <cell r="J51">
            <v>554014102</v>
          </cell>
          <cell r="K51">
            <v>0</v>
          </cell>
          <cell r="L51">
            <v>0</v>
          </cell>
          <cell r="M51">
            <v>554014102</v>
          </cell>
          <cell r="N51">
            <v>-4635783</v>
          </cell>
          <cell r="O51">
            <v>0</v>
          </cell>
          <cell r="P51">
            <v>0</v>
          </cell>
          <cell r="Q51">
            <v>-4635783</v>
          </cell>
          <cell r="R51">
            <v>2220851</v>
          </cell>
          <cell r="S51">
            <v>0</v>
          </cell>
          <cell r="T51">
            <v>0</v>
          </cell>
          <cell r="U51">
            <v>2220851</v>
          </cell>
          <cell r="V51">
            <v>-6856634</v>
          </cell>
          <cell r="W51">
            <v>0</v>
          </cell>
          <cell r="X51">
            <v>0</v>
          </cell>
          <cell r="Y51">
            <v>-6856634</v>
          </cell>
          <cell r="Z51">
            <v>1202147</v>
          </cell>
          <cell r="AA51">
            <v>1202147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409227</v>
          </cell>
          <cell r="BB51">
            <v>351257</v>
          </cell>
          <cell r="BC51">
            <v>57970</v>
          </cell>
          <cell r="BD51">
            <v>272818</v>
          </cell>
          <cell r="BE51">
            <v>234171</v>
          </cell>
          <cell r="BF51">
            <v>38647</v>
          </cell>
          <cell r="BG51">
            <v>0</v>
          </cell>
          <cell r="BH51">
            <v>0</v>
          </cell>
          <cell r="BI51">
            <v>0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35215909</v>
          </cell>
          <cell r="G52">
            <v>0</v>
          </cell>
          <cell r="H52">
            <v>0</v>
          </cell>
          <cell r="I52">
            <v>35215909</v>
          </cell>
          <cell r="J52">
            <v>34306937</v>
          </cell>
          <cell r="K52">
            <v>0</v>
          </cell>
          <cell r="L52">
            <v>0</v>
          </cell>
          <cell r="M52">
            <v>34306937</v>
          </cell>
          <cell r="N52">
            <v>908972</v>
          </cell>
          <cell r="O52">
            <v>0</v>
          </cell>
          <cell r="P52">
            <v>0</v>
          </cell>
          <cell r="Q52">
            <v>908972</v>
          </cell>
          <cell r="R52">
            <v>1022302</v>
          </cell>
          <cell r="S52">
            <v>0</v>
          </cell>
          <cell r="T52">
            <v>0</v>
          </cell>
          <cell r="U52">
            <v>1022302</v>
          </cell>
          <cell r="V52">
            <v>-113330</v>
          </cell>
          <cell r="W52">
            <v>0</v>
          </cell>
          <cell r="X52">
            <v>0</v>
          </cell>
          <cell r="Y52">
            <v>-113330</v>
          </cell>
          <cell r="Z52">
            <v>138250</v>
          </cell>
          <cell r="AA52">
            <v>138250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441007</v>
          </cell>
          <cell r="BB52">
            <v>382098</v>
          </cell>
          <cell r="BC52">
            <v>58909</v>
          </cell>
          <cell r="BD52">
            <v>99227</v>
          </cell>
          <cell r="BE52">
            <v>85972</v>
          </cell>
          <cell r="BF52">
            <v>13255</v>
          </cell>
          <cell r="BG52">
            <v>11025</v>
          </cell>
          <cell r="BH52">
            <v>9552</v>
          </cell>
          <cell r="BI52">
            <v>1473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51506295</v>
          </cell>
          <cell r="G53">
            <v>0</v>
          </cell>
          <cell r="H53">
            <v>0</v>
          </cell>
          <cell r="I53">
            <v>51506295</v>
          </cell>
          <cell r="J53">
            <v>51610761</v>
          </cell>
          <cell r="K53">
            <v>0</v>
          </cell>
          <cell r="L53">
            <v>0</v>
          </cell>
          <cell r="M53">
            <v>51610761</v>
          </cell>
          <cell r="N53">
            <v>-104466</v>
          </cell>
          <cell r="O53">
            <v>0</v>
          </cell>
          <cell r="P53">
            <v>0</v>
          </cell>
          <cell r="Q53">
            <v>-104466</v>
          </cell>
          <cell r="R53">
            <v>113573</v>
          </cell>
          <cell r="S53">
            <v>0</v>
          </cell>
          <cell r="T53">
            <v>0</v>
          </cell>
          <cell r="U53">
            <v>113573</v>
          </cell>
          <cell r="V53">
            <v>-218039</v>
          </cell>
          <cell r="W53">
            <v>0</v>
          </cell>
          <cell r="X53">
            <v>0</v>
          </cell>
          <cell r="Y53">
            <v>-218039</v>
          </cell>
          <cell r="Z53">
            <v>229695</v>
          </cell>
          <cell r="AA53">
            <v>229695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609856</v>
          </cell>
          <cell r="BB53">
            <v>517802</v>
          </cell>
          <cell r="BC53">
            <v>92054</v>
          </cell>
          <cell r="BD53">
            <v>137218</v>
          </cell>
          <cell r="BE53">
            <v>116505</v>
          </cell>
          <cell r="BF53">
            <v>20713</v>
          </cell>
          <cell r="BG53">
            <v>15246</v>
          </cell>
          <cell r="BH53">
            <v>12945</v>
          </cell>
          <cell r="BI53">
            <v>2301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47769415</v>
          </cell>
          <cell r="G54">
            <v>0</v>
          </cell>
          <cell r="H54">
            <v>0</v>
          </cell>
          <cell r="I54">
            <v>47769415</v>
          </cell>
          <cell r="J54">
            <v>47907555</v>
          </cell>
          <cell r="K54">
            <v>0</v>
          </cell>
          <cell r="L54">
            <v>0</v>
          </cell>
          <cell r="M54">
            <v>47907555</v>
          </cell>
          <cell r="N54">
            <v>-138140</v>
          </cell>
          <cell r="O54">
            <v>0</v>
          </cell>
          <cell r="P54">
            <v>0</v>
          </cell>
          <cell r="Q54">
            <v>-138140</v>
          </cell>
          <cell r="R54">
            <v>131099</v>
          </cell>
          <cell r="S54">
            <v>0</v>
          </cell>
          <cell r="T54">
            <v>0</v>
          </cell>
          <cell r="U54">
            <v>131099</v>
          </cell>
          <cell r="V54">
            <v>-269239</v>
          </cell>
          <cell r="W54">
            <v>0</v>
          </cell>
          <cell r="X54">
            <v>0</v>
          </cell>
          <cell r="Y54">
            <v>-269239</v>
          </cell>
          <cell r="Z54">
            <v>180543</v>
          </cell>
          <cell r="AA54">
            <v>180543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464133</v>
          </cell>
          <cell r="BB54">
            <v>389307</v>
          </cell>
          <cell r="BC54">
            <v>74826</v>
          </cell>
          <cell r="BD54">
            <v>116033</v>
          </cell>
          <cell r="BE54">
            <v>97327</v>
          </cell>
          <cell r="BF54">
            <v>18706</v>
          </cell>
          <cell r="BG54">
            <v>0</v>
          </cell>
          <cell r="BH54">
            <v>0</v>
          </cell>
          <cell r="BI54">
            <v>0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15181180</v>
          </cell>
          <cell r="G55">
            <v>0</v>
          </cell>
          <cell r="H55">
            <v>0</v>
          </cell>
          <cell r="I55">
            <v>15181180</v>
          </cell>
          <cell r="J55">
            <v>15067322</v>
          </cell>
          <cell r="K55">
            <v>0</v>
          </cell>
          <cell r="L55">
            <v>0</v>
          </cell>
          <cell r="M55">
            <v>15067322</v>
          </cell>
          <cell r="N55">
            <v>113858</v>
          </cell>
          <cell r="O55">
            <v>0</v>
          </cell>
          <cell r="P55">
            <v>0</v>
          </cell>
          <cell r="Q55">
            <v>113858</v>
          </cell>
          <cell r="R55">
            <v>127268</v>
          </cell>
          <cell r="S55">
            <v>0</v>
          </cell>
          <cell r="T55">
            <v>0</v>
          </cell>
          <cell r="U55">
            <v>127268</v>
          </cell>
          <cell r="V55">
            <v>-13410</v>
          </cell>
          <cell r="W55">
            <v>0</v>
          </cell>
          <cell r="X55">
            <v>0</v>
          </cell>
          <cell r="Y55">
            <v>-13410</v>
          </cell>
          <cell r="Z55">
            <v>81864</v>
          </cell>
          <cell r="AA55">
            <v>81864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331453</v>
          </cell>
          <cell r="BB55">
            <v>295284</v>
          </cell>
          <cell r="BC55">
            <v>36169</v>
          </cell>
          <cell r="BD55">
            <v>74577</v>
          </cell>
          <cell r="BE55">
            <v>66439</v>
          </cell>
          <cell r="BF55">
            <v>8138</v>
          </cell>
          <cell r="BG55">
            <v>8286</v>
          </cell>
          <cell r="BH55">
            <v>7382</v>
          </cell>
          <cell r="BI55">
            <v>904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90045984.700000003</v>
          </cell>
          <cell r="G56">
            <v>0</v>
          </cell>
          <cell r="H56">
            <v>0</v>
          </cell>
          <cell r="I56">
            <v>90045984.700000003</v>
          </cell>
          <cell r="J56">
            <v>89851945.900000006</v>
          </cell>
          <cell r="K56">
            <v>0</v>
          </cell>
          <cell r="L56">
            <v>0</v>
          </cell>
          <cell r="M56">
            <v>89851945.900000006</v>
          </cell>
          <cell r="N56">
            <v>194038.74</v>
          </cell>
          <cell r="O56">
            <v>0</v>
          </cell>
          <cell r="P56">
            <v>0</v>
          </cell>
          <cell r="Q56">
            <v>194038.74</v>
          </cell>
          <cell r="R56">
            <v>387145</v>
          </cell>
          <cell r="S56">
            <v>0</v>
          </cell>
          <cell r="T56">
            <v>0</v>
          </cell>
          <cell r="U56">
            <v>387145</v>
          </cell>
          <cell r="V56">
            <v>-193106</v>
          </cell>
          <cell r="W56">
            <v>0</v>
          </cell>
          <cell r="X56">
            <v>0</v>
          </cell>
          <cell r="Y56">
            <v>-193106</v>
          </cell>
          <cell r="Z56">
            <v>315029</v>
          </cell>
          <cell r="AA56">
            <v>315029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1018714</v>
          </cell>
          <cell r="BB56">
            <v>870329</v>
          </cell>
          <cell r="BC56">
            <v>148385</v>
          </cell>
          <cell r="BD56">
            <v>0</v>
          </cell>
          <cell r="BE56">
            <v>0</v>
          </cell>
          <cell r="BF56">
            <v>0</v>
          </cell>
          <cell r="BG56">
            <v>20790</v>
          </cell>
          <cell r="BH56">
            <v>17762</v>
          </cell>
          <cell r="BI56">
            <v>3028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42380810</v>
          </cell>
          <cell r="G57">
            <v>0</v>
          </cell>
          <cell r="H57">
            <v>0</v>
          </cell>
          <cell r="I57">
            <v>42380810</v>
          </cell>
          <cell r="J57">
            <v>42372494</v>
          </cell>
          <cell r="K57">
            <v>0</v>
          </cell>
          <cell r="L57">
            <v>0</v>
          </cell>
          <cell r="M57">
            <v>42372494</v>
          </cell>
          <cell r="N57">
            <v>8316</v>
          </cell>
          <cell r="O57">
            <v>0</v>
          </cell>
          <cell r="P57">
            <v>0</v>
          </cell>
          <cell r="Q57">
            <v>8316</v>
          </cell>
          <cell r="R57">
            <v>73587</v>
          </cell>
          <cell r="S57">
            <v>0</v>
          </cell>
          <cell r="T57">
            <v>0</v>
          </cell>
          <cell r="U57">
            <v>73587</v>
          </cell>
          <cell r="V57">
            <v>-65271</v>
          </cell>
          <cell r="W57">
            <v>0</v>
          </cell>
          <cell r="X57">
            <v>0</v>
          </cell>
          <cell r="Y57">
            <v>-65271</v>
          </cell>
          <cell r="Z57">
            <v>194292</v>
          </cell>
          <cell r="AA57">
            <v>194292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121606</v>
          </cell>
          <cell r="AJ57">
            <v>0</v>
          </cell>
          <cell r="AK57">
            <v>121606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588323</v>
          </cell>
          <cell r="BB57">
            <v>511324</v>
          </cell>
          <cell r="BC57">
            <v>76999</v>
          </cell>
          <cell r="BD57">
            <v>132373</v>
          </cell>
          <cell r="BE57">
            <v>115048</v>
          </cell>
          <cell r="BF57">
            <v>17325</v>
          </cell>
          <cell r="BG57">
            <v>14708</v>
          </cell>
          <cell r="BH57">
            <v>12783</v>
          </cell>
          <cell r="BI57">
            <v>1925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75905659</v>
          </cell>
          <cell r="G58">
            <v>0</v>
          </cell>
          <cell r="H58">
            <v>0</v>
          </cell>
          <cell r="I58">
            <v>75905659</v>
          </cell>
          <cell r="J58">
            <v>76139572.599999994</v>
          </cell>
          <cell r="K58">
            <v>0</v>
          </cell>
          <cell r="L58">
            <v>0</v>
          </cell>
          <cell r="M58">
            <v>76139572.599999994</v>
          </cell>
          <cell r="N58">
            <v>-233913.60000000001</v>
          </cell>
          <cell r="O58">
            <v>0</v>
          </cell>
          <cell r="P58">
            <v>0</v>
          </cell>
          <cell r="Q58">
            <v>-233913.60000000001</v>
          </cell>
          <cell r="R58">
            <v>102144</v>
          </cell>
          <cell r="S58">
            <v>0</v>
          </cell>
          <cell r="T58">
            <v>0</v>
          </cell>
          <cell r="U58">
            <v>102144</v>
          </cell>
          <cell r="V58">
            <v>-336058</v>
          </cell>
          <cell r="W58">
            <v>0</v>
          </cell>
          <cell r="X58">
            <v>0</v>
          </cell>
          <cell r="Y58">
            <v>-336058</v>
          </cell>
          <cell r="Z58">
            <v>224329</v>
          </cell>
          <cell r="AA58">
            <v>224329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465100</v>
          </cell>
          <cell r="BB58">
            <v>383388</v>
          </cell>
          <cell r="BC58">
            <v>81712</v>
          </cell>
          <cell r="BD58">
            <v>104648</v>
          </cell>
          <cell r="BE58">
            <v>86262</v>
          </cell>
          <cell r="BF58">
            <v>18386</v>
          </cell>
          <cell r="BG58">
            <v>11628</v>
          </cell>
          <cell r="BH58">
            <v>9585</v>
          </cell>
          <cell r="BI58">
            <v>2043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54137899</v>
          </cell>
          <cell r="G59">
            <v>0</v>
          </cell>
          <cell r="H59">
            <v>0</v>
          </cell>
          <cell r="I59">
            <v>54137899</v>
          </cell>
          <cell r="J59">
            <v>54281739</v>
          </cell>
          <cell r="K59">
            <v>0</v>
          </cell>
          <cell r="L59">
            <v>0</v>
          </cell>
          <cell r="M59">
            <v>54281739</v>
          </cell>
          <cell r="N59">
            <v>-143840</v>
          </cell>
          <cell r="O59">
            <v>0</v>
          </cell>
          <cell r="P59">
            <v>0</v>
          </cell>
          <cell r="Q59">
            <v>-143840</v>
          </cell>
          <cell r="R59">
            <v>-522</v>
          </cell>
          <cell r="S59">
            <v>0</v>
          </cell>
          <cell r="T59">
            <v>0</v>
          </cell>
          <cell r="U59">
            <v>-522</v>
          </cell>
          <cell r="V59">
            <v>-143318</v>
          </cell>
          <cell r="W59">
            <v>0</v>
          </cell>
          <cell r="X59">
            <v>0</v>
          </cell>
          <cell r="Y59">
            <v>-143318</v>
          </cell>
          <cell r="Z59">
            <v>183813</v>
          </cell>
          <cell r="AA59">
            <v>183813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426407</v>
          </cell>
          <cell r="BB59">
            <v>357197</v>
          </cell>
          <cell r="BC59">
            <v>69210</v>
          </cell>
          <cell r="BD59">
            <v>106602</v>
          </cell>
          <cell r="BE59">
            <v>89299</v>
          </cell>
          <cell r="BF59">
            <v>17303</v>
          </cell>
          <cell r="BG59">
            <v>0</v>
          </cell>
          <cell r="BH59">
            <v>0</v>
          </cell>
          <cell r="BI59">
            <v>0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70131881</v>
          </cell>
          <cell r="G60">
            <v>0</v>
          </cell>
          <cell r="H60">
            <v>0</v>
          </cell>
          <cell r="I60">
            <v>70131881</v>
          </cell>
          <cell r="J60">
            <v>70111848</v>
          </cell>
          <cell r="K60">
            <v>0</v>
          </cell>
          <cell r="L60">
            <v>0</v>
          </cell>
          <cell r="M60">
            <v>70111848</v>
          </cell>
          <cell r="N60">
            <v>20033</v>
          </cell>
          <cell r="O60">
            <v>0</v>
          </cell>
          <cell r="P60">
            <v>0</v>
          </cell>
          <cell r="Q60">
            <v>20033</v>
          </cell>
          <cell r="R60">
            <v>48944</v>
          </cell>
          <cell r="S60">
            <v>0</v>
          </cell>
          <cell r="T60">
            <v>0</v>
          </cell>
          <cell r="U60">
            <v>48944</v>
          </cell>
          <cell r="V60">
            <v>-28911</v>
          </cell>
          <cell r="W60">
            <v>0</v>
          </cell>
          <cell r="X60">
            <v>0</v>
          </cell>
          <cell r="Y60">
            <v>-28911</v>
          </cell>
          <cell r="Z60">
            <v>218671</v>
          </cell>
          <cell r="AA60">
            <v>218671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19966</v>
          </cell>
          <cell r="AJ60">
            <v>0</v>
          </cell>
          <cell r="AK60">
            <v>19966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384873</v>
          </cell>
          <cell r="BB60">
            <v>313154</v>
          </cell>
          <cell r="BC60">
            <v>71719</v>
          </cell>
          <cell r="BD60">
            <v>96218</v>
          </cell>
          <cell r="BE60">
            <v>78289</v>
          </cell>
          <cell r="BF60">
            <v>17929</v>
          </cell>
          <cell r="BG60">
            <v>0</v>
          </cell>
          <cell r="BH60">
            <v>0</v>
          </cell>
          <cell r="BI60">
            <v>0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155899391</v>
          </cell>
          <cell r="G61">
            <v>0</v>
          </cell>
          <cell r="H61">
            <v>0</v>
          </cell>
          <cell r="I61">
            <v>155899391</v>
          </cell>
          <cell r="J61">
            <v>156683087</v>
          </cell>
          <cell r="K61">
            <v>0</v>
          </cell>
          <cell r="L61">
            <v>0</v>
          </cell>
          <cell r="M61">
            <v>156683087</v>
          </cell>
          <cell r="N61">
            <v>-783696</v>
          </cell>
          <cell r="O61">
            <v>0</v>
          </cell>
          <cell r="P61">
            <v>0</v>
          </cell>
          <cell r="Q61">
            <v>-783696</v>
          </cell>
          <cell r="R61">
            <v>24119</v>
          </cell>
          <cell r="S61">
            <v>0</v>
          </cell>
          <cell r="T61">
            <v>0</v>
          </cell>
          <cell r="U61">
            <v>24119</v>
          </cell>
          <cell r="V61">
            <v>-807815</v>
          </cell>
          <cell r="W61">
            <v>0</v>
          </cell>
          <cell r="X61">
            <v>0</v>
          </cell>
          <cell r="Y61">
            <v>-807815</v>
          </cell>
          <cell r="Z61">
            <v>562256</v>
          </cell>
          <cell r="AA61">
            <v>562256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1879182</v>
          </cell>
          <cell r="BB61">
            <v>1628375</v>
          </cell>
          <cell r="BC61">
            <v>250807</v>
          </cell>
          <cell r="BD61">
            <v>0</v>
          </cell>
          <cell r="BE61">
            <v>0</v>
          </cell>
          <cell r="BF61">
            <v>0</v>
          </cell>
          <cell r="BG61">
            <v>38351</v>
          </cell>
          <cell r="BH61">
            <v>33232</v>
          </cell>
          <cell r="BI61">
            <v>5119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151863909</v>
          </cell>
          <cell r="G62">
            <v>0</v>
          </cell>
          <cell r="H62">
            <v>0</v>
          </cell>
          <cell r="I62">
            <v>151863909</v>
          </cell>
          <cell r="J62">
            <v>154223826</v>
          </cell>
          <cell r="K62">
            <v>0</v>
          </cell>
          <cell r="L62">
            <v>0</v>
          </cell>
          <cell r="M62">
            <v>154223826</v>
          </cell>
          <cell r="N62">
            <v>-2359917</v>
          </cell>
          <cell r="O62">
            <v>0</v>
          </cell>
          <cell r="P62">
            <v>0</v>
          </cell>
          <cell r="Q62">
            <v>-2359917</v>
          </cell>
          <cell r="R62">
            <v>175069</v>
          </cell>
          <cell r="S62">
            <v>0</v>
          </cell>
          <cell r="T62">
            <v>0</v>
          </cell>
          <cell r="U62">
            <v>175069</v>
          </cell>
          <cell r="V62">
            <v>-2534986</v>
          </cell>
          <cell r="W62">
            <v>0</v>
          </cell>
          <cell r="X62">
            <v>0</v>
          </cell>
          <cell r="Y62">
            <v>-2534986</v>
          </cell>
          <cell r="Z62">
            <v>504181</v>
          </cell>
          <cell r="AA62">
            <v>504181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1418115</v>
          </cell>
          <cell r="BB62">
            <v>1176741</v>
          </cell>
          <cell r="BC62">
            <v>241374</v>
          </cell>
          <cell r="BD62">
            <v>0</v>
          </cell>
          <cell r="BE62">
            <v>0</v>
          </cell>
          <cell r="BF62">
            <v>0</v>
          </cell>
          <cell r="BG62">
            <v>28941</v>
          </cell>
          <cell r="BH62">
            <v>24015</v>
          </cell>
          <cell r="BI62">
            <v>4926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35498284</v>
          </cell>
          <cell r="G63">
            <v>0</v>
          </cell>
          <cell r="H63">
            <v>0</v>
          </cell>
          <cell r="I63">
            <v>35498284</v>
          </cell>
          <cell r="J63">
            <v>35705267</v>
          </cell>
          <cell r="K63">
            <v>0</v>
          </cell>
          <cell r="L63">
            <v>0</v>
          </cell>
          <cell r="M63">
            <v>35705267</v>
          </cell>
          <cell r="N63">
            <v>-206983</v>
          </cell>
          <cell r="O63">
            <v>0</v>
          </cell>
          <cell r="P63">
            <v>0</v>
          </cell>
          <cell r="Q63">
            <v>-206983</v>
          </cell>
          <cell r="R63">
            <v>-77497</v>
          </cell>
          <cell r="S63">
            <v>0</v>
          </cell>
          <cell r="T63">
            <v>0</v>
          </cell>
          <cell r="U63">
            <v>-77497</v>
          </cell>
          <cell r="V63">
            <v>-129486</v>
          </cell>
          <cell r="W63">
            <v>0</v>
          </cell>
          <cell r="X63">
            <v>0</v>
          </cell>
          <cell r="Y63">
            <v>-129486</v>
          </cell>
          <cell r="Z63">
            <v>165425</v>
          </cell>
          <cell r="AA63">
            <v>165425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503352</v>
          </cell>
          <cell r="BB63">
            <v>426229</v>
          </cell>
          <cell r="BC63">
            <v>77123</v>
          </cell>
          <cell r="BD63">
            <v>113254</v>
          </cell>
          <cell r="BE63">
            <v>95901</v>
          </cell>
          <cell r="BF63">
            <v>17353</v>
          </cell>
          <cell r="BG63">
            <v>12584</v>
          </cell>
          <cell r="BH63">
            <v>10656</v>
          </cell>
          <cell r="BI63">
            <v>1928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43403383</v>
          </cell>
          <cell r="G64">
            <v>0</v>
          </cell>
          <cell r="H64">
            <v>0</v>
          </cell>
          <cell r="I64">
            <v>43403383</v>
          </cell>
          <cell r="J64">
            <v>43501703</v>
          </cell>
          <cell r="K64">
            <v>0</v>
          </cell>
          <cell r="L64">
            <v>0</v>
          </cell>
          <cell r="M64">
            <v>43501703</v>
          </cell>
          <cell r="N64">
            <v>-98320</v>
          </cell>
          <cell r="O64">
            <v>0</v>
          </cell>
          <cell r="P64">
            <v>0</v>
          </cell>
          <cell r="Q64">
            <v>-98320</v>
          </cell>
          <cell r="R64">
            <v>25422</v>
          </cell>
          <cell r="S64">
            <v>0</v>
          </cell>
          <cell r="T64">
            <v>0</v>
          </cell>
          <cell r="U64">
            <v>25422</v>
          </cell>
          <cell r="V64">
            <v>-123742</v>
          </cell>
          <cell r="W64">
            <v>0</v>
          </cell>
          <cell r="X64">
            <v>0</v>
          </cell>
          <cell r="Y64">
            <v>-123742</v>
          </cell>
          <cell r="Z64">
            <v>191836</v>
          </cell>
          <cell r="AA64">
            <v>191836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559865</v>
          </cell>
          <cell r="BB64">
            <v>463817</v>
          </cell>
          <cell r="BC64">
            <v>96048</v>
          </cell>
          <cell r="BD64">
            <v>139966</v>
          </cell>
          <cell r="BE64">
            <v>115954</v>
          </cell>
          <cell r="BF64">
            <v>24012</v>
          </cell>
          <cell r="BG64">
            <v>0</v>
          </cell>
          <cell r="BH64">
            <v>0</v>
          </cell>
          <cell r="BI64">
            <v>0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20405077</v>
          </cell>
          <cell r="G65">
            <v>0</v>
          </cell>
          <cell r="H65">
            <v>0</v>
          </cell>
          <cell r="I65">
            <v>20405077</v>
          </cell>
          <cell r="J65">
            <v>20443942</v>
          </cell>
          <cell r="K65">
            <v>0</v>
          </cell>
          <cell r="L65">
            <v>0</v>
          </cell>
          <cell r="M65">
            <v>20443942</v>
          </cell>
          <cell r="N65">
            <v>-38865</v>
          </cell>
          <cell r="O65">
            <v>0</v>
          </cell>
          <cell r="P65">
            <v>0</v>
          </cell>
          <cell r="Q65">
            <v>-38865</v>
          </cell>
          <cell r="R65">
            <v>27564</v>
          </cell>
          <cell r="S65">
            <v>0</v>
          </cell>
          <cell r="T65">
            <v>0</v>
          </cell>
          <cell r="U65">
            <v>27564</v>
          </cell>
          <cell r="V65">
            <v>-66429</v>
          </cell>
          <cell r="W65">
            <v>0</v>
          </cell>
          <cell r="X65">
            <v>0</v>
          </cell>
          <cell r="Y65">
            <v>-66429</v>
          </cell>
          <cell r="Z65">
            <v>117534</v>
          </cell>
          <cell r="AA65">
            <v>117534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267632</v>
          </cell>
          <cell r="BB65">
            <v>227411</v>
          </cell>
          <cell r="BC65">
            <v>40221</v>
          </cell>
          <cell r="BD65">
            <v>60217</v>
          </cell>
          <cell r="BE65">
            <v>51168</v>
          </cell>
          <cell r="BF65">
            <v>9049</v>
          </cell>
          <cell r="BG65">
            <v>6691</v>
          </cell>
          <cell r="BH65">
            <v>5685</v>
          </cell>
          <cell r="BI65">
            <v>1006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31625791</v>
          </cell>
          <cell r="G66">
            <v>0</v>
          </cell>
          <cell r="H66">
            <v>0</v>
          </cell>
          <cell r="I66">
            <v>31625791</v>
          </cell>
          <cell r="J66">
            <v>31586446</v>
          </cell>
          <cell r="K66">
            <v>0</v>
          </cell>
          <cell r="L66">
            <v>0</v>
          </cell>
          <cell r="M66">
            <v>31586446</v>
          </cell>
          <cell r="N66">
            <v>39345</v>
          </cell>
          <cell r="O66">
            <v>0</v>
          </cell>
          <cell r="P66">
            <v>0</v>
          </cell>
          <cell r="Q66">
            <v>39345</v>
          </cell>
          <cell r="R66">
            <v>81695</v>
          </cell>
          <cell r="S66">
            <v>0</v>
          </cell>
          <cell r="T66">
            <v>0</v>
          </cell>
          <cell r="U66">
            <v>81695</v>
          </cell>
          <cell r="V66">
            <v>-42350</v>
          </cell>
          <cell r="W66">
            <v>0</v>
          </cell>
          <cell r="X66">
            <v>0</v>
          </cell>
          <cell r="Y66">
            <v>-42350</v>
          </cell>
          <cell r="Z66">
            <v>133847</v>
          </cell>
          <cell r="AA66">
            <v>133847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447208</v>
          </cell>
          <cell r="BB66">
            <v>385305</v>
          </cell>
          <cell r="BC66">
            <v>61903</v>
          </cell>
          <cell r="BD66">
            <v>100622</v>
          </cell>
          <cell r="BE66">
            <v>86694</v>
          </cell>
          <cell r="BF66">
            <v>13928</v>
          </cell>
          <cell r="BG66">
            <v>11180</v>
          </cell>
          <cell r="BH66">
            <v>9633</v>
          </cell>
          <cell r="BI66">
            <v>1547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19072472</v>
          </cell>
          <cell r="G67">
            <v>0</v>
          </cell>
          <cell r="H67">
            <v>0</v>
          </cell>
          <cell r="I67">
            <v>19072472</v>
          </cell>
          <cell r="J67">
            <v>19229782</v>
          </cell>
          <cell r="K67">
            <v>0</v>
          </cell>
          <cell r="L67">
            <v>0</v>
          </cell>
          <cell r="M67">
            <v>19229782</v>
          </cell>
          <cell r="N67">
            <v>-157310</v>
          </cell>
          <cell r="O67">
            <v>0</v>
          </cell>
          <cell r="P67">
            <v>0</v>
          </cell>
          <cell r="Q67">
            <v>-157310</v>
          </cell>
          <cell r="R67">
            <v>-15890</v>
          </cell>
          <cell r="S67">
            <v>0</v>
          </cell>
          <cell r="T67">
            <v>0</v>
          </cell>
          <cell r="U67">
            <v>-15890</v>
          </cell>
          <cell r="V67">
            <v>-141420</v>
          </cell>
          <cell r="W67">
            <v>0</v>
          </cell>
          <cell r="X67">
            <v>0</v>
          </cell>
          <cell r="Y67">
            <v>-141420</v>
          </cell>
          <cell r="Z67">
            <v>75078</v>
          </cell>
          <cell r="AA67">
            <v>75078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220655</v>
          </cell>
          <cell r="BB67">
            <v>190282</v>
          </cell>
          <cell r="BC67">
            <v>30373</v>
          </cell>
          <cell r="BD67">
            <v>49647</v>
          </cell>
          <cell r="BE67">
            <v>42814</v>
          </cell>
          <cell r="BF67">
            <v>6833</v>
          </cell>
          <cell r="BG67">
            <v>5516</v>
          </cell>
          <cell r="BH67">
            <v>4757</v>
          </cell>
          <cell r="BI67">
            <v>759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843371662</v>
          </cell>
          <cell r="G68">
            <v>0</v>
          </cell>
          <cell r="H68">
            <v>0</v>
          </cell>
          <cell r="I68">
            <v>843371662</v>
          </cell>
          <cell r="J68">
            <v>841859101</v>
          </cell>
          <cell r="K68">
            <v>0</v>
          </cell>
          <cell r="L68">
            <v>0</v>
          </cell>
          <cell r="M68">
            <v>841859101</v>
          </cell>
          <cell r="N68">
            <v>1512561</v>
          </cell>
          <cell r="O68">
            <v>0</v>
          </cell>
          <cell r="P68">
            <v>0</v>
          </cell>
          <cell r="Q68">
            <v>1512561</v>
          </cell>
          <cell r="R68">
            <v>314954</v>
          </cell>
          <cell r="S68">
            <v>0</v>
          </cell>
          <cell r="T68">
            <v>0</v>
          </cell>
          <cell r="U68">
            <v>314954</v>
          </cell>
          <cell r="V68">
            <v>1197607</v>
          </cell>
          <cell r="W68">
            <v>0</v>
          </cell>
          <cell r="X68">
            <v>0</v>
          </cell>
          <cell r="Y68">
            <v>1197607</v>
          </cell>
          <cell r="Z68">
            <v>1663453</v>
          </cell>
          <cell r="AA68">
            <v>1663453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55262</v>
          </cell>
          <cell r="BB68">
            <v>47451</v>
          </cell>
          <cell r="BC68">
            <v>7811</v>
          </cell>
          <cell r="BD68">
            <v>36841</v>
          </cell>
          <cell r="BE68">
            <v>31634</v>
          </cell>
          <cell r="BF68">
            <v>5207</v>
          </cell>
          <cell r="BG68">
            <v>0</v>
          </cell>
          <cell r="BH68">
            <v>0</v>
          </cell>
          <cell r="BI68">
            <v>0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70082209</v>
          </cell>
          <cell r="G69">
            <v>0</v>
          </cell>
          <cell r="H69">
            <v>0</v>
          </cell>
          <cell r="I69">
            <v>70082209</v>
          </cell>
          <cell r="J69">
            <v>70396281</v>
          </cell>
          <cell r="K69">
            <v>0</v>
          </cell>
          <cell r="L69">
            <v>0</v>
          </cell>
          <cell r="M69">
            <v>70396281</v>
          </cell>
          <cell r="N69">
            <v>-314072</v>
          </cell>
          <cell r="O69">
            <v>0</v>
          </cell>
          <cell r="P69">
            <v>0</v>
          </cell>
          <cell r="Q69">
            <v>-314072</v>
          </cell>
          <cell r="R69">
            <v>54653</v>
          </cell>
          <cell r="S69">
            <v>0</v>
          </cell>
          <cell r="T69">
            <v>0</v>
          </cell>
          <cell r="U69">
            <v>54653</v>
          </cell>
          <cell r="V69">
            <v>-368725</v>
          </cell>
          <cell r="W69">
            <v>0</v>
          </cell>
          <cell r="X69">
            <v>0</v>
          </cell>
          <cell r="Y69">
            <v>-368725</v>
          </cell>
          <cell r="Z69">
            <v>240916</v>
          </cell>
          <cell r="AA69">
            <v>240916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545069</v>
          </cell>
          <cell r="BB69">
            <v>464150</v>
          </cell>
          <cell r="BC69">
            <v>80919</v>
          </cell>
          <cell r="BD69">
            <v>122641</v>
          </cell>
          <cell r="BE69">
            <v>104434</v>
          </cell>
          <cell r="BF69">
            <v>18207</v>
          </cell>
          <cell r="BG69">
            <v>13627</v>
          </cell>
          <cell r="BH69">
            <v>11604</v>
          </cell>
          <cell r="BI69">
            <v>2023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44465992</v>
          </cell>
          <cell r="G70">
            <v>0</v>
          </cell>
          <cell r="H70">
            <v>0</v>
          </cell>
          <cell r="I70">
            <v>44465992</v>
          </cell>
          <cell r="J70">
            <v>44498837</v>
          </cell>
          <cell r="K70">
            <v>0</v>
          </cell>
          <cell r="L70">
            <v>0</v>
          </cell>
          <cell r="M70">
            <v>44498837</v>
          </cell>
          <cell r="N70">
            <v>-32845</v>
          </cell>
          <cell r="O70">
            <v>0</v>
          </cell>
          <cell r="P70">
            <v>0</v>
          </cell>
          <cell r="Q70">
            <v>-32845</v>
          </cell>
          <cell r="R70">
            <v>86015</v>
          </cell>
          <cell r="S70">
            <v>0</v>
          </cell>
          <cell r="T70">
            <v>0</v>
          </cell>
          <cell r="U70">
            <v>86015</v>
          </cell>
          <cell r="V70">
            <v>-118860</v>
          </cell>
          <cell r="W70">
            <v>0</v>
          </cell>
          <cell r="X70">
            <v>0</v>
          </cell>
          <cell r="Y70">
            <v>-118860</v>
          </cell>
          <cell r="Z70">
            <v>113008</v>
          </cell>
          <cell r="AA70">
            <v>113008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358</v>
          </cell>
          <cell r="AJ70">
            <v>0</v>
          </cell>
          <cell r="AK70">
            <v>358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258455</v>
          </cell>
          <cell r="BB70">
            <v>223080</v>
          </cell>
          <cell r="BC70">
            <v>35375</v>
          </cell>
          <cell r="BD70">
            <v>64614</v>
          </cell>
          <cell r="BE70">
            <v>55770</v>
          </cell>
          <cell r="BF70">
            <v>8844</v>
          </cell>
          <cell r="BG70">
            <v>0</v>
          </cell>
          <cell r="BH70">
            <v>0</v>
          </cell>
          <cell r="BI70">
            <v>0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32634092</v>
          </cell>
          <cell r="G71">
            <v>0</v>
          </cell>
          <cell r="H71">
            <v>0</v>
          </cell>
          <cell r="I71">
            <v>32634092</v>
          </cell>
          <cell r="J71">
            <v>32228879</v>
          </cell>
          <cell r="K71">
            <v>0</v>
          </cell>
          <cell r="L71">
            <v>0</v>
          </cell>
          <cell r="M71">
            <v>32228879</v>
          </cell>
          <cell r="N71">
            <v>405213</v>
          </cell>
          <cell r="O71">
            <v>0</v>
          </cell>
          <cell r="P71">
            <v>0</v>
          </cell>
          <cell r="Q71">
            <v>405213</v>
          </cell>
          <cell r="R71">
            <v>-364611</v>
          </cell>
          <cell r="S71">
            <v>0</v>
          </cell>
          <cell r="T71">
            <v>0</v>
          </cell>
          <cell r="U71">
            <v>-364611</v>
          </cell>
          <cell r="V71">
            <v>769824</v>
          </cell>
          <cell r="W71">
            <v>0</v>
          </cell>
          <cell r="X71">
            <v>0</v>
          </cell>
          <cell r="Y71">
            <v>769824</v>
          </cell>
          <cell r="Z71">
            <v>86849</v>
          </cell>
          <cell r="AA71">
            <v>86849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200548</v>
          </cell>
          <cell r="BB71">
            <v>78047</v>
          </cell>
          <cell r="BC71">
            <v>122501</v>
          </cell>
          <cell r="BD71">
            <v>50137</v>
          </cell>
          <cell r="BE71">
            <v>19512</v>
          </cell>
          <cell r="BF71">
            <v>30625</v>
          </cell>
          <cell r="BG71">
            <v>0</v>
          </cell>
          <cell r="BH71">
            <v>0</v>
          </cell>
          <cell r="BI71">
            <v>0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196301513</v>
          </cell>
          <cell r="G72">
            <v>0</v>
          </cell>
          <cell r="H72">
            <v>587066</v>
          </cell>
          <cell r="I72">
            <v>196888579</v>
          </cell>
          <cell r="J72">
            <v>195291995</v>
          </cell>
          <cell r="K72">
            <v>0</v>
          </cell>
          <cell r="L72">
            <v>587060</v>
          </cell>
          <cell r="M72">
            <v>195879055</v>
          </cell>
          <cell r="N72">
            <v>1009518</v>
          </cell>
          <cell r="O72">
            <v>0</v>
          </cell>
          <cell r="P72">
            <v>6</v>
          </cell>
          <cell r="Q72">
            <v>1009524</v>
          </cell>
          <cell r="R72">
            <v>1964527</v>
          </cell>
          <cell r="S72">
            <v>0</v>
          </cell>
          <cell r="T72">
            <v>0</v>
          </cell>
          <cell r="U72">
            <v>1964527</v>
          </cell>
          <cell r="V72">
            <v>-955009</v>
          </cell>
          <cell r="W72">
            <v>0</v>
          </cell>
          <cell r="X72">
            <v>6</v>
          </cell>
          <cell r="Y72">
            <v>-955003</v>
          </cell>
          <cell r="Z72">
            <v>1101516</v>
          </cell>
          <cell r="AA72">
            <v>1101516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136761</v>
          </cell>
          <cell r="AJ72">
            <v>0</v>
          </cell>
          <cell r="AK72">
            <v>136761</v>
          </cell>
          <cell r="AL72">
            <v>0</v>
          </cell>
          <cell r="AM72">
            <v>0</v>
          </cell>
          <cell r="AN72">
            <v>0</v>
          </cell>
          <cell r="AO72">
            <v>139268</v>
          </cell>
          <cell r="AP72">
            <v>114348</v>
          </cell>
          <cell r="AQ72">
            <v>24920</v>
          </cell>
          <cell r="AR72">
            <v>139268</v>
          </cell>
          <cell r="AS72">
            <v>114348</v>
          </cell>
          <cell r="AT72">
            <v>24920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5141596</v>
          </cell>
          <cell r="BB72">
            <v>4247426</v>
          </cell>
          <cell r="BC72">
            <v>894170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28590555</v>
          </cell>
          <cell r="G73">
            <v>0</v>
          </cell>
          <cell r="H73">
            <v>0</v>
          </cell>
          <cell r="I73">
            <v>28590555</v>
          </cell>
          <cell r="J73">
            <v>28424970</v>
          </cell>
          <cell r="K73">
            <v>0</v>
          </cell>
          <cell r="L73">
            <v>0</v>
          </cell>
          <cell r="M73">
            <v>28424970</v>
          </cell>
          <cell r="N73">
            <v>165585</v>
          </cell>
          <cell r="O73">
            <v>0</v>
          </cell>
          <cell r="P73">
            <v>0</v>
          </cell>
          <cell r="Q73">
            <v>165585</v>
          </cell>
          <cell r="R73">
            <v>348750</v>
          </cell>
          <cell r="S73">
            <v>0</v>
          </cell>
          <cell r="T73">
            <v>0</v>
          </cell>
          <cell r="U73">
            <v>348750</v>
          </cell>
          <cell r="V73">
            <v>-183165</v>
          </cell>
          <cell r="W73">
            <v>0</v>
          </cell>
          <cell r="X73">
            <v>0</v>
          </cell>
          <cell r="Y73">
            <v>-183165</v>
          </cell>
          <cell r="Z73">
            <v>179896</v>
          </cell>
          <cell r="AA73">
            <v>179896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501469</v>
          </cell>
          <cell r="BB73">
            <v>426782</v>
          </cell>
          <cell r="BC73">
            <v>74687</v>
          </cell>
          <cell r="BD73">
            <v>125367</v>
          </cell>
          <cell r="BE73">
            <v>106696</v>
          </cell>
          <cell r="BF73">
            <v>18671</v>
          </cell>
          <cell r="BG73">
            <v>0</v>
          </cell>
          <cell r="BH73">
            <v>0</v>
          </cell>
          <cell r="BI73">
            <v>0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116286146</v>
          </cell>
          <cell r="G74">
            <v>0</v>
          </cell>
          <cell r="H74">
            <v>0</v>
          </cell>
          <cell r="I74">
            <v>116286146</v>
          </cell>
          <cell r="J74">
            <v>116903914</v>
          </cell>
          <cell r="K74">
            <v>0</v>
          </cell>
          <cell r="L74">
            <v>0</v>
          </cell>
          <cell r="M74">
            <v>116903914</v>
          </cell>
          <cell r="N74">
            <v>-617768</v>
          </cell>
          <cell r="O74">
            <v>0</v>
          </cell>
          <cell r="P74">
            <v>0</v>
          </cell>
          <cell r="Q74">
            <v>-617768</v>
          </cell>
          <cell r="R74">
            <v>20039</v>
          </cell>
          <cell r="S74">
            <v>0</v>
          </cell>
          <cell r="T74">
            <v>0</v>
          </cell>
          <cell r="U74">
            <v>20039</v>
          </cell>
          <cell r="V74">
            <v>-637807</v>
          </cell>
          <cell r="W74">
            <v>0</v>
          </cell>
          <cell r="X74">
            <v>0</v>
          </cell>
          <cell r="Y74">
            <v>-637807</v>
          </cell>
          <cell r="Z74">
            <v>379768</v>
          </cell>
          <cell r="AA74">
            <v>379768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1195519</v>
          </cell>
          <cell r="BB74">
            <v>1000852</v>
          </cell>
          <cell r="BC74">
            <v>194667</v>
          </cell>
          <cell r="BD74">
            <v>0</v>
          </cell>
          <cell r="BE74">
            <v>0</v>
          </cell>
          <cell r="BF74">
            <v>0</v>
          </cell>
          <cell r="BG74">
            <v>24398</v>
          </cell>
          <cell r="BH74">
            <v>20426</v>
          </cell>
          <cell r="BI74">
            <v>3972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19214546</v>
          </cell>
          <cell r="G75">
            <v>0</v>
          </cell>
          <cell r="H75">
            <v>0</v>
          </cell>
          <cell r="I75">
            <v>19214546</v>
          </cell>
          <cell r="J75">
            <v>19232476</v>
          </cell>
          <cell r="K75">
            <v>0</v>
          </cell>
          <cell r="L75">
            <v>0</v>
          </cell>
          <cell r="M75">
            <v>19232476</v>
          </cell>
          <cell r="N75">
            <v>-17930</v>
          </cell>
          <cell r="O75">
            <v>0</v>
          </cell>
          <cell r="P75">
            <v>0</v>
          </cell>
          <cell r="Q75">
            <v>-17930</v>
          </cell>
          <cell r="R75">
            <v>47768</v>
          </cell>
          <cell r="S75">
            <v>0</v>
          </cell>
          <cell r="T75">
            <v>0</v>
          </cell>
          <cell r="U75">
            <v>47768</v>
          </cell>
          <cell r="V75">
            <v>-65698</v>
          </cell>
          <cell r="W75">
            <v>0</v>
          </cell>
          <cell r="X75">
            <v>0</v>
          </cell>
          <cell r="Y75">
            <v>-65698</v>
          </cell>
          <cell r="Z75">
            <v>119382</v>
          </cell>
          <cell r="AA75">
            <v>119382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411458</v>
          </cell>
          <cell r="BB75">
            <v>238482</v>
          </cell>
          <cell r="BC75">
            <v>172976</v>
          </cell>
          <cell r="BD75">
            <v>92578</v>
          </cell>
          <cell r="BE75">
            <v>53659</v>
          </cell>
          <cell r="BF75">
            <v>38919</v>
          </cell>
          <cell r="BG75">
            <v>10286</v>
          </cell>
          <cell r="BH75">
            <v>5962</v>
          </cell>
          <cell r="BI75">
            <v>4324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112082470</v>
          </cell>
          <cell r="G76">
            <v>0</v>
          </cell>
          <cell r="H76">
            <v>0</v>
          </cell>
          <cell r="I76">
            <v>112082470</v>
          </cell>
          <cell r="J76">
            <v>112686297</v>
          </cell>
          <cell r="K76">
            <v>0</v>
          </cell>
          <cell r="L76">
            <v>0</v>
          </cell>
          <cell r="M76">
            <v>112686297</v>
          </cell>
          <cell r="N76">
            <v>-603827</v>
          </cell>
          <cell r="O76">
            <v>0</v>
          </cell>
          <cell r="P76">
            <v>0</v>
          </cell>
          <cell r="Q76">
            <v>-603827</v>
          </cell>
          <cell r="R76">
            <v>-30219</v>
          </cell>
          <cell r="S76">
            <v>0</v>
          </cell>
          <cell r="T76">
            <v>0</v>
          </cell>
          <cell r="U76">
            <v>-30219</v>
          </cell>
          <cell r="V76">
            <v>-573608</v>
          </cell>
          <cell r="W76">
            <v>0</v>
          </cell>
          <cell r="X76">
            <v>0</v>
          </cell>
          <cell r="Y76">
            <v>-573608</v>
          </cell>
          <cell r="Z76">
            <v>215934</v>
          </cell>
          <cell r="AA76">
            <v>215934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143794</v>
          </cell>
          <cell r="BB76">
            <v>127426</v>
          </cell>
          <cell r="BC76">
            <v>16368</v>
          </cell>
          <cell r="BD76">
            <v>35949</v>
          </cell>
          <cell r="BE76">
            <v>31856</v>
          </cell>
          <cell r="BF76">
            <v>4093</v>
          </cell>
          <cell r="BG76">
            <v>0</v>
          </cell>
          <cell r="BH76">
            <v>0</v>
          </cell>
          <cell r="BI76">
            <v>0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-250899</v>
          </cell>
          <cell r="G77">
            <v>0</v>
          </cell>
          <cell r="H77">
            <v>0</v>
          </cell>
          <cell r="I77">
            <v>-250899</v>
          </cell>
          <cell r="J77">
            <v>193040</v>
          </cell>
          <cell r="K77">
            <v>0</v>
          </cell>
          <cell r="L77">
            <v>0</v>
          </cell>
          <cell r="M77">
            <v>193040</v>
          </cell>
          <cell r="N77">
            <v>-443939</v>
          </cell>
          <cell r="O77">
            <v>0</v>
          </cell>
          <cell r="P77">
            <v>0</v>
          </cell>
          <cell r="Q77">
            <v>-443939</v>
          </cell>
          <cell r="R77">
            <v>-316338</v>
          </cell>
          <cell r="S77">
            <v>0</v>
          </cell>
          <cell r="T77">
            <v>0</v>
          </cell>
          <cell r="U77">
            <v>-316338</v>
          </cell>
          <cell r="V77">
            <v>-127601</v>
          </cell>
          <cell r="W77">
            <v>0</v>
          </cell>
          <cell r="X77">
            <v>0</v>
          </cell>
          <cell r="Y77">
            <v>-127601</v>
          </cell>
          <cell r="Z77">
            <v>435172</v>
          </cell>
          <cell r="AA77">
            <v>435172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1623924</v>
          </cell>
          <cell r="BB77">
            <v>682773</v>
          </cell>
          <cell r="BC77">
            <v>941151</v>
          </cell>
          <cell r="BD77">
            <v>1082616</v>
          </cell>
          <cell r="BE77">
            <v>455182</v>
          </cell>
          <cell r="BF77">
            <v>627434</v>
          </cell>
          <cell r="BG77">
            <v>0</v>
          </cell>
          <cell r="BH77">
            <v>0</v>
          </cell>
          <cell r="BI77">
            <v>0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43299</v>
          </cell>
          <cell r="G78">
            <v>0</v>
          </cell>
          <cell r="H78">
            <v>0</v>
          </cell>
          <cell r="I78">
            <v>43299</v>
          </cell>
          <cell r="J78">
            <v>987294</v>
          </cell>
          <cell r="K78">
            <v>0</v>
          </cell>
          <cell r="L78">
            <v>0</v>
          </cell>
          <cell r="M78">
            <v>987294</v>
          </cell>
          <cell r="N78">
            <v>-943995</v>
          </cell>
          <cell r="O78">
            <v>0</v>
          </cell>
          <cell r="P78">
            <v>0</v>
          </cell>
          <cell r="Q78">
            <v>-943995</v>
          </cell>
          <cell r="R78">
            <v>-536167</v>
          </cell>
          <cell r="S78">
            <v>0</v>
          </cell>
          <cell r="T78">
            <v>0</v>
          </cell>
          <cell r="U78">
            <v>-536167</v>
          </cell>
          <cell r="V78">
            <v>-407828</v>
          </cell>
          <cell r="W78">
            <v>0</v>
          </cell>
          <cell r="X78">
            <v>0</v>
          </cell>
          <cell r="Y78">
            <v>-407828</v>
          </cell>
          <cell r="Z78">
            <v>218506</v>
          </cell>
          <cell r="AA78">
            <v>218506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407209</v>
          </cell>
          <cell r="BB78">
            <v>162940</v>
          </cell>
          <cell r="BC78">
            <v>244269</v>
          </cell>
          <cell r="BD78">
            <v>101802</v>
          </cell>
          <cell r="BE78">
            <v>40735</v>
          </cell>
          <cell r="BF78">
            <v>61067</v>
          </cell>
          <cell r="BG78">
            <v>0</v>
          </cell>
          <cell r="BH78">
            <v>0</v>
          </cell>
          <cell r="BI78">
            <v>0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32529446.300000001</v>
          </cell>
          <cell r="G79">
            <v>0</v>
          </cell>
          <cell r="H79">
            <v>0</v>
          </cell>
          <cell r="I79">
            <v>32529446.300000001</v>
          </cell>
          <cell r="J79">
            <v>33584525.600000001</v>
          </cell>
          <cell r="K79">
            <v>0</v>
          </cell>
          <cell r="L79">
            <v>0</v>
          </cell>
          <cell r="M79">
            <v>33584525.600000001</v>
          </cell>
          <cell r="N79">
            <v>-1055079.2</v>
          </cell>
          <cell r="O79">
            <v>0</v>
          </cell>
          <cell r="P79">
            <v>0</v>
          </cell>
          <cell r="Q79">
            <v>-1055079.2</v>
          </cell>
          <cell r="R79">
            <v>-23259</v>
          </cell>
          <cell r="S79">
            <v>0</v>
          </cell>
          <cell r="T79">
            <v>0</v>
          </cell>
          <cell r="U79">
            <v>-23259</v>
          </cell>
          <cell r="V79">
            <v>-1031820</v>
          </cell>
          <cell r="W79">
            <v>0</v>
          </cell>
          <cell r="X79">
            <v>0</v>
          </cell>
          <cell r="Y79">
            <v>-1031820</v>
          </cell>
          <cell r="Z79">
            <v>148432</v>
          </cell>
          <cell r="AA79">
            <v>148432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504475</v>
          </cell>
          <cell r="BB79">
            <v>437284</v>
          </cell>
          <cell r="BC79">
            <v>67191</v>
          </cell>
          <cell r="BD79">
            <v>0</v>
          </cell>
          <cell r="BE79">
            <v>0</v>
          </cell>
          <cell r="BF79">
            <v>0</v>
          </cell>
          <cell r="BG79">
            <v>10295</v>
          </cell>
          <cell r="BH79">
            <v>8924</v>
          </cell>
          <cell r="BI79">
            <v>1371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86146299</v>
          </cell>
          <cell r="G80">
            <v>0</v>
          </cell>
          <cell r="H80">
            <v>0</v>
          </cell>
          <cell r="I80">
            <v>86146299</v>
          </cell>
          <cell r="J80">
            <v>86521857</v>
          </cell>
          <cell r="K80">
            <v>0</v>
          </cell>
          <cell r="L80">
            <v>0</v>
          </cell>
          <cell r="M80">
            <v>86521857</v>
          </cell>
          <cell r="N80">
            <v>-375558</v>
          </cell>
          <cell r="O80">
            <v>0</v>
          </cell>
          <cell r="P80">
            <v>0</v>
          </cell>
          <cell r="Q80">
            <v>-375558</v>
          </cell>
          <cell r="R80">
            <v>32765</v>
          </cell>
          <cell r="S80">
            <v>0</v>
          </cell>
          <cell r="T80">
            <v>0</v>
          </cell>
          <cell r="U80">
            <v>32765</v>
          </cell>
          <cell r="V80">
            <v>-408323</v>
          </cell>
          <cell r="W80">
            <v>0</v>
          </cell>
          <cell r="X80">
            <v>0</v>
          </cell>
          <cell r="Y80">
            <v>-408323</v>
          </cell>
          <cell r="Z80">
            <v>175930</v>
          </cell>
          <cell r="AA80">
            <v>175930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267261</v>
          </cell>
          <cell r="BB80">
            <v>234464</v>
          </cell>
          <cell r="BC80">
            <v>32797</v>
          </cell>
          <cell r="BD80">
            <v>60134</v>
          </cell>
          <cell r="BE80">
            <v>52754</v>
          </cell>
          <cell r="BF80">
            <v>7380</v>
          </cell>
          <cell r="BG80">
            <v>6682</v>
          </cell>
          <cell r="BH80">
            <v>5862</v>
          </cell>
          <cell r="BI80">
            <v>820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38209872</v>
          </cell>
          <cell r="G81">
            <v>0</v>
          </cell>
          <cell r="H81">
            <v>0</v>
          </cell>
          <cell r="I81">
            <v>38209872</v>
          </cell>
          <cell r="J81">
            <v>38677554</v>
          </cell>
          <cell r="K81">
            <v>0</v>
          </cell>
          <cell r="L81">
            <v>0</v>
          </cell>
          <cell r="M81">
            <v>38677554</v>
          </cell>
          <cell r="N81">
            <v>-467682</v>
          </cell>
          <cell r="O81">
            <v>0</v>
          </cell>
          <cell r="P81">
            <v>0</v>
          </cell>
          <cell r="Q81">
            <v>-467682</v>
          </cell>
          <cell r="R81">
            <v>41222</v>
          </cell>
          <cell r="S81">
            <v>0</v>
          </cell>
          <cell r="T81">
            <v>0</v>
          </cell>
          <cell r="U81">
            <v>41222</v>
          </cell>
          <cell r="V81">
            <v>-508904</v>
          </cell>
          <cell r="W81">
            <v>0</v>
          </cell>
          <cell r="X81">
            <v>0</v>
          </cell>
          <cell r="Y81">
            <v>-508904</v>
          </cell>
          <cell r="Z81">
            <v>116811</v>
          </cell>
          <cell r="AA81">
            <v>116811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155972</v>
          </cell>
          <cell r="AJ81">
            <v>0</v>
          </cell>
          <cell r="AK81">
            <v>155972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285196</v>
          </cell>
          <cell r="BB81">
            <v>227428</v>
          </cell>
          <cell r="BC81">
            <v>57768</v>
          </cell>
          <cell r="BD81">
            <v>71299</v>
          </cell>
          <cell r="BE81">
            <v>56857</v>
          </cell>
          <cell r="BF81">
            <v>14442</v>
          </cell>
          <cell r="BG81">
            <v>0</v>
          </cell>
          <cell r="BH81">
            <v>0</v>
          </cell>
          <cell r="BI81">
            <v>0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85765001</v>
          </cell>
          <cell r="G82">
            <v>0</v>
          </cell>
          <cell r="H82">
            <v>0</v>
          </cell>
          <cell r="I82">
            <v>85765001</v>
          </cell>
          <cell r="J82">
            <v>86243840</v>
          </cell>
          <cell r="K82">
            <v>0</v>
          </cell>
          <cell r="L82">
            <v>0</v>
          </cell>
          <cell r="M82">
            <v>86243840</v>
          </cell>
          <cell r="N82">
            <v>-478839</v>
          </cell>
          <cell r="O82">
            <v>0</v>
          </cell>
          <cell r="P82">
            <v>0</v>
          </cell>
          <cell r="Q82">
            <v>-478839</v>
          </cell>
          <cell r="R82">
            <v>80408</v>
          </cell>
          <cell r="S82">
            <v>0</v>
          </cell>
          <cell r="T82">
            <v>0</v>
          </cell>
          <cell r="U82">
            <v>80408</v>
          </cell>
          <cell r="V82">
            <v>-559247</v>
          </cell>
          <cell r="W82">
            <v>0</v>
          </cell>
          <cell r="X82">
            <v>0</v>
          </cell>
          <cell r="Y82">
            <v>-559247</v>
          </cell>
          <cell r="Z82">
            <v>314703</v>
          </cell>
          <cell r="AA82">
            <v>314703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929402</v>
          </cell>
          <cell r="BB82">
            <v>790156</v>
          </cell>
          <cell r="BC82">
            <v>139246</v>
          </cell>
          <cell r="BD82">
            <v>0</v>
          </cell>
          <cell r="BE82">
            <v>0</v>
          </cell>
          <cell r="BF82">
            <v>0</v>
          </cell>
          <cell r="BG82">
            <v>18967</v>
          </cell>
          <cell r="BH82">
            <v>16126</v>
          </cell>
          <cell r="BI82">
            <v>2841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17231026</v>
          </cell>
          <cell r="G83">
            <v>0</v>
          </cell>
          <cell r="H83">
            <v>0</v>
          </cell>
          <cell r="I83">
            <v>17231026</v>
          </cell>
          <cell r="J83">
            <v>17206820</v>
          </cell>
          <cell r="K83">
            <v>0</v>
          </cell>
          <cell r="L83">
            <v>0</v>
          </cell>
          <cell r="M83">
            <v>17206820</v>
          </cell>
          <cell r="N83">
            <v>24206</v>
          </cell>
          <cell r="O83">
            <v>0</v>
          </cell>
          <cell r="P83">
            <v>0</v>
          </cell>
          <cell r="Q83">
            <v>24206</v>
          </cell>
          <cell r="R83">
            <v>76496</v>
          </cell>
          <cell r="S83">
            <v>0</v>
          </cell>
          <cell r="T83">
            <v>0</v>
          </cell>
          <cell r="U83">
            <v>76496</v>
          </cell>
          <cell r="V83">
            <v>-52290</v>
          </cell>
          <cell r="W83">
            <v>0</v>
          </cell>
          <cell r="X83">
            <v>0</v>
          </cell>
          <cell r="Y83">
            <v>-52290</v>
          </cell>
          <cell r="Z83">
            <v>146324</v>
          </cell>
          <cell r="AA83">
            <v>146324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492283</v>
          </cell>
          <cell r="BB83">
            <v>396939</v>
          </cell>
          <cell r="BC83">
            <v>95344</v>
          </cell>
          <cell r="BD83">
            <v>110764</v>
          </cell>
          <cell r="BE83">
            <v>89311</v>
          </cell>
          <cell r="BF83">
            <v>21453</v>
          </cell>
          <cell r="BG83">
            <v>12307</v>
          </cell>
          <cell r="BH83">
            <v>9923</v>
          </cell>
          <cell r="BI83">
            <v>2384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105123790</v>
          </cell>
          <cell r="G84">
            <v>0</v>
          </cell>
          <cell r="H84">
            <v>0</v>
          </cell>
          <cell r="I84">
            <v>105123790</v>
          </cell>
          <cell r="J84">
            <v>105481996</v>
          </cell>
          <cell r="K84">
            <v>0</v>
          </cell>
          <cell r="L84">
            <v>0</v>
          </cell>
          <cell r="M84">
            <v>105481996</v>
          </cell>
          <cell r="N84">
            <v>-358206</v>
          </cell>
          <cell r="O84">
            <v>0</v>
          </cell>
          <cell r="P84">
            <v>0</v>
          </cell>
          <cell r="Q84">
            <v>-358206</v>
          </cell>
          <cell r="R84">
            <v>114639</v>
          </cell>
          <cell r="S84">
            <v>0</v>
          </cell>
          <cell r="T84">
            <v>0</v>
          </cell>
          <cell r="U84">
            <v>114639</v>
          </cell>
          <cell r="V84">
            <v>-472845</v>
          </cell>
          <cell r="W84">
            <v>0</v>
          </cell>
          <cell r="X84">
            <v>0</v>
          </cell>
          <cell r="Y84">
            <v>-472845</v>
          </cell>
          <cell r="Z84">
            <v>367877</v>
          </cell>
          <cell r="AA84">
            <v>367877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1358668</v>
          </cell>
          <cell r="BB84">
            <v>1162609</v>
          </cell>
          <cell r="BC84">
            <v>196059</v>
          </cell>
          <cell r="BD84">
            <v>0</v>
          </cell>
          <cell r="BE84">
            <v>0</v>
          </cell>
          <cell r="BF84">
            <v>0</v>
          </cell>
          <cell r="BG84">
            <v>27728</v>
          </cell>
          <cell r="BH84">
            <v>23727</v>
          </cell>
          <cell r="BI84">
            <v>4001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33705324.799999997</v>
          </cell>
          <cell r="G85">
            <v>0</v>
          </cell>
          <cell r="H85">
            <v>0</v>
          </cell>
          <cell r="I85">
            <v>33705324.799999997</v>
          </cell>
          <cell r="J85">
            <v>34391709</v>
          </cell>
          <cell r="K85">
            <v>0</v>
          </cell>
          <cell r="L85">
            <v>0</v>
          </cell>
          <cell r="M85">
            <v>34391709</v>
          </cell>
          <cell r="N85">
            <v>-686384.16</v>
          </cell>
          <cell r="O85">
            <v>0</v>
          </cell>
          <cell r="P85">
            <v>0</v>
          </cell>
          <cell r="Q85">
            <v>-686384.16</v>
          </cell>
          <cell r="R85">
            <v>-311296</v>
          </cell>
          <cell r="S85">
            <v>0</v>
          </cell>
          <cell r="T85">
            <v>0</v>
          </cell>
          <cell r="U85">
            <v>-311296</v>
          </cell>
          <cell r="V85">
            <v>-375088</v>
          </cell>
          <cell r="W85">
            <v>0</v>
          </cell>
          <cell r="X85">
            <v>0</v>
          </cell>
          <cell r="Y85">
            <v>-375088</v>
          </cell>
          <cell r="Z85">
            <v>151686</v>
          </cell>
          <cell r="AA85">
            <v>151686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870740</v>
          </cell>
          <cell r="AP85">
            <v>37550</v>
          </cell>
          <cell r="AQ85">
            <v>833190</v>
          </cell>
          <cell r="AR85">
            <v>696592</v>
          </cell>
          <cell r="AS85">
            <v>30040</v>
          </cell>
          <cell r="AT85">
            <v>666552</v>
          </cell>
          <cell r="AU85">
            <v>156733</v>
          </cell>
          <cell r="AV85">
            <v>6759</v>
          </cell>
          <cell r="AW85">
            <v>149974</v>
          </cell>
          <cell r="AX85">
            <v>17415</v>
          </cell>
          <cell r="AY85">
            <v>751</v>
          </cell>
          <cell r="AZ85">
            <v>16664</v>
          </cell>
          <cell r="BA85">
            <v>425989</v>
          </cell>
          <cell r="BB85">
            <v>349807</v>
          </cell>
          <cell r="BC85">
            <v>76182</v>
          </cell>
          <cell r="BD85">
            <v>95848</v>
          </cell>
          <cell r="BE85">
            <v>78707</v>
          </cell>
          <cell r="BF85">
            <v>17141</v>
          </cell>
          <cell r="BG85">
            <v>10650</v>
          </cell>
          <cell r="BH85">
            <v>8745</v>
          </cell>
          <cell r="BI85">
            <v>1905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92797377</v>
          </cell>
          <cell r="G86">
            <v>0</v>
          </cell>
          <cell r="H86">
            <v>0</v>
          </cell>
          <cell r="I86">
            <v>92797377</v>
          </cell>
          <cell r="J86">
            <v>93294397</v>
          </cell>
          <cell r="K86">
            <v>0</v>
          </cell>
          <cell r="L86">
            <v>0</v>
          </cell>
          <cell r="M86">
            <v>93294397</v>
          </cell>
          <cell r="N86">
            <v>-497020</v>
          </cell>
          <cell r="O86">
            <v>0</v>
          </cell>
          <cell r="P86">
            <v>0</v>
          </cell>
          <cell r="Q86">
            <v>-497020</v>
          </cell>
          <cell r="R86">
            <v>99037</v>
          </cell>
          <cell r="S86">
            <v>0</v>
          </cell>
          <cell r="T86">
            <v>0</v>
          </cell>
          <cell r="U86">
            <v>99037</v>
          </cell>
          <cell r="V86">
            <v>-596057</v>
          </cell>
          <cell r="W86">
            <v>0</v>
          </cell>
          <cell r="X86">
            <v>0</v>
          </cell>
          <cell r="Y86">
            <v>-596057</v>
          </cell>
          <cell r="Z86">
            <v>439101</v>
          </cell>
          <cell r="AA86">
            <v>439101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1539500</v>
          </cell>
          <cell r="BB86">
            <v>1298562</v>
          </cell>
          <cell r="BC86">
            <v>240938</v>
          </cell>
          <cell r="BD86">
            <v>0</v>
          </cell>
          <cell r="BE86">
            <v>0</v>
          </cell>
          <cell r="BF86">
            <v>0</v>
          </cell>
          <cell r="BG86">
            <v>31418</v>
          </cell>
          <cell r="BH86">
            <v>26501</v>
          </cell>
          <cell r="BI86">
            <v>4917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112379328</v>
          </cell>
          <cell r="G87">
            <v>0</v>
          </cell>
          <cell r="H87">
            <v>0</v>
          </cell>
          <cell r="I87">
            <v>112379328</v>
          </cell>
          <cell r="J87">
            <v>113180593</v>
          </cell>
          <cell r="K87">
            <v>0</v>
          </cell>
          <cell r="L87">
            <v>0</v>
          </cell>
          <cell r="M87">
            <v>113180593</v>
          </cell>
          <cell r="N87">
            <v>-801265</v>
          </cell>
          <cell r="O87">
            <v>0</v>
          </cell>
          <cell r="P87">
            <v>0</v>
          </cell>
          <cell r="Q87">
            <v>-801265</v>
          </cell>
          <cell r="R87">
            <v>347571</v>
          </cell>
          <cell r="S87">
            <v>0</v>
          </cell>
          <cell r="T87">
            <v>0</v>
          </cell>
          <cell r="U87">
            <v>347571</v>
          </cell>
          <cell r="V87">
            <v>-1148836</v>
          </cell>
          <cell r="W87">
            <v>0</v>
          </cell>
          <cell r="X87">
            <v>0</v>
          </cell>
          <cell r="Y87">
            <v>-1148836</v>
          </cell>
          <cell r="Z87">
            <v>603811</v>
          </cell>
          <cell r="AA87">
            <v>603811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7579</v>
          </cell>
          <cell r="AJ87">
            <v>0</v>
          </cell>
          <cell r="AK87">
            <v>7579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2190823</v>
          </cell>
          <cell r="BB87">
            <v>1856974</v>
          </cell>
          <cell r="BC87">
            <v>333849</v>
          </cell>
          <cell r="BD87">
            <v>0</v>
          </cell>
          <cell r="BE87">
            <v>0</v>
          </cell>
          <cell r="BF87">
            <v>0</v>
          </cell>
          <cell r="BG87">
            <v>44711</v>
          </cell>
          <cell r="BH87">
            <v>37897</v>
          </cell>
          <cell r="BI87">
            <v>6814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162268156</v>
          </cell>
          <cell r="G88">
            <v>0</v>
          </cell>
          <cell r="H88">
            <v>0</v>
          </cell>
          <cell r="I88">
            <v>162268156</v>
          </cell>
          <cell r="J88">
            <v>162717068</v>
          </cell>
          <cell r="K88">
            <v>0</v>
          </cell>
          <cell r="L88">
            <v>0</v>
          </cell>
          <cell r="M88">
            <v>162717068</v>
          </cell>
          <cell r="N88">
            <v>-448911.06</v>
          </cell>
          <cell r="O88">
            <v>0</v>
          </cell>
          <cell r="P88">
            <v>0</v>
          </cell>
          <cell r="Q88">
            <v>-448911.06</v>
          </cell>
          <cell r="R88">
            <v>103464</v>
          </cell>
          <cell r="S88">
            <v>0</v>
          </cell>
          <cell r="T88">
            <v>0</v>
          </cell>
          <cell r="U88">
            <v>103464</v>
          </cell>
          <cell r="V88">
            <v>-552375</v>
          </cell>
          <cell r="W88">
            <v>0</v>
          </cell>
          <cell r="X88">
            <v>0</v>
          </cell>
          <cell r="Y88">
            <v>-552375</v>
          </cell>
          <cell r="Z88">
            <v>556870</v>
          </cell>
          <cell r="AA88">
            <v>493133</v>
          </cell>
          <cell r="AB88">
            <v>63737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621388</v>
          </cell>
          <cell r="BB88">
            <v>510797</v>
          </cell>
          <cell r="BC88">
            <v>110591</v>
          </cell>
          <cell r="BD88">
            <v>414259</v>
          </cell>
          <cell r="BE88">
            <v>340531</v>
          </cell>
          <cell r="BF88">
            <v>73728</v>
          </cell>
          <cell r="BG88">
            <v>0</v>
          </cell>
          <cell r="BH88">
            <v>0</v>
          </cell>
          <cell r="BI88">
            <v>0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17060836</v>
          </cell>
          <cell r="G89">
            <v>0</v>
          </cell>
          <cell r="H89">
            <v>0</v>
          </cell>
          <cell r="I89">
            <v>17060836</v>
          </cell>
          <cell r="J89">
            <v>17263258</v>
          </cell>
          <cell r="K89">
            <v>0</v>
          </cell>
          <cell r="L89">
            <v>0</v>
          </cell>
          <cell r="M89">
            <v>17263258</v>
          </cell>
          <cell r="N89">
            <v>-202422</v>
          </cell>
          <cell r="O89">
            <v>0</v>
          </cell>
          <cell r="P89">
            <v>0</v>
          </cell>
          <cell r="Q89">
            <v>-202422</v>
          </cell>
          <cell r="R89">
            <v>39976.1</v>
          </cell>
          <cell r="S89">
            <v>0</v>
          </cell>
          <cell r="T89">
            <v>0</v>
          </cell>
          <cell r="U89">
            <v>39976</v>
          </cell>
          <cell r="V89">
            <v>-242398</v>
          </cell>
          <cell r="W89">
            <v>0</v>
          </cell>
          <cell r="X89">
            <v>0</v>
          </cell>
          <cell r="Y89">
            <v>-242398</v>
          </cell>
          <cell r="Z89">
            <v>92008</v>
          </cell>
          <cell r="AA89">
            <v>92008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291033</v>
          </cell>
          <cell r="BB89">
            <v>254089</v>
          </cell>
          <cell r="BC89">
            <v>36944</v>
          </cell>
          <cell r="BD89">
            <v>65482</v>
          </cell>
          <cell r="BE89">
            <v>57170</v>
          </cell>
          <cell r="BF89">
            <v>8312</v>
          </cell>
          <cell r="BG89">
            <v>7276</v>
          </cell>
          <cell r="BH89">
            <v>6352</v>
          </cell>
          <cell r="BI89">
            <v>924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39088141.899999999</v>
          </cell>
          <cell r="G90">
            <v>0</v>
          </cell>
          <cell r="H90">
            <v>0</v>
          </cell>
          <cell r="I90">
            <v>39088141.899999999</v>
          </cell>
          <cell r="J90">
            <v>38916297</v>
          </cell>
          <cell r="K90">
            <v>0</v>
          </cell>
          <cell r="L90">
            <v>0</v>
          </cell>
          <cell r="M90">
            <v>38916297</v>
          </cell>
          <cell r="N90">
            <v>171844.91</v>
          </cell>
          <cell r="O90">
            <v>0</v>
          </cell>
          <cell r="P90">
            <v>0</v>
          </cell>
          <cell r="Q90">
            <v>171844.91</v>
          </cell>
          <cell r="R90">
            <v>494496</v>
          </cell>
          <cell r="S90">
            <v>0</v>
          </cell>
          <cell r="T90">
            <v>0</v>
          </cell>
          <cell r="U90">
            <v>494496</v>
          </cell>
          <cell r="V90">
            <v>-322651</v>
          </cell>
          <cell r="W90">
            <v>0</v>
          </cell>
          <cell r="X90">
            <v>0</v>
          </cell>
          <cell r="Y90">
            <v>-322651</v>
          </cell>
          <cell r="Z90">
            <v>227639</v>
          </cell>
          <cell r="AA90">
            <v>227639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14322</v>
          </cell>
          <cell r="AK90">
            <v>-14322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774366</v>
          </cell>
          <cell r="BB90">
            <v>656822</v>
          </cell>
          <cell r="BC90">
            <v>117544</v>
          </cell>
          <cell r="BD90">
            <v>174232</v>
          </cell>
          <cell r="BE90">
            <v>147785</v>
          </cell>
          <cell r="BF90">
            <v>26447</v>
          </cell>
          <cell r="BG90">
            <v>19359</v>
          </cell>
          <cell r="BH90">
            <v>16421</v>
          </cell>
          <cell r="BI90">
            <v>2938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24127099</v>
          </cell>
          <cell r="G91">
            <v>0</v>
          </cell>
          <cell r="H91">
            <v>0</v>
          </cell>
          <cell r="I91">
            <v>24127099</v>
          </cell>
          <cell r="J91">
            <v>24175048</v>
          </cell>
          <cell r="K91">
            <v>0</v>
          </cell>
          <cell r="L91">
            <v>0</v>
          </cell>
          <cell r="M91">
            <v>24175048</v>
          </cell>
          <cell r="N91">
            <v>-47949</v>
          </cell>
          <cell r="O91">
            <v>0</v>
          </cell>
          <cell r="P91">
            <v>0</v>
          </cell>
          <cell r="Q91">
            <v>-47949</v>
          </cell>
          <cell r="R91">
            <v>-47098</v>
          </cell>
          <cell r="S91">
            <v>0</v>
          </cell>
          <cell r="T91">
            <v>0</v>
          </cell>
          <cell r="U91">
            <v>-47098</v>
          </cell>
          <cell r="V91">
            <v>-851</v>
          </cell>
          <cell r="W91">
            <v>0</v>
          </cell>
          <cell r="X91">
            <v>0</v>
          </cell>
          <cell r="Y91">
            <v>-851</v>
          </cell>
          <cell r="Z91">
            <v>108712</v>
          </cell>
          <cell r="AA91">
            <v>108712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370446</v>
          </cell>
          <cell r="BB91">
            <v>311000</v>
          </cell>
          <cell r="BC91">
            <v>59446</v>
          </cell>
          <cell r="BD91">
            <v>83350</v>
          </cell>
          <cell r="BE91">
            <v>69975</v>
          </cell>
          <cell r="BF91">
            <v>13375</v>
          </cell>
          <cell r="BG91">
            <v>9261</v>
          </cell>
          <cell r="BH91">
            <v>7775</v>
          </cell>
          <cell r="BI91">
            <v>1486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31973870</v>
          </cell>
          <cell r="G92">
            <v>0</v>
          </cell>
          <cell r="H92">
            <v>0</v>
          </cell>
          <cell r="I92">
            <v>31973870</v>
          </cell>
          <cell r="J92">
            <v>32022463</v>
          </cell>
          <cell r="K92">
            <v>0</v>
          </cell>
          <cell r="L92">
            <v>0</v>
          </cell>
          <cell r="M92">
            <v>32022463</v>
          </cell>
          <cell r="N92">
            <v>-48593</v>
          </cell>
          <cell r="O92">
            <v>0</v>
          </cell>
          <cell r="P92">
            <v>0</v>
          </cell>
          <cell r="Q92">
            <v>-48593</v>
          </cell>
          <cell r="R92">
            <v>83764</v>
          </cell>
          <cell r="S92">
            <v>0</v>
          </cell>
          <cell r="T92">
            <v>0</v>
          </cell>
          <cell r="U92">
            <v>83764</v>
          </cell>
          <cell r="V92">
            <v>-132357</v>
          </cell>
          <cell r="W92">
            <v>0</v>
          </cell>
          <cell r="X92">
            <v>0</v>
          </cell>
          <cell r="Y92">
            <v>-132357</v>
          </cell>
          <cell r="Z92">
            <v>151002</v>
          </cell>
          <cell r="AA92">
            <v>151002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468371</v>
          </cell>
          <cell r="BB92">
            <v>204505</v>
          </cell>
          <cell r="BC92">
            <v>263866</v>
          </cell>
          <cell r="BD92">
            <v>105384</v>
          </cell>
          <cell r="BE92">
            <v>46014</v>
          </cell>
          <cell r="BF92">
            <v>59370</v>
          </cell>
          <cell r="BG92">
            <v>11709</v>
          </cell>
          <cell r="BH92">
            <v>5113</v>
          </cell>
          <cell r="BI92">
            <v>6596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51775617</v>
          </cell>
          <cell r="G93">
            <v>0</v>
          </cell>
          <cell r="H93">
            <v>0</v>
          </cell>
          <cell r="I93">
            <v>51775617</v>
          </cell>
          <cell r="J93">
            <v>52281252</v>
          </cell>
          <cell r="K93">
            <v>0</v>
          </cell>
          <cell r="L93">
            <v>0</v>
          </cell>
          <cell r="M93">
            <v>52281252</v>
          </cell>
          <cell r="N93">
            <v>-505635</v>
          </cell>
          <cell r="O93">
            <v>0</v>
          </cell>
          <cell r="P93">
            <v>0</v>
          </cell>
          <cell r="Q93">
            <v>-505635</v>
          </cell>
          <cell r="R93">
            <v>112414</v>
          </cell>
          <cell r="S93">
            <v>0</v>
          </cell>
          <cell r="T93">
            <v>0</v>
          </cell>
          <cell r="U93">
            <v>112414</v>
          </cell>
          <cell r="V93">
            <v>-618049</v>
          </cell>
          <cell r="W93">
            <v>0</v>
          </cell>
          <cell r="X93">
            <v>0</v>
          </cell>
          <cell r="Y93">
            <v>-618049</v>
          </cell>
          <cell r="Z93">
            <v>196026</v>
          </cell>
          <cell r="AA93">
            <v>196026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484089</v>
          </cell>
          <cell r="BB93">
            <v>395062</v>
          </cell>
          <cell r="BC93">
            <v>89027</v>
          </cell>
          <cell r="BD93">
            <v>121022</v>
          </cell>
          <cell r="BE93">
            <v>98765</v>
          </cell>
          <cell r="BF93">
            <v>22257</v>
          </cell>
          <cell r="BG93">
            <v>0</v>
          </cell>
          <cell r="BH93">
            <v>0</v>
          </cell>
          <cell r="BI93">
            <v>0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33194359</v>
          </cell>
          <cell r="G94">
            <v>0</v>
          </cell>
          <cell r="H94">
            <v>0</v>
          </cell>
          <cell r="I94">
            <v>33194359</v>
          </cell>
          <cell r="J94">
            <v>33130376</v>
          </cell>
          <cell r="K94">
            <v>0</v>
          </cell>
          <cell r="L94">
            <v>0</v>
          </cell>
          <cell r="M94">
            <v>33130376</v>
          </cell>
          <cell r="N94">
            <v>63983</v>
          </cell>
          <cell r="O94">
            <v>0</v>
          </cell>
          <cell r="P94">
            <v>0</v>
          </cell>
          <cell r="Q94">
            <v>63983</v>
          </cell>
          <cell r="R94">
            <v>127704</v>
          </cell>
          <cell r="S94">
            <v>0</v>
          </cell>
          <cell r="T94">
            <v>0</v>
          </cell>
          <cell r="U94">
            <v>127704</v>
          </cell>
          <cell r="V94">
            <v>-63721</v>
          </cell>
          <cell r="W94">
            <v>0</v>
          </cell>
          <cell r="X94">
            <v>0</v>
          </cell>
          <cell r="Y94">
            <v>-63721</v>
          </cell>
          <cell r="Z94">
            <v>270768</v>
          </cell>
          <cell r="AA94">
            <v>270768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854501</v>
          </cell>
          <cell r="BB94">
            <v>740913</v>
          </cell>
          <cell r="BC94">
            <v>113588</v>
          </cell>
          <cell r="BD94">
            <v>213625</v>
          </cell>
          <cell r="BE94">
            <v>185228</v>
          </cell>
          <cell r="BF94">
            <v>28397</v>
          </cell>
          <cell r="BG94">
            <v>0</v>
          </cell>
          <cell r="BH94">
            <v>0</v>
          </cell>
          <cell r="BI94">
            <v>0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20789821</v>
          </cell>
          <cell r="G95">
            <v>0</v>
          </cell>
          <cell r="H95">
            <v>0</v>
          </cell>
          <cell r="I95">
            <v>20789821</v>
          </cell>
          <cell r="J95">
            <v>21033491</v>
          </cell>
          <cell r="K95">
            <v>0</v>
          </cell>
          <cell r="L95">
            <v>0</v>
          </cell>
          <cell r="M95">
            <v>21033491</v>
          </cell>
          <cell r="N95">
            <v>-243670</v>
          </cell>
          <cell r="O95">
            <v>0</v>
          </cell>
          <cell r="P95">
            <v>0</v>
          </cell>
          <cell r="Q95">
            <v>-243670</v>
          </cell>
          <cell r="R95">
            <v>1612</v>
          </cell>
          <cell r="S95">
            <v>0</v>
          </cell>
          <cell r="T95">
            <v>0</v>
          </cell>
          <cell r="U95">
            <v>1612</v>
          </cell>
          <cell r="V95">
            <v>-245282</v>
          </cell>
          <cell r="W95">
            <v>0</v>
          </cell>
          <cell r="X95">
            <v>0</v>
          </cell>
          <cell r="Y95">
            <v>-245282</v>
          </cell>
          <cell r="Z95">
            <v>99141</v>
          </cell>
          <cell r="AA95">
            <v>99141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348629</v>
          </cell>
          <cell r="BB95">
            <v>360477</v>
          </cell>
          <cell r="BC95">
            <v>-11848</v>
          </cell>
          <cell r="BD95">
            <v>87157</v>
          </cell>
          <cell r="BE95">
            <v>90119</v>
          </cell>
          <cell r="BF95">
            <v>-2962</v>
          </cell>
          <cell r="BG95">
            <v>0</v>
          </cell>
          <cell r="BH95">
            <v>0</v>
          </cell>
          <cell r="BI95">
            <v>0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92609562</v>
          </cell>
          <cell r="G96">
            <v>0</v>
          </cell>
          <cell r="H96">
            <v>0</v>
          </cell>
          <cell r="I96">
            <v>92609562</v>
          </cell>
          <cell r="J96">
            <v>91037592</v>
          </cell>
          <cell r="K96">
            <v>0</v>
          </cell>
          <cell r="L96">
            <v>9970.94</v>
          </cell>
          <cell r="M96">
            <v>91047562.900000006</v>
          </cell>
          <cell r="N96">
            <v>1571970</v>
          </cell>
          <cell r="O96">
            <v>0</v>
          </cell>
          <cell r="P96">
            <v>-9970.94</v>
          </cell>
          <cell r="Q96">
            <v>1561999.06</v>
          </cell>
          <cell r="R96">
            <v>1577112</v>
          </cell>
          <cell r="S96">
            <v>0</v>
          </cell>
          <cell r="T96">
            <v>-9971</v>
          </cell>
          <cell r="U96">
            <v>1567141</v>
          </cell>
          <cell r="V96">
            <v>-5142</v>
          </cell>
          <cell r="W96">
            <v>0</v>
          </cell>
          <cell r="X96">
            <v>0</v>
          </cell>
          <cell r="Y96">
            <v>-5142</v>
          </cell>
          <cell r="Z96">
            <v>434464</v>
          </cell>
          <cell r="AA96">
            <v>434464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879893</v>
          </cell>
          <cell r="AJ96">
            <v>344673</v>
          </cell>
          <cell r="AK96">
            <v>535220</v>
          </cell>
          <cell r="AL96">
            <v>0</v>
          </cell>
          <cell r="AM96">
            <v>0</v>
          </cell>
          <cell r="AN96">
            <v>0</v>
          </cell>
          <cell r="AO96">
            <v>179013</v>
          </cell>
          <cell r="AP96">
            <v>150019</v>
          </cell>
          <cell r="AQ96">
            <v>28994</v>
          </cell>
          <cell r="AR96">
            <v>177516</v>
          </cell>
          <cell r="AS96">
            <v>0</v>
          </cell>
          <cell r="AT96">
            <v>177516</v>
          </cell>
          <cell r="AU96">
            <v>0</v>
          </cell>
          <cell r="AV96">
            <v>0</v>
          </cell>
          <cell r="AW96">
            <v>0</v>
          </cell>
          <cell r="AX96">
            <v>1497</v>
          </cell>
          <cell r="AY96">
            <v>0</v>
          </cell>
          <cell r="AZ96">
            <v>1497</v>
          </cell>
          <cell r="BA96">
            <v>1745125</v>
          </cell>
          <cell r="BB96">
            <v>1438803</v>
          </cell>
          <cell r="BC96">
            <v>306322</v>
          </cell>
          <cell r="BD96">
            <v>0</v>
          </cell>
          <cell r="BE96">
            <v>0</v>
          </cell>
          <cell r="BF96">
            <v>0</v>
          </cell>
          <cell r="BG96">
            <v>35615</v>
          </cell>
          <cell r="BH96">
            <v>29363</v>
          </cell>
          <cell r="BI96">
            <v>6252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53015560</v>
          </cell>
          <cell r="G97">
            <v>0</v>
          </cell>
          <cell r="H97">
            <v>0</v>
          </cell>
          <cell r="I97">
            <v>53015560</v>
          </cell>
          <cell r="J97">
            <v>53261979</v>
          </cell>
          <cell r="K97">
            <v>0</v>
          </cell>
          <cell r="L97">
            <v>0</v>
          </cell>
          <cell r="M97">
            <v>53261979</v>
          </cell>
          <cell r="N97">
            <v>-246419</v>
          </cell>
          <cell r="O97">
            <v>0</v>
          </cell>
          <cell r="P97">
            <v>0</v>
          </cell>
          <cell r="Q97">
            <v>-246419</v>
          </cell>
          <cell r="R97">
            <v>11738</v>
          </cell>
          <cell r="S97">
            <v>0</v>
          </cell>
          <cell r="T97">
            <v>0</v>
          </cell>
          <cell r="U97">
            <v>11738</v>
          </cell>
          <cell r="V97">
            <v>-258157</v>
          </cell>
          <cell r="W97">
            <v>0</v>
          </cell>
          <cell r="X97">
            <v>0</v>
          </cell>
          <cell r="Y97">
            <v>-258157</v>
          </cell>
          <cell r="Z97">
            <v>181017</v>
          </cell>
          <cell r="AA97">
            <v>181017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475529</v>
          </cell>
          <cell r="BB97">
            <v>197195</v>
          </cell>
          <cell r="BC97">
            <v>278334</v>
          </cell>
          <cell r="BD97">
            <v>106994</v>
          </cell>
          <cell r="BE97">
            <v>44369</v>
          </cell>
          <cell r="BF97">
            <v>62625</v>
          </cell>
          <cell r="BG97">
            <v>11888</v>
          </cell>
          <cell r="BH97">
            <v>4930</v>
          </cell>
          <cell r="BI97">
            <v>6958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32947187</v>
          </cell>
          <cell r="G98">
            <v>0</v>
          </cell>
          <cell r="H98">
            <v>0</v>
          </cell>
          <cell r="I98">
            <v>32947187</v>
          </cell>
          <cell r="J98">
            <v>32870547</v>
          </cell>
          <cell r="K98">
            <v>0</v>
          </cell>
          <cell r="L98">
            <v>0</v>
          </cell>
          <cell r="M98">
            <v>32870547</v>
          </cell>
          <cell r="N98">
            <v>76640</v>
          </cell>
          <cell r="O98">
            <v>0</v>
          </cell>
          <cell r="P98">
            <v>0</v>
          </cell>
          <cell r="Q98">
            <v>76640</v>
          </cell>
          <cell r="R98">
            <v>-35236</v>
          </cell>
          <cell r="S98">
            <v>0</v>
          </cell>
          <cell r="T98">
            <v>0</v>
          </cell>
          <cell r="U98">
            <v>-35236</v>
          </cell>
          <cell r="V98">
            <v>111876</v>
          </cell>
          <cell r="W98">
            <v>0</v>
          </cell>
          <cell r="X98">
            <v>0</v>
          </cell>
          <cell r="Y98">
            <v>111876</v>
          </cell>
          <cell r="Z98">
            <v>127360</v>
          </cell>
          <cell r="AA98">
            <v>127360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375725</v>
          </cell>
          <cell r="BB98">
            <v>316082</v>
          </cell>
          <cell r="BC98">
            <v>59643</v>
          </cell>
          <cell r="BD98">
            <v>84538</v>
          </cell>
          <cell r="BE98">
            <v>71118</v>
          </cell>
          <cell r="BF98">
            <v>13420</v>
          </cell>
          <cell r="BG98">
            <v>9393</v>
          </cell>
          <cell r="BH98">
            <v>7902</v>
          </cell>
          <cell r="BI98">
            <v>1491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54315809</v>
          </cell>
          <cell r="G99">
            <v>0</v>
          </cell>
          <cell r="H99">
            <v>0</v>
          </cell>
          <cell r="I99">
            <v>54315809</v>
          </cell>
          <cell r="J99">
            <v>54616607</v>
          </cell>
          <cell r="K99">
            <v>0</v>
          </cell>
          <cell r="L99">
            <v>0</v>
          </cell>
          <cell r="M99">
            <v>54616607</v>
          </cell>
          <cell r="N99">
            <v>-300798</v>
          </cell>
          <cell r="O99">
            <v>0</v>
          </cell>
          <cell r="P99">
            <v>0</v>
          </cell>
          <cell r="Q99">
            <v>-300798</v>
          </cell>
          <cell r="R99">
            <v>87196</v>
          </cell>
          <cell r="S99">
            <v>0</v>
          </cell>
          <cell r="T99">
            <v>0</v>
          </cell>
          <cell r="U99">
            <v>87196</v>
          </cell>
          <cell r="V99">
            <v>-387994</v>
          </cell>
          <cell r="W99">
            <v>0</v>
          </cell>
          <cell r="X99">
            <v>0</v>
          </cell>
          <cell r="Y99">
            <v>-387994</v>
          </cell>
          <cell r="Z99">
            <v>151492</v>
          </cell>
          <cell r="AA99">
            <v>151492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299400</v>
          </cell>
          <cell r="BB99">
            <v>258343</v>
          </cell>
          <cell r="BC99">
            <v>41057</v>
          </cell>
          <cell r="BD99">
            <v>67365</v>
          </cell>
          <cell r="BE99">
            <v>58127</v>
          </cell>
          <cell r="BF99">
            <v>9238</v>
          </cell>
          <cell r="BG99">
            <v>7485</v>
          </cell>
          <cell r="BH99">
            <v>6459</v>
          </cell>
          <cell r="BI99">
            <v>1026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20572719</v>
          </cell>
          <cell r="G100">
            <v>0</v>
          </cell>
          <cell r="H100">
            <v>0</v>
          </cell>
          <cell r="I100">
            <v>20572719</v>
          </cell>
          <cell r="J100">
            <v>20523837.899999999</v>
          </cell>
          <cell r="K100">
            <v>0</v>
          </cell>
          <cell r="L100">
            <v>0</v>
          </cell>
          <cell r="M100">
            <v>20523837.899999999</v>
          </cell>
          <cell r="N100">
            <v>48881.05</v>
          </cell>
          <cell r="O100">
            <v>0</v>
          </cell>
          <cell r="P100">
            <v>0</v>
          </cell>
          <cell r="Q100">
            <v>48881.05</v>
          </cell>
          <cell r="R100">
            <v>181144</v>
          </cell>
          <cell r="S100">
            <v>0</v>
          </cell>
          <cell r="T100">
            <v>0</v>
          </cell>
          <cell r="U100">
            <v>181144</v>
          </cell>
          <cell r="V100">
            <v>-132263</v>
          </cell>
          <cell r="W100">
            <v>0</v>
          </cell>
          <cell r="X100">
            <v>0</v>
          </cell>
          <cell r="Y100">
            <v>-132263</v>
          </cell>
          <cell r="Z100">
            <v>127959</v>
          </cell>
          <cell r="AA100">
            <v>127959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396034</v>
          </cell>
          <cell r="BB100">
            <v>342141</v>
          </cell>
          <cell r="BC100">
            <v>53893</v>
          </cell>
          <cell r="BD100">
            <v>99009</v>
          </cell>
          <cell r="BE100">
            <v>85535</v>
          </cell>
          <cell r="BF100">
            <v>13474</v>
          </cell>
          <cell r="BG100">
            <v>0</v>
          </cell>
          <cell r="BH100">
            <v>0</v>
          </cell>
          <cell r="BI100">
            <v>0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53544275</v>
          </cell>
          <cell r="G101">
            <v>0</v>
          </cell>
          <cell r="H101">
            <v>0</v>
          </cell>
          <cell r="I101">
            <v>53544275</v>
          </cell>
          <cell r="J101">
            <v>53593946</v>
          </cell>
          <cell r="K101">
            <v>0</v>
          </cell>
          <cell r="L101">
            <v>0</v>
          </cell>
          <cell r="M101">
            <v>53593946</v>
          </cell>
          <cell r="N101">
            <v>-49671</v>
          </cell>
          <cell r="O101">
            <v>0</v>
          </cell>
          <cell r="P101">
            <v>0</v>
          </cell>
          <cell r="Q101">
            <v>-49671</v>
          </cell>
          <cell r="R101">
            <v>46292</v>
          </cell>
          <cell r="S101">
            <v>0</v>
          </cell>
          <cell r="T101">
            <v>0</v>
          </cell>
          <cell r="U101">
            <v>46292</v>
          </cell>
          <cell r="V101">
            <v>-95963</v>
          </cell>
          <cell r="W101">
            <v>0</v>
          </cell>
          <cell r="X101">
            <v>0</v>
          </cell>
          <cell r="Y101">
            <v>-95963</v>
          </cell>
          <cell r="Z101">
            <v>183258</v>
          </cell>
          <cell r="AA101">
            <v>183258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356887</v>
          </cell>
          <cell r="BB101">
            <v>298697</v>
          </cell>
          <cell r="BC101">
            <v>58190</v>
          </cell>
          <cell r="BD101">
            <v>89222</v>
          </cell>
          <cell r="BE101">
            <v>74674</v>
          </cell>
          <cell r="BF101">
            <v>14548</v>
          </cell>
          <cell r="BG101">
            <v>0</v>
          </cell>
          <cell r="BH101">
            <v>0</v>
          </cell>
          <cell r="BI101">
            <v>0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107411249</v>
          </cell>
          <cell r="G102">
            <v>0</v>
          </cell>
          <cell r="H102">
            <v>0</v>
          </cell>
          <cell r="I102">
            <v>107411249</v>
          </cell>
          <cell r="J102">
            <v>106397925</v>
          </cell>
          <cell r="K102">
            <v>0</v>
          </cell>
          <cell r="L102">
            <v>0</v>
          </cell>
          <cell r="M102">
            <v>106397925</v>
          </cell>
          <cell r="N102">
            <v>1013324</v>
          </cell>
          <cell r="O102">
            <v>0</v>
          </cell>
          <cell r="P102">
            <v>0</v>
          </cell>
          <cell r="Q102">
            <v>1013324</v>
          </cell>
          <cell r="R102">
            <v>843424</v>
          </cell>
          <cell r="S102">
            <v>0</v>
          </cell>
          <cell r="T102">
            <v>0</v>
          </cell>
          <cell r="U102">
            <v>843424</v>
          </cell>
          <cell r="V102">
            <v>169900</v>
          </cell>
          <cell r="W102">
            <v>0</v>
          </cell>
          <cell r="X102">
            <v>0</v>
          </cell>
          <cell r="Y102">
            <v>169900</v>
          </cell>
          <cell r="Z102">
            <v>350511</v>
          </cell>
          <cell r="AA102">
            <v>350511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548123</v>
          </cell>
          <cell r="BB102">
            <v>476131</v>
          </cell>
          <cell r="BC102">
            <v>71992</v>
          </cell>
          <cell r="BD102">
            <v>365415</v>
          </cell>
          <cell r="BE102">
            <v>317420</v>
          </cell>
          <cell r="BF102">
            <v>47995</v>
          </cell>
          <cell r="BG102">
            <v>0</v>
          </cell>
          <cell r="BH102">
            <v>0</v>
          </cell>
          <cell r="BI102">
            <v>0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32937187</v>
          </cell>
          <cell r="G103">
            <v>0</v>
          </cell>
          <cell r="H103">
            <v>0</v>
          </cell>
          <cell r="I103">
            <v>32937187</v>
          </cell>
          <cell r="J103">
            <v>32979130</v>
          </cell>
          <cell r="K103">
            <v>0</v>
          </cell>
          <cell r="L103">
            <v>0</v>
          </cell>
          <cell r="M103">
            <v>32979130</v>
          </cell>
          <cell r="N103">
            <v>-41943</v>
          </cell>
          <cell r="O103">
            <v>0</v>
          </cell>
          <cell r="P103">
            <v>0</v>
          </cell>
          <cell r="Q103">
            <v>-41943</v>
          </cell>
          <cell r="R103">
            <v>207363</v>
          </cell>
          <cell r="S103">
            <v>0</v>
          </cell>
          <cell r="T103">
            <v>0</v>
          </cell>
          <cell r="U103">
            <v>207363</v>
          </cell>
          <cell r="V103">
            <v>-249306</v>
          </cell>
          <cell r="W103">
            <v>0</v>
          </cell>
          <cell r="X103">
            <v>0</v>
          </cell>
          <cell r="Y103">
            <v>-249306</v>
          </cell>
          <cell r="Z103">
            <v>171117</v>
          </cell>
          <cell r="AA103">
            <v>171117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446249</v>
          </cell>
          <cell r="BB103">
            <v>374888</v>
          </cell>
          <cell r="BC103">
            <v>71361</v>
          </cell>
          <cell r="BD103">
            <v>100406</v>
          </cell>
          <cell r="BE103">
            <v>84350</v>
          </cell>
          <cell r="BF103">
            <v>16056</v>
          </cell>
          <cell r="BG103">
            <v>11156</v>
          </cell>
          <cell r="BH103">
            <v>9372</v>
          </cell>
          <cell r="BI103">
            <v>1784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22860235</v>
          </cell>
          <cell r="G104">
            <v>0</v>
          </cell>
          <cell r="H104">
            <v>0</v>
          </cell>
          <cell r="I104">
            <v>22860235</v>
          </cell>
          <cell r="J104">
            <v>23036483</v>
          </cell>
          <cell r="K104">
            <v>0</v>
          </cell>
          <cell r="L104">
            <v>0</v>
          </cell>
          <cell r="M104">
            <v>23036483</v>
          </cell>
          <cell r="N104">
            <v>-176248</v>
          </cell>
          <cell r="O104">
            <v>0</v>
          </cell>
          <cell r="P104">
            <v>0</v>
          </cell>
          <cell r="Q104">
            <v>-176248</v>
          </cell>
          <cell r="R104">
            <v>39120</v>
          </cell>
          <cell r="S104">
            <v>0</v>
          </cell>
          <cell r="T104">
            <v>0</v>
          </cell>
          <cell r="U104">
            <v>39120</v>
          </cell>
          <cell r="V104">
            <v>-215368</v>
          </cell>
          <cell r="W104">
            <v>0</v>
          </cell>
          <cell r="X104">
            <v>0</v>
          </cell>
          <cell r="Y104">
            <v>-215368</v>
          </cell>
          <cell r="Z104">
            <v>87849</v>
          </cell>
          <cell r="AA104">
            <v>87849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191269</v>
          </cell>
          <cell r="BB104">
            <v>157936</v>
          </cell>
          <cell r="BC104">
            <v>33333</v>
          </cell>
          <cell r="BD104">
            <v>47817</v>
          </cell>
          <cell r="BE104">
            <v>39484</v>
          </cell>
          <cell r="BF104">
            <v>8333</v>
          </cell>
          <cell r="BG104">
            <v>0</v>
          </cell>
          <cell r="BH104">
            <v>0</v>
          </cell>
          <cell r="BI104">
            <v>0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29621405</v>
          </cell>
          <cell r="G105">
            <v>0</v>
          </cell>
          <cell r="H105">
            <v>0</v>
          </cell>
          <cell r="I105">
            <v>29621405</v>
          </cell>
          <cell r="J105">
            <v>29574409</v>
          </cell>
          <cell r="K105">
            <v>0</v>
          </cell>
          <cell r="L105">
            <v>0</v>
          </cell>
          <cell r="M105">
            <v>29574409</v>
          </cell>
          <cell r="N105">
            <v>46996</v>
          </cell>
          <cell r="O105">
            <v>0</v>
          </cell>
          <cell r="P105">
            <v>0</v>
          </cell>
          <cell r="Q105">
            <v>46996</v>
          </cell>
          <cell r="R105">
            <v>-7140</v>
          </cell>
          <cell r="S105">
            <v>0</v>
          </cell>
          <cell r="T105">
            <v>0</v>
          </cell>
          <cell r="U105">
            <v>-7140</v>
          </cell>
          <cell r="V105">
            <v>54136</v>
          </cell>
          <cell r="W105">
            <v>0</v>
          </cell>
          <cell r="X105">
            <v>0</v>
          </cell>
          <cell r="Y105">
            <v>54136</v>
          </cell>
          <cell r="Z105">
            <v>143569</v>
          </cell>
          <cell r="AA105">
            <v>137569</v>
          </cell>
          <cell r="AB105">
            <v>6000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464970</v>
          </cell>
          <cell r="BB105">
            <v>405173</v>
          </cell>
          <cell r="BC105">
            <v>59797</v>
          </cell>
          <cell r="BD105">
            <v>104618</v>
          </cell>
          <cell r="BE105">
            <v>91164</v>
          </cell>
          <cell r="BF105">
            <v>13454</v>
          </cell>
          <cell r="BG105">
            <v>11624</v>
          </cell>
          <cell r="BH105">
            <v>10129</v>
          </cell>
          <cell r="BI105">
            <v>1495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83893710</v>
          </cell>
          <cell r="G106">
            <v>0</v>
          </cell>
          <cell r="H106">
            <v>0</v>
          </cell>
          <cell r="I106">
            <v>83893710</v>
          </cell>
          <cell r="J106">
            <v>83797165</v>
          </cell>
          <cell r="K106">
            <v>0</v>
          </cell>
          <cell r="L106">
            <v>0</v>
          </cell>
          <cell r="M106">
            <v>83797165</v>
          </cell>
          <cell r="N106">
            <v>96545</v>
          </cell>
          <cell r="O106">
            <v>0</v>
          </cell>
          <cell r="P106">
            <v>0</v>
          </cell>
          <cell r="Q106">
            <v>96545</v>
          </cell>
          <cell r="R106">
            <v>174877</v>
          </cell>
          <cell r="S106">
            <v>0</v>
          </cell>
          <cell r="T106">
            <v>0</v>
          </cell>
          <cell r="U106">
            <v>174877</v>
          </cell>
          <cell r="V106">
            <v>-78332</v>
          </cell>
          <cell r="W106">
            <v>0</v>
          </cell>
          <cell r="X106">
            <v>0</v>
          </cell>
          <cell r="Y106">
            <v>-78332</v>
          </cell>
          <cell r="Z106">
            <v>224450</v>
          </cell>
          <cell r="AA106">
            <v>224450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392355</v>
          </cell>
          <cell r="BB106">
            <v>325493</v>
          </cell>
          <cell r="BC106">
            <v>66862</v>
          </cell>
          <cell r="BD106">
            <v>88280</v>
          </cell>
          <cell r="BE106">
            <v>73236</v>
          </cell>
          <cell r="BF106">
            <v>15044</v>
          </cell>
          <cell r="BG106">
            <v>9809</v>
          </cell>
          <cell r="BH106">
            <v>8137</v>
          </cell>
          <cell r="BI106">
            <v>1672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46137710.899999999</v>
          </cell>
          <cell r="G107">
            <v>0</v>
          </cell>
          <cell r="H107">
            <v>189113.44</v>
          </cell>
          <cell r="I107">
            <v>46326824.299999997</v>
          </cell>
          <cell r="J107">
            <v>46557930.600000001</v>
          </cell>
          <cell r="K107">
            <v>0</v>
          </cell>
          <cell r="L107">
            <v>166272.79999999999</v>
          </cell>
          <cell r="M107">
            <v>46724203.399999999</v>
          </cell>
          <cell r="N107">
            <v>-420219.77</v>
          </cell>
          <cell r="O107">
            <v>0</v>
          </cell>
          <cell r="P107">
            <v>22840.639999999999</v>
          </cell>
          <cell r="Q107">
            <v>-397379.13</v>
          </cell>
          <cell r="R107">
            <v>67573</v>
          </cell>
          <cell r="S107">
            <v>0</v>
          </cell>
          <cell r="T107">
            <v>22892</v>
          </cell>
          <cell r="U107">
            <v>90465</v>
          </cell>
          <cell r="V107">
            <v>-487793</v>
          </cell>
          <cell r="W107">
            <v>0</v>
          </cell>
          <cell r="X107">
            <v>-51</v>
          </cell>
          <cell r="Y107">
            <v>-487844</v>
          </cell>
          <cell r="Z107">
            <v>142973</v>
          </cell>
          <cell r="AA107">
            <v>142973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86293</v>
          </cell>
          <cell r="AP107">
            <v>130414</v>
          </cell>
          <cell r="AQ107">
            <v>-44121</v>
          </cell>
          <cell r="AR107">
            <v>86293</v>
          </cell>
          <cell r="AS107">
            <v>130414</v>
          </cell>
          <cell r="AT107">
            <v>-44121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303496</v>
          </cell>
          <cell r="BB107">
            <v>259820</v>
          </cell>
          <cell r="BC107">
            <v>43676</v>
          </cell>
          <cell r="BD107">
            <v>68287</v>
          </cell>
          <cell r="BE107">
            <v>58460</v>
          </cell>
          <cell r="BF107">
            <v>9827</v>
          </cell>
          <cell r="BG107">
            <v>7587</v>
          </cell>
          <cell r="BH107">
            <v>6496</v>
          </cell>
          <cell r="BI107">
            <v>1091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24696505.699999999</v>
          </cell>
          <cell r="G108">
            <v>0</v>
          </cell>
          <cell r="H108">
            <v>0</v>
          </cell>
          <cell r="I108">
            <v>24696505.699999999</v>
          </cell>
          <cell r="J108">
            <v>24384637.300000001</v>
          </cell>
          <cell r="K108">
            <v>0</v>
          </cell>
          <cell r="L108">
            <v>0</v>
          </cell>
          <cell r="M108">
            <v>24384637.300000001</v>
          </cell>
          <cell r="N108">
            <v>311868.44</v>
          </cell>
          <cell r="O108">
            <v>0</v>
          </cell>
          <cell r="P108">
            <v>0</v>
          </cell>
          <cell r="Q108">
            <v>311868.44</v>
          </cell>
          <cell r="R108">
            <v>417274</v>
          </cell>
          <cell r="S108">
            <v>0</v>
          </cell>
          <cell r="T108">
            <v>0</v>
          </cell>
          <cell r="U108">
            <v>417274</v>
          </cell>
          <cell r="V108">
            <v>-105406</v>
          </cell>
          <cell r="W108">
            <v>0</v>
          </cell>
          <cell r="X108">
            <v>0</v>
          </cell>
          <cell r="Y108">
            <v>-105406</v>
          </cell>
          <cell r="Z108">
            <v>126613</v>
          </cell>
          <cell r="AA108">
            <v>126613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416035</v>
          </cell>
          <cell r="BB108">
            <v>355009</v>
          </cell>
          <cell r="BC108">
            <v>61026</v>
          </cell>
          <cell r="BD108">
            <v>93608</v>
          </cell>
          <cell r="BE108">
            <v>79877</v>
          </cell>
          <cell r="BF108">
            <v>13731</v>
          </cell>
          <cell r="BG108">
            <v>10401</v>
          </cell>
          <cell r="BH108">
            <v>8875</v>
          </cell>
          <cell r="BI108">
            <v>1526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21322399</v>
          </cell>
          <cell r="G109">
            <v>0</v>
          </cell>
          <cell r="H109">
            <v>0</v>
          </cell>
          <cell r="I109">
            <v>21322399</v>
          </cell>
          <cell r="J109">
            <v>21497348</v>
          </cell>
          <cell r="K109">
            <v>0</v>
          </cell>
          <cell r="L109">
            <v>0</v>
          </cell>
          <cell r="M109">
            <v>21497348</v>
          </cell>
          <cell r="N109">
            <v>-174949</v>
          </cell>
          <cell r="O109">
            <v>0</v>
          </cell>
          <cell r="P109">
            <v>0</v>
          </cell>
          <cell r="Q109">
            <v>-174949</v>
          </cell>
          <cell r="R109">
            <v>25909</v>
          </cell>
          <cell r="S109">
            <v>0</v>
          </cell>
          <cell r="T109">
            <v>0</v>
          </cell>
          <cell r="U109">
            <v>25909</v>
          </cell>
          <cell r="V109">
            <v>-200858</v>
          </cell>
          <cell r="W109">
            <v>0</v>
          </cell>
          <cell r="X109">
            <v>0</v>
          </cell>
          <cell r="Y109">
            <v>-200858</v>
          </cell>
          <cell r="Z109">
            <v>90531</v>
          </cell>
          <cell r="AA109">
            <v>90531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246044</v>
          </cell>
          <cell r="BB109">
            <v>213767</v>
          </cell>
          <cell r="BC109">
            <v>32277</v>
          </cell>
          <cell r="BD109">
            <v>61511</v>
          </cell>
          <cell r="BE109">
            <v>53442</v>
          </cell>
          <cell r="BF109">
            <v>8069</v>
          </cell>
          <cell r="BG109">
            <v>0</v>
          </cell>
          <cell r="BH109">
            <v>0</v>
          </cell>
          <cell r="BI109">
            <v>0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11761231.1</v>
          </cell>
          <cell r="G110">
            <v>0</v>
          </cell>
          <cell r="H110">
            <v>0</v>
          </cell>
          <cell r="I110">
            <v>11761231.1</v>
          </cell>
          <cell r="J110">
            <v>11669091.1</v>
          </cell>
          <cell r="K110">
            <v>0</v>
          </cell>
          <cell r="L110">
            <v>0</v>
          </cell>
          <cell r="M110">
            <v>11669091.1</v>
          </cell>
          <cell r="N110">
            <v>92140</v>
          </cell>
          <cell r="O110">
            <v>0</v>
          </cell>
          <cell r="P110">
            <v>0</v>
          </cell>
          <cell r="Q110">
            <v>92140</v>
          </cell>
          <cell r="R110">
            <v>104055.72</v>
          </cell>
          <cell r="S110">
            <v>0</v>
          </cell>
          <cell r="T110">
            <v>0</v>
          </cell>
          <cell r="U110">
            <v>104056</v>
          </cell>
          <cell r="V110">
            <v>-11916</v>
          </cell>
          <cell r="W110">
            <v>0</v>
          </cell>
          <cell r="X110">
            <v>0</v>
          </cell>
          <cell r="Y110">
            <v>-11916</v>
          </cell>
          <cell r="Z110">
            <v>119683</v>
          </cell>
          <cell r="AA110">
            <v>119683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413228</v>
          </cell>
          <cell r="BB110">
            <v>351455</v>
          </cell>
          <cell r="BC110">
            <v>61773</v>
          </cell>
          <cell r="BD110">
            <v>103307</v>
          </cell>
          <cell r="BE110">
            <v>87864</v>
          </cell>
          <cell r="BF110">
            <v>15443</v>
          </cell>
          <cell r="BG110">
            <v>0</v>
          </cell>
          <cell r="BH110">
            <v>0</v>
          </cell>
          <cell r="BI110">
            <v>0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22868523</v>
          </cell>
          <cell r="G111">
            <v>0</v>
          </cell>
          <cell r="H111">
            <v>1879290</v>
          </cell>
          <cell r="I111">
            <v>24747813</v>
          </cell>
          <cell r="J111">
            <v>22764415</v>
          </cell>
          <cell r="K111">
            <v>0</v>
          </cell>
          <cell r="L111">
            <v>1879290</v>
          </cell>
          <cell r="M111">
            <v>24643705</v>
          </cell>
          <cell r="N111">
            <v>104108</v>
          </cell>
          <cell r="O111">
            <v>0</v>
          </cell>
          <cell r="P111">
            <v>0</v>
          </cell>
          <cell r="Q111">
            <v>104108</v>
          </cell>
          <cell r="R111">
            <v>185218</v>
          </cell>
          <cell r="S111">
            <v>0</v>
          </cell>
          <cell r="T111">
            <v>0</v>
          </cell>
          <cell r="U111">
            <v>185218</v>
          </cell>
          <cell r="V111">
            <v>-81110</v>
          </cell>
          <cell r="W111">
            <v>0</v>
          </cell>
          <cell r="X111">
            <v>0</v>
          </cell>
          <cell r="Y111">
            <v>-81110</v>
          </cell>
          <cell r="Z111">
            <v>110662</v>
          </cell>
          <cell r="AA111">
            <v>110662</v>
          </cell>
          <cell r="AB111">
            <v>0</v>
          </cell>
          <cell r="AC111">
            <v>0</v>
          </cell>
          <cell r="AD111">
            <v>53063</v>
          </cell>
          <cell r="AE111">
            <v>-53063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374056</v>
          </cell>
          <cell r="BB111">
            <v>318946</v>
          </cell>
          <cell r="BC111">
            <v>55110</v>
          </cell>
          <cell r="BD111">
            <v>84163</v>
          </cell>
          <cell r="BE111">
            <v>71763</v>
          </cell>
          <cell r="BF111">
            <v>12400</v>
          </cell>
          <cell r="BG111">
            <v>9351</v>
          </cell>
          <cell r="BH111">
            <v>7974</v>
          </cell>
          <cell r="BI111">
            <v>1377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85983172</v>
          </cell>
          <cell r="G112">
            <v>1125918</v>
          </cell>
          <cell r="H112">
            <v>0</v>
          </cell>
          <cell r="I112">
            <v>87109090</v>
          </cell>
          <cell r="J112">
            <v>86687993</v>
          </cell>
          <cell r="K112">
            <v>1084225</v>
          </cell>
          <cell r="L112">
            <v>0</v>
          </cell>
          <cell r="M112">
            <v>87772218</v>
          </cell>
          <cell r="N112">
            <v>-704821</v>
          </cell>
          <cell r="O112">
            <v>41693</v>
          </cell>
          <cell r="P112">
            <v>0</v>
          </cell>
          <cell r="Q112">
            <v>-663128</v>
          </cell>
          <cell r="R112">
            <v>68235</v>
          </cell>
          <cell r="S112">
            <v>0</v>
          </cell>
          <cell r="T112">
            <v>0</v>
          </cell>
          <cell r="U112">
            <v>68235</v>
          </cell>
          <cell r="V112">
            <v>-773056</v>
          </cell>
          <cell r="W112">
            <v>41693</v>
          </cell>
          <cell r="X112">
            <v>0</v>
          </cell>
          <cell r="Y112">
            <v>-731363</v>
          </cell>
          <cell r="Z112">
            <v>294393</v>
          </cell>
          <cell r="AA112">
            <v>294393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9487</v>
          </cell>
          <cell r="AH112">
            <v>-9487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881136</v>
          </cell>
          <cell r="BB112">
            <v>755677</v>
          </cell>
          <cell r="BC112">
            <v>125459</v>
          </cell>
          <cell r="BD112">
            <v>0</v>
          </cell>
          <cell r="BE112">
            <v>0</v>
          </cell>
          <cell r="BF112">
            <v>0</v>
          </cell>
          <cell r="BG112">
            <v>17601</v>
          </cell>
          <cell r="BH112">
            <v>15422</v>
          </cell>
          <cell r="BI112">
            <v>2179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21131990.100000001</v>
          </cell>
          <cell r="G113">
            <v>0</v>
          </cell>
          <cell r="H113">
            <v>0</v>
          </cell>
          <cell r="I113">
            <v>21131990.100000001</v>
          </cell>
          <cell r="J113">
            <v>21315798.100000001</v>
          </cell>
          <cell r="K113">
            <v>0</v>
          </cell>
          <cell r="L113">
            <v>0</v>
          </cell>
          <cell r="M113">
            <v>21315798.100000001</v>
          </cell>
          <cell r="N113">
            <v>-183808</v>
          </cell>
          <cell r="O113">
            <v>0</v>
          </cell>
          <cell r="P113">
            <v>0</v>
          </cell>
          <cell r="Q113">
            <v>-183808</v>
          </cell>
          <cell r="R113">
            <v>61655</v>
          </cell>
          <cell r="S113">
            <v>0</v>
          </cell>
          <cell r="T113">
            <v>0</v>
          </cell>
          <cell r="U113">
            <v>61655</v>
          </cell>
          <cell r="V113">
            <v>-245463</v>
          </cell>
          <cell r="W113">
            <v>0</v>
          </cell>
          <cell r="X113">
            <v>0</v>
          </cell>
          <cell r="Y113">
            <v>-245463</v>
          </cell>
          <cell r="Z113">
            <v>102089</v>
          </cell>
          <cell r="AA113">
            <v>102089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307165</v>
          </cell>
          <cell r="BB113">
            <v>266772</v>
          </cell>
          <cell r="BC113">
            <v>40393</v>
          </cell>
          <cell r="BD113">
            <v>69112</v>
          </cell>
          <cell r="BE113">
            <v>60024</v>
          </cell>
          <cell r="BF113">
            <v>9088</v>
          </cell>
          <cell r="BG113">
            <v>7679</v>
          </cell>
          <cell r="BH113">
            <v>6669</v>
          </cell>
          <cell r="BI113">
            <v>1010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50823040</v>
          </cell>
          <cell r="G114">
            <v>0</v>
          </cell>
          <cell r="H114">
            <v>0</v>
          </cell>
          <cell r="I114">
            <v>50823040</v>
          </cell>
          <cell r="J114">
            <v>51086459</v>
          </cell>
          <cell r="K114">
            <v>0</v>
          </cell>
          <cell r="L114">
            <v>0</v>
          </cell>
          <cell r="M114">
            <v>51086459</v>
          </cell>
          <cell r="N114">
            <v>-263419</v>
          </cell>
          <cell r="O114">
            <v>0</v>
          </cell>
          <cell r="P114">
            <v>0</v>
          </cell>
          <cell r="Q114">
            <v>-263419</v>
          </cell>
          <cell r="R114">
            <v>48090</v>
          </cell>
          <cell r="S114">
            <v>0</v>
          </cell>
          <cell r="T114">
            <v>0</v>
          </cell>
          <cell r="U114">
            <v>48090</v>
          </cell>
          <cell r="V114">
            <v>-311509</v>
          </cell>
          <cell r="W114">
            <v>0</v>
          </cell>
          <cell r="X114">
            <v>0</v>
          </cell>
          <cell r="Y114">
            <v>-311509</v>
          </cell>
          <cell r="Z114">
            <v>179973</v>
          </cell>
          <cell r="AA114">
            <v>179973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342043</v>
          </cell>
          <cell r="BB114">
            <v>289525</v>
          </cell>
          <cell r="BC114">
            <v>52518</v>
          </cell>
          <cell r="BD114">
            <v>85511</v>
          </cell>
          <cell r="BE114">
            <v>72381</v>
          </cell>
          <cell r="BF114">
            <v>13130</v>
          </cell>
          <cell r="BG114">
            <v>0</v>
          </cell>
          <cell r="BH114">
            <v>0</v>
          </cell>
          <cell r="BI114">
            <v>0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17234124</v>
          </cell>
          <cell r="G115">
            <v>0</v>
          </cell>
          <cell r="H115">
            <v>484787</v>
          </cell>
          <cell r="I115">
            <v>17718911</v>
          </cell>
          <cell r="J115">
            <v>17253201</v>
          </cell>
          <cell r="K115">
            <v>0</v>
          </cell>
          <cell r="L115">
            <v>477936</v>
          </cell>
          <cell r="M115">
            <v>17731137</v>
          </cell>
          <cell r="N115">
            <v>-19077</v>
          </cell>
          <cell r="O115">
            <v>0</v>
          </cell>
          <cell r="P115">
            <v>6851</v>
          </cell>
          <cell r="Q115">
            <v>-12226</v>
          </cell>
          <cell r="R115">
            <v>99536</v>
          </cell>
          <cell r="S115">
            <v>0</v>
          </cell>
          <cell r="T115">
            <v>0</v>
          </cell>
          <cell r="U115">
            <v>99536</v>
          </cell>
          <cell r="V115">
            <v>-118613</v>
          </cell>
          <cell r="W115">
            <v>0</v>
          </cell>
          <cell r="X115">
            <v>6851</v>
          </cell>
          <cell r="Y115">
            <v>-111762</v>
          </cell>
          <cell r="Z115">
            <v>81989</v>
          </cell>
          <cell r="AA115">
            <v>81989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110415</v>
          </cell>
          <cell r="AP115">
            <v>100000</v>
          </cell>
          <cell r="AQ115">
            <v>10415</v>
          </cell>
          <cell r="AR115">
            <v>110415</v>
          </cell>
          <cell r="AS115">
            <v>100000</v>
          </cell>
          <cell r="AT115">
            <v>10415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259612</v>
          </cell>
          <cell r="BB115">
            <v>212726</v>
          </cell>
          <cell r="BC115">
            <v>46886</v>
          </cell>
          <cell r="BD115">
            <v>56131</v>
          </cell>
          <cell r="BE115">
            <v>47863</v>
          </cell>
          <cell r="BF115">
            <v>8268</v>
          </cell>
          <cell r="BG115">
            <v>6237</v>
          </cell>
          <cell r="BH115">
            <v>5318</v>
          </cell>
          <cell r="BI115">
            <v>919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22054884.399999999</v>
          </cell>
          <cell r="G116">
            <v>0</v>
          </cell>
          <cell r="H116">
            <v>0</v>
          </cell>
          <cell r="I116">
            <v>22054884.399999999</v>
          </cell>
          <cell r="J116">
            <v>22162713</v>
          </cell>
          <cell r="K116">
            <v>0</v>
          </cell>
          <cell r="L116">
            <v>0</v>
          </cell>
          <cell r="M116">
            <v>22162713</v>
          </cell>
          <cell r="N116">
            <v>-107828.69</v>
          </cell>
          <cell r="O116">
            <v>0</v>
          </cell>
          <cell r="P116">
            <v>0</v>
          </cell>
          <cell r="Q116">
            <v>-107828.69</v>
          </cell>
          <cell r="R116">
            <v>67983</v>
          </cell>
          <cell r="S116">
            <v>0</v>
          </cell>
          <cell r="T116">
            <v>0</v>
          </cell>
          <cell r="U116">
            <v>67983</v>
          </cell>
          <cell r="V116">
            <v>-175812</v>
          </cell>
          <cell r="W116">
            <v>0</v>
          </cell>
          <cell r="X116">
            <v>0</v>
          </cell>
          <cell r="Y116">
            <v>-175812</v>
          </cell>
          <cell r="Z116">
            <v>98428</v>
          </cell>
          <cell r="AA116">
            <v>98428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281809</v>
          </cell>
          <cell r="BB116">
            <v>231496</v>
          </cell>
          <cell r="BC116">
            <v>50313</v>
          </cell>
          <cell r="BD116">
            <v>63407</v>
          </cell>
          <cell r="BE116">
            <v>52087</v>
          </cell>
          <cell r="BF116">
            <v>11320</v>
          </cell>
          <cell r="BG116">
            <v>7045</v>
          </cell>
          <cell r="BH116">
            <v>5787</v>
          </cell>
          <cell r="BI116">
            <v>1258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29511107</v>
          </cell>
          <cell r="G117">
            <v>0</v>
          </cell>
          <cell r="H117">
            <v>56000</v>
          </cell>
          <cell r="I117">
            <v>29567107</v>
          </cell>
          <cell r="J117">
            <v>29048289</v>
          </cell>
          <cell r="K117">
            <v>0</v>
          </cell>
          <cell r="L117">
            <v>0</v>
          </cell>
          <cell r="M117">
            <v>29048289</v>
          </cell>
          <cell r="N117">
            <v>462818</v>
          </cell>
          <cell r="O117">
            <v>0</v>
          </cell>
          <cell r="P117">
            <v>56000</v>
          </cell>
          <cell r="Q117">
            <v>518818</v>
          </cell>
          <cell r="R117">
            <v>-564327</v>
          </cell>
          <cell r="S117">
            <v>0</v>
          </cell>
          <cell r="T117">
            <v>0</v>
          </cell>
          <cell r="U117">
            <v>-564327</v>
          </cell>
          <cell r="V117">
            <v>1027145</v>
          </cell>
          <cell r="W117">
            <v>0</v>
          </cell>
          <cell r="X117">
            <v>56000</v>
          </cell>
          <cell r="Y117">
            <v>1083145</v>
          </cell>
          <cell r="Z117">
            <v>185992</v>
          </cell>
          <cell r="AA117">
            <v>185992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349878</v>
          </cell>
          <cell r="AP117">
            <v>200384</v>
          </cell>
          <cell r="AQ117">
            <v>149494</v>
          </cell>
          <cell r="AR117">
            <v>349878</v>
          </cell>
          <cell r="AS117">
            <v>0</v>
          </cell>
          <cell r="AT117">
            <v>349878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495217</v>
          </cell>
          <cell r="BB117">
            <v>427591</v>
          </cell>
          <cell r="BC117">
            <v>67626</v>
          </cell>
          <cell r="BD117">
            <v>123804</v>
          </cell>
          <cell r="BE117">
            <v>106898</v>
          </cell>
          <cell r="BF117">
            <v>16906</v>
          </cell>
          <cell r="BG117">
            <v>0</v>
          </cell>
          <cell r="BH117">
            <v>0</v>
          </cell>
          <cell r="BI117">
            <v>0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69286248</v>
          </cell>
          <cell r="G118">
            <v>0</v>
          </cell>
          <cell r="H118">
            <v>0</v>
          </cell>
          <cell r="I118">
            <v>69286248</v>
          </cell>
          <cell r="J118">
            <v>69448257</v>
          </cell>
          <cell r="K118">
            <v>0</v>
          </cell>
          <cell r="L118">
            <v>0</v>
          </cell>
          <cell r="M118">
            <v>69448257</v>
          </cell>
          <cell r="N118">
            <v>-162009</v>
          </cell>
          <cell r="O118">
            <v>0</v>
          </cell>
          <cell r="P118">
            <v>0</v>
          </cell>
          <cell r="Q118">
            <v>-162009</v>
          </cell>
          <cell r="R118">
            <v>24385</v>
          </cell>
          <cell r="S118">
            <v>0</v>
          </cell>
          <cell r="T118">
            <v>0</v>
          </cell>
          <cell r="U118">
            <v>24385</v>
          </cell>
          <cell r="V118">
            <v>-186394</v>
          </cell>
          <cell r="W118">
            <v>0</v>
          </cell>
          <cell r="X118">
            <v>0</v>
          </cell>
          <cell r="Y118">
            <v>-186394</v>
          </cell>
          <cell r="Z118">
            <v>275906</v>
          </cell>
          <cell r="AA118">
            <v>275906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468788</v>
          </cell>
          <cell r="BB118">
            <v>402827</v>
          </cell>
          <cell r="BC118">
            <v>65961</v>
          </cell>
          <cell r="BD118">
            <v>312525</v>
          </cell>
          <cell r="BE118">
            <v>268551</v>
          </cell>
          <cell r="BF118">
            <v>43974</v>
          </cell>
          <cell r="BG118">
            <v>0</v>
          </cell>
          <cell r="BH118">
            <v>0</v>
          </cell>
          <cell r="BI118">
            <v>0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78037055</v>
          </cell>
          <cell r="G119">
            <v>0</v>
          </cell>
          <cell r="H119">
            <v>0</v>
          </cell>
          <cell r="I119">
            <v>78037055</v>
          </cell>
          <cell r="J119">
            <v>78648583</v>
          </cell>
          <cell r="K119">
            <v>0</v>
          </cell>
          <cell r="L119">
            <v>0</v>
          </cell>
          <cell r="M119">
            <v>78648583</v>
          </cell>
          <cell r="N119">
            <v>-611528</v>
          </cell>
          <cell r="O119">
            <v>0</v>
          </cell>
          <cell r="P119">
            <v>0</v>
          </cell>
          <cell r="Q119">
            <v>-611528</v>
          </cell>
          <cell r="R119">
            <v>-148638</v>
          </cell>
          <cell r="S119">
            <v>0</v>
          </cell>
          <cell r="T119">
            <v>0</v>
          </cell>
          <cell r="U119">
            <v>-148638</v>
          </cell>
          <cell r="V119">
            <v>-462890</v>
          </cell>
          <cell r="W119">
            <v>0</v>
          </cell>
          <cell r="X119">
            <v>0</v>
          </cell>
          <cell r="Y119">
            <v>-462890</v>
          </cell>
          <cell r="Z119">
            <v>237981</v>
          </cell>
          <cell r="AA119">
            <v>237981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323105</v>
          </cell>
          <cell r="BB119">
            <v>273530</v>
          </cell>
          <cell r="BC119">
            <v>49575</v>
          </cell>
          <cell r="BD119">
            <v>80776</v>
          </cell>
          <cell r="BE119">
            <v>68383</v>
          </cell>
          <cell r="BF119">
            <v>12393</v>
          </cell>
          <cell r="BG119">
            <v>0</v>
          </cell>
          <cell r="BH119">
            <v>0</v>
          </cell>
          <cell r="BI119">
            <v>0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88146910</v>
          </cell>
          <cell r="G120">
            <v>0</v>
          </cell>
          <cell r="H120">
            <v>0</v>
          </cell>
          <cell r="I120">
            <v>88146910</v>
          </cell>
          <cell r="J120">
            <v>87482869</v>
          </cell>
          <cell r="K120">
            <v>0</v>
          </cell>
          <cell r="L120">
            <v>0</v>
          </cell>
          <cell r="M120">
            <v>87482869</v>
          </cell>
          <cell r="N120">
            <v>664041</v>
          </cell>
          <cell r="O120">
            <v>0</v>
          </cell>
          <cell r="P120">
            <v>0</v>
          </cell>
          <cell r="Q120">
            <v>664041</v>
          </cell>
          <cell r="R120">
            <v>-1529309</v>
          </cell>
          <cell r="S120">
            <v>0</v>
          </cell>
          <cell r="T120">
            <v>0</v>
          </cell>
          <cell r="U120">
            <v>-1529309</v>
          </cell>
          <cell r="V120">
            <v>2193350</v>
          </cell>
          <cell r="W120">
            <v>0</v>
          </cell>
          <cell r="X120">
            <v>0</v>
          </cell>
          <cell r="Y120">
            <v>2193350</v>
          </cell>
          <cell r="Z120">
            <v>506812</v>
          </cell>
          <cell r="AA120">
            <v>506812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742217</v>
          </cell>
          <cell r="BB120">
            <v>648445</v>
          </cell>
          <cell r="BC120">
            <v>93772</v>
          </cell>
          <cell r="BD120">
            <v>494812</v>
          </cell>
          <cell r="BE120">
            <v>432297</v>
          </cell>
          <cell r="BF120">
            <v>62515</v>
          </cell>
          <cell r="BG120">
            <v>0</v>
          </cell>
          <cell r="BH120">
            <v>0</v>
          </cell>
          <cell r="BI120">
            <v>0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50047685</v>
          </cell>
          <cell r="G121">
            <v>0</v>
          </cell>
          <cell r="H121">
            <v>0</v>
          </cell>
          <cell r="I121">
            <v>50047685</v>
          </cell>
          <cell r="J121">
            <v>49727352</v>
          </cell>
          <cell r="K121">
            <v>0</v>
          </cell>
          <cell r="L121">
            <v>0</v>
          </cell>
          <cell r="M121">
            <v>49727352</v>
          </cell>
          <cell r="N121">
            <v>320333</v>
          </cell>
          <cell r="O121">
            <v>0</v>
          </cell>
          <cell r="P121">
            <v>0</v>
          </cell>
          <cell r="Q121">
            <v>320333</v>
          </cell>
          <cell r="R121">
            <v>1226385</v>
          </cell>
          <cell r="S121">
            <v>0</v>
          </cell>
          <cell r="T121">
            <v>0</v>
          </cell>
          <cell r="U121">
            <v>1226385</v>
          </cell>
          <cell r="V121">
            <v>-906052</v>
          </cell>
          <cell r="W121">
            <v>0</v>
          </cell>
          <cell r="X121">
            <v>0</v>
          </cell>
          <cell r="Y121">
            <v>-906052</v>
          </cell>
          <cell r="Z121">
            <v>166596</v>
          </cell>
          <cell r="AA121">
            <v>166596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148633</v>
          </cell>
          <cell r="AP121">
            <v>81786</v>
          </cell>
          <cell r="AQ121">
            <v>66847</v>
          </cell>
          <cell r="AR121">
            <v>148321</v>
          </cell>
          <cell r="AS121">
            <v>0</v>
          </cell>
          <cell r="AT121">
            <v>148321</v>
          </cell>
          <cell r="AU121">
            <v>0</v>
          </cell>
          <cell r="AV121">
            <v>0</v>
          </cell>
          <cell r="AW121">
            <v>0</v>
          </cell>
          <cell r="AX121">
            <v>312</v>
          </cell>
          <cell r="AY121">
            <v>1637</v>
          </cell>
          <cell r="AZ121">
            <v>-1325</v>
          </cell>
          <cell r="BA121">
            <v>429777</v>
          </cell>
          <cell r="BB121">
            <v>353035</v>
          </cell>
          <cell r="BC121">
            <v>76742</v>
          </cell>
          <cell r="BD121">
            <v>0</v>
          </cell>
          <cell r="BE121">
            <v>0</v>
          </cell>
          <cell r="BF121">
            <v>0</v>
          </cell>
          <cell r="BG121">
            <v>8771</v>
          </cell>
          <cell r="BH121">
            <v>7205</v>
          </cell>
          <cell r="BI121">
            <v>1566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30508837</v>
          </cell>
          <cell r="G122">
            <v>0</v>
          </cell>
          <cell r="H122">
            <v>0</v>
          </cell>
          <cell r="I122">
            <v>30508837</v>
          </cell>
          <cell r="J122">
            <v>30585002</v>
          </cell>
          <cell r="K122">
            <v>0</v>
          </cell>
          <cell r="L122">
            <v>0</v>
          </cell>
          <cell r="M122">
            <v>30585002</v>
          </cell>
          <cell r="N122">
            <v>-76165</v>
          </cell>
          <cell r="O122">
            <v>0</v>
          </cell>
          <cell r="P122">
            <v>0</v>
          </cell>
          <cell r="Q122">
            <v>-76165</v>
          </cell>
          <cell r="R122">
            <v>62999</v>
          </cell>
          <cell r="S122">
            <v>0</v>
          </cell>
          <cell r="T122">
            <v>0</v>
          </cell>
          <cell r="U122">
            <v>62999</v>
          </cell>
          <cell r="V122">
            <v>-139164</v>
          </cell>
          <cell r="W122">
            <v>0</v>
          </cell>
          <cell r="X122">
            <v>0</v>
          </cell>
          <cell r="Y122">
            <v>-139164</v>
          </cell>
          <cell r="Z122">
            <v>154279</v>
          </cell>
          <cell r="AA122">
            <v>154279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475056</v>
          </cell>
          <cell r="BB122">
            <v>402490</v>
          </cell>
          <cell r="BC122">
            <v>72566</v>
          </cell>
          <cell r="BD122">
            <v>106888</v>
          </cell>
          <cell r="BE122">
            <v>90560</v>
          </cell>
          <cell r="BF122">
            <v>16328</v>
          </cell>
          <cell r="BG122">
            <v>11876</v>
          </cell>
          <cell r="BH122">
            <v>10062</v>
          </cell>
          <cell r="BI122">
            <v>1814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187755270</v>
          </cell>
          <cell r="G123">
            <v>0</v>
          </cell>
          <cell r="H123">
            <v>0</v>
          </cell>
          <cell r="I123">
            <v>187755270</v>
          </cell>
          <cell r="J123">
            <v>186249583</v>
          </cell>
          <cell r="K123">
            <v>0</v>
          </cell>
          <cell r="L123">
            <v>0</v>
          </cell>
          <cell r="M123">
            <v>186249583</v>
          </cell>
          <cell r="N123">
            <v>1505687</v>
          </cell>
          <cell r="O123">
            <v>0</v>
          </cell>
          <cell r="P123">
            <v>0</v>
          </cell>
          <cell r="Q123">
            <v>1505687</v>
          </cell>
          <cell r="R123">
            <v>287347</v>
          </cell>
          <cell r="S123">
            <v>0</v>
          </cell>
          <cell r="T123">
            <v>0</v>
          </cell>
          <cell r="U123">
            <v>287347</v>
          </cell>
          <cell r="V123">
            <v>1218340</v>
          </cell>
          <cell r="W123">
            <v>0</v>
          </cell>
          <cell r="X123">
            <v>0</v>
          </cell>
          <cell r="Y123">
            <v>1218340</v>
          </cell>
          <cell r="Z123">
            <v>574203</v>
          </cell>
          <cell r="AA123">
            <v>574203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315080</v>
          </cell>
          <cell r="BB123">
            <v>247907</v>
          </cell>
          <cell r="BC123">
            <v>67173</v>
          </cell>
          <cell r="BD123">
            <v>210053</v>
          </cell>
          <cell r="BE123">
            <v>165271</v>
          </cell>
          <cell r="BF123">
            <v>44782</v>
          </cell>
          <cell r="BG123">
            <v>0</v>
          </cell>
          <cell r="BH123">
            <v>0</v>
          </cell>
          <cell r="BI123">
            <v>0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36496660.899999999</v>
          </cell>
          <cell r="G124">
            <v>0</v>
          </cell>
          <cell r="H124">
            <v>0</v>
          </cell>
          <cell r="I124">
            <v>36496660.899999999</v>
          </cell>
          <cell r="J124">
            <v>36533248.200000003</v>
          </cell>
          <cell r="K124">
            <v>0</v>
          </cell>
          <cell r="L124">
            <v>0</v>
          </cell>
          <cell r="M124">
            <v>36533248.200000003</v>
          </cell>
          <cell r="N124">
            <v>-36857</v>
          </cell>
          <cell r="O124">
            <v>0</v>
          </cell>
          <cell r="P124">
            <v>0</v>
          </cell>
          <cell r="Q124">
            <v>-36857</v>
          </cell>
          <cell r="R124">
            <v>19998</v>
          </cell>
          <cell r="S124">
            <v>0</v>
          </cell>
          <cell r="T124">
            <v>0</v>
          </cell>
          <cell r="U124">
            <v>19998</v>
          </cell>
          <cell r="V124">
            <v>-56855</v>
          </cell>
          <cell r="W124">
            <v>0</v>
          </cell>
          <cell r="X124">
            <v>0</v>
          </cell>
          <cell r="Y124">
            <v>-56855</v>
          </cell>
          <cell r="Z124">
            <v>123350</v>
          </cell>
          <cell r="AA124">
            <v>123350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311630</v>
          </cell>
          <cell r="BB124">
            <v>261925</v>
          </cell>
          <cell r="BC124">
            <v>49705</v>
          </cell>
          <cell r="BD124">
            <v>70117</v>
          </cell>
          <cell r="BE124">
            <v>58933</v>
          </cell>
          <cell r="BF124">
            <v>11184</v>
          </cell>
          <cell r="BG124">
            <v>7791</v>
          </cell>
          <cell r="BH124">
            <v>6548</v>
          </cell>
          <cell r="BI124">
            <v>1243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75842337</v>
          </cell>
          <cell r="G125">
            <v>0</v>
          </cell>
          <cell r="H125">
            <v>0</v>
          </cell>
          <cell r="I125">
            <v>75842337</v>
          </cell>
          <cell r="J125">
            <v>76071649</v>
          </cell>
          <cell r="K125">
            <v>0</v>
          </cell>
          <cell r="L125">
            <v>0</v>
          </cell>
          <cell r="M125">
            <v>76071649</v>
          </cell>
          <cell r="N125">
            <v>-229312</v>
          </cell>
          <cell r="O125">
            <v>0</v>
          </cell>
          <cell r="P125">
            <v>0</v>
          </cell>
          <cell r="Q125">
            <v>-229312</v>
          </cell>
          <cell r="R125">
            <v>229695</v>
          </cell>
          <cell r="S125">
            <v>0</v>
          </cell>
          <cell r="T125">
            <v>0</v>
          </cell>
          <cell r="U125">
            <v>229695</v>
          </cell>
          <cell r="V125">
            <v>-459007</v>
          </cell>
          <cell r="W125">
            <v>0</v>
          </cell>
          <cell r="X125">
            <v>0</v>
          </cell>
          <cell r="Y125">
            <v>-459007</v>
          </cell>
          <cell r="Z125">
            <v>309107</v>
          </cell>
          <cell r="AA125">
            <v>309107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585900</v>
          </cell>
          <cell r="BB125">
            <v>493007</v>
          </cell>
          <cell r="BC125">
            <v>92893</v>
          </cell>
          <cell r="BD125">
            <v>390600</v>
          </cell>
          <cell r="BE125">
            <v>328672</v>
          </cell>
          <cell r="BF125">
            <v>61928</v>
          </cell>
          <cell r="BG125">
            <v>0</v>
          </cell>
          <cell r="BH125">
            <v>0</v>
          </cell>
          <cell r="BI125">
            <v>0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46152335.700000003</v>
          </cell>
          <cell r="G126">
            <v>0</v>
          </cell>
          <cell r="H126">
            <v>3838252.23</v>
          </cell>
          <cell r="I126">
            <v>49990588</v>
          </cell>
          <cell r="J126">
            <v>46510236.799999997</v>
          </cell>
          <cell r="K126">
            <v>0</v>
          </cell>
          <cell r="L126">
            <v>3838254.94</v>
          </cell>
          <cell r="M126">
            <v>50348491.799999997</v>
          </cell>
          <cell r="N126">
            <v>-357901.12</v>
          </cell>
          <cell r="O126">
            <v>0</v>
          </cell>
          <cell r="P126">
            <v>-2.71</v>
          </cell>
          <cell r="Q126">
            <v>-357903.83</v>
          </cell>
          <cell r="R126">
            <v>-81232</v>
          </cell>
          <cell r="S126">
            <v>0</v>
          </cell>
          <cell r="T126">
            <v>0</v>
          </cell>
          <cell r="U126">
            <v>-81232</v>
          </cell>
          <cell r="V126">
            <v>-276669</v>
          </cell>
          <cell r="W126">
            <v>0</v>
          </cell>
          <cell r="X126">
            <v>-3</v>
          </cell>
          <cell r="Y126">
            <v>-276671.83</v>
          </cell>
          <cell r="Z126">
            <v>124428</v>
          </cell>
          <cell r="AA126">
            <v>124428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165193</v>
          </cell>
          <cell r="BB126">
            <v>139632</v>
          </cell>
          <cell r="BC126">
            <v>25561</v>
          </cell>
          <cell r="BD126">
            <v>33646</v>
          </cell>
          <cell r="BE126">
            <v>31417</v>
          </cell>
          <cell r="BF126">
            <v>2229</v>
          </cell>
          <cell r="BG126">
            <v>3738</v>
          </cell>
          <cell r="BH126">
            <v>3491</v>
          </cell>
          <cell r="BI126">
            <v>247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60363225</v>
          </cell>
          <cell r="G127">
            <v>0</v>
          </cell>
          <cell r="H127">
            <v>0</v>
          </cell>
          <cell r="I127">
            <v>60363225</v>
          </cell>
          <cell r="J127">
            <v>60557573</v>
          </cell>
          <cell r="K127">
            <v>0</v>
          </cell>
          <cell r="L127">
            <v>0</v>
          </cell>
          <cell r="M127">
            <v>60557573</v>
          </cell>
          <cell r="N127">
            <v>-194348</v>
          </cell>
          <cell r="O127">
            <v>0</v>
          </cell>
          <cell r="P127">
            <v>0</v>
          </cell>
          <cell r="Q127">
            <v>-194348</v>
          </cell>
          <cell r="R127">
            <v>76922</v>
          </cell>
          <cell r="S127">
            <v>0</v>
          </cell>
          <cell r="T127">
            <v>0</v>
          </cell>
          <cell r="U127">
            <v>76922</v>
          </cell>
          <cell r="V127">
            <v>-271270</v>
          </cell>
          <cell r="W127">
            <v>0</v>
          </cell>
          <cell r="X127">
            <v>0</v>
          </cell>
          <cell r="Y127">
            <v>-271270</v>
          </cell>
          <cell r="Z127">
            <v>284541</v>
          </cell>
          <cell r="AA127">
            <v>284541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863540</v>
          </cell>
          <cell r="BB127">
            <v>731853</v>
          </cell>
          <cell r="BC127">
            <v>131687</v>
          </cell>
          <cell r="BD127">
            <v>194296</v>
          </cell>
          <cell r="BE127">
            <v>164667</v>
          </cell>
          <cell r="BF127">
            <v>29629</v>
          </cell>
          <cell r="BG127">
            <v>21588</v>
          </cell>
          <cell r="BH127">
            <v>18296</v>
          </cell>
          <cell r="BI127">
            <v>3292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57215</v>
          </cell>
          <cell r="G128">
            <v>0</v>
          </cell>
          <cell r="H128">
            <v>0</v>
          </cell>
          <cell r="I128">
            <v>57215</v>
          </cell>
          <cell r="J128">
            <v>218293</v>
          </cell>
          <cell r="K128">
            <v>0</v>
          </cell>
          <cell r="L128">
            <v>0</v>
          </cell>
          <cell r="M128">
            <v>218293</v>
          </cell>
          <cell r="N128">
            <v>-161078</v>
          </cell>
          <cell r="O128">
            <v>0</v>
          </cell>
          <cell r="P128">
            <v>0</v>
          </cell>
          <cell r="Q128">
            <v>-161078</v>
          </cell>
          <cell r="R128">
            <v>67000</v>
          </cell>
          <cell r="S128">
            <v>0</v>
          </cell>
          <cell r="T128">
            <v>0</v>
          </cell>
          <cell r="U128">
            <v>67000</v>
          </cell>
          <cell r="V128">
            <v>-228078</v>
          </cell>
          <cell r="W128">
            <v>0</v>
          </cell>
          <cell r="X128">
            <v>0</v>
          </cell>
          <cell r="Y128">
            <v>-228078</v>
          </cell>
          <cell r="Z128">
            <v>255455</v>
          </cell>
          <cell r="AA128">
            <v>255455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409444</v>
          </cell>
          <cell r="BB128">
            <v>348144</v>
          </cell>
          <cell r="BC128">
            <v>61300</v>
          </cell>
          <cell r="BD128">
            <v>272963</v>
          </cell>
          <cell r="BE128">
            <v>232096</v>
          </cell>
          <cell r="BF128">
            <v>40867</v>
          </cell>
          <cell r="BG128">
            <v>0</v>
          </cell>
          <cell r="BH128">
            <v>0</v>
          </cell>
          <cell r="BI128">
            <v>0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29229501</v>
          </cell>
          <cell r="G129">
            <v>0</v>
          </cell>
          <cell r="H129">
            <v>0</v>
          </cell>
          <cell r="I129">
            <v>29229501</v>
          </cell>
          <cell r="J129">
            <v>29149405.5</v>
          </cell>
          <cell r="K129">
            <v>0</v>
          </cell>
          <cell r="L129">
            <v>0</v>
          </cell>
          <cell r="M129">
            <v>29149405.5</v>
          </cell>
          <cell r="N129">
            <v>-340555</v>
          </cell>
          <cell r="O129">
            <v>0</v>
          </cell>
          <cell r="P129">
            <v>0</v>
          </cell>
          <cell r="Q129">
            <v>-340555</v>
          </cell>
          <cell r="R129">
            <v>75403</v>
          </cell>
          <cell r="S129">
            <v>0</v>
          </cell>
          <cell r="T129">
            <v>0</v>
          </cell>
          <cell r="U129">
            <v>75403</v>
          </cell>
          <cell r="V129">
            <v>-415958</v>
          </cell>
          <cell r="W129">
            <v>0</v>
          </cell>
          <cell r="X129">
            <v>0</v>
          </cell>
          <cell r="Y129">
            <v>-415958</v>
          </cell>
          <cell r="Z129">
            <v>100079</v>
          </cell>
          <cell r="AA129">
            <v>100079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198487</v>
          </cell>
          <cell r="BB129">
            <v>169702</v>
          </cell>
          <cell r="BC129">
            <v>28785</v>
          </cell>
          <cell r="BD129">
            <v>44660</v>
          </cell>
          <cell r="BE129">
            <v>38183</v>
          </cell>
          <cell r="BF129">
            <v>6477</v>
          </cell>
          <cell r="BG129">
            <v>4962</v>
          </cell>
          <cell r="BH129">
            <v>4243</v>
          </cell>
          <cell r="BI129">
            <v>719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39281824</v>
          </cell>
          <cell r="G130">
            <v>0</v>
          </cell>
          <cell r="H130">
            <v>0</v>
          </cell>
          <cell r="I130">
            <v>39281824</v>
          </cell>
          <cell r="J130">
            <v>30021500</v>
          </cell>
          <cell r="K130">
            <v>0</v>
          </cell>
          <cell r="L130">
            <v>0</v>
          </cell>
          <cell r="M130">
            <v>30021500</v>
          </cell>
          <cell r="N130">
            <v>9260324</v>
          </cell>
          <cell r="O130">
            <v>0</v>
          </cell>
          <cell r="P130">
            <v>0</v>
          </cell>
          <cell r="Q130">
            <v>9260324</v>
          </cell>
          <cell r="R130">
            <v>9578318</v>
          </cell>
          <cell r="S130">
            <v>0</v>
          </cell>
          <cell r="T130">
            <v>0</v>
          </cell>
          <cell r="U130">
            <v>9578318</v>
          </cell>
          <cell r="V130">
            <v>-317994</v>
          </cell>
          <cell r="W130">
            <v>0</v>
          </cell>
          <cell r="X130">
            <v>0</v>
          </cell>
          <cell r="Y130">
            <v>-317994</v>
          </cell>
          <cell r="Z130">
            <v>124827</v>
          </cell>
          <cell r="AA130">
            <v>124827</v>
          </cell>
          <cell r="AB130">
            <v>0</v>
          </cell>
          <cell r="AC130">
            <v>0</v>
          </cell>
          <cell r="AD130">
            <v>48663</v>
          </cell>
          <cell r="AE130">
            <v>-48663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67812</v>
          </cell>
          <cell r="AP130">
            <v>48663</v>
          </cell>
          <cell r="AQ130">
            <v>19149</v>
          </cell>
          <cell r="AR130">
            <v>67812</v>
          </cell>
          <cell r="AS130">
            <v>48663</v>
          </cell>
          <cell r="AT130">
            <v>19149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445550</v>
          </cell>
          <cell r="BB130">
            <v>373497</v>
          </cell>
          <cell r="BC130">
            <v>72053</v>
          </cell>
          <cell r="BD130">
            <v>0</v>
          </cell>
          <cell r="BE130">
            <v>0</v>
          </cell>
          <cell r="BF130">
            <v>0</v>
          </cell>
          <cell r="BG130">
            <v>9093</v>
          </cell>
          <cell r="BH130">
            <v>7622</v>
          </cell>
          <cell r="BI130">
            <v>1471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19924231</v>
          </cell>
          <cell r="G131">
            <v>0</v>
          </cell>
          <cell r="H131">
            <v>0</v>
          </cell>
          <cell r="I131">
            <v>19924231</v>
          </cell>
          <cell r="J131">
            <v>19928214</v>
          </cell>
          <cell r="K131">
            <v>0</v>
          </cell>
          <cell r="L131">
            <v>0</v>
          </cell>
          <cell r="M131">
            <v>19928214</v>
          </cell>
          <cell r="N131">
            <v>-3983</v>
          </cell>
          <cell r="O131">
            <v>0</v>
          </cell>
          <cell r="P131">
            <v>0</v>
          </cell>
          <cell r="Q131">
            <v>-3983</v>
          </cell>
          <cell r="R131">
            <v>116000</v>
          </cell>
          <cell r="S131">
            <v>0</v>
          </cell>
          <cell r="T131">
            <v>0</v>
          </cell>
          <cell r="U131">
            <v>116000</v>
          </cell>
          <cell r="V131">
            <v>-119983</v>
          </cell>
          <cell r="W131">
            <v>0</v>
          </cell>
          <cell r="X131">
            <v>0</v>
          </cell>
          <cell r="Y131">
            <v>-119983</v>
          </cell>
          <cell r="Z131">
            <v>123130</v>
          </cell>
          <cell r="AA131">
            <v>123130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441700</v>
          </cell>
          <cell r="BB131">
            <v>435852</v>
          </cell>
          <cell r="BC131">
            <v>5848</v>
          </cell>
          <cell r="BD131">
            <v>99382</v>
          </cell>
          <cell r="BE131">
            <v>98067</v>
          </cell>
          <cell r="BF131">
            <v>1315</v>
          </cell>
          <cell r="BG131">
            <v>11042</v>
          </cell>
          <cell r="BH131">
            <v>10896</v>
          </cell>
          <cell r="BI131">
            <v>146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31726607</v>
          </cell>
          <cell r="G132">
            <v>0</v>
          </cell>
          <cell r="H132">
            <v>0</v>
          </cell>
          <cell r="I132">
            <v>31726607</v>
          </cell>
          <cell r="J132">
            <v>31850444</v>
          </cell>
          <cell r="K132">
            <v>0</v>
          </cell>
          <cell r="L132">
            <v>0</v>
          </cell>
          <cell r="M132">
            <v>31850444</v>
          </cell>
          <cell r="N132">
            <v>-123837</v>
          </cell>
          <cell r="O132">
            <v>0</v>
          </cell>
          <cell r="P132">
            <v>0</v>
          </cell>
          <cell r="Q132">
            <v>-123837</v>
          </cell>
          <cell r="R132">
            <v>115823</v>
          </cell>
          <cell r="S132">
            <v>0</v>
          </cell>
          <cell r="T132">
            <v>0</v>
          </cell>
          <cell r="U132">
            <v>115823</v>
          </cell>
          <cell r="V132">
            <v>-239660</v>
          </cell>
          <cell r="W132">
            <v>0</v>
          </cell>
          <cell r="X132">
            <v>0</v>
          </cell>
          <cell r="Y132">
            <v>-239660</v>
          </cell>
          <cell r="Z132">
            <v>140839</v>
          </cell>
          <cell r="AA132">
            <v>140839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380732</v>
          </cell>
          <cell r="BB132">
            <v>315670</v>
          </cell>
          <cell r="BC132">
            <v>65062</v>
          </cell>
          <cell r="BD132">
            <v>85665</v>
          </cell>
          <cell r="BE132">
            <v>71026</v>
          </cell>
          <cell r="BF132">
            <v>14639</v>
          </cell>
          <cell r="BG132">
            <v>9518</v>
          </cell>
          <cell r="BH132">
            <v>7892</v>
          </cell>
          <cell r="BI132">
            <v>1626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72311848</v>
          </cell>
          <cell r="G133">
            <v>0</v>
          </cell>
          <cell r="H133">
            <v>0</v>
          </cell>
          <cell r="I133">
            <v>72311848</v>
          </cell>
          <cell r="J133">
            <v>72753269</v>
          </cell>
          <cell r="K133">
            <v>0</v>
          </cell>
          <cell r="L133">
            <v>0</v>
          </cell>
          <cell r="M133">
            <v>72753269</v>
          </cell>
          <cell r="N133">
            <v>-441421</v>
          </cell>
          <cell r="O133">
            <v>0</v>
          </cell>
          <cell r="P133">
            <v>0</v>
          </cell>
          <cell r="Q133">
            <v>-441421</v>
          </cell>
          <cell r="R133">
            <v>-218032</v>
          </cell>
          <cell r="S133">
            <v>0</v>
          </cell>
          <cell r="T133">
            <v>0</v>
          </cell>
          <cell r="U133">
            <v>-218032</v>
          </cell>
          <cell r="V133">
            <v>-223389</v>
          </cell>
          <cell r="W133">
            <v>0</v>
          </cell>
          <cell r="X133">
            <v>0</v>
          </cell>
          <cell r="Y133">
            <v>-223389</v>
          </cell>
          <cell r="Z133">
            <v>274180</v>
          </cell>
          <cell r="AA133">
            <v>274180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470765</v>
          </cell>
          <cell r="BB133">
            <v>394746</v>
          </cell>
          <cell r="BC133">
            <v>76019</v>
          </cell>
          <cell r="BD133">
            <v>313843</v>
          </cell>
          <cell r="BE133">
            <v>263164</v>
          </cell>
          <cell r="BF133">
            <v>50679</v>
          </cell>
          <cell r="BG133">
            <v>0</v>
          </cell>
          <cell r="BH133">
            <v>0</v>
          </cell>
          <cell r="BI133">
            <v>0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44568965.299999997</v>
          </cell>
          <cell r="G134">
            <v>0</v>
          </cell>
          <cell r="H134">
            <v>-10040.44</v>
          </cell>
          <cell r="I134">
            <v>44558924.899999999</v>
          </cell>
          <cell r="J134">
            <v>44742351.700000003</v>
          </cell>
          <cell r="K134">
            <v>0</v>
          </cell>
          <cell r="L134">
            <v>-2616.2800000000002</v>
          </cell>
          <cell r="M134">
            <v>44739735.399999999</v>
          </cell>
          <cell r="N134">
            <v>-173386.33</v>
          </cell>
          <cell r="O134">
            <v>0</v>
          </cell>
          <cell r="P134">
            <v>-7424.16</v>
          </cell>
          <cell r="Q134">
            <v>-180810.49</v>
          </cell>
          <cell r="R134">
            <v>139251</v>
          </cell>
          <cell r="S134">
            <v>0</v>
          </cell>
          <cell r="T134">
            <v>0</v>
          </cell>
          <cell r="U134">
            <v>139251</v>
          </cell>
          <cell r="V134">
            <v>-312637</v>
          </cell>
          <cell r="W134">
            <v>0</v>
          </cell>
          <cell r="X134">
            <v>-7424</v>
          </cell>
          <cell r="Y134">
            <v>-320061</v>
          </cell>
          <cell r="Z134">
            <v>298886</v>
          </cell>
          <cell r="AA134">
            <v>298886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42597</v>
          </cell>
          <cell r="AJ134">
            <v>14676</v>
          </cell>
          <cell r="AK134">
            <v>27921</v>
          </cell>
          <cell r="AL134">
            <v>0</v>
          </cell>
          <cell r="AM134">
            <v>0</v>
          </cell>
          <cell r="AN134">
            <v>0</v>
          </cell>
          <cell r="AO134">
            <v>60548</v>
          </cell>
          <cell r="AP134">
            <v>56782</v>
          </cell>
          <cell r="AQ134">
            <v>3766</v>
          </cell>
          <cell r="AR134">
            <v>60548</v>
          </cell>
          <cell r="AS134">
            <v>56782</v>
          </cell>
          <cell r="AT134">
            <v>3766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1223692</v>
          </cell>
          <cell r="BB134">
            <v>1013617</v>
          </cell>
          <cell r="BC134">
            <v>210075</v>
          </cell>
          <cell r="BD134">
            <v>0</v>
          </cell>
          <cell r="BE134">
            <v>0</v>
          </cell>
          <cell r="BF134">
            <v>0</v>
          </cell>
          <cell r="BG134">
            <v>24683</v>
          </cell>
          <cell r="BH134">
            <v>20686</v>
          </cell>
          <cell r="BI134">
            <v>3997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51161712.100000001</v>
          </cell>
          <cell r="G135">
            <v>0</v>
          </cell>
          <cell r="H135">
            <v>0</v>
          </cell>
          <cell r="I135">
            <v>51161712.100000001</v>
          </cell>
          <cell r="J135">
            <v>51542395</v>
          </cell>
          <cell r="K135">
            <v>0</v>
          </cell>
          <cell r="L135">
            <v>0</v>
          </cell>
          <cell r="M135">
            <v>51542395</v>
          </cell>
          <cell r="N135">
            <v>-380682.98</v>
          </cell>
          <cell r="O135">
            <v>0</v>
          </cell>
          <cell r="P135">
            <v>0</v>
          </cell>
          <cell r="Q135">
            <v>-380682.98</v>
          </cell>
          <cell r="R135">
            <v>44285</v>
          </cell>
          <cell r="S135">
            <v>0</v>
          </cell>
          <cell r="T135">
            <v>0</v>
          </cell>
          <cell r="U135">
            <v>44285</v>
          </cell>
          <cell r="V135">
            <v>-424968</v>
          </cell>
          <cell r="W135">
            <v>0</v>
          </cell>
          <cell r="X135">
            <v>0</v>
          </cell>
          <cell r="Y135">
            <v>-424968</v>
          </cell>
          <cell r="Z135">
            <v>146387</v>
          </cell>
          <cell r="AA135">
            <v>146387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291972</v>
          </cell>
          <cell r="BB135">
            <v>229207</v>
          </cell>
          <cell r="BC135">
            <v>62765</v>
          </cell>
          <cell r="BD135">
            <v>72993</v>
          </cell>
          <cell r="BE135">
            <v>57302</v>
          </cell>
          <cell r="BF135">
            <v>15691</v>
          </cell>
          <cell r="BG135">
            <v>0</v>
          </cell>
          <cell r="BH135">
            <v>0</v>
          </cell>
          <cell r="BI135">
            <v>0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23245561</v>
          </cell>
          <cell r="G136">
            <v>0</v>
          </cell>
          <cell r="H136">
            <v>0</v>
          </cell>
          <cell r="I136">
            <v>23245561</v>
          </cell>
          <cell r="J136">
            <v>23226284</v>
          </cell>
          <cell r="K136">
            <v>0</v>
          </cell>
          <cell r="L136">
            <v>0</v>
          </cell>
          <cell r="M136">
            <v>23226284</v>
          </cell>
          <cell r="N136">
            <v>19277</v>
          </cell>
          <cell r="O136">
            <v>0</v>
          </cell>
          <cell r="P136">
            <v>0</v>
          </cell>
          <cell r="Q136">
            <v>19277</v>
          </cell>
          <cell r="R136">
            <v>93653</v>
          </cell>
          <cell r="S136">
            <v>0</v>
          </cell>
          <cell r="T136">
            <v>0</v>
          </cell>
          <cell r="U136">
            <v>93653</v>
          </cell>
          <cell r="V136">
            <v>-74376</v>
          </cell>
          <cell r="W136">
            <v>0</v>
          </cell>
          <cell r="X136">
            <v>0</v>
          </cell>
          <cell r="Y136">
            <v>-74376</v>
          </cell>
          <cell r="Z136">
            <v>135442</v>
          </cell>
          <cell r="AA136">
            <v>135442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481428</v>
          </cell>
          <cell r="BB136">
            <v>408524</v>
          </cell>
          <cell r="BC136">
            <v>72904</v>
          </cell>
          <cell r="BD136">
            <v>108321</v>
          </cell>
          <cell r="BE136">
            <v>91918</v>
          </cell>
          <cell r="BF136">
            <v>16403</v>
          </cell>
          <cell r="BG136">
            <v>12036</v>
          </cell>
          <cell r="BH136">
            <v>10213</v>
          </cell>
          <cell r="BI136">
            <v>1823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360448508</v>
          </cell>
          <cell r="G137">
            <v>0</v>
          </cell>
          <cell r="H137">
            <v>0</v>
          </cell>
          <cell r="I137">
            <v>360448508</v>
          </cell>
          <cell r="J137">
            <v>360099998</v>
          </cell>
          <cell r="K137">
            <v>0</v>
          </cell>
          <cell r="L137">
            <v>0</v>
          </cell>
          <cell r="M137">
            <v>360099998</v>
          </cell>
          <cell r="N137">
            <v>348510</v>
          </cell>
          <cell r="O137">
            <v>0</v>
          </cell>
          <cell r="P137">
            <v>0</v>
          </cell>
          <cell r="Q137">
            <v>348510</v>
          </cell>
          <cell r="R137">
            <v>95172</v>
          </cell>
          <cell r="S137">
            <v>0</v>
          </cell>
          <cell r="T137">
            <v>0</v>
          </cell>
          <cell r="U137">
            <v>95172</v>
          </cell>
          <cell r="V137">
            <v>253338</v>
          </cell>
          <cell r="W137">
            <v>0</v>
          </cell>
          <cell r="X137">
            <v>0</v>
          </cell>
          <cell r="Y137">
            <v>253338</v>
          </cell>
          <cell r="Z137">
            <v>598040</v>
          </cell>
          <cell r="AA137">
            <v>598040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441542</v>
          </cell>
          <cell r="BB137">
            <v>369203</v>
          </cell>
          <cell r="BC137">
            <v>72339</v>
          </cell>
          <cell r="BD137">
            <v>294361</v>
          </cell>
          <cell r="BE137">
            <v>246136</v>
          </cell>
          <cell r="BF137">
            <v>48225</v>
          </cell>
          <cell r="BG137">
            <v>0</v>
          </cell>
          <cell r="BH137">
            <v>0</v>
          </cell>
          <cell r="BI137">
            <v>0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27023578</v>
          </cell>
          <cell r="G138">
            <v>0</v>
          </cell>
          <cell r="H138">
            <v>950243</v>
          </cell>
          <cell r="I138">
            <v>27973821</v>
          </cell>
          <cell r="J138">
            <v>27070601</v>
          </cell>
          <cell r="K138">
            <v>0</v>
          </cell>
          <cell r="L138">
            <v>950243</v>
          </cell>
          <cell r="M138">
            <v>28020844</v>
          </cell>
          <cell r="N138">
            <v>-47023</v>
          </cell>
          <cell r="O138">
            <v>0</v>
          </cell>
          <cell r="P138">
            <v>0</v>
          </cell>
          <cell r="Q138">
            <v>-47023</v>
          </cell>
          <cell r="R138">
            <v>8739</v>
          </cell>
          <cell r="S138">
            <v>0</v>
          </cell>
          <cell r="T138">
            <v>0</v>
          </cell>
          <cell r="U138">
            <v>8739</v>
          </cell>
          <cell r="V138">
            <v>-55762</v>
          </cell>
          <cell r="W138">
            <v>0</v>
          </cell>
          <cell r="X138">
            <v>0</v>
          </cell>
          <cell r="Y138">
            <v>-55762</v>
          </cell>
          <cell r="Z138">
            <v>123176</v>
          </cell>
          <cell r="AA138">
            <v>123176</v>
          </cell>
          <cell r="AB138">
            <v>0</v>
          </cell>
          <cell r="AC138">
            <v>76823</v>
          </cell>
          <cell r="AD138">
            <v>24148</v>
          </cell>
          <cell r="AE138">
            <v>52675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424098</v>
          </cell>
          <cell r="BB138">
            <v>359138</v>
          </cell>
          <cell r="BC138">
            <v>64960</v>
          </cell>
          <cell r="BD138">
            <v>95422</v>
          </cell>
          <cell r="BE138">
            <v>80806</v>
          </cell>
          <cell r="BF138">
            <v>14616</v>
          </cell>
          <cell r="BG138">
            <v>10602</v>
          </cell>
          <cell r="BH138">
            <v>8978</v>
          </cell>
          <cell r="BI138">
            <v>1624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40687821</v>
          </cell>
          <cell r="G139">
            <v>0</v>
          </cell>
          <cell r="H139">
            <v>0</v>
          </cell>
          <cell r="I139">
            <v>40687821</v>
          </cell>
          <cell r="J139">
            <v>40641497</v>
          </cell>
          <cell r="K139">
            <v>0</v>
          </cell>
          <cell r="L139">
            <v>0</v>
          </cell>
          <cell r="M139">
            <v>40641497</v>
          </cell>
          <cell r="N139">
            <v>46324</v>
          </cell>
          <cell r="O139">
            <v>0</v>
          </cell>
          <cell r="P139">
            <v>0</v>
          </cell>
          <cell r="Q139">
            <v>46324</v>
          </cell>
          <cell r="R139">
            <v>978404</v>
          </cell>
          <cell r="S139">
            <v>0</v>
          </cell>
          <cell r="T139">
            <v>0</v>
          </cell>
          <cell r="U139">
            <v>978404</v>
          </cell>
          <cell r="V139">
            <v>-932080</v>
          </cell>
          <cell r="W139">
            <v>0</v>
          </cell>
          <cell r="X139">
            <v>0</v>
          </cell>
          <cell r="Y139">
            <v>-932080</v>
          </cell>
          <cell r="Z139">
            <v>177362</v>
          </cell>
          <cell r="AA139">
            <v>177362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487754</v>
          </cell>
          <cell r="BB139">
            <v>406053</v>
          </cell>
          <cell r="BC139">
            <v>81701</v>
          </cell>
          <cell r="BD139">
            <v>121939</v>
          </cell>
          <cell r="BE139">
            <v>101513</v>
          </cell>
          <cell r="BF139">
            <v>20426</v>
          </cell>
          <cell r="BG139">
            <v>0</v>
          </cell>
          <cell r="BH139">
            <v>0</v>
          </cell>
          <cell r="BI139">
            <v>0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160076404</v>
          </cell>
          <cell r="G140">
            <v>0</v>
          </cell>
          <cell r="H140">
            <v>0</v>
          </cell>
          <cell r="I140">
            <v>160076404</v>
          </cell>
          <cell r="J140">
            <v>161062409</v>
          </cell>
          <cell r="K140">
            <v>0</v>
          </cell>
          <cell r="L140">
            <v>0</v>
          </cell>
          <cell r="M140">
            <v>161062409</v>
          </cell>
          <cell r="N140">
            <v>-986005.04</v>
          </cell>
          <cell r="O140">
            <v>0</v>
          </cell>
          <cell r="P140">
            <v>0</v>
          </cell>
          <cell r="Q140">
            <v>-986005.04</v>
          </cell>
          <cell r="R140">
            <v>518834</v>
          </cell>
          <cell r="S140">
            <v>0</v>
          </cell>
          <cell r="T140">
            <v>0</v>
          </cell>
          <cell r="U140">
            <v>518834</v>
          </cell>
          <cell r="V140">
            <v>-1504839</v>
          </cell>
          <cell r="W140">
            <v>0</v>
          </cell>
          <cell r="X140">
            <v>0</v>
          </cell>
          <cell r="Y140">
            <v>-1504839</v>
          </cell>
          <cell r="Z140">
            <v>401106</v>
          </cell>
          <cell r="AA140">
            <v>401106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380355</v>
          </cell>
          <cell r="BB140">
            <v>312726</v>
          </cell>
          <cell r="BC140">
            <v>67629</v>
          </cell>
          <cell r="BD140">
            <v>253570</v>
          </cell>
          <cell r="BE140">
            <v>208484</v>
          </cell>
          <cell r="BF140">
            <v>45086</v>
          </cell>
          <cell r="BG140">
            <v>0</v>
          </cell>
          <cell r="BH140">
            <v>0</v>
          </cell>
          <cell r="BI140">
            <v>0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49823584</v>
          </cell>
          <cell r="G141">
            <v>0</v>
          </cell>
          <cell r="H141">
            <v>692847</v>
          </cell>
          <cell r="I141">
            <v>50516431</v>
          </cell>
          <cell r="J141">
            <v>49752775</v>
          </cell>
          <cell r="K141">
            <v>0</v>
          </cell>
          <cell r="L141">
            <v>692263</v>
          </cell>
          <cell r="M141">
            <v>50445038</v>
          </cell>
          <cell r="N141">
            <v>70809</v>
          </cell>
          <cell r="O141">
            <v>0</v>
          </cell>
          <cell r="P141">
            <v>584</v>
          </cell>
          <cell r="Q141">
            <v>71393</v>
          </cell>
          <cell r="R141">
            <v>121145</v>
          </cell>
          <cell r="S141">
            <v>0</v>
          </cell>
          <cell r="T141">
            <v>0</v>
          </cell>
          <cell r="U141">
            <v>121145</v>
          </cell>
          <cell r="V141">
            <v>-50336</v>
          </cell>
          <cell r="W141">
            <v>0</v>
          </cell>
          <cell r="X141">
            <v>584</v>
          </cell>
          <cell r="Y141">
            <v>-49752</v>
          </cell>
          <cell r="Z141">
            <v>221475</v>
          </cell>
          <cell r="AA141">
            <v>221475</v>
          </cell>
          <cell r="AB141">
            <v>0</v>
          </cell>
          <cell r="AC141">
            <v>79342</v>
          </cell>
          <cell r="AD141">
            <v>6302</v>
          </cell>
          <cell r="AE141">
            <v>73040</v>
          </cell>
          <cell r="AF141">
            <v>0</v>
          </cell>
          <cell r="AG141">
            <v>0</v>
          </cell>
          <cell r="AH141">
            <v>0</v>
          </cell>
          <cell r="AI141">
            <v>190755</v>
          </cell>
          <cell r="AJ141">
            <v>0</v>
          </cell>
          <cell r="AK141">
            <v>190755</v>
          </cell>
          <cell r="AL141">
            <v>0</v>
          </cell>
          <cell r="AM141">
            <v>0</v>
          </cell>
          <cell r="AN141">
            <v>0</v>
          </cell>
          <cell r="AO141">
            <v>512193</v>
          </cell>
          <cell r="AP141">
            <v>603303</v>
          </cell>
          <cell r="AQ141">
            <v>-91110</v>
          </cell>
          <cell r="AR141">
            <v>512193</v>
          </cell>
          <cell r="AS141">
            <v>0</v>
          </cell>
          <cell r="AT141">
            <v>512193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542150</v>
          </cell>
          <cell r="BB141">
            <v>463789</v>
          </cell>
          <cell r="BC141">
            <v>78361</v>
          </cell>
          <cell r="BD141">
            <v>121438</v>
          </cell>
          <cell r="BE141">
            <v>104352</v>
          </cell>
          <cell r="BF141">
            <v>17086</v>
          </cell>
          <cell r="BG141">
            <v>13493</v>
          </cell>
          <cell r="BH141">
            <v>11595</v>
          </cell>
          <cell r="BI141">
            <v>1898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20803309.800000001</v>
          </cell>
          <cell r="G142">
            <v>0</v>
          </cell>
          <cell r="H142">
            <v>0</v>
          </cell>
          <cell r="I142">
            <v>20803309.800000001</v>
          </cell>
          <cell r="J142">
            <v>20899070.600000001</v>
          </cell>
          <cell r="K142">
            <v>0</v>
          </cell>
          <cell r="L142">
            <v>0</v>
          </cell>
          <cell r="M142">
            <v>20899070.600000001</v>
          </cell>
          <cell r="N142">
            <v>-95760.81</v>
          </cell>
          <cell r="O142">
            <v>0</v>
          </cell>
          <cell r="P142">
            <v>0</v>
          </cell>
          <cell r="Q142">
            <v>-95760.81</v>
          </cell>
          <cell r="R142">
            <v>143849</v>
          </cell>
          <cell r="S142">
            <v>0</v>
          </cell>
          <cell r="T142">
            <v>0</v>
          </cell>
          <cell r="U142">
            <v>143849</v>
          </cell>
          <cell r="V142">
            <v>-239610</v>
          </cell>
          <cell r="W142">
            <v>0</v>
          </cell>
          <cell r="X142">
            <v>0</v>
          </cell>
          <cell r="Y142">
            <v>-239610</v>
          </cell>
          <cell r="Z142">
            <v>133530</v>
          </cell>
          <cell r="AA142">
            <v>133530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438320</v>
          </cell>
          <cell r="BB142">
            <v>363270</v>
          </cell>
          <cell r="BC142">
            <v>75050</v>
          </cell>
          <cell r="BD142">
            <v>98622</v>
          </cell>
          <cell r="BE142">
            <v>81736</v>
          </cell>
          <cell r="BF142">
            <v>16886</v>
          </cell>
          <cell r="BG142">
            <v>10958</v>
          </cell>
          <cell r="BH142">
            <v>9082</v>
          </cell>
          <cell r="BI142">
            <v>1876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62941134.100000001</v>
          </cell>
          <cell r="G143">
            <v>0</v>
          </cell>
          <cell r="H143">
            <v>0</v>
          </cell>
          <cell r="I143">
            <v>62941134.100000001</v>
          </cell>
          <cell r="J143">
            <v>62874152.700000003</v>
          </cell>
          <cell r="K143">
            <v>0</v>
          </cell>
          <cell r="L143">
            <v>0</v>
          </cell>
          <cell r="M143">
            <v>62874152.700000003</v>
          </cell>
          <cell r="N143">
            <v>66981.37</v>
          </cell>
          <cell r="O143">
            <v>0</v>
          </cell>
          <cell r="P143">
            <v>0</v>
          </cell>
          <cell r="Q143">
            <v>66981.37</v>
          </cell>
          <cell r="R143">
            <v>166496</v>
          </cell>
          <cell r="S143">
            <v>0</v>
          </cell>
          <cell r="T143">
            <v>0</v>
          </cell>
          <cell r="U143">
            <v>166496</v>
          </cell>
          <cell r="V143">
            <v>-99515</v>
          </cell>
          <cell r="W143">
            <v>0</v>
          </cell>
          <cell r="X143">
            <v>0</v>
          </cell>
          <cell r="Y143">
            <v>-99515</v>
          </cell>
          <cell r="Z143">
            <v>192368</v>
          </cell>
          <cell r="AA143">
            <v>192368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429287</v>
          </cell>
          <cell r="BB143">
            <v>362178</v>
          </cell>
          <cell r="BC143">
            <v>67109</v>
          </cell>
          <cell r="BD143">
            <v>107322</v>
          </cell>
          <cell r="BE143">
            <v>90544</v>
          </cell>
          <cell r="BF143">
            <v>16778</v>
          </cell>
          <cell r="BG143">
            <v>0</v>
          </cell>
          <cell r="BH143">
            <v>0</v>
          </cell>
          <cell r="BI143">
            <v>0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30829247</v>
          </cell>
          <cell r="G144">
            <v>0</v>
          </cell>
          <cell r="H144">
            <v>0</v>
          </cell>
          <cell r="I144">
            <v>30829247</v>
          </cell>
          <cell r="J144">
            <v>30886444</v>
          </cell>
          <cell r="K144">
            <v>0</v>
          </cell>
          <cell r="L144">
            <v>0</v>
          </cell>
          <cell r="M144">
            <v>30886444</v>
          </cell>
          <cell r="N144">
            <v>-57197</v>
          </cell>
          <cell r="O144">
            <v>0</v>
          </cell>
          <cell r="P144">
            <v>0</v>
          </cell>
          <cell r="Q144">
            <v>-57197</v>
          </cell>
          <cell r="R144">
            <v>208000</v>
          </cell>
          <cell r="S144">
            <v>0</v>
          </cell>
          <cell r="T144">
            <v>0</v>
          </cell>
          <cell r="U144">
            <v>208000</v>
          </cell>
          <cell r="V144">
            <v>-265197</v>
          </cell>
          <cell r="W144">
            <v>0</v>
          </cell>
          <cell r="X144">
            <v>0</v>
          </cell>
          <cell r="Y144">
            <v>-265197</v>
          </cell>
          <cell r="Z144">
            <v>250493</v>
          </cell>
          <cell r="AA144">
            <v>250493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79257</v>
          </cell>
          <cell r="AJ144">
            <v>0</v>
          </cell>
          <cell r="AK144">
            <v>79257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1078272</v>
          </cell>
          <cell r="BB144">
            <v>913958</v>
          </cell>
          <cell r="BC144">
            <v>164314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1540958</v>
          </cell>
          <cell r="G145">
            <v>0</v>
          </cell>
          <cell r="H145">
            <v>0</v>
          </cell>
          <cell r="I145">
            <v>1540958</v>
          </cell>
          <cell r="J145">
            <v>1499641</v>
          </cell>
          <cell r="K145">
            <v>0</v>
          </cell>
          <cell r="L145">
            <v>0</v>
          </cell>
          <cell r="M145">
            <v>1499641</v>
          </cell>
          <cell r="N145">
            <v>41317</v>
          </cell>
          <cell r="O145">
            <v>0</v>
          </cell>
          <cell r="P145">
            <v>0</v>
          </cell>
          <cell r="Q145">
            <v>41317</v>
          </cell>
          <cell r="R145">
            <v>23647</v>
          </cell>
          <cell r="S145">
            <v>0</v>
          </cell>
          <cell r="T145">
            <v>0</v>
          </cell>
          <cell r="U145">
            <v>23647</v>
          </cell>
          <cell r="V145">
            <v>17670</v>
          </cell>
          <cell r="W145">
            <v>0</v>
          </cell>
          <cell r="X145">
            <v>0</v>
          </cell>
          <cell r="Y145">
            <v>17670</v>
          </cell>
          <cell r="Z145">
            <v>24797</v>
          </cell>
          <cell r="AA145">
            <v>24797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74799</v>
          </cell>
          <cell r="BB145">
            <v>57243</v>
          </cell>
          <cell r="BC145">
            <v>17556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25321649</v>
          </cell>
          <cell r="G146">
            <v>0</v>
          </cell>
          <cell r="H146">
            <v>0</v>
          </cell>
          <cell r="I146">
            <v>25321649</v>
          </cell>
          <cell r="J146">
            <v>26185104</v>
          </cell>
          <cell r="K146">
            <v>0</v>
          </cell>
          <cell r="L146">
            <v>0</v>
          </cell>
          <cell r="M146">
            <v>26185104</v>
          </cell>
          <cell r="N146">
            <v>-863455</v>
          </cell>
          <cell r="O146">
            <v>0</v>
          </cell>
          <cell r="P146">
            <v>0</v>
          </cell>
          <cell r="Q146">
            <v>-863455</v>
          </cell>
          <cell r="R146">
            <v>873035</v>
          </cell>
          <cell r="S146">
            <v>0</v>
          </cell>
          <cell r="T146">
            <v>0</v>
          </cell>
          <cell r="U146">
            <v>873035</v>
          </cell>
          <cell r="V146">
            <v>-1736490</v>
          </cell>
          <cell r="W146">
            <v>0</v>
          </cell>
          <cell r="X146">
            <v>0</v>
          </cell>
          <cell r="Y146">
            <v>-1736490</v>
          </cell>
          <cell r="Z146">
            <v>656470</v>
          </cell>
          <cell r="AA146">
            <v>656470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60284</v>
          </cell>
          <cell r="AJ146">
            <v>0</v>
          </cell>
          <cell r="AK146">
            <v>60284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438165</v>
          </cell>
          <cell r="BB146">
            <v>375072</v>
          </cell>
          <cell r="BC146">
            <v>63093</v>
          </cell>
          <cell r="BD146">
            <v>292110</v>
          </cell>
          <cell r="BE146">
            <v>250048</v>
          </cell>
          <cell r="BF146">
            <v>42062</v>
          </cell>
          <cell r="BG146">
            <v>0</v>
          </cell>
          <cell r="BH146">
            <v>0</v>
          </cell>
          <cell r="BI146">
            <v>0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276826380</v>
          </cell>
          <cell r="G147">
            <v>0</v>
          </cell>
          <cell r="H147">
            <v>0</v>
          </cell>
          <cell r="I147">
            <v>276826380</v>
          </cell>
          <cell r="J147">
            <v>277870404</v>
          </cell>
          <cell r="K147">
            <v>0</v>
          </cell>
          <cell r="L147">
            <v>0</v>
          </cell>
          <cell r="M147">
            <v>277870404</v>
          </cell>
          <cell r="N147">
            <v>-1044024</v>
          </cell>
          <cell r="O147">
            <v>0</v>
          </cell>
          <cell r="P147">
            <v>0</v>
          </cell>
          <cell r="Q147">
            <v>-1044024</v>
          </cell>
          <cell r="R147">
            <v>1245859</v>
          </cell>
          <cell r="S147">
            <v>0</v>
          </cell>
          <cell r="T147">
            <v>0</v>
          </cell>
          <cell r="U147">
            <v>1245859</v>
          </cell>
          <cell r="V147">
            <v>-2289883</v>
          </cell>
          <cell r="W147">
            <v>0</v>
          </cell>
          <cell r="X147">
            <v>0</v>
          </cell>
          <cell r="Y147">
            <v>-2289883</v>
          </cell>
          <cell r="Z147">
            <v>619513</v>
          </cell>
          <cell r="AA147">
            <v>619513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208510</v>
          </cell>
          <cell r="BB147">
            <v>160453</v>
          </cell>
          <cell r="BC147">
            <v>48057</v>
          </cell>
          <cell r="BD147">
            <v>139007</v>
          </cell>
          <cell r="BE147">
            <v>106969</v>
          </cell>
          <cell r="BF147">
            <v>32038</v>
          </cell>
          <cell r="BG147">
            <v>0</v>
          </cell>
          <cell r="BH147">
            <v>0</v>
          </cell>
          <cell r="BI147">
            <v>0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30779483</v>
          </cell>
          <cell r="G148">
            <v>0</v>
          </cell>
          <cell r="H148">
            <v>0</v>
          </cell>
          <cell r="I148">
            <v>30779483</v>
          </cell>
          <cell r="J148">
            <v>31075137</v>
          </cell>
          <cell r="K148">
            <v>0</v>
          </cell>
          <cell r="L148">
            <v>0</v>
          </cell>
          <cell r="M148">
            <v>31075137</v>
          </cell>
          <cell r="N148">
            <v>-295654</v>
          </cell>
          <cell r="O148">
            <v>0</v>
          </cell>
          <cell r="P148">
            <v>0</v>
          </cell>
          <cell r="Q148">
            <v>-295654</v>
          </cell>
          <cell r="R148">
            <v>-220999</v>
          </cell>
          <cell r="S148">
            <v>0</v>
          </cell>
          <cell r="T148">
            <v>0</v>
          </cell>
          <cell r="U148">
            <v>-220999</v>
          </cell>
          <cell r="V148">
            <v>-74655</v>
          </cell>
          <cell r="W148">
            <v>0</v>
          </cell>
          <cell r="X148">
            <v>0</v>
          </cell>
          <cell r="Y148">
            <v>-74655</v>
          </cell>
          <cell r="Z148">
            <v>110894</v>
          </cell>
          <cell r="AA148">
            <v>110894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298797</v>
          </cell>
          <cell r="BB148">
            <v>266545</v>
          </cell>
          <cell r="BC148">
            <v>32252</v>
          </cell>
          <cell r="BD148">
            <v>74699</v>
          </cell>
          <cell r="BE148">
            <v>66636</v>
          </cell>
          <cell r="BF148">
            <v>8063</v>
          </cell>
          <cell r="BG148">
            <v>0</v>
          </cell>
          <cell r="BH148">
            <v>0</v>
          </cell>
          <cell r="BI148">
            <v>0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51011601</v>
          </cell>
          <cell r="G149">
            <v>0</v>
          </cell>
          <cell r="H149">
            <v>0</v>
          </cell>
          <cell r="I149">
            <v>51011601</v>
          </cell>
          <cell r="J149">
            <v>50610262</v>
          </cell>
          <cell r="K149">
            <v>0</v>
          </cell>
          <cell r="L149">
            <v>0</v>
          </cell>
          <cell r="M149">
            <v>50610262</v>
          </cell>
          <cell r="N149">
            <v>401339</v>
          </cell>
          <cell r="O149">
            <v>0</v>
          </cell>
          <cell r="P149">
            <v>0</v>
          </cell>
          <cell r="Q149">
            <v>401339</v>
          </cell>
          <cell r="R149">
            <v>550605</v>
          </cell>
          <cell r="S149">
            <v>0</v>
          </cell>
          <cell r="T149">
            <v>0</v>
          </cell>
          <cell r="U149">
            <v>550605</v>
          </cell>
          <cell r="V149">
            <v>-149266</v>
          </cell>
          <cell r="W149">
            <v>0</v>
          </cell>
          <cell r="X149">
            <v>0</v>
          </cell>
          <cell r="Y149">
            <v>-149266</v>
          </cell>
          <cell r="Z149">
            <v>217154</v>
          </cell>
          <cell r="AA149">
            <v>217154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329248</v>
          </cell>
          <cell r="AJ149">
            <v>0</v>
          </cell>
          <cell r="AK149">
            <v>329248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615848</v>
          </cell>
          <cell r="BB149">
            <v>427962</v>
          </cell>
          <cell r="BC149">
            <v>187886</v>
          </cell>
          <cell r="BD149">
            <v>153962</v>
          </cell>
          <cell r="BE149">
            <v>106991</v>
          </cell>
          <cell r="BF149">
            <v>46971</v>
          </cell>
          <cell r="BG149">
            <v>0</v>
          </cell>
          <cell r="BH149">
            <v>0</v>
          </cell>
          <cell r="BI149">
            <v>0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87954916</v>
          </cell>
          <cell r="G150">
            <v>0</v>
          </cell>
          <cell r="H150">
            <v>0</v>
          </cell>
          <cell r="I150">
            <v>87954916</v>
          </cell>
          <cell r="J150">
            <v>91014526</v>
          </cell>
          <cell r="K150">
            <v>0</v>
          </cell>
          <cell r="L150">
            <v>0</v>
          </cell>
          <cell r="M150">
            <v>91014526</v>
          </cell>
          <cell r="N150">
            <v>-3059610</v>
          </cell>
          <cell r="O150">
            <v>0</v>
          </cell>
          <cell r="P150">
            <v>0</v>
          </cell>
          <cell r="Q150">
            <v>-3059610</v>
          </cell>
          <cell r="R150">
            <v>-162870</v>
          </cell>
          <cell r="S150">
            <v>0</v>
          </cell>
          <cell r="T150">
            <v>0</v>
          </cell>
          <cell r="U150">
            <v>-162870</v>
          </cell>
          <cell r="V150">
            <v>-2896740</v>
          </cell>
          <cell r="W150">
            <v>0</v>
          </cell>
          <cell r="X150">
            <v>0</v>
          </cell>
          <cell r="Y150">
            <v>-2896740</v>
          </cell>
          <cell r="Z150">
            <v>391992</v>
          </cell>
          <cell r="AA150">
            <v>377352</v>
          </cell>
          <cell r="AB150">
            <v>14640</v>
          </cell>
          <cell r="AC150">
            <v>0</v>
          </cell>
          <cell r="AD150">
            <v>44458</v>
          </cell>
          <cell r="AE150">
            <v>-44458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1275775</v>
          </cell>
          <cell r="BB150">
            <v>1071856</v>
          </cell>
          <cell r="BC150">
            <v>203919</v>
          </cell>
          <cell r="BD150">
            <v>0</v>
          </cell>
          <cell r="BE150">
            <v>0</v>
          </cell>
          <cell r="BF150">
            <v>0</v>
          </cell>
          <cell r="BG150">
            <v>26036</v>
          </cell>
          <cell r="BH150">
            <v>21875</v>
          </cell>
          <cell r="BI150">
            <v>4161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81228731</v>
          </cell>
          <cell r="G151">
            <v>0</v>
          </cell>
          <cell r="H151">
            <v>0</v>
          </cell>
          <cell r="I151">
            <v>81228731</v>
          </cell>
          <cell r="J151">
            <v>81764157.200000003</v>
          </cell>
          <cell r="K151">
            <v>0</v>
          </cell>
          <cell r="L151">
            <v>0</v>
          </cell>
          <cell r="M151">
            <v>81764157.200000003</v>
          </cell>
          <cell r="N151">
            <v>-535426.21</v>
          </cell>
          <cell r="O151">
            <v>0</v>
          </cell>
          <cell r="P151">
            <v>0</v>
          </cell>
          <cell r="Q151">
            <v>-535426.21</v>
          </cell>
          <cell r="R151">
            <v>-7858</v>
          </cell>
          <cell r="S151">
            <v>0</v>
          </cell>
          <cell r="T151">
            <v>0</v>
          </cell>
          <cell r="U151">
            <v>-7858</v>
          </cell>
          <cell r="V151">
            <v>-527568</v>
          </cell>
          <cell r="W151">
            <v>0</v>
          </cell>
          <cell r="X151">
            <v>0</v>
          </cell>
          <cell r="Y151">
            <v>-527568</v>
          </cell>
          <cell r="Z151">
            <v>257892</v>
          </cell>
          <cell r="AA151">
            <v>257892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343828</v>
          </cell>
          <cell r="BB151">
            <v>292428</v>
          </cell>
          <cell r="BC151">
            <v>51400</v>
          </cell>
          <cell r="BD151">
            <v>229219</v>
          </cell>
          <cell r="BE151">
            <v>194952</v>
          </cell>
          <cell r="BF151">
            <v>34267</v>
          </cell>
          <cell r="BG151">
            <v>0</v>
          </cell>
          <cell r="BH151">
            <v>0</v>
          </cell>
          <cell r="BI151">
            <v>0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129107387</v>
          </cell>
          <cell r="G152">
            <v>0</v>
          </cell>
          <cell r="H152">
            <v>0</v>
          </cell>
          <cell r="I152">
            <v>129107387</v>
          </cell>
          <cell r="J152">
            <v>129685057</v>
          </cell>
          <cell r="K152">
            <v>0</v>
          </cell>
          <cell r="L152">
            <v>0</v>
          </cell>
          <cell r="M152">
            <v>129685057</v>
          </cell>
          <cell r="N152">
            <v>-577670</v>
          </cell>
          <cell r="O152">
            <v>0</v>
          </cell>
          <cell r="P152">
            <v>0</v>
          </cell>
          <cell r="Q152">
            <v>-577670</v>
          </cell>
          <cell r="R152">
            <v>312391</v>
          </cell>
          <cell r="S152">
            <v>0</v>
          </cell>
          <cell r="T152">
            <v>0</v>
          </cell>
          <cell r="U152">
            <v>312391</v>
          </cell>
          <cell r="V152">
            <v>-890061</v>
          </cell>
          <cell r="W152">
            <v>0</v>
          </cell>
          <cell r="X152">
            <v>0</v>
          </cell>
          <cell r="Y152">
            <v>-890061</v>
          </cell>
          <cell r="Z152">
            <v>614074</v>
          </cell>
          <cell r="AA152">
            <v>614074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2756307</v>
          </cell>
          <cell r="BB152">
            <v>2358065</v>
          </cell>
          <cell r="BC152">
            <v>398242</v>
          </cell>
          <cell r="BD152">
            <v>0</v>
          </cell>
          <cell r="BE152">
            <v>0</v>
          </cell>
          <cell r="BF152">
            <v>0</v>
          </cell>
          <cell r="BG152">
            <v>56251</v>
          </cell>
          <cell r="BH152">
            <v>48124</v>
          </cell>
          <cell r="BI152">
            <v>8127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40007405</v>
          </cell>
          <cell r="G153">
            <v>0</v>
          </cell>
          <cell r="H153">
            <v>0</v>
          </cell>
          <cell r="I153">
            <v>40007405</v>
          </cell>
          <cell r="J153">
            <v>40521286</v>
          </cell>
          <cell r="K153">
            <v>0</v>
          </cell>
          <cell r="L153">
            <v>0</v>
          </cell>
          <cell r="M153">
            <v>40521286</v>
          </cell>
          <cell r="N153">
            <v>-513881</v>
          </cell>
          <cell r="O153">
            <v>0</v>
          </cell>
          <cell r="P153">
            <v>0</v>
          </cell>
          <cell r="Q153">
            <v>-513881</v>
          </cell>
          <cell r="R153">
            <v>2642</v>
          </cell>
          <cell r="S153">
            <v>0</v>
          </cell>
          <cell r="T153">
            <v>0</v>
          </cell>
          <cell r="U153">
            <v>2642</v>
          </cell>
          <cell r="V153">
            <v>-516523</v>
          </cell>
          <cell r="W153">
            <v>0</v>
          </cell>
          <cell r="X153">
            <v>0</v>
          </cell>
          <cell r="Y153">
            <v>-516523</v>
          </cell>
          <cell r="Z153">
            <v>135691</v>
          </cell>
          <cell r="AA153">
            <v>135691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405060</v>
          </cell>
          <cell r="BB153">
            <v>326159</v>
          </cell>
          <cell r="BC153">
            <v>78901</v>
          </cell>
          <cell r="BD153">
            <v>0</v>
          </cell>
          <cell r="BE153">
            <v>0</v>
          </cell>
          <cell r="BF153">
            <v>0</v>
          </cell>
          <cell r="BG153">
            <v>8267</v>
          </cell>
          <cell r="BH153">
            <v>6656</v>
          </cell>
          <cell r="BI153">
            <v>1611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123096528</v>
          </cell>
          <cell r="G154">
            <v>0</v>
          </cell>
          <cell r="H154">
            <v>0</v>
          </cell>
          <cell r="I154">
            <v>123096528</v>
          </cell>
          <cell r="J154">
            <v>123140410</v>
          </cell>
          <cell r="K154">
            <v>0</v>
          </cell>
          <cell r="L154">
            <v>0</v>
          </cell>
          <cell r="M154">
            <v>123140410</v>
          </cell>
          <cell r="N154">
            <v>-43882</v>
          </cell>
          <cell r="O154">
            <v>0</v>
          </cell>
          <cell r="P154">
            <v>0</v>
          </cell>
          <cell r="Q154">
            <v>-43882</v>
          </cell>
          <cell r="R154">
            <v>738692</v>
          </cell>
          <cell r="S154">
            <v>0</v>
          </cell>
          <cell r="T154">
            <v>0</v>
          </cell>
          <cell r="U154">
            <v>738692</v>
          </cell>
          <cell r="V154">
            <v>-782574</v>
          </cell>
          <cell r="W154">
            <v>0</v>
          </cell>
          <cell r="X154">
            <v>0</v>
          </cell>
          <cell r="Y154">
            <v>-782574</v>
          </cell>
          <cell r="Z154">
            <v>480534</v>
          </cell>
          <cell r="AA154">
            <v>480534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774740</v>
          </cell>
          <cell r="BB154">
            <v>655510</v>
          </cell>
          <cell r="BC154">
            <v>119230</v>
          </cell>
          <cell r="BD154">
            <v>516493</v>
          </cell>
          <cell r="BE154">
            <v>437007</v>
          </cell>
          <cell r="BF154">
            <v>79486</v>
          </cell>
          <cell r="BG154">
            <v>0</v>
          </cell>
          <cell r="BH154">
            <v>0</v>
          </cell>
          <cell r="BI154">
            <v>0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84346429</v>
          </cell>
          <cell r="G155">
            <v>0</v>
          </cell>
          <cell r="H155">
            <v>0</v>
          </cell>
          <cell r="I155">
            <v>84346429</v>
          </cell>
          <cell r="J155">
            <v>64966772</v>
          </cell>
          <cell r="K155">
            <v>0</v>
          </cell>
          <cell r="L155">
            <v>0</v>
          </cell>
          <cell r="M155">
            <v>64966772</v>
          </cell>
          <cell r="N155">
            <v>19379657</v>
          </cell>
          <cell r="O155">
            <v>0</v>
          </cell>
          <cell r="P155">
            <v>0</v>
          </cell>
          <cell r="Q155">
            <v>19379657</v>
          </cell>
          <cell r="R155">
            <v>19804663</v>
          </cell>
          <cell r="S155">
            <v>0</v>
          </cell>
          <cell r="T155">
            <v>0</v>
          </cell>
          <cell r="U155">
            <v>19804663</v>
          </cell>
          <cell r="V155">
            <v>-425006</v>
          </cell>
          <cell r="W155">
            <v>0</v>
          </cell>
          <cell r="X155">
            <v>0</v>
          </cell>
          <cell r="Y155">
            <v>-425006</v>
          </cell>
          <cell r="Z155">
            <v>233004</v>
          </cell>
          <cell r="AA155">
            <v>233004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169560</v>
          </cell>
          <cell r="AK155">
            <v>-169560</v>
          </cell>
          <cell r="AL155">
            <v>0</v>
          </cell>
          <cell r="AM155">
            <v>42390</v>
          </cell>
          <cell r="AN155">
            <v>-42390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621031</v>
          </cell>
          <cell r="BB155">
            <v>547294</v>
          </cell>
          <cell r="BC155">
            <v>73737</v>
          </cell>
          <cell r="BD155">
            <v>139732</v>
          </cell>
          <cell r="BE155">
            <v>123141</v>
          </cell>
          <cell r="BF155">
            <v>16591</v>
          </cell>
          <cell r="BG155">
            <v>15526</v>
          </cell>
          <cell r="BH155">
            <v>13682</v>
          </cell>
          <cell r="BI155">
            <v>1844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420575841</v>
          </cell>
          <cell r="G156">
            <v>0</v>
          </cell>
          <cell r="H156">
            <v>898590</v>
          </cell>
          <cell r="I156">
            <v>421474431</v>
          </cell>
          <cell r="J156">
            <v>421854380</v>
          </cell>
          <cell r="K156">
            <v>0</v>
          </cell>
          <cell r="L156">
            <v>898590</v>
          </cell>
          <cell r="M156">
            <v>422752970</v>
          </cell>
          <cell r="N156">
            <v>-1278539</v>
          </cell>
          <cell r="O156">
            <v>0</v>
          </cell>
          <cell r="P156">
            <v>0</v>
          </cell>
          <cell r="Q156">
            <v>-1278539</v>
          </cell>
          <cell r="R156">
            <v>770205</v>
          </cell>
          <cell r="S156">
            <v>0</v>
          </cell>
          <cell r="T156">
            <v>0</v>
          </cell>
          <cell r="U156">
            <v>770205</v>
          </cell>
          <cell r="V156">
            <v>-2048744</v>
          </cell>
          <cell r="W156">
            <v>0</v>
          </cell>
          <cell r="X156">
            <v>0</v>
          </cell>
          <cell r="Y156">
            <v>-2048744</v>
          </cell>
          <cell r="Z156">
            <v>1234002</v>
          </cell>
          <cell r="AA156">
            <v>1234002</v>
          </cell>
          <cell r="AB156">
            <v>0</v>
          </cell>
          <cell r="AC156">
            <v>0</v>
          </cell>
          <cell r="AD156">
            <v>150019</v>
          </cell>
          <cell r="AE156">
            <v>-150019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274990</v>
          </cell>
          <cell r="AP156">
            <v>150000</v>
          </cell>
          <cell r="AQ156">
            <v>124990</v>
          </cell>
          <cell r="AR156">
            <v>274990</v>
          </cell>
          <cell r="AS156">
            <v>150000</v>
          </cell>
          <cell r="AT156">
            <v>124990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3709337</v>
          </cell>
          <cell r="BB156">
            <v>3206282</v>
          </cell>
          <cell r="BC156">
            <v>503055</v>
          </cell>
          <cell r="BD156">
            <v>0</v>
          </cell>
          <cell r="BE156">
            <v>0</v>
          </cell>
          <cell r="BF156">
            <v>0</v>
          </cell>
          <cell r="BG156">
            <v>75701</v>
          </cell>
          <cell r="BH156">
            <v>65434</v>
          </cell>
          <cell r="BI156">
            <v>10267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100116135</v>
          </cell>
          <cell r="G157">
            <v>0</v>
          </cell>
          <cell r="H157">
            <v>0</v>
          </cell>
          <cell r="I157">
            <v>100116135</v>
          </cell>
          <cell r="J157">
            <v>100496322</v>
          </cell>
          <cell r="K157">
            <v>0</v>
          </cell>
          <cell r="L157">
            <v>0</v>
          </cell>
          <cell r="M157">
            <v>100496322</v>
          </cell>
          <cell r="N157">
            <v>-380187</v>
          </cell>
          <cell r="O157">
            <v>0</v>
          </cell>
          <cell r="P157">
            <v>0</v>
          </cell>
          <cell r="Q157">
            <v>-380187</v>
          </cell>
          <cell r="R157">
            <v>-44911</v>
          </cell>
          <cell r="S157">
            <v>0</v>
          </cell>
          <cell r="T157">
            <v>0</v>
          </cell>
          <cell r="U157">
            <v>-44911</v>
          </cell>
          <cell r="V157">
            <v>-335276</v>
          </cell>
          <cell r="W157">
            <v>0</v>
          </cell>
          <cell r="X157">
            <v>0</v>
          </cell>
          <cell r="Y157">
            <v>-335276</v>
          </cell>
          <cell r="Z157">
            <v>488470</v>
          </cell>
          <cell r="AA157">
            <v>488470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1912103</v>
          </cell>
          <cell r="BB157">
            <v>1630407</v>
          </cell>
          <cell r="BC157">
            <v>281696</v>
          </cell>
          <cell r="BD157">
            <v>0</v>
          </cell>
          <cell r="BE157">
            <v>0</v>
          </cell>
          <cell r="BF157">
            <v>0</v>
          </cell>
          <cell r="BG157">
            <v>39023</v>
          </cell>
          <cell r="BH157">
            <v>33274</v>
          </cell>
          <cell r="BI157">
            <v>5749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23894957</v>
          </cell>
          <cell r="G158">
            <v>0</v>
          </cell>
          <cell r="H158">
            <v>0</v>
          </cell>
          <cell r="I158">
            <v>23894957</v>
          </cell>
          <cell r="J158">
            <v>23873157</v>
          </cell>
          <cell r="K158">
            <v>0</v>
          </cell>
          <cell r="L158">
            <v>0</v>
          </cell>
          <cell r="M158">
            <v>23873157</v>
          </cell>
          <cell r="N158">
            <v>21800</v>
          </cell>
          <cell r="O158">
            <v>0</v>
          </cell>
          <cell r="P158">
            <v>0</v>
          </cell>
          <cell r="Q158">
            <v>21800</v>
          </cell>
          <cell r="R158">
            <v>172100</v>
          </cell>
          <cell r="S158">
            <v>0</v>
          </cell>
          <cell r="T158">
            <v>0</v>
          </cell>
          <cell r="U158">
            <v>172100</v>
          </cell>
          <cell r="V158">
            <v>-150300</v>
          </cell>
          <cell r="W158">
            <v>0</v>
          </cell>
          <cell r="X158">
            <v>0</v>
          </cell>
          <cell r="Y158">
            <v>-150300</v>
          </cell>
          <cell r="Z158">
            <v>128276</v>
          </cell>
          <cell r="AA158">
            <v>128276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418774</v>
          </cell>
          <cell r="BB158">
            <v>342203</v>
          </cell>
          <cell r="BC158">
            <v>76571</v>
          </cell>
          <cell r="BD158">
            <v>94224</v>
          </cell>
          <cell r="BE158">
            <v>76996</v>
          </cell>
          <cell r="BF158">
            <v>17228</v>
          </cell>
          <cell r="BG158">
            <v>10469</v>
          </cell>
          <cell r="BH158">
            <v>8555</v>
          </cell>
          <cell r="BI158">
            <v>1914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51497915</v>
          </cell>
          <cell r="G159">
            <v>0</v>
          </cell>
          <cell r="H159">
            <v>0</v>
          </cell>
          <cell r="I159">
            <v>51497915</v>
          </cell>
          <cell r="J159">
            <v>51466728</v>
          </cell>
          <cell r="K159">
            <v>0</v>
          </cell>
          <cell r="L159">
            <v>0</v>
          </cell>
          <cell r="M159">
            <v>51466728</v>
          </cell>
          <cell r="N159">
            <v>31187</v>
          </cell>
          <cell r="O159">
            <v>0</v>
          </cell>
          <cell r="P159">
            <v>0</v>
          </cell>
          <cell r="Q159">
            <v>31187</v>
          </cell>
          <cell r="R159">
            <v>84562</v>
          </cell>
          <cell r="S159">
            <v>0</v>
          </cell>
          <cell r="T159">
            <v>0</v>
          </cell>
          <cell r="U159">
            <v>84562</v>
          </cell>
          <cell r="V159">
            <v>-53375</v>
          </cell>
          <cell r="W159">
            <v>0</v>
          </cell>
          <cell r="X159">
            <v>0</v>
          </cell>
          <cell r="Y159">
            <v>-53375</v>
          </cell>
          <cell r="Z159">
            <v>309920</v>
          </cell>
          <cell r="AA159">
            <v>306296</v>
          </cell>
          <cell r="AB159">
            <v>3624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688474</v>
          </cell>
          <cell r="BB159">
            <v>587849</v>
          </cell>
          <cell r="BC159">
            <v>100625</v>
          </cell>
          <cell r="BD159">
            <v>458983</v>
          </cell>
          <cell r="BE159">
            <v>391900</v>
          </cell>
          <cell r="BF159">
            <v>67083</v>
          </cell>
          <cell r="BG159">
            <v>0</v>
          </cell>
          <cell r="BH159">
            <v>0</v>
          </cell>
          <cell r="BI159">
            <v>0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114282</v>
          </cell>
          <cell r="G160">
            <v>0</v>
          </cell>
          <cell r="H160">
            <v>0</v>
          </cell>
          <cell r="I160">
            <v>114282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114282</v>
          </cell>
          <cell r="O160">
            <v>0</v>
          </cell>
          <cell r="P160">
            <v>0</v>
          </cell>
          <cell r="Q160">
            <v>114282</v>
          </cell>
          <cell r="R160">
            <v>-2290083</v>
          </cell>
          <cell r="S160">
            <v>0</v>
          </cell>
          <cell r="T160">
            <v>0</v>
          </cell>
          <cell r="U160">
            <v>-2290083</v>
          </cell>
          <cell r="V160">
            <v>2404365</v>
          </cell>
          <cell r="W160">
            <v>0</v>
          </cell>
          <cell r="X160">
            <v>0</v>
          </cell>
          <cell r="Y160">
            <v>2404365</v>
          </cell>
          <cell r="Z160">
            <v>125090</v>
          </cell>
          <cell r="AA160">
            <v>125090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309614</v>
          </cell>
          <cell r="BB160">
            <v>234198</v>
          </cell>
          <cell r="BC160">
            <v>75416</v>
          </cell>
          <cell r="BD160">
            <v>69663</v>
          </cell>
          <cell r="BE160">
            <v>52695</v>
          </cell>
          <cell r="BF160">
            <v>16968</v>
          </cell>
          <cell r="BG160">
            <v>7740</v>
          </cell>
          <cell r="BH160">
            <v>5855</v>
          </cell>
          <cell r="BI160">
            <v>1885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40693329</v>
          </cell>
          <cell r="G161">
            <v>0</v>
          </cell>
          <cell r="H161">
            <v>0</v>
          </cell>
          <cell r="I161">
            <v>40693329</v>
          </cell>
          <cell r="J161">
            <v>40938983</v>
          </cell>
          <cell r="K161">
            <v>0</v>
          </cell>
          <cell r="L161">
            <v>0</v>
          </cell>
          <cell r="M161">
            <v>40938983</v>
          </cell>
          <cell r="N161">
            <v>-245654</v>
          </cell>
          <cell r="O161">
            <v>0</v>
          </cell>
          <cell r="P161">
            <v>0</v>
          </cell>
          <cell r="Q161">
            <v>-245654</v>
          </cell>
          <cell r="R161">
            <v>1873</v>
          </cell>
          <cell r="S161">
            <v>0</v>
          </cell>
          <cell r="T161">
            <v>0</v>
          </cell>
          <cell r="U161">
            <v>1873</v>
          </cell>
          <cell r="V161">
            <v>-247527</v>
          </cell>
          <cell r="W161">
            <v>0</v>
          </cell>
          <cell r="X161">
            <v>0</v>
          </cell>
          <cell r="Y161">
            <v>-247527</v>
          </cell>
          <cell r="Z161">
            <v>151340</v>
          </cell>
          <cell r="AA161">
            <v>151340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352179</v>
          </cell>
          <cell r="BB161">
            <v>305275</v>
          </cell>
          <cell r="BC161">
            <v>46904</v>
          </cell>
          <cell r="BD161">
            <v>88045</v>
          </cell>
          <cell r="BE161">
            <v>76319</v>
          </cell>
          <cell r="BF161">
            <v>11726</v>
          </cell>
          <cell r="BG161">
            <v>0</v>
          </cell>
          <cell r="BH161">
            <v>0</v>
          </cell>
          <cell r="BI161">
            <v>0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159774699</v>
          </cell>
          <cell r="G162">
            <v>0</v>
          </cell>
          <cell r="H162">
            <v>29141448</v>
          </cell>
          <cell r="I162">
            <v>188916147</v>
          </cell>
          <cell r="J162">
            <v>162027486</v>
          </cell>
          <cell r="K162">
            <v>0</v>
          </cell>
          <cell r="L162">
            <v>29077964</v>
          </cell>
          <cell r="M162">
            <v>191105450</v>
          </cell>
          <cell r="N162">
            <v>-2252787</v>
          </cell>
          <cell r="O162">
            <v>0</v>
          </cell>
          <cell r="P162">
            <v>63484</v>
          </cell>
          <cell r="Q162">
            <v>-2189303</v>
          </cell>
          <cell r="R162">
            <v>1145148</v>
          </cell>
          <cell r="S162">
            <v>0</v>
          </cell>
          <cell r="T162">
            <v>0</v>
          </cell>
          <cell r="U162">
            <v>1145148</v>
          </cell>
          <cell r="V162">
            <v>-3397935</v>
          </cell>
          <cell r="W162">
            <v>0</v>
          </cell>
          <cell r="X162">
            <v>63484</v>
          </cell>
          <cell r="Y162">
            <v>-3334451</v>
          </cell>
          <cell r="Z162">
            <v>762931</v>
          </cell>
          <cell r="AA162">
            <v>762931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1999454</v>
          </cell>
          <cell r="BB162">
            <v>1749637</v>
          </cell>
          <cell r="BC162">
            <v>249817</v>
          </cell>
          <cell r="BD162">
            <v>0</v>
          </cell>
          <cell r="BE162">
            <v>0</v>
          </cell>
          <cell r="BF162">
            <v>0</v>
          </cell>
          <cell r="BG162">
            <v>36515</v>
          </cell>
          <cell r="BH162">
            <v>35707</v>
          </cell>
          <cell r="BI162">
            <v>808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844471</v>
          </cell>
          <cell r="G163">
            <v>0</v>
          </cell>
          <cell r="H163">
            <v>0</v>
          </cell>
          <cell r="I163">
            <v>844471</v>
          </cell>
          <cell r="J163">
            <v>177664</v>
          </cell>
          <cell r="K163">
            <v>0</v>
          </cell>
          <cell r="L163">
            <v>0</v>
          </cell>
          <cell r="M163">
            <v>177664</v>
          </cell>
          <cell r="N163">
            <v>666807</v>
          </cell>
          <cell r="O163">
            <v>0</v>
          </cell>
          <cell r="P163">
            <v>0</v>
          </cell>
          <cell r="Q163">
            <v>666807</v>
          </cell>
          <cell r="R163">
            <v>1754424</v>
          </cell>
          <cell r="S163">
            <v>0</v>
          </cell>
          <cell r="T163">
            <v>0</v>
          </cell>
          <cell r="U163">
            <v>1754424</v>
          </cell>
          <cell r="V163">
            <v>-1087617</v>
          </cell>
          <cell r="W163">
            <v>0</v>
          </cell>
          <cell r="X163">
            <v>0</v>
          </cell>
          <cell r="Y163">
            <v>-1087617</v>
          </cell>
          <cell r="Z163">
            <v>259196</v>
          </cell>
          <cell r="AA163">
            <v>259196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637662</v>
          </cell>
          <cell r="BB163">
            <v>540257</v>
          </cell>
          <cell r="BC163">
            <v>97405</v>
          </cell>
          <cell r="BD163">
            <v>0</v>
          </cell>
          <cell r="BE163">
            <v>0</v>
          </cell>
          <cell r="BF163">
            <v>0</v>
          </cell>
          <cell r="BG163">
            <v>13014</v>
          </cell>
          <cell r="BH163">
            <v>11026</v>
          </cell>
          <cell r="BI163">
            <v>1988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162181</v>
          </cell>
          <cell r="G164">
            <v>0</v>
          </cell>
          <cell r="H164">
            <v>0</v>
          </cell>
          <cell r="I164">
            <v>162181</v>
          </cell>
          <cell r="J164">
            <v>139544</v>
          </cell>
          <cell r="K164">
            <v>0</v>
          </cell>
          <cell r="L164">
            <v>0</v>
          </cell>
          <cell r="M164">
            <v>139544</v>
          </cell>
          <cell r="N164">
            <v>-22637</v>
          </cell>
          <cell r="O164">
            <v>0</v>
          </cell>
          <cell r="P164">
            <v>0</v>
          </cell>
          <cell r="Q164">
            <v>-22637</v>
          </cell>
          <cell r="R164">
            <v>-34150</v>
          </cell>
          <cell r="S164">
            <v>0</v>
          </cell>
          <cell r="T164">
            <v>0</v>
          </cell>
          <cell r="U164">
            <v>-34150</v>
          </cell>
          <cell r="V164">
            <v>11513</v>
          </cell>
          <cell r="W164">
            <v>0</v>
          </cell>
          <cell r="X164">
            <v>0</v>
          </cell>
          <cell r="Y164">
            <v>11513</v>
          </cell>
          <cell r="Z164">
            <v>206754</v>
          </cell>
          <cell r="AA164">
            <v>206754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438780</v>
          </cell>
          <cell r="BB164">
            <v>350436</v>
          </cell>
          <cell r="BC164">
            <v>88344</v>
          </cell>
          <cell r="BD164">
            <v>98726</v>
          </cell>
          <cell r="BE164">
            <v>78848</v>
          </cell>
          <cell r="BF164">
            <v>19878</v>
          </cell>
          <cell r="BG164">
            <v>10970</v>
          </cell>
          <cell r="BH164">
            <v>8761</v>
          </cell>
          <cell r="BI164">
            <v>2209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13095653</v>
          </cell>
          <cell r="G165">
            <v>0</v>
          </cell>
          <cell r="H165">
            <v>0</v>
          </cell>
          <cell r="I165">
            <v>13095653</v>
          </cell>
          <cell r="J165">
            <v>13038459</v>
          </cell>
          <cell r="K165">
            <v>0</v>
          </cell>
          <cell r="L165">
            <v>0</v>
          </cell>
          <cell r="M165">
            <v>13038459</v>
          </cell>
          <cell r="N165">
            <v>57194</v>
          </cell>
          <cell r="O165">
            <v>0</v>
          </cell>
          <cell r="P165">
            <v>0</v>
          </cell>
          <cell r="Q165">
            <v>57194</v>
          </cell>
          <cell r="R165">
            <v>48795</v>
          </cell>
          <cell r="S165">
            <v>0</v>
          </cell>
          <cell r="T165">
            <v>0</v>
          </cell>
          <cell r="U165">
            <v>48795</v>
          </cell>
          <cell r="V165">
            <v>8399</v>
          </cell>
          <cell r="W165">
            <v>0</v>
          </cell>
          <cell r="X165">
            <v>0</v>
          </cell>
          <cell r="Y165">
            <v>8399</v>
          </cell>
          <cell r="Z165">
            <v>92237</v>
          </cell>
          <cell r="AA165">
            <v>92237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164760</v>
          </cell>
          <cell r="AJ165">
            <v>0</v>
          </cell>
          <cell r="AK165">
            <v>164760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339455</v>
          </cell>
          <cell r="BB165">
            <v>282198</v>
          </cell>
          <cell r="BC165">
            <v>57257</v>
          </cell>
          <cell r="BD165">
            <v>76377</v>
          </cell>
          <cell r="BE165">
            <v>63494</v>
          </cell>
          <cell r="BF165">
            <v>12883</v>
          </cell>
          <cell r="BG165">
            <v>8486</v>
          </cell>
          <cell r="BH165">
            <v>7055</v>
          </cell>
          <cell r="BI165">
            <v>1431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14604286</v>
          </cell>
          <cell r="G166">
            <v>0</v>
          </cell>
          <cell r="H166">
            <v>0</v>
          </cell>
          <cell r="I166">
            <v>14604286</v>
          </cell>
          <cell r="J166">
            <v>14624439</v>
          </cell>
          <cell r="K166">
            <v>0</v>
          </cell>
          <cell r="L166">
            <v>0</v>
          </cell>
          <cell r="M166">
            <v>14624439</v>
          </cell>
          <cell r="N166">
            <v>-20153</v>
          </cell>
          <cell r="O166">
            <v>0</v>
          </cell>
          <cell r="P166">
            <v>0</v>
          </cell>
          <cell r="Q166">
            <v>-20153</v>
          </cell>
          <cell r="R166">
            <v>79194</v>
          </cell>
          <cell r="S166">
            <v>0</v>
          </cell>
          <cell r="T166">
            <v>0</v>
          </cell>
          <cell r="U166">
            <v>79194</v>
          </cell>
          <cell r="V166">
            <v>-99347</v>
          </cell>
          <cell r="W166">
            <v>0</v>
          </cell>
          <cell r="X166">
            <v>0</v>
          </cell>
          <cell r="Y166">
            <v>-99347</v>
          </cell>
          <cell r="Z166">
            <v>107953</v>
          </cell>
          <cell r="AA166">
            <v>107953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376874</v>
          </cell>
          <cell r="BB166">
            <v>325962</v>
          </cell>
          <cell r="BC166">
            <v>50912</v>
          </cell>
          <cell r="BD166">
            <v>84797</v>
          </cell>
          <cell r="BE166">
            <v>73342</v>
          </cell>
          <cell r="BF166">
            <v>11455</v>
          </cell>
          <cell r="BG166">
            <v>9422</v>
          </cell>
          <cell r="BH166">
            <v>8149</v>
          </cell>
          <cell r="BI166">
            <v>1273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310802441</v>
          </cell>
          <cell r="G167">
            <v>0</v>
          </cell>
          <cell r="H167">
            <v>4329964</v>
          </cell>
          <cell r="I167">
            <v>315132405</v>
          </cell>
          <cell r="J167">
            <v>314461316</v>
          </cell>
          <cell r="K167">
            <v>0</v>
          </cell>
          <cell r="L167">
            <v>4385577</v>
          </cell>
          <cell r="M167">
            <v>318846893</v>
          </cell>
          <cell r="N167">
            <v>-3658875</v>
          </cell>
          <cell r="O167">
            <v>0</v>
          </cell>
          <cell r="P167">
            <v>-55613</v>
          </cell>
          <cell r="Q167">
            <v>-3714488</v>
          </cell>
          <cell r="R167">
            <v>982316</v>
          </cell>
          <cell r="S167">
            <v>0</v>
          </cell>
          <cell r="T167">
            <v>0</v>
          </cell>
          <cell r="U167">
            <v>982316</v>
          </cell>
          <cell r="V167">
            <v>-4641191</v>
          </cell>
          <cell r="W167">
            <v>0</v>
          </cell>
          <cell r="X167">
            <v>-55613</v>
          </cell>
          <cell r="Y167">
            <v>-4696804</v>
          </cell>
          <cell r="Z167">
            <v>1108164</v>
          </cell>
          <cell r="AA167">
            <v>1108164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302645</v>
          </cell>
          <cell r="AP167">
            <v>40153</v>
          </cell>
          <cell r="AQ167">
            <v>262492</v>
          </cell>
          <cell r="AR167">
            <v>302645</v>
          </cell>
          <cell r="AS167">
            <v>0</v>
          </cell>
          <cell r="AT167">
            <v>302645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2223396</v>
          </cell>
          <cell r="BB167">
            <v>1730475</v>
          </cell>
          <cell r="BC167">
            <v>492921</v>
          </cell>
          <cell r="BD167">
            <v>0</v>
          </cell>
          <cell r="BE167">
            <v>0</v>
          </cell>
          <cell r="BF167">
            <v>0</v>
          </cell>
          <cell r="BG167">
            <v>45147</v>
          </cell>
          <cell r="BH167">
            <v>35316</v>
          </cell>
          <cell r="BI167">
            <v>9831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28335096</v>
          </cell>
          <cell r="G168">
            <v>0</v>
          </cell>
          <cell r="H168">
            <v>0</v>
          </cell>
          <cell r="I168">
            <v>28335096</v>
          </cell>
          <cell r="J168">
            <v>28443692</v>
          </cell>
          <cell r="K168">
            <v>0</v>
          </cell>
          <cell r="L168">
            <v>0</v>
          </cell>
          <cell r="M168">
            <v>28443692</v>
          </cell>
          <cell r="N168">
            <v>-108596</v>
          </cell>
          <cell r="O168">
            <v>0</v>
          </cell>
          <cell r="P168">
            <v>0</v>
          </cell>
          <cell r="Q168">
            <v>-108596</v>
          </cell>
          <cell r="R168">
            <v>-108539</v>
          </cell>
          <cell r="S168">
            <v>0</v>
          </cell>
          <cell r="T168">
            <v>0</v>
          </cell>
          <cell r="U168">
            <v>-108539</v>
          </cell>
          <cell r="V168">
            <v>-57</v>
          </cell>
          <cell r="W168">
            <v>0</v>
          </cell>
          <cell r="X168">
            <v>0</v>
          </cell>
          <cell r="Y168">
            <v>-57</v>
          </cell>
          <cell r="Z168">
            <v>129143</v>
          </cell>
          <cell r="AA168">
            <v>129143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321319</v>
          </cell>
          <cell r="BB168">
            <v>129492</v>
          </cell>
          <cell r="BC168">
            <v>191827</v>
          </cell>
          <cell r="BD168">
            <v>72297</v>
          </cell>
          <cell r="BE168">
            <v>29136</v>
          </cell>
          <cell r="BF168">
            <v>43161</v>
          </cell>
          <cell r="BG168">
            <v>8033</v>
          </cell>
          <cell r="BH168">
            <v>3237</v>
          </cell>
          <cell r="BI168">
            <v>4796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87779483</v>
          </cell>
          <cell r="G169">
            <v>0</v>
          </cell>
          <cell r="H169">
            <v>0</v>
          </cell>
          <cell r="I169">
            <v>87779483</v>
          </cell>
          <cell r="J169">
            <v>86241874</v>
          </cell>
          <cell r="K169">
            <v>0</v>
          </cell>
          <cell r="L169">
            <v>0</v>
          </cell>
          <cell r="M169">
            <v>86241874</v>
          </cell>
          <cell r="N169">
            <v>1537609</v>
          </cell>
          <cell r="O169">
            <v>0</v>
          </cell>
          <cell r="P169">
            <v>0</v>
          </cell>
          <cell r="Q169">
            <v>1537609</v>
          </cell>
          <cell r="R169">
            <v>2061330</v>
          </cell>
          <cell r="S169">
            <v>0</v>
          </cell>
          <cell r="T169">
            <v>0</v>
          </cell>
          <cell r="U169">
            <v>2061330</v>
          </cell>
          <cell r="V169">
            <v>-523721</v>
          </cell>
          <cell r="W169">
            <v>0</v>
          </cell>
          <cell r="X169">
            <v>0</v>
          </cell>
          <cell r="Y169">
            <v>-523721</v>
          </cell>
          <cell r="Z169">
            <v>292567</v>
          </cell>
          <cell r="AA169">
            <v>292567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889449</v>
          </cell>
          <cell r="BB169">
            <v>751843</v>
          </cell>
          <cell r="BC169">
            <v>137606</v>
          </cell>
          <cell r="BD169">
            <v>0</v>
          </cell>
          <cell r="BE169">
            <v>0</v>
          </cell>
          <cell r="BF169">
            <v>0</v>
          </cell>
          <cell r="BG169">
            <v>18152</v>
          </cell>
          <cell r="BH169">
            <v>15344</v>
          </cell>
          <cell r="BI169">
            <v>2808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12911296</v>
          </cell>
          <cell r="G170">
            <v>0</v>
          </cell>
          <cell r="H170">
            <v>0</v>
          </cell>
          <cell r="I170">
            <v>12911296</v>
          </cell>
          <cell r="J170">
            <v>12851810</v>
          </cell>
          <cell r="K170">
            <v>0</v>
          </cell>
          <cell r="L170">
            <v>0</v>
          </cell>
          <cell r="M170">
            <v>12851810</v>
          </cell>
          <cell r="N170">
            <v>59486</v>
          </cell>
          <cell r="O170">
            <v>0</v>
          </cell>
          <cell r="P170">
            <v>0</v>
          </cell>
          <cell r="Q170">
            <v>59486</v>
          </cell>
          <cell r="R170">
            <v>65491</v>
          </cell>
          <cell r="S170">
            <v>0</v>
          </cell>
          <cell r="T170">
            <v>0</v>
          </cell>
          <cell r="U170">
            <v>65491</v>
          </cell>
          <cell r="V170">
            <v>-6005</v>
          </cell>
          <cell r="W170">
            <v>0</v>
          </cell>
          <cell r="X170">
            <v>0</v>
          </cell>
          <cell r="Y170">
            <v>-6005</v>
          </cell>
          <cell r="Z170">
            <v>61924</v>
          </cell>
          <cell r="AA170">
            <v>61924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201537</v>
          </cell>
          <cell r="BB170">
            <v>167596</v>
          </cell>
          <cell r="BC170">
            <v>33941</v>
          </cell>
          <cell r="BD170">
            <v>45346</v>
          </cell>
          <cell r="BE170">
            <v>37709</v>
          </cell>
          <cell r="BF170">
            <v>7637</v>
          </cell>
          <cell r="BG170">
            <v>5038</v>
          </cell>
          <cell r="BH170">
            <v>4190</v>
          </cell>
          <cell r="BI170">
            <v>848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33159160</v>
          </cell>
          <cell r="G171">
            <v>0</v>
          </cell>
          <cell r="H171">
            <v>0</v>
          </cell>
          <cell r="I171">
            <v>33159160</v>
          </cell>
          <cell r="J171">
            <v>33206338</v>
          </cell>
          <cell r="K171">
            <v>0</v>
          </cell>
          <cell r="L171">
            <v>0</v>
          </cell>
          <cell r="M171">
            <v>33206338</v>
          </cell>
          <cell r="N171">
            <v>-47178</v>
          </cell>
          <cell r="O171">
            <v>0</v>
          </cell>
          <cell r="P171">
            <v>0</v>
          </cell>
          <cell r="Q171">
            <v>-47178</v>
          </cell>
          <cell r="R171">
            <v>226081</v>
          </cell>
          <cell r="S171">
            <v>0</v>
          </cell>
          <cell r="T171">
            <v>0</v>
          </cell>
          <cell r="U171">
            <v>226081</v>
          </cell>
          <cell r="V171">
            <v>-273259</v>
          </cell>
          <cell r="W171">
            <v>0</v>
          </cell>
          <cell r="X171">
            <v>0</v>
          </cell>
          <cell r="Y171">
            <v>-273259</v>
          </cell>
          <cell r="Z171">
            <v>162892</v>
          </cell>
          <cell r="AA171">
            <v>162142</v>
          </cell>
          <cell r="AB171">
            <v>750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568509</v>
          </cell>
          <cell r="BB171">
            <v>464081</v>
          </cell>
          <cell r="BC171">
            <v>104428</v>
          </cell>
          <cell r="BD171">
            <v>127915</v>
          </cell>
          <cell r="BE171">
            <v>104418</v>
          </cell>
          <cell r="BF171">
            <v>23497</v>
          </cell>
          <cell r="BG171">
            <v>14213</v>
          </cell>
          <cell r="BH171">
            <v>11602</v>
          </cell>
          <cell r="BI171">
            <v>2611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92668700</v>
          </cell>
          <cell r="G172">
            <v>0</v>
          </cell>
          <cell r="H172">
            <v>0</v>
          </cell>
          <cell r="I172">
            <v>92668700</v>
          </cell>
          <cell r="J172">
            <v>92839362</v>
          </cell>
          <cell r="K172">
            <v>0</v>
          </cell>
          <cell r="L172">
            <v>0</v>
          </cell>
          <cell r="M172">
            <v>92839362</v>
          </cell>
          <cell r="N172">
            <v>-170662</v>
          </cell>
          <cell r="O172">
            <v>0</v>
          </cell>
          <cell r="P172">
            <v>0</v>
          </cell>
          <cell r="Q172">
            <v>-170662</v>
          </cell>
          <cell r="R172">
            <v>98736</v>
          </cell>
          <cell r="S172">
            <v>0</v>
          </cell>
          <cell r="T172">
            <v>0</v>
          </cell>
          <cell r="U172">
            <v>98736</v>
          </cell>
          <cell r="V172">
            <v>-269398</v>
          </cell>
          <cell r="W172">
            <v>0</v>
          </cell>
          <cell r="X172">
            <v>0</v>
          </cell>
          <cell r="Y172">
            <v>-269398</v>
          </cell>
          <cell r="Z172">
            <v>280580</v>
          </cell>
          <cell r="AA172">
            <v>280580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400786</v>
          </cell>
          <cell r="BB172">
            <v>345860</v>
          </cell>
          <cell r="BC172">
            <v>54926</v>
          </cell>
          <cell r="BD172">
            <v>267191</v>
          </cell>
          <cell r="BE172">
            <v>230574</v>
          </cell>
          <cell r="BF172">
            <v>36617</v>
          </cell>
          <cell r="BG172">
            <v>0</v>
          </cell>
          <cell r="BH172">
            <v>0</v>
          </cell>
          <cell r="BI172">
            <v>0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18302570.399999999</v>
          </cell>
          <cell r="G173">
            <v>0</v>
          </cell>
          <cell r="H173">
            <v>0</v>
          </cell>
          <cell r="I173">
            <v>18302570.399999999</v>
          </cell>
          <cell r="J173">
            <v>18224693.800000001</v>
          </cell>
          <cell r="K173">
            <v>0</v>
          </cell>
          <cell r="L173">
            <v>0</v>
          </cell>
          <cell r="M173">
            <v>18224693.800000001</v>
          </cell>
          <cell r="N173">
            <v>77876.570000000007</v>
          </cell>
          <cell r="O173">
            <v>0</v>
          </cell>
          <cell r="P173">
            <v>0</v>
          </cell>
          <cell r="Q173">
            <v>77876.570000000007</v>
          </cell>
          <cell r="R173">
            <v>56247</v>
          </cell>
          <cell r="S173">
            <v>0</v>
          </cell>
          <cell r="T173">
            <v>0</v>
          </cell>
          <cell r="U173">
            <v>56247</v>
          </cell>
          <cell r="V173">
            <v>21630</v>
          </cell>
          <cell r="W173">
            <v>0</v>
          </cell>
          <cell r="X173">
            <v>0</v>
          </cell>
          <cell r="Y173">
            <v>21630</v>
          </cell>
          <cell r="Z173">
            <v>106404</v>
          </cell>
          <cell r="AA173">
            <v>106404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40779</v>
          </cell>
          <cell r="AJ173">
            <v>23100</v>
          </cell>
          <cell r="AK173">
            <v>17679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370728</v>
          </cell>
          <cell r="BB173">
            <v>317768</v>
          </cell>
          <cell r="BC173">
            <v>52960</v>
          </cell>
          <cell r="BD173">
            <v>83414</v>
          </cell>
          <cell r="BE173">
            <v>71498</v>
          </cell>
          <cell r="BF173">
            <v>11916</v>
          </cell>
          <cell r="BG173">
            <v>9268</v>
          </cell>
          <cell r="BH173">
            <v>7944</v>
          </cell>
          <cell r="BI173">
            <v>1324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25267608</v>
          </cell>
          <cell r="G174">
            <v>0</v>
          </cell>
          <cell r="H174">
            <v>0</v>
          </cell>
          <cell r="I174">
            <v>25267608</v>
          </cell>
          <cell r="J174">
            <v>25328589</v>
          </cell>
          <cell r="K174">
            <v>0</v>
          </cell>
          <cell r="L174">
            <v>0</v>
          </cell>
          <cell r="M174">
            <v>25328589</v>
          </cell>
          <cell r="N174">
            <v>-60981</v>
          </cell>
          <cell r="O174">
            <v>0</v>
          </cell>
          <cell r="P174">
            <v>0</v>
          </cell>
          <cell r="Q174">
            <v>-60981</v>
          </cell>
          <cell r="R174">
            <v>80438</v>
          </cell>
          <cell r="S174">
            <v>0</v>
          </cell>
          <cell r="T174">
            <v>0</v>
          </cell>
          <cell r="U174">
            <v>80438</v>
          </cell>
          <cell r="V174">
            <v>-141419</v>
          </cell>
          <cell r="W174">
            <v>0</v>
          </cell>
          <cell r="X174">
            <v>0</v>
          </cell>
          <cell r="Y174">
            <v>-141419</v>
          </cell>
          <cell r="Z174">
            <v>128540</v>
          </cell>
          <cell r="AA174">
            <v>128540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40762</v>
          </cell>
          <cell r="AJ174">
            <v>0</v>
          </cell>
          <cell r="AK174">
            <v>40762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358942</v>
          </cell>
          <cell r="BB174">
            <v>271782</v>
          </cell>
          <cell r="BC174">
            <v>87160</v>
          </cell>
          <cell r="BD174">
            <v>89735</v>
          </cell>
          <cell r="BE174">
            <v>67946</v>
          </cell>
          <cell r="BF174">
            <v>21789</v>
          </cell>
          <cell r="BG174">
            <v>0</v>
          </cell>
          <cell r="BH174">
            <v>0</v>
          </cell>
          <cell r="BI174">
            <v>0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41762233</v>
          </cell>
          <cell r="G175">
            <v>0</v>
          </cell>
          <cell r="H175">
            <v>0</v>
          </cell>
          <cell r="I175">
            <v>41762233</v>
          </cell>
          <cell r="J175">
            <v>41850376</v>
          </cell>
          <cell r="K175">
            <v>0</v>
          </cell>
          <cell r="L175">
            <v>0</v>
          </cell>
          <cell r="M175">
            <v>41850376</v>
          </cell>
          <cell r="N175">
            <v>-88143</v>
          </cell>
          <cell r="O175">
            <v>0</v>
          </cell>
          <cell r="P175">
            <v>0</v>
          </cell>
          <cell r="Q175">
            <v>-88143</v>
          </cell>
          <cell r="R175">
            <v>66732</v>
          </cell>
          <cell r="S175">
            <v>0</v>
          </cell>
          <cell r="T175">
            <v>0</v>
          </cell>
          <cell r="U175">
            <v>66732</v>
          </cell>
          <cell r="V175">
            <v>-154875</v>
          </cell>
          <cell r="W175">
            <v>0</v>
          </cell>
          <cell r="X175">
            <v>0</v>
          </cell>
          <cell r="Y175">
            <v>-154875</v>
          </cell>
          <cell r="Z175">
            <v>172028</v>
          </cell>
          <cell r="AA175">
            <v>172028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435741</v>
          </cell>
          <cell r="BB175">
            <v>354436</v>
          </cell>
          <cell r="BC175">
            <v>81305</v>
          </cell>
          <cell r="BD175">
            <v>108935</v>
          </cell>
          <cell r="BE175">
            <v>88609</v>
          </cell>
          <cell r="BF175">
            <v>20326</v>
          </cell>
          <cell r="BG175">
            <v>0</v>
          </cell>
          <cell r="BH175">
            <v>0</v>
          </cell>
          <cell r="BI175">
            <v>0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39726229.200000003</v>
          </cell>
          <cell r="G176">
            <v>0</v>
          </cell>
          <cell r="H176">
            <v>0</v>
          </cell>
          <cell r="I176">
            <v>39726229.200000003</v>
          </cell>
          <cell r="J176">
            <v>40231796.700000003</v>
          </cell>
          <cell r="K176">
            <v>0</v>
          </cell>
          <cell r="L176">
            <v>0</v>
          </cell>
          <cell r="M176">
            <v>40231796.700000003</v>
          </cell>
          <cell r="N176">
            <v>-505567.46</v>
          </cell>
          <cell r="O176">
            <v>0</v>
          </cell>
          <cell r="P176">
            <v>0</v>
          </cell>
          <cell r="Q176">
            <v>-505567.46</v>
          </cell>
          <cell r="R176">
            <v>1277</v>
          </cell>
          <cell r="S176">
            <v>0</v>
          </cell>
          <cell r="T176">
            <v>0</v>
          </cell>
          <cell r="U176">
            <v>1277</v>
          </cell>
          <cell r="V176">
            <v>-506844</v>
          </cell>
          <cell r="W176">
            <v>0</v>
          </cell>
          <cell r="X176">
            <v>0</v>
          </cell>
          <cell r="Y176">
            <v>-506844</v>
          </cell>
          <cell r="Z176">
            <v>179446</v>
          </cell>
          <cell r="AA176">
            <v>179446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543983</v>
          </cell>
          <cell r="BB176">
            <v>466036</v>
          </cell>
          <cell r="BC176">
            <v>77947</v>
          </cell>
          <cell r="BD176">
            <v>0</v>
          </cell>
          <cell r="BE176">
            <v>0</v>
          </cell>
          <cell r="BF176">
            <v>0</v>
          </cell>
          <cell r="BG176">
            <v>11102</v>
          </cell>
          <cell r="BH176">
            <v>9511</v>
          </cell>
          <cell r="BI176">
            <v>1591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147666710</v>
          </cell>
          <cell r="G177">
            <v>0</v>
          </cell>
          <cell r="H177">
            <v>0</v>
          </cell>
          <cell r="I177">
            <v>147666710</v>
          </cell>
          <cell r="J177">
            <v>149612595</v>
          </cell>
          <cell r="K177">
            <v>0</v>
          </cell>
          <cell r="L177">
            <v>0</v>
          </cell>
          <cell r="M177">
            <v>149612595</v>
          </cell>
          <cell r="N177">
            <v>-1945885</v>
          </cell>
          <cell r="O177">
            <v>0</v>
          </cell>
          <cell r="P177">
            <v>0</v>
          </cell>
          <cell r="Q177">
            <v>-1945885</v>
          </cell>
          <cell r="R177">
            <v>-376513</v>
          </cell>
          <cell r="S177">
            <v>0</v>
          </cell>
          <cell r="T177">
            <v>0</v>
          </cell>
          <cell r="U177">
            <v>-376513</v>
          </cell>
          <cell r="V177">
            <v>-1569372</v>
          </cell>
          <cell r="W177">
            <v>0</v>
          </cell>
          <cell r="X177">
            <v>0</v>
          </cell>
          <cell r="Y177">
            <v>-1569372</v>
          </cell>
          <cell r="Z177">
            <v>373542</v>
          </cell>
          <cell r="AA177">
            <v>373542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733547</v>
          </cell>
          <cell r="BB177">
            <v>597177</v>
          </cell>
          <cell r="BC177">
            <v>136370</v>
          </cell>
          <cell r="BD177">
            <v>0</v>
          </cell>
          <cell r="BE177">
            <v>0</v>
          </cell>
          <cell r="BF177">
            <v>0</v>
          </cell>
          <cell r="BG177">
            <v>14970</v>
          </cell>
          <cell r="BH177">
            <v>12187</v>
          </cell>
          <cell r="BI177">
            <v>2783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36502757</v>
          </cell>
          <cell r="G178">
            <v>0</v>
          </cell>
          <cell r="H178">
            <v>0</v>
          </cell>
          <cell r="I178">
            <v>36502757</v>
          </cell>
          <cell r="J178">
            <v>36637536</v>
          </cell>
          <cell r="K178">
            <v>0</v>
          </cell>
          <cell r="L178">
            <v>0</v>
          </cell>
          <cell r="M178">
            <v>36637536</v>
          </cell>
          <cell r="N178">
            <v>-134779</v>
          </cell>
          <cell r="O178">
            <v>0</v>
          </cell>
          <cell r="P178">
            <v>0</v>
          </cell>
          <cell r="Q178">
            <v>-134779</v>
          </cell>
          <cell r="R178">
            <v>27861</v>
          </cell>
          <cell r="S178">
            <v>0</v>
          </cell>
          <cell r="T178">
            <v>0</v>
          </cell>
          <cell r="U178">
            <v>27861</v>
          </cell>
          <cell r="V178">
            <v>-162640</v>
          </cell>
          <cell r="W178">
            <v>0</v>
          </cell>
          <cell r="X178">
            <v>0</v>
          </cell>
          <cell r="Y178">
            <v>-162640</v>
          </cell>
          <cell r="Z178">
            <v>152970</v>
          </cell>
          <cell r="AA178">
            <v>152970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336561</v>
          </cell>
          <cell r="BB178">
            <v>271334</v>
          </cell>
          <cell r="BC178">
            <v>65227</v>
          </cell>
          <cell r="BD178">
            <v>84140</v>
          </cell>
          <cell r="BE178">
            <v>67833</v>
          </cell>
          <cell r="BF178">
            <v>16307</v>
          </cell>
          <cell r="BG178">
            <v>0</v>
          </cell>
          <cell r="BH178">
            <v>0</v>
          </cell>
          <cell r="BI178">
            <v>0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71778346</v>
          </cell>
          <cell r="G179">
            <v>0</v>
          </cell>
          <cell r="H179">
            <v>0</v>
          </cell>
          <cell r="I179">
            <v>71778346</v>
          </cell>
          <cell r="J179">
            <v>70619801</v>
          </cell>
          <cell r="K179">
            <v>0</v>
          </cell>
          <cell r="L179">
            <v>0</v>
          </cell>
          <cell r="M179">
            <v>70619801</v>
          </cell>
          <cell r="N179">
            <v>1158545</v>
          </cell>
          <cell r="O179">
            <v>0</v>
          </cell>
          <cell r="P179">
            <v>0</v>
          </cell>
          <cell r="Q179">
            <v>1158545</v>
          </cell>
          <cell r="R179">
            <v>1000087</v>
          </cell>
          <cell r="S179">
            <v>0</v>
          </cell>
          <cell r="T179">
            <v>0</v>
          </cell>
          <cell r="U179">
            <v>1000087</v>
          </cell>
          <cell r="V179">
            <v>158458</v>
          </cell>
          <cell r="W179">
            <v>0</v>
          </cell>
          <cell r="X179">
            <v>0</v>
          </cell>
          <cell r="Y179">
            <v>158458</v>
          </cell>
          <cell r="Z179">
            <v>286160</v>
          </cell>
          <cell r="AA179">
            <v>286160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278</v>
          </cell>
          <cell r="AJ179">
            <v>0</v>
          </cell>
          <cell r="AK179">
            <v>278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799012</v>
          </cell>
          <cell r="BB179">
            <v>704008</v>
          </cell>
          <cell r="BC179">
            <v>95004</v>
          </cell>
          <cell r="BD179">
            <v>179778</v>
          </cell>
          <cell r="BE179">
            <v>158402</v>
          </cell>
          <cell r="BF179">
            <v>21376</v>
          </cell>
          <cell r="BG179">
            <v>19975</v>
          </cell>
          <cell r="BH179">
            <v>17600</v>
          </cell>
          <cell r="BI179">
            <v>2375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60722</v>
          </cell>
          <cell r="G180">
            <v>0</v>
          </cell>
          <cell r="H180">
            <v>0</v>
          </cell>
          <cell r="I180">
            <v>60722</v>
          </cell>
          <cell r="J180">
            <v>177296</v>
          </cell>
          <cell r="K180">
            <v>0</v>
          </cell>
          <cell r="L180">
            <v>0</v>
          </cell>
          <cell r="M180">
            <v>177296</v>
          </cell>
          <cell r="N180">
            <v>-116574</v>
          </cell>
          <cell r="O180">
            <v>0</v>
          </cell>
          <cell r="P180">
            <v>0</v>
          </cell>
          <cell r="Q180">
            <v>-116574</v>
          </cell>
          <cell r="R180">
            <v>50711</v>
          </cell>
          <cell r="S180">
            <v>0</v>
          </cell>
          <cell r="T180">
            <v>0</v>
          </cell>
          <cell r="U180">
            <v>50711</v>
          </cell>
          <cell r="V180">
            <v>-167285</v>
          </cell>
          <cell r="W180">
            <v>0</v>
          </cell>
          <cell r="X180">
            <v>0</v>
          </cell>
          <cell r="Y180">
            <v>-167285</v>
          </cell>
          <cell r="Z180">
            <v>164324</v>
          </cell>
          <cell r="AA180">
            <v>164324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453442</v>
          </cell>
          <cell r="BB180">
            <v>389064</v>
          </cell>
          <cell r="BC180">
            <v>64378</v>
          </cell>
          <cell r="BD180">
            <v>102024</v>
          </cell>
          <cell r="BE180">
            <v>87539</v>
          </cell>
          <cell r="BF180">
            <v>14485</v>
          </cell>
          <cell r="BG180">
            <v>11336</v>
          </cell>
          <cell r="BH180">
            <v>9727</v>
          </cell>
          <cell r="BI180">
            <v>1609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141613545</v>
          </cell>
          <cell r="G181">
            <v>0</v>
          </cell>
          <cell r="H181">
            <v>0</v>
          </cell>
          <cell r="I181">
            <v>141613545</v>
          </cell>
          <cell r="J181">
            <v>141724619</v>
          </cell>
          <cell r="K181">
            <v>1639</v>
          </cell>
          <cell r="L181">
            <v>0</v>
          </cell>
          <cell r="M181">
            <v>141726258</v>
          </cell>
          <cell r="N181">
            <v>-111074</v>
          </cell>
          <cell r="O181">
            <v>-1639</v>
          </cell>
          <cell r="P181">
            <v>0</v>
          </cell>
          <cell r="Q181">
            <v>-112713</v>
          </cell>
          <cell r="R181">
            <v>148786</v>
          </cell>
          <cell r="S181">
            <v>0</v>
          </cell>
          <cell r="T181">
            <v>0</v>
          </cell>
          <cell r="U181">
            <v>148786</v>
          </cell>
          <cell r="V181">
            <v>-259860</v>
          </cell>
          <cell r="W181">
            <v>-1639</v>
          </cell>
          <cell r="X181">
            <v>0</v>
          </cell>
          <cell r="Y181">
            <v>-261499</v>
          </cell>
          <cell r="Z181">
            <v>461240</v>
          </cell>
          <cell r="AA181">
            <v>461240</v>
          </cell>
          <cell r="AB181">
            <v>0</v>
          </cell>
          <cell r="AC181">
            <v>258625</v>
          </cell>
          <cell r="AD181">
            <v>164850</v>
          </cell>
          <cell r="AE181">
            <v>93775</v>
          </cell>
          <cell r="AF181">
            <v>1132971</v>
          </cell>
          <cell r="AG181">
            <v>0</v>
          </cell>
          <cell r="AH181">
            <v>1132971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1113085</v>
          </cell>
          <cell r="BB181">
            <v>927143</v>
          </cell>
          <cell r="BC181">
            <v>185942</v>
          </cell>
          <cell r="BD181">
            <v>0</v>
          </cell>
          <cell r="BE181">
            <v>0</v>
          </cell>
          <cell r="BF181">
            <v>0</v>
          </cell>
          <cell r="BG181">
            <v>22567</v>
          </cell>
          <cell r="BH181">
            <v>18921</v>
          </cell>
          <cell r="BI181">
            <v>3646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33167323</v>
          </cell>
          <cell r="G182">
            <v>0</v>
          </cell>
          <cell r="H182">
            <v>0</v>
          </cell>
          <cell r="I182">
            <v>33167323</v>
          </cell>
          <cell r="J182">
            <v>33091007</v>
          </cell>
          <cell r="K182">
            <v>0</v>
          </cell>
          <cell r="L182">
            <v>0</v>
          </cell>
          <cell r="M182">
            <v>33091007</v>
          </cell>
          <cell r="N182">
            <v>76316</v>
          </cell>
          <cell r="O182">
            <v>0</v>
          </cell>
          <cell r="P182">
            <v>0</v>
          </cell>
          <cell r="Q182">
            <v>76316</v>
          </cell>
          <cell r="R182">
            <v>-129479</v>
          </cell>
          <cell r="S182">
            <v>0</v>
          </cell>
          <cell r="T182">
            <v>0</v>
          </cell>
          <cell r="U182">
            <v>-129479</v>
          </cell>
          <cell r="V182">
            <v>205795</v>
          </cell>
          <cell r="W182">
            <v>0</v>
          </cell>
          <cell r="X182">
            <v>0</v>
          </cell>
          <cell r="Y182">
            <v>205795</v>
          </cell>
          <cell r="Z182">
            <v>141676</v>
          </cell>
          <cell r="AA182">
            <v>141676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411490</v>
          </cell>
          <cell r="BB182">
            <v>336838</v>
          </cell>
          <cell r="BC182">
            <v>74652</v>
          </cell>
          <cell r="BD182">
            <v>92585</v>
          </cell>
          <cell r="BE182">
            <v>75788</v>
          </cell>
          <cell r="BF182">
            <v>16797</v>
          </cell>
          <cell r="BG182">
            <v>10287</v>
          </cell>
          <cell r="BH182">
            <v>8421</v>
          </cell>
          <cell r="BI182">
            <v>1866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126922380</v>
          </cell>
          <cell r="G183">
            <v>0</v>
          </cell>
          <cell r="H183">
            <v>404449</v>
          </cell>
          <cell r="I183">
            <v>127326829</v>
          </cell>
          <cell r="J183">
            <v>126537146</v>
          </cell>
          <cell r="K183">
            <v>0</v>
          </cell>
          <cell r="L183">
            <v>404055</v>
          </cell>
          <cell r="M183">
            <v>126941201</v>
          </cell>
          <cell r="N183">
            <v>385234</v>
          </cell>
          <cell r="O183">
            <v>0</v>
          </cell>
          <cell r="P183">
            <v>394</v>
          </cell>
          <cell r="Q183">
            <v>385628</v>
          </cell>
          <cell r="R183">
            <v>1350226</v>
          </cell>
          <cell r="S183">
            <v>0</v>
          </cell>
          <cell r="T183">
            <v>0</v>
          </cell>
          <cell r="U183">
            <v>1350226</v>
          </cell>
          <cell r="V183">
            <v>-964992</v>
          </cell>
          <cell r="W183">
            <v>0</v>
          </cell>
          <cell r="X183">
            <v>394</v>
          </cell>
          <cell r="Y183">
            <v>-964598</v>
          </cell>
          <cell r="Z183">
            <v>387053</v>
          </cell>
          <cell r="AA183">
            <v>387053</v>
          </cell>
          <cell r="AB183">
            <v>0</v>
          </cell>
          <cell r="AC183">
            <v>173688</v>
          </cell>
          <cell r="AD183">
            <v>0</v>
          </cell>
          <cell r="AE183">
            <v>173688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101389</v>
          </cell>
          <cell r="AP183">
            <v>151485</v>
          </cell>
          <cell r="AQ183">
            <v>-50096</v>
          </cell>
          <cell r="AR183">
            <v>101389</v>
          </cell>
          <cell r="AS183">
            <v>151485</v>
          </cell>
          <cell r="AT183">
            <v>-50096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624654</v>
          </cell>
          <cell r="BB183">
            <v>247039</v>
          </cell>
          <cell r="BC183">
            <v>377615</v>
          </cell>
          <cell r="BD183">
            <v>414932</v>
          </cell>
          <cell r="BE183">
            <v>164693</v>
          </cell>
          <cell r="BF183">
            <v>250239</v>
          </cell>
          <cell r="BG183">
            <v>0</v>
          </cell>
          <cell r="BH183">
            <v>0</v>
          </cell>
          <cell r="BI183">
            <v>0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34944863</v>
          </cell>
          <cell r="G184">
            <v>0</v>
          </cell>
          <cell r="H184">
            <v>0</v>
          </cell>
          <cell r="I184">
            <v>34944863</v>
          </cell>
          <cell r="J184">
            <v>34788287</v>
          </cell>
          <cell r="K184">
            <v>0</v>
          </cell>
          <cell r="L184">
            <v>0</v>
          </cell>
          <cell r="M184">
            <v>34788287</v>
          </cell>
          <cell r="N184">
            <v>156576</v>
          </cell>
          <cell r="O184">
            <v>0</v>
          </cell>
          <cell r="P184">
            <v>0</v>
          </cell>
          <cell r="Q184">
            <v>156576</v>
          </cell>
          <cell r="R184">
            <v>254836</v>
          </cell>
          <cell r="S184">
            <v>0</v>
          </cell>
          <cell r="T184">
            <v>0</v>
          </cell>
          <cell r="U184">
            <v>254836</v>
          </cell>
          <cell r="V184">
            <v>-98260</v>
          </cell>
          <cell r="W184">
            <v>0</v>
          </cell>
          <cell r="X184">
            <v>0</v>
          </cell>
          <cell r="Y184">
            <v>-98260</v>
          </cell>
          <cell r="Z184">
            <v>202305</v>
          </cell>
          <cell r="AA184">
            <v>202305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749188</v>
          </cell>
          <cell r="BB184">
            <v>635489</v>
          </cell>
          <cell r="BC184">
            <v>113699</v>
          </cell>
          <cell r="BD184">
            <v>168567</v>
          </cell>
          <cell r="BE184">
            <v>142985</v>
          </cell>
          <cell r="BF184">
            <v>25582</v>
          </cell>
          <cell r="BG184">
            <v>18730</v>
          </cell>
          <cell r="BH184">
            <v>15887</v>
          </cell>
          <cell r="BI184">
            <v>2843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17656978</v>
          </cell>
          <cell r="G185">
            <v>0</v>
          </cell>
          <cell r="H185">
            <v>0</v>
          </cell>
          <cell r="I185">
            <v>17656978</v>
          </cell>
          <cell r="J185">
            <v>17645596</v>
          </cell>
          <cell r="K185">
            <v>0</v>
          </cell>
          <cell r="L185">
            <v>0</v>
          </cell>
          <cell r="M185">
            <v>17645596</v>
          </cell>
          <cell r="N185">
            <v>11382</v>
          </cell>
          <cell r="O185">
            <v>0</v>
          </cell>
          <cell r="P185">
            <v>0</v>
          </cell>
          <cell r="Q185">
            <v>11382</v>
          </cell>
          <cell r="R185">
            <v>-77596</v>
          </cell>
          <cell r="S185">
            <v>0</v>
          </cell>
          <cell r="T185">
            <v>0</v>
          </cell>
          <cell r="U185">
            <v>-77596</v>
          </cell>
          <cell r="V185">
            <v>88978</v>
          </cell>
          <cell r="W185">
            <v>0</v>
          </cell>
          <cell r="X185">
            <v>0</v>
          </cell>
          <cell r="Y185">
            <v>88978</v>
          </cell>
          <cell r="Z185">
            <v>91750</v>
          </cell>
          <cell r="AA185">
            <v>91750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328232</v>
          </cell>
          <cell r="BB185">
            <v>275171</v>
          </cell>
          <cell r="BC185">
            <v>53061</v>
          </cell>
          <cell r="BD185">
            <v>73852</v>
          </cell>
          <cell r="BE185">
            <v>61914</v>
          </cell>
          <cell r="BF185">
            <v>11938</v>
          </cell>
          <cell r="BG185">
            <v>8206</v>
          </cell>
          <cell r="BH185">
            <v>6879</v>
          </cell>
          <cell r="BI185">
            <v>1327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15535076.5</v>
          </cell>
          <cell r="G186">
            <v>0</v>
          </cell>
          <cell r="H186">
            <v>0</v>
          </cell>
          <cell r="I186">
            <v>15535076.5</v>
          </cell>
          <cell r="J186">
            <v>15495369.4</v>
          </cell>
          <cell r="K186">
            <v>0</v>
          </cell>
          <cell r="L186">
            <v>0</v>
          </cell>
          <cell r="M186">
            <v>15495369.4</v>
          </cell>
          <cell r="N186">
            <v>39707.160000000003</v>
          </cell>
          <cell r="O186">
            <v>0</v>
          </cell>
          <cell r="P186">
            <v>0</v>
          </cell>
          <cell r="Q186">
            <v>39707.160000000003</v>
          </cell>
          <cell r="R186">
            <v>65653</v>
          </cell>
          <cell r="S186">
            <v>0</v>
          </cell>
          <cell r="T186">
            <v>0</v>
          </cell>
          <cell r="U186">
            <v>65653</v>
          </cell>
          <cell r="V186">
            <v>-25946</v>
          </cell>
          <cell r="W186">
            <v>0</v>
          </cell>
          <cell r="X186">
            <v>0</v>
          </cell>
          <cell r="Y186">
            <v>-25946</v>
          </cell>
          <cell r="Z186">
            <v>97498</v>
          </cell>
          <cell r="AA186">
            <v>97498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312482</v>
          </cell>
          <cell r="BB186">
            <v>258585</v>
          </cell>
          <cell r="BC186">
            <v>53897</v>
          </cell>
          <cell r="BD186">
            <v>70308</v>
          </cell>
          <cell r="BE186">
            <v>58182</v>
          </cell>
          <cell r="BF186">
            <v>12126</v>
          </cell>
          <cell r="BG186">
            <v>7812</v>
          </cell>
          <cell r="BH186">
            <v>6465</v>
          </cell>
          <cell r="BI186">
            <v>1347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73254152</v>
          </cell>
          <cell r="G187">
            <v>0</v>
          </cell>
          <cell r="H187">
            <v>0</v>
          </cell>
          <cell r="I187">
            <v>73254152</v>
          </cell>
          <cell r="J187">
            <v>73038960</v>
          </cell>
          <cell r="K187">
            <v>0</v>
          </cell>
          <cell r="L187">
            <v>0</v>
          </cell>
          <cell r="M187">
            <v>73038960</v>
          </cell>
          <cell r="N187">
            <v>215192</v>
          </cell>
          <cell r="O187">
            <v>0</v>
          </cell>
          <cell r="P187">
            <v>0</v>
          </cell>
          <cell r="Q187">
            <v>215192</v>
          </cell>
          <cell r="R187">
            <v>672994</v>
          </cell>
          <cell r="S187">
            <v>0</v>
          </cell>
          <cell r="T187">
            <v>0</v>
          </cell>
          <cell r="U187">
            <v>672994</v>
          </cell>
          <cell r="V187">
            <v>-457802</v>
          </cell>
          <cell r="W187">
            <v>0</v>
          </cell>
          <cell r="X187">
            <v>0</v>
          </cell>
          <cell r="Y187">
            <v>-457802</v>
          </cell>
          <cell r="Z187">
            <v>241084</v>
          </cell>
          <cell r="AA187">
            <v>241084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746988</v>
          </cell>
          <cell r="BB187">
            <v>625277</v>
          </cell>
          <cell r="BC187">
            <v>121711</v>
          </cell>
          <cell r="BD187">
            <v>0</v>
          </cell>
          <cell r="BE187">
            <v>0</v>
          </cell>
          <cell r="BF187">
            <v>0</v>
          </cell>
          <cell r="BG187">
            <v>15245</v>
          </cell>
          <cell r="BH187">
            <v>12761</v>
          </cell>
          <cell r="BI187">
            <v>2484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37328905</v>
          </cell>
          <cell r="G188">
            <v>0</v>
          </cell>
          <cell r="H188">
            <v>0</v>
          </cell>
          <cell r="I188">
            <v>37328905</v>
          </cell>
          <cell r="J188">
            <v>37682429</v>
          </cell>
          <cell r="K188">
            <v>0</v>
          </cell>
          <cell r="L188">
            <v>0</v>
          </cell>
          <cell r="M188">
            <v>37682429</v>
          </cell>
          <cell r="N188">
            <v>-353524</v>
          </cell>
          <cell r="O188">
            <v>0</v>
          </cell>
          <cell r="P188">
            <v>0</v>
          </cell>
          <cell r="Q188">
            <v>-353524</v>
          </cell>
          <cell r="R188">
            <v>71696</v>
          </cell>
          <cell r="S188">
            <v>0</v>
          </cell>
          <cell r="T188">
            <v>0</v>
          </cell>
          <cell r="U188">
            <v>71696</v>
          </cell>
          <cell r="V188">
            <v>-425220</v>
          </cell>
          <cell r="W188">
            <v>0</v>
          </cell>
          <cell r="X188">
            <v>0</v>
          </cell>
          <cell r="Y188">
            <v>-425220</v>
          </cell>
          <cell r="Z188">
            <v>182381</v>
          </cell>
          <cell r="AA188">
            <v>182381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444785</v>
          </cell>
          <cell r="BB188">
            <v>372826</v>
          </cell>
          <cell r="BC188">
            <v>71959</v>
          </cell>
          <cell r="BD188">
            <v>111196</v>
          </cell>
          <cell r="BE188">
            <v>93207</v>
          </cell>
          <cell r="BF188">
            <v>17989</v>
          </cell>
          <cell r="BG188">
            <v>0</v>
          </cell>
          <cell r="BH188">
            <v>0</v>
          </cell>
          <cell r="BI188">
            <v>0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22692529</v>
          </cell>
          <cell r="G189">
            <v>0</v>
          </cell>
          <cell r="H189">
            <v>0</v>
          </cell>
          <cell r="I189">
            <v>22692529</v>
          </cell>
          <cell r="J189">
            <v>22750134</v>
          </cell>
          <cell r="K189">
            <v>0</v>
          </cell>
          <cell r="L189">
            <v>0</v>
          </cell>
          <cell r="M189">
            <v>22750134</v>
          </cell>
          <cell r="N189">
            <v>-57605</v>
          </cell>
          <cell r="O189">
            <v>0</v>
          </cell>
          <cell r="P189">
            <v>0</v>
          </cell>
          <cell r="Q189">
            <v>-57605</v>
          </cell>
          <cell r="R189">
            <v>59353</v>
          </cell>
          <cell r="S189">
            <v>0</v>
          </cell>
          <cell r="T189">
            <v>0</v>
          </cell>
          <cell r="U189">
            <v>59353</v>
          </cell>
          <cell r="V189">
            <v>-116958</v>
          </cell>
          <cell r="W189">
            <v>0</v>
          </cell>
          <cell r="X189">
            <v>0</v>
          </cell>
          <cell r="Y189">
            <v>-116958</v>
          </cell>
          <cell r="Z189">
            <v>122912</v>
          </cell>
          <cell r="AA189">
            <v>122912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231000</v>
          </cell>
          <cell r="AK189">
            <v>-231000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420606</v>
          </cell>
          <cell r="BB189">
            <v>368506</v>
          </cell>
          <cell r="BC189">
            <v>52100</v>
          </cell>
          <cell r="BD189">
            <v>105152</v>
          </cell>
          <cell r="BE189">
            <v>92126</v>
          </cell>
          <cell r="BF189">
            <v>13026</v>
          </cell>
          <cell r="BG189">
            <v>0</v>
          </cell>
          <cell r="BH189">
            <v>0</v>
          </cell>
          <cell r="BI189">
            <v>0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96293650</v>
          </cell>
          <cell r="G190">
            <v>0</v>
          </cell>
          <cell r="H190">
            <v>0</v>
          </cell>
          <cell r="I190">
            <v>96293650</v>
          </cell>
          <cell r="J190">
            <v>93505742</v>
          </cell>
          <cell r="K190">
            <v>0</v>
          </cell>
          <cell r="L190">
            <v>0</v>
          </cell>
          <cell r="M190">
            <v>93505742</v>
          </cell>
          <cell r="N190">
            <v>2787908</v>
          </cell>
          <cell r="O190">
            <v>0</v>
          </cell>
          <cell r="P190">
            <v>0</v>
          </cell>
          <cell r="Q190">
            <v>2787908</v>
          </cell>
          <cell r="R190">
            <v>2892043</v>
          </cell>
          <cell r="S190">
            <v>0</v>
          </cell>
          <cell r="T190">
            <v>0</v>
          </cell>
          <cell r="U190">
            <v>2892043</v>
          </cell>
          <cell r="V190">
            <v>-104135</v>
          </cell>
          <cell r="W190">
            <v>0</v>
          </cell>
          <cell r="X190">
            <v>0</v>
          </cell>
          <cell r="Y190">
            <v>-104135</v>
          </cell>
          <cell r="Z190">
            <v>255809</v>
          </cell>
          <cell r="AA190">
            <v>255809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22179</v>
          </cell>
          <cell r="AJ190">
            <v>0</v>
          </cell>
          <cell r="AK190">
            <v>22179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783727</v>
          </cell>
          <cell r="BB190">
            <v>666629</v>
          </cell>
          <cell r="BC190">
            <v>117098</v>
          </cell>
          <cell r="BD190">
            <v>0</v>
          </cell>
          <cell r="BE190">
            <v>0</v>
          </cell>
          <cell r="BF190">
            <v>0</v>
          </cell>
          <cell r="BG190">
            <v>15994</v>
          </cell>
          <cell r="BH190">
            <v>13605</v>
          </cell>
          <cell r="BI190">
            <v>2389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30137537</v>
          </cell>
          <cell r="G191">
            <v>0</v>
          </cell>
          <cell r="H191">
            <v>0</v>
          </cell>
          <cell r="I191">
            <v>30137537</v>
          </cell>
          <cell r="J191">
            <v>29863562</v>
          </cell>
          <cell r="K191">
            <v>0</v>
          </cell>
          <cell r="L191">
            <v>0</v>
          </cell>
          <cell r="M191">
            <v>29863562</v>
          </cell>
          <cell r="N191">
            <v>273975</v>
          </cell>
          <cell r="O191">
            <v>0</v>
          </cell>
          <cell r="P191">
            <v>0</v>
          </cell>
          <cell r="Q191">
            <v>273975</v>
          </cell>
          <cell r="R191">
            <v>325869</v>
          </cell>
          <cell r="S191">
            <v>0</v>
          </cell>
          <cell r="T191">
            <v>0</v>
          </cell>
          <cell r="U191">
            <v>325869</v>
          </cell>
          <cell r="V191">
            <v>-51894</v>
          </cell>
          <cell r="W191">
            <v>0</v>
          </cell>
          <cell r="X191">
            <v>0</v>
          </cell>
          <cell r="Y191">
            <v>-51894</v>
          </cell>
          <cell r="Z191">
            <v>230177</v>
          </cell>
          <cell r="AA191">
            <v>230177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18840</v>
          </cell>
          <cell r="AJ191">
            <v>14784</v>
          </cell>
          <cell r="AK191">
            <v>4056</v>
          </cell>
          <cell r="AL191">
            <v>0</v>
          </cell>
          <cell r="AM191">
            <v>3696</v>
          </cell>
          <cell r="AN191">
            <v>-3696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792105</v>
          </cell>
          <cell r="BB191">
            <v>673966</v>
          </cell>
          <cell r="BC191">
            <v>118139</v>
          </cell>
          <cell r="BD191">
            <v>198026</v>
          </cell>
          <cell r="BE191">
            <v>168492</v>
          </cell>
          <cell r="BF191">
            <v>29534</v>
          </cell>
          <cell r="BG191">
            <v>0</v>
          </cell>
          <cell r="BH191">
            <v>0</v>
          </cell>
          <cell r="BI191">
            <v>0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62929240</v>
          </cell>
          <cell r="G192">
            <v>0</v>
          </cell>
          <cell r="H192">
            <v>0</v>
          </cell>
          <cell r="I192">
            <v>62929240</v>
          </cell>
          <cell r="J192">
            <v>62845476</v>
          </cell>
          <cell r="K192">
            <v>0</v>
          </cell>
          <cell r="L192">
            <v>0</v>
          </cell>
          <cell r="M192">
            <v>62845476</v>
          </cell>
          <cell r="N192">
            <v>83764</v>
          </cell>
          <cell r="O192">
            <v>0</v>
          </cell>
          <cell r="P192">
            <v>0</v>
          </cell>
          <cell r="Q192">
            <v>83764</v>
          </cell>
          <cell r="R192">
            <v>211165</v>
          </cell>
          <cell r="S192">
            <v>0</v>
          </cell>
          <cell r="T192">
            <v>0</v>
          </cell>
          <cell r="U192">
            <v>211165</v>
          </cell>
          <cell r="V192">
            <v>-127401</v>
          </cell>
          <cell r="W192">
            <v>0</v>
          </cell>
          <cell r="X192">
            <v>0</v>
          </cell>
          <cell r="Y192">
            <v>-127401</v>
          </cell>
          <cell r="Z192">
            <v>259620</v>
          </cell>
          <cell r="AA192">
            <v>259620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4574</v>
          </cell>
          <cell r="AJ192">
            <v>0</v>
          </cell>
          <cell r="AK192">
            <v>4574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893516</v>
          </cell>
          <cell r="BB192">
            <v>763166</v>
          </cell>
          <cell r="BC192">
            <v>130350</v>
          </cell>
          <cell r="BD192">
            <v>0</v>
          </cell>
          <cell r="BE192">
            <v>0</v>
          </cell>
          <cell r="BF192">
            <v>0</v>
          </cell>
          <cell r="BG192">
            <v>18235</v>
          </cell>
          <cell r="BH192">
            <v>15575</v>
          </cell>
          <cell r="BI192">
            <v>2660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56339813</v>
          </cell>
          <cell r="G193">
            <v>0</v>
          </cell>
          <cell r="H193">
            <v>0</v>
          </cell>
          <cell r="I193">
            <v>56339813</v>
          </cell>
          <cell r="J193">
            <v>56516742</v>
          </cell>
          <cell r="K193">
            <v>0</v>
          </cell>
          <cell r="L193">
            <v>0</v>
          </cell>
          <cell r="M193">
            <v>56516742</v>
          </cell>
          <cell r="N193">
            <v>-176929</v>
          </cell>
          <cell r="O193">
            <v>0</v>
          </cell>
          <cell r="P193">
            <v>0</v>
          </cell>
          <cell r="Q193">
            <v>-176929</v>
          </cell>
          <cell r="R193">
            <v>-11966</v>
          </cell>
          <cell r="S193">
            <v>0</v>
          </cell>
          <cell r="T193">
            <v>0</v>
          </cell>
          <cell r="U193">
            <v>-11966</v>
          </cell>
          <cell r="V193">
            <v>-164963</v>
          </cell>
          <cell r="W193">
            <v>0</v>
          </cell>
          <cell r="X193">
            <v>0</v>
          </cell>
          <cell r="Y193">
            <v>-164963</v>
          </cell>
          <cell r="Z193">
            <v>228416</v>
          </cell>
          <cell r="AA193">
            <v>228416</v>
          </cell>
          <cell r="AB193">
            <v>0</v>
          </cell>
          <cell r="AC193">
            <v>0</v>
          </cell>
          <cell r="AD193">
            <v>13459</v>
          </cell>
          <cell r="AE193">
            <v>-13459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42390</v>
          </cell>
          <cell r="AQ193">
            <v>-42390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787012</v>
          </cell>
          <cell r="BB193">
            <v>670563</v>
          </cell>
          <cell r="BC193">
            <v>116449</v>
          </cell>
          <cell r="BD193">
            <v>0</v>
          </cell>
          <cell r="BE193">
            <v>0</v>
          </cell>
          <cell r="BF193">
            <v>0</v>
          </cell>
          <cell r="BG193">
            <v>16013</v>
          </cell>
          <cell r="BH193">
            <v>13685</v>
          </cell>
          <cell r="BI193">
            <v>2328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37464821</v>
          </cell>
          <cell r="G194">
            <v>0</v>
          </cell>
          <cell r="H194">
            <v>0</v>
          </cell>
          <cell r="I194">
            <v>37464821</v>
          </cell>
          <cell r="J194">
            <v>38380971</v>
          </cell>
          <cell r="K194">
            <v>0</v>
          </cell>
          <cell r="L194">
            <v>0</v>
          </cell>
          <cell r="M194">
            <v>38380971</v>
          </cell>
          <cell r="N194">
            <v>-916150</v>
          </cell>
          <cell r="O194">
            <v>0</v>
          </cell>
          <cell r="P194">
            <v>0</v>
          </cell>
          <cell r="Q194">
            <v>-916150</v>
          </cell>
          <cell r="R194">
            <v>37965</v>
          </cell>
          <cell r="S194">
            <v>0</v>
          </cell>
          <cell r="T194">
            <v>0</v>
          </cell>
          <cell r="U194">
            <v>37965</v>
          </cell>
          <cell r="V194">
            <v>-954115</v>
          </cell>
          <cell r="W194">
            <v>0</v>
          </cell>
          <cell r="X194">
            <v>0</v>
          </cell>
          <cell r="Y194">
            <v>-954115</v>
          </cell>
          <cell r="Z194">
            <v>110454</v>
          </cell>
          <cell r="AA194">
            <v>110454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240317</v>
          </cell>
          <cell r="BB194">
            <v>204542</v>
          </cell>
          <cell r="BC194">
            <v>35775</v>
          </cell>
          <cell r="BD194">
            <v>60079</v>
          </cell>
          <cell r="BE194">
            <v>51136</v>
          </cell>
          <cell r="BF194">
            <v>8943</v>
          </cell>
          <cell r="BG194">
            <v>0</v>
          </cell>
          <cell r="BH194">
            <v>0</v>
          </cell>
          <cell r="BI194">
            <v>0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48748195.600000001</v>
          </cell>
          <cell r="G195">
            <v>0</v>
          </cell>
          <cell r="H195">
            <v>0</v>
          </cell>
          <cell r="I195">
            <v>48748195.600000001</v>
          </cell>
          <cell r="J195">
            <v>48609727.399999999</v>
          </cell>
          <cell r="K195">
            <v>0</v>
          </cell>
          <cell r="L195">
            <v>0</v>
          </cell>
          <cell r="M195">
            <v>48609727.399999999</v>
          </cell>
          <cell r="N195">
            <v>138468.25</v>
          </cell>
          <cell r="O195">
            <v>0</v>
          </cell>
          <cell r="P195">
            <v>0</v>
          </cell>
          <cell r="Q195">
            <v>138468.25</v>
          </cell>
          <cell r="R195">
            <v>27147</v>
          </cell>
          <cell r="S195">
            <v>0</v>
          </cell>
          <cell r="T195">
            <v>0</v>
          </cell>
          <cell r="U195">
            <v>27147</v>
          </cell>
          <cell r="V195">
            <v>111321</v>
          </cell>
          <cell r="W195">
            <v>0</v>
          </cell>
          <cell r="X195">
            <v>0</v>
          </cell>
          <cell r="Y195">
            <v>111321</v>
          </cell>
          <cell r="Z195">
            <v>145672</v>
          </cell>
          <cell r="AA195">
            <v>145672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344689</v>
          </cell>
          <cell r="BB195">
            <v>304923</v>
          </cell>
          <cell r="BC195">
            <v>39766</v>
          </cell>
          <cell r="BD195">
            <v>77555</v>
          </cell>
          <cell r="BE195">
            <v>68608</v>
          </cell>
          <cell r="BF195">
            <v>8947</v>
          </cell>
          <cell r="BG195">
            <v>8617</v>
          </cell>
          <cell r="BH195">
            <v>7623</v>
          </cell>
          <cell r="BI195">
            <v>994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90542939</v>
          </cell>
          <cell r="G196">
            <v>0</v>
          </cell>
          <cell r="H196">
            <v>1931267</v>
          </cell>
          <cell r="I196">
            <v>92474206</v>
          </cell>
          <cell r="J196">
            <v>93337211.799999997</v>
          </cell>
          <cell r="K196">
            <v>0</v>
          </cell>
          <cell r="L196">
            <v>2008153.22</v>
          </cell>
          <cell r="M196">
            <v>95345365</v>
          </cell>
          <cell r="N196">
            <v>-2794272.8</v>
          </cell>
          <cell r="O196">
            <v>0</v>
          </cell>
          <cell r="P196">
            <v>-76886.22</v>
          </cell>
          <cell r="Q196">
            <v>-2871159</v>
          </cell>
          <cell r="R196">
            <v>-1944897.7</v>
          </cell>
          <cell r="S196">
            <v>0</v>
          </cell>
          <cell r="T196">
            <v>-10375.25</v>
          </cell>
          <cell r="U196">
            <v>-1955273</v>
          </cell>
          <cell r="V196">
            <v>-849375</v>
          </cell>
          <cell r="W196">
            <v>0</v>
          </cell>
          <cell r="X196">
            <v>-66511</v>
          </cell>
          <cell r="Y196">
            <v>-915886</v>
          </cell>
          <cell r="Z196">
            <v>301115</v>
          </cell>
          <cell r="AA196">
            <v>301115</v>
          </cell>
          <cell r="AB196">
            <v>0</v>
          </cell>
          <cell r="AC196">
            <v>535861</v>
          </cell>
          <cell r="AD196">
            <v>0</v>
          </cell>
          <cell r="AE196">
            <v>535861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2105649</v>
          </cell>
          <cell r="AP196">
            <v>1219000</v>
          </cell>
          <cell r="AQ196">
            <v>886649</v>
          </cell>
          <cell r="AR196">
            <v>2105649</v>
          </cell>
          <cell r="AS196">
            <v>1219000</v>
          </cell>
          <cell r="AT196">
            <v>886649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692740</v>
          </cell>
          <cell r="BB196">
            <v>565966</v>
          </cell>
          <cell r="BC196">
            <v>126774</v>
          </cell>
          <cell r="BD196">
            <v>165034</v>
          </cell>
          <cell r="BE196">
            <v>141491</v>
          </cell>
          <cell r="BF196">
            <v>23543</v>
          </cell>
          <cell r="BG196">
            <v>0</v>
          </cell>
          <cell r="BH196">
            <v>0</v>
          </cell>
          <cell r="BI196">
            <v>0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92928821.099999994</v>
          </cell>
          <cell r="G197">
            <v>0</v>
          </cell>
          <cell r="H197">
            <v>22383.39</v>
          </cell>
          <cell r="I197">
            <v>92951204.5</v>
          </cell>
          <cell r="J197">
            <v>92487378.599999994</v>
          </cell>
          <cell r="K197">
            <v>0</v>
          </cell>
          <cell r="L197">
            <v>22383.39</v>
          </cell>
          <cell r="M197">
            <v>92509762</v>
          </cell>
          <cell r="N197">
            <v>441442.52</v>
          </cell>
          <cell r="O197">
            <v>0</v>
          </cell>
          <cell r="P197">
            <v>0</v>
          </cell>
          <cell r="Q197">
            <v>441442.52</v>
          </cell>
          <cell r="R197">
            <v>407186</v>
          </cell>
          <cell r="S197">
            <v>0</v>
          </cell>
          <cell r="T197">
            <v>0</v>
          </cell>
          <cell r="U197">
            <v>407186</v>
          </cell>
          <cell r="V197">
            <v>34257</v>
          </cell>
          <cell r="W197">
            <v>0</v>
          </cell>
          <cell r="X197">
            <v>0</v>
          </cell>
          <cell r="Y197">
            <v>34257</v>
          </cell>
          <cell r="Z197">
            <v>474143</v>
          </cell>
          <cell r="AA197">
            <v>474143</v>
          </cell>
          <cell r="AB197">
            <v>0</v>
          </cell>
          <cell r="AC197">
            <v>0</v>
          </cell>
          <cell r="AD197">
            <v>315</v>
          </cell>
          <cell r="AE197">
            <v>-315</v>
          </cell>
          <cell r="AF197">
            <v>0</v>
          </cell>
          <cell r="AG197">
            <v>0</v>
          </cell>
          <cell r="AH197">
            <v>0</v>
          </cell>
          <cell r="AI197">
            <v>390530</v>
          </cell>
          <cell r="AJ197">
            <v>777527</v>
          </cell>
          <cell r="AK197">
            <v>-386997</v>
          </cell>
          <cell r="AL197">
            <v>0</v>
          </cell>
          <cell r="AM197">
            <v>0</v>
          </cell>
          <cell r="AN197">
            <v>0</v>
          </cell>
          <cell r="AO197">
            <v>11913</v>
          </cell>
          <cell r="AP197">
            <v>11422</v>
          </cell>
          <cell r="AQ197">
            <v>491</v>
          </cell>
          <cell r="AR197">
            <v>11913</v>
          </cell>
          <cell r="AS197">
            <v>11422</v>
          </cell>
          <cell r="AT197">
            <v>491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1766841</v>
          </cell>
          <cell r="BB197">
            <v>1499303</v>
          </cell>
          <cell r="BC197">
            <v>267538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74009192</v>
          </cell>
          <cell r="G198">
            <v>0</v>
          </cell>
          <cell r="H198">
            <v>0</v>
          </cell>
          <cell r="I198">
            <v>74009192</v>
          </cell>
          <cell r="J198">
            <v>74953091</v>
          </cell>
          <cell r="K198">
            <v>0</v>
          </cell>
          <cell r="L198">
            <v>0</v>
          </cell>
          <cell r="M198">
            <v>74953091</v>
          </cell>
          <cell r="N198">
            <v>-943899</v>
          </cell>
          <cell r="O198">
            <v>0</v>
          </cell>
          <cell r="P198">
            <v>0</v>
          </cell>
          <cell r="Q198">
            <v>-943899</v>
          </cell>
          <cell r="R198">
            <v>-21981</v>
          </cell>
          <cell r="S198">
            <v>0</v>
          </cell>
          <cell r="T198">
            <v>0</v>
          </cell>
          <cell r="U198">
            <v>-21981</v>
          </cell>
          <cell r="V198">
            <v>-921918</v>
          </cell>
          <cell r="W198">
            <v>0</v>
          </cell>
          <cell r="X198">
            <v>0</v>
          </cell>
          <cell r="Y198">
            <v>-921918</v>
          </cell>
          <cell r="Z198">
            <v>268738</v>
          </cell>
          <cell r="AA198">
            <v>268738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600169</v>
          </cell>
          <cell r="BB198">
            <v>507182</v>
          </cell>
          <cell r="BC198">
            <v>92987</v>
          </cell>
          <cell r="BD198">
            <v>150042</v>
          </cell>
          <cell r="BE198">
            <v>126795</v>
          </cell>
          <cell r="BF198">
            <v>23247</v>
          </cell>
          <cell r="BG198">
            <v>0</v>
          </cell>
          <cell r="BH198">
            <v>0</v>
          </cell>
          <cell r="BI198">
            <v>0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117230723</v>
          </cell>
          <cell r="G199">
            <v>5203103</v>
          </cell>
          <cell r="H199">
            <v>3936631</v>
          </cell>
          <cell r="I199">
            <v>126370457</v>
          </cell>
          <cell r="J199">
            <v>117979318</v>
          </cell>
          <cell r="K199">
            <v>5237731</v>
          </cell>
          <cell r="L199">
            <v>3937512</v>
          </cell>
          <cell r="M199">
            <v>127154561</v>
          </cell>
          <cell r="N199">
            <v>-748595</v>
          </cell>
          <cell r="O199">
            <v>-34628</v>
          </cell>
          <cell r="P199">
            <v>-881</v>
          </cell>
          <cell r="Q199">
            <v>-784104</v>
          </cell>
          <cell r="R199">
            <v>-2630569</v>
          </cell>
          <cell r="S199">
            <v>0</v>
          </cell>
          <cell r="T199">
            <v>0</v>
          </cell>
          <cell r="U199">
            <v>-2630569</v>
          </cell>
          <cell r="V199">
            <v>1881974</v>
          </cell>
          <cell r="W199">
            <v>-34628</v>
          </cell>
          <cell r="X199">
            <v>-881</v>
          </cell>
          <cell r="Y199">
            <v>1846465</v>
          </cell>
          <cell r="Z199">
            <v>498329</v>
          </cell>
          <cell r="AA199">
            <v>497329</v>
          </cell>
          <cell r="AB199">
            <v>1000</v>
          </cell>
          <cell r="AC199">
            <v>0</v>
          </cell>
          <cell r="AD199">
            <v>107502</v>
          </cell>
          <cell r="AE199">
            <v>-107502</v>
          </cell>
          <cell r="AF199">
            <v>0</v>
          </cell>
          <cell r="AG199">
            <v>142738</v>
          </cell>
          <cell r="AH199">
            <v>-142738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54000</v>
          </cell>
          <cell r="AQ199">
            <v>-54000</v>
          </cell>
          <cell r="AR199">
            <v>0</v>
          </cell>
          <cell r="AS199">
            <v>54000</v>
          </cell>
          <cell r="AT199">
            <v>-54000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1235986</v>
          </cell>
          <cell r="BB199">
            <v>1002744</v>
          </cell>
          <cell r="BC199">
            <v>233242</v>
          </cell>
          <cell r="BD199">
            <v>0</v>
          </cell>
          <cell r="BE199">
            <v>0</v>
          </cell>
          <cell r="BF199">
            <v>0</v>
          </cell>
          <cell r="BG199">
            <v>23185</v>
          </cell>
          <cell r="BH199">
            <v>20464</v>
          </cell>
          <cell r="BI199">
            <v>2721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33697827</v>
          </cell>
          <cell r="G200">
            <v>0</v>
          </cell>
          <cell r="H200">
            <v>0</v>
          </cell>
          <cell r="I200">
            <v>33697827</v>
          </cell>
          <cell r="J200">
            <v>33864873</v>
          </cell>
          <cell r="K200">
            <v>0</v>
          </cell>
          <cell r="L200">
            <v>0</v>
          </cell>
          <cell r="M200">
            <v>33864873</v>
          </cell>
          <cell r="N200">
            <v>-167046</v>
          </cell>
          <cell r="O200">
            <v>0</v>
          </cell>
          <cell r="P200">
            <v>0</v>
          </cell>
          <cell r="Q200">
            <v>-167046</v>
          </cell>
          <cell r="R200">
            <v>-19851</v>
          </cell>
          <cell r="S200">
            <v>0</v>
          </cell>
          <cell r="T200">
            <v>0</v>
          </cell>
          <cell r="U200">
            <v>-19851</v>
          </cell>
          <cell r="V200">
            <v>-147195</v>
          </cell>
          <cell r="W200">
            <v>0</v>
          </cell>
          <cell r="X200">
            <v>0</v>
          </cell>
          <cell r="Y200">
            <v>-147195</v>
          </cell>
          <cell r="Z200">
            <v>136145</v>
          </cell>
          <cell r="AA200">
            <v>136145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342875</v>
          </cell>
          <cell r="BB200">
            <v>273332</v>
          </cell>
          <cell r="BC200">
            <v>69543</v>
          </cell>
          <cell r="BD200">
            <v>85719</v>
          </cell>
          <cell r="BE200">
            <v>68333</v>
          </cell>
          <cell r="BF200">
            <v>17386</v>
          </cell>
          <cell r="BG200">
            <v>0</v>
          </cell>
          <cell r="BH200">
            <v>0</v>
          </cell>
          <cell r="BI200">
            <v>0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11549456</v>
          </cell>
          <cell r="G201">
            <v>0</v>
          </cell>
          <cell r="H201">
            <v>0</v>
          </cell>
          <cell r="I201">
            <v>11549456</v>
          </cell>
          <cell r="J201">
            <v>11545661</v>
          </cell>
          <cell r="K201">
            <v>0</v>
          </cell>
          <cell r="L201">
            <v>0</v>
          </cell>
          <cell r="M201">
            <v>11545661</v>
          </cell>
          <cell r="N201">
            <v>3795</v>
          </cell>
          <cell r="O201">
            <v>0</v>
          </cell>
          <cell r="P201">
            <v>0</v>
          </cell>
          <cell r="Q201">
            <v>3795</v>
          </cell>
          <cell r="R201">
            <v>5871</v>
          </cell>
          <cell r="S201">
            <v>0</v>
          </cell>
          <cell r="T201">
            <v>0</v>
          </cell>
          <cell r="U201">
            <v>5871</v>
          </cell>
          <cell r="V201">
            <v>-2076</v>
          </cell>
          <cell r="W201">
            <v>0</v>
          </cell>
          <cell r="X201">
            <v>0</v>
          </cell>
          <cell r="Y201">
            <v>-2076</v>
          </cell>
          <cell r="Z201">
            <v>56189</v>
          </cell>
          <cell r="AA201">
            <v>56189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198417</v>
          </cell>
          <cell r="BB201">
            <v>154912</v>
          </cell>
          <cell r="BC201">
            <v>43505</v>
          </cell>
          <cell r="BD201">
            <v>44644</v>
          </cell>
          <cell r="BE201">
            <v>34855</v>
          </cell>
          <cell r="BF201">
            <v>9789</v>
          </cell>
          <cell r="BG201">
            <v>4960</v>
          </cell>
          <cell r="BH201">
            <v>3873</v>
          </cell>
          <cell r="BI201">
            <v>1087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70002623</v>
          </cell>
          <cell r="G202">
            <v>0</v>
          </cell>
          <cell r="H202">
            <v>0</v>
          </cell>
          <cell r="I202">
            <v>70002623</v>
          </cell>
          <cell r="J202">
            <v>70359559</v>
          </cell>
          <cell r="K202">
            <v>0</v>
          </cell>
          <cell r="L202">
            <v>0</v>
          </cell>
          <cell r="M202">
            <v>70359559</v>
          </cell>
          <cell r="N202">
            <v>-356936</v>
          </cell>
          <cell r="O202">
            <v>0</v>
          </cell>
          <cell r="P202">
            <v>0</v>
          </cell>
          <cell r="Q202">
            <v>-356936</v>
          </cell>
          <cell r="R202">
            <v>80374</v>
          </cell>
          <cell r="S202">
            <v>0</v>
          </cell>
          <cell r="T202">
            <v>0</v>
          </cell>
          <cell r="U202">
            <v>80374</v>
          </cell>
          <cell r="V202">
            <v>-437310</v>
          </cell>
          <cell r="W202">
            <v>0</v>
          </cell>
          <cell r="X202">
            <v>0</v>
          </cell>
          <cell r="Y202">
            <v>-437310</v>
          </cell>
          <cell r="Z202">
            <v>309623</v>
          </cell>
          <cell r="AA202">
            <v>309623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1307134</v>
          </cell>
          <cell r="BB202">
            <v>1100969</v>
          </cell>
          <cell r="BC202">
            <v>206165</v>
          </cell>
          <cell r="BD202">
            <v>0</v>
          </cell>
          <cell r="BE202">
            <v>0</v>
          </cell>
          <cell r="BF202">
            <v>0</v>
          </cell>
          <cell r="BG202">
            <v>26676</v>
          </cell>
          <cell r="BH202">
            <v>22469</v>
          </cell>
          <cell r="BI202">
            <v>4207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84155025</v>
          </cell>
          <cell r="G203">
            <v>0</v>
          </cell>
          <cell r="H203">
            <v>0</v>
          </cell>
          <cell r="I203">
            <v>84155025</v>
          </cell>
          <cell r="J203">
            <v>84468734</v>
          </cell>
          <cell r="K203">
            <v>0</v>
          </cell>
          <cell r="L203">
            <v>0</v>
          </cell>
          <cell r="M203">
            <v>84468734</v>
          </cell>
          <cell r="N203">
            <v>-313709</v>
          </cell>
          <cell r="O203">
            <v>0</v>
          </cell>
          <cell r="P203">
            <v>0</v>
          </cell>
          <cell r="Q203">
            <v>-313709</v>
          </cell>
          <cell r="R203">
            <v>-3347</v>
          </cell>
          <cell r="S203">
            <v>0</v>
          </cell>
          <cell r="T203">
            <v>0</v>
          </cell>
          <cell r="U203">
            <v>-3347</v>
          </cell>
          <cell r="V203">
            <v>-310362</v>
          </cell>
          <cell r="W203">
            <v>0</v>
          </cell>
          <cell r="X203">
            <v>0</v>
          </cell>
          <cell r="Y203">
            <v>-310362</v>
          </cell>
          <cell r="Z203">
            <v>220001</v>
          </cell>
          <cell r="AA203">
            <v>220001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218294</v>
          </cell>
          <cell r="BB203">
            <v>189954</v>
          </cell>
          <cell r="BC203">
            <v>28340</v>
          </cell>
          <cell r="BD203">
            <v>54574</v>
          </cell>
          <cell r="BE203">
            <v>47489</v>
          </cell>
          <cell r="BF203">
            <v>7085</v>
          </cell>
          <cell r="BG203">
            <v>0</v>
          </cell>
          <cell r="BH203">
            <v>0</v>
          </cell>
          <cell r="BI203">
            <v>0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23856803</v>
          </cell>
          <cell r="G204">
            <v>0</v>
          </cell>
          <cell r="H204">
            <v>0</v>
          </cell>
          <cell r="I204">
            <v>23856803</v>
          </cell>
          <cell r="J204">
            <v>23791700</v>
          </cell>
          <cell r="K204">
            <v>0</v>
          </cell>
          <cell r="L204">
            <v>0</v>
          </cell>
          <cell r="M204">
            <v>23791700</v>
          </cell>
          <cell r="N204">
            <v>65103</v>
          </cell>
          <cell r="O204">
            <v>0</v>
          </cell>
          <cell r="P204">
            <v>0</v>
          </cell>
          <cell r="Q204">
            <v>65103</v>
          </cell>
          <cell r="R204">
            <v>176522</v>
          </cell>
          <cell r="S204">
            <v>0</v>
          </cell>
          <cell r="T204">
            <v>0</v>
          </cell>
          <cell r="U204">
            <v>176522</v>
          </cell>
          <cell r="V204">
            <v>-111419</v>
          </cell>
          <cell r="W204">
            <v>0</v>
          </cell>
          <cell r="X204">
            <v>0</v>
          </cell>
          <cell r="Y204">
            <v>-111419</v>
          </cell>
          <cell r="Z204">
            <v>137523</v>
          </cell>
          <cell r="AA204">
            <v>137523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497577</v>
          </cell>
          <cell r="BB204">
            <v>408770</v>
          </cell>
          <cell r="BC204">
            <v>88807</v>
          </cell>
          <cell r="BD204">
            <v>111955</v>
          </cell>
          <cell r="BE204">
            <v>91973</v>
          </cell>
          <cell r="BF204">
            <v>19982</v>
          </cell>
          <cell r="BG204">
            <v>12439</v>
          </cell>
          <cell r="BH204">
            <v>10219</v>
          </cell>
          <cell r="BI204">
            <v>2220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93313248</v>
          </cell>
          <cell r="G205">
            <v>0</v>
          </cell>
          <cell r="H205">
            <v>0</v>
          </cell>
          <cell r="I205">
            <v>93313248</v>
          </cell>
          <cell r="J205">
            <v>92150129</v>
          </cell>
          <cell r="K205">
            <v>0</v>
          </cell>
          <cell r="L205">
            <v>0</v>
          </cell>
          <cell r="M205">
            <v>92150129</v>
          </cell>
          <cell r="N205">
            <v>1163119</v>
          </cell>
          <cell r="O205">
            <v>0</v>
          </cell>
          <cell r="P205">
            <v>0</v>
          </cell>
          <cell r="Q205">
            <v>1163119</v>
          </cell>
          <cell r="R205">
            <v>1469232</v>
          </cell>
          <cell r="S205">
            <v>0</v>
          </cell>
          <cell r="T205">
            <v>0</v>
          </cell>
          <cell r="U205">
            <v>1469232</v>
          </cell>
          <cell r="V205">
            <v>-306113</v>
          </cell>
          <cell r="W205">
            <v>0</v>
          </cell>
          <cell r="X205">
            <v>0</v>
          </cell>
          <cell r="Y205">
            <v>-306113</v>
          </cell>
          <cell r="Z205">
            <v>275537</v>
          </cell>
          <cell r="AA205">
            <v>275537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696521</v>
          </cell>
          <cell r="BB205">
            <v>574236</v>
          </cell>
          <cell r="BC205">
            <v>122285</v>
          </cell>
          <cell r="BD205">
            <v>0</v>
          </cell>
          <cell r="BE205">
            <v>0</v>
          </cell>
          <cell r="BF205">
            <v>0</v>
          </cell>
          <cell r="BG205">
            <v>14215</v>
          </cell>
          <cell r="BH205">
            <v>11719</v>
          </cell>
          <cell r="BI205">
            <v>2496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101775817</v>
          </cell>
          <cell r="G206">
            <v>0</v>
          </cell>
          <cell r="H206">
            <v>0</v>
          </cell>
          <cell r="I206">
            <v>101775817</v>
          </cell>
          <cell r="J206">
            <v>102398709</v>
          </cell>
          <cell r="K206">
            <v>0</v>
          </cell>
          <cell r="L206">
            <v>0</v>
          </cell>
          <cell r="M206">
            <v>102398709</v>
          </cell>
          <cell r="N206">
            <v>-622892</v>
          </cell>
          <cell r="O206">
            <v>0</v>
          </cell>
          <cell r="P206">
            <v>0</v>
          </cell>
          <cell r="Q206">
            <v>-622892</v>
          </cell>
          <cell r="R206">
            <v>-132445</v>
          </cell>
          <cell r="S206">
            <v>0</v>
          </cell>
          <cell r="T206">
            <v>0</v>
          </cell>
          <cell r="U206">
            <v>-132445</v>
          </cell>
          <cell r="V206">
            <v>-490447</v>
          </cell>
          <cell r="W206">
            <v>0</v>
          </cell>
          <cell r="X206">
            <v>0</v>
          </cell>
          <cell r="Y206">
            <v>-490447</v>
          </cell>
          <cell r="Z206">
            <v>310279</v>
          </cell>
          <cell r="AA206">
            <v>310279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1004315</v>
          </cell>
          <cell r="BB206">
            <v>846574</v>
          </cell>
          <cell r="BC206">
            <v>157741</v>
          </cell>
          <cell r="BD206">
            <v>0</v>
          </cell>
          <cell r="BE206">
            <v>0</v>
          </cell>
          <cell r="BF206">
            <v>0</v>
          </cell>
          <cell r="BG206">
            <v>20496</v>
          </cell>
          <cell r="BH206">
            <v>17277</v>
          </cell>
          <cell r="BI206">
            <v>3219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68976987.799999997</v>
          </cell>
          <cell r="G207">
            <v>0</v>
          </cell>
          <cell r="H207">
            <v>0</v>
          </cell>
          <cell r="I207">
            <v>68976987.799999997</v>
          </cell>
          <cell r="J207">
            <v>69589024.900000006</v>
          </cell>
          <cell r="K207">
            <v>0</v>
          </cell>
          <cell r="L207">
            <v>0</v>
          </cell>
          <cell r="M207">
            <v>69589024.900000006</v>
          </cell>
          <cell r="N207">
            <v>-612037.14</v>
          </cell>
          <cell r="O207">
            <v>0</v>
          </cell>
          <cell r="P207">
            <v>0</v>
          </cell>
          <cell r="Q207">
            <v>-612037.14</v>
          </cell>
          <cell r="R207">
            <v>40741</v>
          </cell>
          <cell r="S207">
            <v>0</v>
          </cell>
          <cell r="T207">
            <v>0</v>
          </cell>
          <cell r="U207">
            <v>40741</v>
          </cell>
          <cell r="V207">
            <v>-652778</v>
          </cell>
          <cell r="W207">
            <v>0</v>
          </cell>
          <cell r="X207">
            <v>0</v>
          </cell>
          <cell r="Y207">
            <v>-652778</v>
          </cell>
          <cell r="Z207">
            <v>239641</v>
          </cell>
          <cell r="AA207">
            <v>239641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699675</v>
          </cell>
          <cell r="BB207">
            <v>598386</v>
          </cell>
          <cell r="BC207">
            <v>101289</v>
          </cell>
          <cell r="BD207">
            <v>0</v>
          </cell>
          <cell r="BE207">
            <v>0</v>
          </cell>
          <cell r="BF207">
            <v>0</v>
          </cell>
          <cell r="BG207">
            <v>14279</v>
          </cell>
          <cell r="BH207">
            <v>12212</v>
          </cell>
          <cell r="BI207">
            <v>2067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78535381</v>
          </cell>
          <cell r="G208">
            <v>0</v>
          </cell>
          <cell r="H208">
            <v>0</v>
          </cell>
          <cell r="I208">
            <v>78535381</v>
          </cell>
          <cell r="J208">
            <v>81049825</v>
          </cell>
          <cell r="K208">
            <v>0</v>
          </cell>
          <cell r="L208">
            <v>0</v>
          </cell>
          <cell r="M208">
            <v>81049825</v>
          </cell>
          <cell r="N208">
            <v>-2514444</v>
          </cell>
          <cell r="O208">
            <v>0</v>
          </cell>
          <cell r="P208">
            <v>0</v>
          </cell>
          <cell r="Q208">
            <v>-2514444</v>
          </cell>
          <cell r="R208">
            <v>46246</v>
          </cell>
          <cell r="S208">
            <v>0</v>
          </cell>
          <cell r="T208">
            <v>0</v>
          </cell>
          <cell r="U208">
            <v>46246</v>
          </cell>
          <cell r="V208">
            <v>-2560690</v>
          </cell>
          <cell r="W208">
            <v>0</v>
          </cell>
          <cell r="X208">
            <v>0</v>
          </cell>
          <cell r="Y208">
            <v>-2560690</v>
          </cell>
          <cell r="Z208">
            <v>280689</v>
          </cell>
          <cell r="AA208">
            <v>280689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807245</v>
          </cell>
          <cell r="BB208">
            <v>689011</v>
          </cell>
          <cell r="BC208">
            <v>118234</v>
          </cell>
          <cell r="BD208">
            <v>0</v>
          </cell>
          <cell r="BE208">
            <v>0</v>
          </cell>
          <cell r="BF208">
            <v>0</v>
          </cell>
          <cell r="BG208">
            <v>16474</v>
          </cell>
          <cell r="BH208">
            <v>14061</v>
          </cell>
          <cell r="BI208">
            <v>2413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65511562.200000003</v>
          </cell>
          <cell r="G209">
            <v>0</v>
          </cell>
          <cell r="H209">
            <v>0</v>
          </cell>
          <cell r="I209">
            <v>65511562.200000003</v>
          </cell>
          <cell r="J209">
            <v>65964697.200000003</v>
          </cell>
          <cell r="K209">
            <v>0</v>
          </cell>
          <cell r="L209">
            <v>0</v>
          </cell>
          <cell r="M209">
            <v>65964697.200000003</v>
          </cell>
          <cell r="N209">
            <v>-453135</v>
          </cell>
          <cell r="O209">
            <v>0</v>
          </cell>
          <cell r="P209">
            <v>0</v>
          </cell>
          <cell r="Q209">
            <v>-453135</v>
          </cell>
          <cell r="R209">
            <v>310227</v>
          </cell>
          <cell r="S209">
            <v>0</v>
          </cell>
          <cell r="T209">
            <v>0</v>
          </cell>
          <cell r="U209">
            <v>310227</v>
          </cell>
          <cell r="V209">
            <v>-763362</v>
          </cell>
          <cell r="W209">
            <v>0</v>
          </cell>
          <cell r="X209">
            <v>0</v>
          </cell>
          <cell r="Y209">
            <v>-763362</v>
          </cell>
          <cell r="Z209">
            <v>239401</v>
          </cell>
          <cell r="AA209">
            <v>239401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624178</v>
          </cell>
          <cell r="BB209">
            <v>535466</v>
          </cell>
          <cell r="BC209">
            <v>88712</v>
          </cell>
          <cell r="BD209">
            <v>140440</v>
          </cell>
          <cell r="BE209">
            <v>120480</v>
          </cell>
          <cell r="BF209">
            <v>19960</v>
          </cell>
          <cell r="BG209">
            <v>15604</v>
          </cell>
          <cell r="BH209">
            <v>13387</v>
          </cell>
          <cell r="BI209">
            <v>2217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17975443.100000001</v>
          </cell>
          <cell r="G210">
            <v>0</v>
          </cell>
          <cell r="H210">
            <v>0</v>
          </cell>
          <cell r="I210">
            <v>17975443.100000001</v>
          </cell>
          <cell r="J210">
            <v>17829912</v>
          </cell>
          <cell r="K210">
            <v>0</v>
          </cell>
          <cell r="L210">
            <v>0</v>
          </cell>
          <cell r="M210">
            <v>17829912</v>
          </cell>
          <cell r="N210">
            <v>145531.19</v>
          </cell>
          <cell r="O210">
            <v>0</v>
          </cell>
          <cell r="P210">
            <v>0</v>
          </cell>
          <cell r="Q210">
            <v>145531.19</v>
          </cell>
          <cell r="R210">
            <v>-63241</v>
          </cell>
          <cell r="S210">
            <v>0</v>
          </cell>
          <cell r="T210">
            <v>0</v>
          </cell>
          <cell r="U210">
            <v>-63241</v>
          </cell>
          <cell r="V210">
            <v>208772</v>
          </cell>
          <cell r="W210">
            <v>0</v>
          </cell>
          <cell r="X210">
            <v>0</v>
          </cell>
          <cell r="Y210">
            <v>208772</v>
          </cell>
          <cell r="Z210">
            <v>93946</v>
          </cell>
          <cell r="AA210">
            <v>93946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318107</v>
          </cell>
          <cell r="BB210">
            <v>264399</v>
          </cell>
          <cell r="BC210">
            <v>53708</v>
          </cell>
          <cell r="BD210">
            <v>71574</v>
          </cell>
          <cell r="BE210">
            <v>59490</v>
          </cell>
          <cell r="BF210">
            <v>12084</v>
          </cell>
          <cell r="BG210">
            <v>7953</v>
          </cell>
          <cell r="BH210">
            <v>6610</v>
          </cell>
          <cell r="BI210">
            <v>1343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105712328</v>
          </cell>
          <cell r="G211">
            <v>0</v>
          </cell>
          <cell r="H211">
            <v>0</v>
          </cell>
          <cell r="I211">
            <v>105712328</v>
          </cell>
          <cell r="J211">
            <v>105366133</v>
          </cell>
          <cell r="K211">
            <v>0</v>
          </cell>
          <cell r="L211">
            <v>0</v>
          </cell>
          <cell r="M211">
            <v>105366133</v>
          </cell>
          <cell r="N211">
            <v>346195.39</v>
          </cell>
          <cell r="O211">
            <v>0</v>
          </cell>
          <cell r="P211">
            <v>0</v>
          </cell>
          <cell r="Q211">
            <v>346195.39</v>
          </cell>
          <cell r="R211">
            <v>424990</v>
          </cell>
          <cell r="S211">
            <v>0</v>
          </cell>
          <cell r="T211">
            <v>0</v>
          </cell>
          <cell r="U211">
            <v>424990</v>
          </cell>
          <cell r="V211">
            <v>-78795</v>
          </cell>
          <cell r="W211">
            <v>0</v>
          </cell>
          <cell r="X211">
            <v>0</v>
          </cell>
          <cell r="Y211">
            <v>-78795</v>
          </cell>
          <cell r="Z211">
            <v>269167</v>
          </cell>
          <cell r="AA211">
            <v>269167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398259</v>
          </cell>
          <cell r="BB211">
            <v>340722</v>
          </cell>
          <cell r="BC211">
            <v>57537</v>
          </cell>
          <cell r="BD211">
            <v>0</v>
          </cell>
          <cell r="BE211">
            <v>0</v>
          </cell>
          <cell r="BF211">
            <v>0</v>
          </cell>
          <cell r="BG211">
            <v>8128</v>
          </cell>
          <cell r="BH211">
            <v>6954</v>
          </cell>
          <cell r="BI211">
            <v>1174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53957327</v>
          </cell>
          <cell r="G212">
            <v>0</v>
          </cell>
          <cell r="H212">
            <v>0</v>
          </cell>
          <cell r="I212">
            <v>53957327</v>
          </cell>
          <cell r="J212">
            <v>53795558</v>
          </cell>
          <cell r="K212">
            <v>0</v>
          </cell>
          <cell r="L212">
            <v>0</v>
          </cell>
          <cell r="M212">
            <v>53795558</v>
          </cell>
          <cell r="N212">
            <v>161769</v>
          </cell>
          <cell r="O212">
            <v>0</v>
          </cell>
          <cell r="P212">
            <v>0</v>
          </cell>
          <cell r="Q212">
            <v>161769</v>
          </cell>
          <cell r="R212">
            <v>371201</v>
          </cell>
          <cell r="S212">
            <v>0</v>
          </cell>
          <cell r="T212">
            <v>0</v>
          </cell>
          <cell r="U212">
            <v>371201</v>
          </cell>
          <cell r="V212">
            <v>-209432</v>
          </cell>
          <cell r="W212">
            <v>0</v>
          </cell>
          <cell r="X212">
            <v>0</v>
          </cell>
          <cell r="Y212">
            <v>-209432</v>
          </cell>
          <cell r="Z212">
            <v>278679</v>
          </cell>
          <cell r="AA212">
            <v>278679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516241</v>
          </cell>
          <cell r="BB212">
            <v>418111</v>
          </cell>
          <cell r="BC212">
            <v>98130</v>
          </cell>
          <cell r="BD212">
            <v>344161</v>
          </cell>
          <cell r="BE212">
            <v>278741</v>
          </cell>
          <cell r="BF212">
            <v>65420</v>
          </cell>
          <cell r="BG212">
            <v>0</v>
          </cell>
          <cell r="BH212">
            <v>0</v>
          </cell>
          <cell r="BI212">
            <v>0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52000753</v>
          </cell>
          <cell r="G213">
            <v>0</v>
          </cell>
          <cell r="H213">
            <v>0</v>
          </cell>
          <cell r="I213">
            <v>52000753</v>
          </cell>
          <cell r="J213">
            <v>51472286</v>
          </cell>
          <cell r="K213">
            <v>0</v>
          </cell>
          <cell r="L213">
            <v>0</v>
          </cell>
          <cell r="M213">
            <v>51472286</v>
          </cell>
          <cell r="N213">
            <v>528467</v>
          </cell>
          <cell r="O213">
            <v>0</v>
          </cell>
          <cell r="P213">
            <v>0</v>
          </cell>
          <cell r="Q213">
            <v>528467</v>
          </cell>
          <cell r="R213">
            <v>598122</v>
          </cell>
          <cell r="S213">
            <v>0</v>
          </cell>
          <cell r="T213">
            <v>0</v>
          </cell>
          <cell r="U213">
            <v>598122</v>
          </cell>
          <cell r="V213">
            <v>-69655</v>
          </cell>
          <cell r="W213">
            <v>0</v>
          </cell>
          <cell r="X213">
            <v>0</v>
          </cell>
          <cell r="Y213">
            <v>-69655</v>
          </cell>
          <cell r="Z213">
            <v>171732</v>
          </cell>
          <cell r="AA213">
            <v>171732</v>
          </cell>
          <cell r="AB213">
            <v>0</v>
          </cell>
          <cell r="AC213">
            <v>11720</v>
          </cell>
          <cell r="AD213">
            <v>6500</v>
          </cell>
          <cell r="AE213">
            <v>5220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11720</v>
          </cell>
          <cell r="AP213">
            <v>6500</v>
          </cell>
          <cell r="AQ213">
            <v>5220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561247</v>
          </cell>
          <cell r="BB213">
            <v>477046</v>
          </cell>
          <cell r="BC213">
            <v>84201</v>
          </cell>
          <cell r="BD213">
            <v>0</v>
          </cell>
          <cell r="BE213">
            <v>0</v>
          </cell>
          <cell r="BF213">
            <v>0</v>
          </cell>
          <cell r="BG213">
            <v>11454</v>
          </cell>
          <cell r="BH213">
            <v>9736</v>
          </cell>
          <cell r="BI213">
            <v>1718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1753865</v>
          </cell>
          <cell r="G214">
            <v>0</v>
          </cell>
          <cell r="H214">
            <v>0</v>
          </cell>
          <cell r="I214">
            <v>1753865</v>
          </cell>
          <cell r="J214">
            <v>2072103</v>
          </cell>
          <cell r="K214">
            <v>0</v>
          </cell>
          <cell r="L214">
            <v>0</v>
          </cell>
          <cell r="M214">
            <v>2072103</v>
          </cell>
          <cell r="N214">
            <v>-318238</v>
          </cell>
          <cell r="O214">
            <v>0</v>
          </cell>
          <cell r="P214">
            <v>0</v>
          </cell>
          <cell r="Q214">
            <v>-318238</v>
          </cell>
          <cell r="R214">
            <v>23811</v>
          </cell>
          <cell r="S214">
            <v>0</v>
          </cell>
          <cell r="T214">
            <v>0</v>
          </cell>
          <cell r="U214">
            <v>23811</v>
          </cell>
          <cell r="V214">
            <v>-342049</v>
          </cell>
          <cell r="W214">
            <v>0</v>
          </cell>
          <cell r="X214">
            <v>0</v>
          </cell>
          <cell r="Y214">
            <v>-342049</v>
          </cell>
          <cell r="Z214">
            <v>111657</v>
          </cell>
          <cell r="AA214">
            <v>111657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248099</v>
          </cell>
          <cell r="BB214">
            <v>215259</v>
          </cell>
          <cell r="BC214">
            <v>32840</v>
          </cell>
          <cell r="BD214">
            <v>55822</v>
          </cell>
          <cell r="BE214">
            <v>48433</v>
          </cell>
          <cell r="BF214">
            <v>7389</v>
          </cell>
          <cell r="BG214">
            <v>6202</v>
          </cell>
          <cell r="BH214">
            <v>5381</v>
          </cell>
          <cell r="BI214">
            <v>821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55836429.799999997</v>
          </cell>
          <cell r="G215">
            <v>0</v>
          </cell>
          <cell r="H215">
            <v>0</v>
          </cell>
          <cell r="I215">
            <v>55836429.799999997</v>
          </cell>
          <cell r="J215">
            <v>55900571</v>
          </cell>
          <cell r="K215">
            <v>0</v>
          </cell>
          <cell r="L215">
            <v>0</v>
          </cell>
          <cell r="M215">
            <v>55900571</v>
          </cell>
          <cell r="N215">
            <v>-64141.11</v>
          </cell>
          <cell r="O215">
            <v>0</v>
          </cell>
          <cell r="P215">
            <v>0</v>
          </cell>
          <cell r="Q215">
            <v>-64141.11</v>
          </cell>
          <cell r="R215">
            <v>4910</v>
          </cell>
          <cell r="S215">
            <v>0</v>
          </cell>
          <cell r="T215">
            <v>0</v>
          </cell>
          <cell r="U215">
            <v>4910</v>
          </cell>
          <cell r="V215">
            <v>-69051</v>
          </cell>
          <cell r="W215">
            <v>0</v>
          </cell>
          <cell r="X215">
            <v>0</v>
          </cell>
          <cell r="Y215">
            <v>-69051</v>
          </cell>
          <cell r="Z215">
            <v>177701</v>
          </cell>
          <cell r="AA215">
            <v>177701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375414</v>
          </cell>
          <cell r="BB215">
            <v>323430</v>
          </cell>
          <cell r="BC215">
            <v>51984</v>
          </cell>
          <cell r="BD215">
            <v>93853</v>
          </cell>
          <cell r="BE215">
            <v>80858</v>
          </cell>
          <cell r="BF215">
            <v>12995</v>
          </cell>
          <cell r="BG215">
            <v>0</v>
          </cell>
          <cell r="BH215">
            <v>0</v>
          </cell>
          <cell r="BI215">
            <v>0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15512293</v>
          </cell>
          <cell r="G216">
            <v>0</v>
          </cell>
          <cell r="H216">
            <v>1794510</v>
          </cell>
          <cell r="I216">
            <v>17306803</v>
          </cell>
          <cell r="J216">
            <v>15524500</v>
          </cell>
          <cell r="K216">
            <v>0</v>
          </cell>
          <cell r="L216">
            <v>1794510</v>
          </cell>
          <cell r="M216">
            <v>17319010</v>
          </cell>
          <cell r="N216">
            <v>-12207</v>
          </cell>
          <cell r="O216">
            <v>0</v>
          </cell>
          <cell r="P216">
            <v>0</v>
          </cell>
          <cell r="Q216">
            <v>-12207</v>
          </cell>
          <cell r="R216">
            <v>150986</v>
          </cell>
          <cell r="S216">
            <v>0</v>
          </cell>
          <cell r="T216">
            <v>0</v>
          </cell>
          <cell r="U216">
            <v>150986</v>
          </cell>
          <cell r="V216">
            <v>-163193</v>
          </cell>
          <cell r="W216">
            <v>0</v>
          </cell>
          <cell r="X216">
            <v>0</v>
          </cell>
          <cell r="Y216">
            <v>-163193</v>
          </cell>
          <cell r="Z216">
            <v>85946</v>
          </cell>
          <cell r="AA216">
            <v>85946</v>
          </cell>
          <cell r="AB216">
            <v>0</v>
          </cell>
          <cell r="AC216">
            <v>2997</v>
          </cell>
          <cell r="AD216">
            <v>2997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355422</v>
          </cell>
          <cell r="BB216">
            <v>304271</v>
          </cell>
          <cell r="BC216">
            <v>51151</v>
          </cell>
          <cell r="BD216">
            <v>79970</v>
          </cell>
          <cell r="BE216">
            <v>68461</v>
          </cell>
          <cell r="BF216">
            <v>11509</v>
          </cell>
          <cell r="BG216">
            <v>8886</v>
          </cell>
          <cell r="BH216">
            <v>7607</v>
          </cell>
          <cell r="BI216">
            <v>1279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446053.67</v>
          </cell>
          <cell r="G217">
            <v>0</v>
          </cell>
          <cell r="H217">
            <v>0</v>
          </cell>
          <cell r="I217">
            <v>446053.67</v>
          </cell>
          <cell r="J217">
            <v>432399</v>
          </cell>
          <cell r="K217">
            <v>0</v>
          </cell>
          <cell r="L217">
            <v>0</v>
          </cell>
          <cell r="M217">
            <v>432399</v>
          </cell>
          <cell r="N217">
            <v>13654.67</v>
          </cell>
          <cell r="O217">
            <v>0</v>
          </cell>
          <cell r="P217">
            <v>0</v>
          </cell>
          <cell r="Q217">
            <v>13654.67</v>
          </cell>
          <cell r="R217">
            <v>281726</v>
          </cell>
          <cell r="S217">
            <v>0</v>
          </cell>
          <cell r="T217">
            <v>0</v>
          </cell>
          <cell r="U217">
            <v>281726</v>
          </cell>
          <cell r="V217">
            <v>-268071</v>
          </cell>
          <cell r="W217">
            <v>0</v>
          </cell>
          <cell r="X217">
            <v>0</v>
          </cell>
          <cell r="Y217">
            <v>-268071</v>
          </cell>
          <cell r="Z217">
            <v>304564</v>
          </cell>
          <cell r="AA217">
            <v>304564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320483</v>
          </cell>
          <cell r="BB217">
            <v>274807</v>
          </cell>
          <cell r="BC217">
            <v>45676</v>
          </cell>
          <cell r="BD217">
            <v>213655</v>
          </cell>
          <cell r="BE217">
            <v>183205</v>
          </cell>
          <cell r="BF217">
            <v>30450</v>
          </cell>
          <cell r="BG217">
            <v>0</v>
          </cell>
          <cell r="BH217">
            <v>0</v>
          </cell>
          <cell r="BI217">
            <v>0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12988649</v>
          </cell>
          <cell r="G218">
            <v>0</v>
          </cell>
          <cell r="H218">
            <v>0</v>
          </cell>
          <cell r="I218">
            <v>12988649</v>
          </cell>
          <cell r="J218">
            <v>13051599</v>
          </cell>
          <cell r="K218">
            <v>0</v>
          </cell>
          <cell r="L218">
            <v>0</v>
          </cell>
          <cell r="M218">
            <v>13051599</v>
          </cell>
          <cell r="N218">
            <v>-62950</v>
          </cell>
          <cell r="O218">
            <v>0</v>
          </cell>
          <cell r="P218">
            <v>0</v>
          </cell>
          <cell r="Q218">
            <v>-62950</v>
          </cell>
          <cell r="R218">
            <v>16470</v>
          </cell>
          <cell r="S218">
            <v>0</v>
          </cell>
          <cell r="T218">
            <v>0</v>
          </cell>
          <cell r="U218">
            <v>16470</v>
          </cell>
          <cell r="V218">
            <v>-79420</v>
          </cell>
          <cell r="W218">
            <v>0</v>
          </cell>
          <cell r="X218">
            <v>0</v>
          </cell>
          <cell r="Y218">
            <v>-79420</v>
          </cell>
          <cell r="Z218">
            <v>96435</v>
          </cell>
          <cell r="AA218">
            <v>96435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326286</v>
          </cell>
          <cell r="BB218">
            <v>282130</v>
          </cell>
          <cell r="BC218">
            <v>44156</v>
          </cell>
          <cell r="BD218">
            <v>73414</v>
          </cell>
          <cell r="BE218">
            <v>63479</v>
          </cell>
          <cell r="BF218">
            <v>9935</v>
          </cell>
          <cell r="BG218">
            <v>8157</v>
          </cell>
          <cell r="BH218">
            <v>7053</v>
          </cell>
          <cell r="BI218">
            <v>1104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61572381</v>
          </cell>
          <cell r="G219">
            <v>0</v>
          </cell>
          <cell r="H219">
            <v>0</v>
          </cell>
          <cell r="I219">
            <v>61572381</v>
          </cell>
          <cell r="J219">
            <v>62470232</v>
          </cell>
          <cell r="K219">
            <v>0</v>
          </cell>
          <cell r="L219">
            <v>0</v>
          </cell>
          <cell r="M219">
            <v>62470232</v>
          </cell>
          <cell r="N219">
            <v>-897851</v>
          </cell>
          <cell r="O219">
            <v>0</v>
          </cell>
          <cell r="P219">
            <v>0</v>
          </cell>
          <cell r="Q219">
            <v>-897851</v>
          </cell>
          <cell r="R219">
            <v>247624</v>
          </cell>
          <cell r="S219">
            <v>0</v>
          </cell>
          <cell r="T219">
            <v>0</v>
          </cell>
          <cell r="U219">
            <v>247624</v>
          </cell>
          <cell r="V219">
            <v>-1145475</v>
          </cell>
          <cell r="W219">
            <v>0</v>
          </cell>
          <cell r="X219">
            <v>0</v>
          </cell>
          <cell r="Y219">
            <v>-1145475</v>
          </cell>
          <cell r="Z219">
            <v>285612</v>
          </cell>
          <cell r="AA219">
            <v>285612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1168391</v>
          </cell>
          <cell r="BB219">
            <v>959257</v>
          </cell>
          <cell r="BC219">
            <v>209134</v>
          </cell>
          <cell r="BD219">
            <v>0</v>
          </cell>
          <cell r="BE219">
            <v>0</v>
          </cell>
          <cell r="BF219">
            <v>0</v>
          </cell>
          <cell r="BG219">
            <v>23845</v>
          </cell>
          <cell r="BH219">
            <v>19577</v>
          </cell>
          <cell r="BI219">
            <v>4268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17161448</v>
          </cell>
          <cell r="G220">
            <v>0</v>
          </cell>
          <cell r="H220">
            <v>0</v>
          </cell>
          <cell r="I220">
            <v>17161448</v>
          </cell>
          <cell r="J220">
            <v>17225961</v>
          </cell>
          <cell r="K220">
            <v>0</v>
          </cell>
          <cell r="L220">
            <v>0</v>
          </cell>
          <cell r="M220">
            <v>17225961</v>
          </cell>
          <cell r="N220">
            <v>-64513</v>
          </cell>
          <cell r="O220">
            <v>0</v>
          </cell>
          <cell r="P220">
            <v>0</v>
          </cell>
          <cell r="Q220">
            <v>-64513</v>
          </cell>
          <cell r="R220">
            <v>31934</v>
          </cell>
          <cell r="S220">
            <v>0</v>
          </cell>
          <cell r="T220">
            <v>0</v>
          </cell>
          <cell r="U220">
            <v>31934</v>
          </cell>
          <cell r="V220">
            <v>-96447</v>
          </cell>
          <cell r="W220">
            <v>0</v>
          </cell>
          <cell r="X220">
            <v>0</v>
          </cell>
          <cell r="Y220">
            <v>-96447</v>
          </cell>
          <cell r="Z220">
            <v>85320</v>
          </cell>
          <cell r="AA220">
            <v>85320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297778</v>
          </cell>
          <cell r="BB220">
            <v>252586</v>
          </cell>
          <cell r="BC220">
            <v>45192</v>
          </cell>
          <cell r="BD220">
            <v>67000</v>
          </cell>
          <cell r="BE220">
            <v>56832</v>
          </cell>
          <cell r="BF220">
            <v>10168</v>
          </cell>
          <cell r="BG220">
            <v>7444</v>
          </cell>
          <cell r="BH220">
            <v>6315</v>
          </cell>
          <cell r="BI220">
            <v>1129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13827306</v>
          </cell>
          <cell r="G221">
            <v>0</v>
          </cell>
          <cell r="H221">
            <v>0</v>
          </cell>
          <cell r="I221">
            <v>13827306</v>
          </cell>
          <cell r="J221">
            <v>13826641</v>
          </cell>
          <cell r="K221">
            <v>0</v>
          </cell>
          <cell r="L221">
            <v>0</v>
          </cell>
          <cell r="M221">
            <v>13826641</v>
          </cell>
          <cell r="N221">
            <v>665</v>
          </cell>
          <cell r="O221">
            <v>0</v>
          </cell>
          <cell r="P221">
            <v>0</v>
          </cell>
          <cell r="Q221">
            <v>665</v>
          </cell>
          <cell r="R221">
            <v>78905</v>
          </cell>
          <cell r="S221">
            <v>0</v>
          </cell>
          <cell r="T221">
            <v>0</v>
          </cell>
          <cell r="U221">
            <v>78905</v>
          </cell>
          <cell r="V221">
            <v>-78240</v>
          </cell>
          <cell r="W221">
            <v>0</v>
          </cell>
          <cell r="X221">
            <v>0</v>
          </cell>
          <cell r="Y221">
            <v>-78240</v>
          </cell>
          <cell r="Z221">
            <v>101007</v>
          </cell>
          <cell r="AA221">
            <v>101007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374772</v>
          </cell>
          <cell r="BB221">
            <v>333126</v>
          </cell>
          <cell r="BC221">
            <v>41646</v>
          </cell>
          <cell r="BD221">
            <v>84324</v>
          </cell>
          <cell r="BE221">
            <v>74953</v>
          </cell>
          <cell r="BF221">
            <v>9371</v>
          </cell>
          <cell r="BG221">
            <v>9369</v>
          </cell>
          <cell r="BH221">
            <v>8328</v>
          </cell>
          <cell r="BI221">
            <v>1041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18950490</v>
          </cell>
          <cell r="G222">
            <v>0</v>
          </cell>
          <cell r="H222">
            <v>0</v>
          </cell>
          <cell r="I222">
            <v>18950490</v>
          </cell>
          <cell r="J222">
            <v>18932935</v>
          </cell>
          <cell r="K222">
            <v>0</v>
          </cell>
          <cell r="L222">
            <v>0</v>
          </cell>
          <cell r="M222">
            <v>18932935</v>
          </cell>
          <cell r="N222">
            <v>17555</v>
          </cell>
          <cell r="O222">
            <v>0</v>
          </cell>
          <cell r="P222">
            <v>0</v>
          </cell>
          <cell r="Q222">
            <v>17555</v>
          </cell>
          <cell r="R222">
            <v>72349</v>
          </cell>
          <cell r="S222">
            <v>0</v>
          </cell>
          <cell r="T222">
            <v>0</v>
          </cell>
          <cell r="U222">
            <v>72349</v>
          </cell>
          <cell r="V222">
            <v>-54794</v>
          </cell>
          <cell r="W222">
            <v>0</v>
          </cell>
          <cell r="X222">
            <v>0</v>
          </cell>
          <cell r="Y222">
            <v>-54794</v>
          </cell>
          <cell r="Z222">
            <v>136326</v>
          </cell>
          <cell r="AA222">
            <v>136326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529219</v>
          </cell>
          <cell r="BB222">
            <v>438542</v>
          </cell>
          <cell r="BC222">
            <v>90677</v>
          </cell>
          <cell r="BD222">
            <v>119074</v>
          </cell>
          <cell r="BE222">
            <v>98672</v>
          </cell>
          <cell r="BF222">
            <v>20402</v>
          </cell>
          <cell r="BG222">
            <v>13230</v>
          </cell>
          <cell r="BH222">
            <v>10964</v>
          </cell>
          <cell r="BI222">
            <v>2266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72500116</v>
          </cell>
          <cell r="G223">
            <v>0</v>
          </cell>
          <cell r="H223">
            <v>0</v>
          </cell>
          <cell r="I223">
            <v>72500116</v>
          </cell>
          <cell r="J223">
            <v>73172093</v>
          </cell>
          <cell r="K223">
            <v>0</v>
          </cell>
          <cell r="L223">
            <v>0</v>
          </cell>
          <cell r="M223">
            <v>73172093</v>
          </cell>
          <cell r="N223">
            <v>-671977</v>
          </cell>
          <cell r="O223">
            <v>0</v>
          </cell>
          <cell r="P223">
            <v>0</v>
          </cell>
          <cell r="Q223">
            <v>-671977</v>
          </cell>
          <cell r="R223">
            <v>74466</v>
          </cell>
          <cell r="S223">
            <v>0</v>
          </cell>
          <cell r="T223">
            <v>0</v>
          </cell>
          <cell r="U223">
            <v>74466</v>
          </cell>
          <cell r="V223">
            <v>-746443</v>
          </cell>
          <cell r="W223">
            <v>0</v>
          </cell>
          <cell r="X223">
            <v>0</v>
          </cell>
          <cell r="Y223">
            <v>-746443</v>
          </cell>
          <cell r="Z223">
            <v>310277</v>
          </cell>
          <cell r="AA223">
            <v>310277</v>
          </cell>
          <cell r="AB223">
            <v>0</v>
          </cell>
          <cell r="AC223">
            <v>0</v>
          </cell>
          <cell r="AD223">
            <v>88042</v>
          </cell>
          <cell r="AE223">
            <v>-88042</v>
          </cell>
          <cell r="AF223">
            <v>0</v>
          </cell>
          <cell r="AG223">
            <v>0</v>
          </cell>
          <cell r="AH223">
            <v>0</v>
          </cell>
          <cell r="AI223">
            <v>115440</v>
          </cell>
          <cell r="AJ223">
            <v>0</v>
          </cell>
          <cell r="AK223">
            <v>115440</v>
          </cell>
          <cell r="AL223">
            <v>0</v>
          </cell>
          <cell r="AM223">
            <v>0</v>
          </cell>
          <cell r="AN223">
            <v>0</v>
          </cell>
          <cell r="AO223">
            <v>420349</v>
          </cell>
          <cell r="AP223">
            <v>403812</v>
          </cell>
          <cell r="AQ223">
            <v>16537</v>
          </cell>
          <cell r="AR223">
            <v>420349</v>
          </cell>
          <cell r="AS223">
            <v>403812</v>
          </cell>
          <cell r="AT223">
            <v>16537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1141523</v>
          </cell>
          <cell r="BB223">
            <v>978022</v>
          </cell>
          <cell r="BC223">
            <v>163501</v>
          </cell>
          <cell r="BD223">
            <v>0</v>
          </cell>
          <cell r="BE223">
            <v>0</v>
          </cell>
          <cell r="BF223">
            <v>0</v>
          </cell>
          <cell r="BG223">
            <v>23296</v>
          </cell>
          <cell r="BH223">
            <v>19960</v>
          </cell>
          <cell r="BI223">
            <v>3336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40117745</v>
          </cell>
          <cell r="G224">
            <v>0</v>
          </cell>
          <cell r="H224">
            <v>0</v>
          </cell>
          <cell r="I224">
            <v>40117745</v>
          </cell>
          <cell r="J224">
            <v>40330839</v>
          </cell>
          <cell r="K224">
            <v>0</v>
          </cell>
          <cell r="L224">
            <v>0</v>
          </cell>
          <cell r="M224">
            <v>40330839</v>
          </cell>
          <cell r="N224">
            <v>-213094</v>
          </cell>
          <cell r="O224">
            <v>0</v>
          </cell>
          <cell r="P224">
            <v>0</v>
          </cell>
          <cell r="Q224">
            <v>-213094</v>
          </cell>
          <cell r="R224">
            <v>47446</v>
          </cell>
          <cell r="S224">
            <v>0</v>
          </cell>
          <cell r="T224">
            <v>0</v>
          </cell>
          <cell r="U224">
            <v>47446</v>
          </cell>
          <cell r="V224">
            <v>-260540</v>
          </cell>
          <cell r="W224">
            <v>0</v>
          </cell>
          <cell r="X224">
            <v>0</v>
          </cell>
          <cell r="Y224">
            <v>-260540</v>
          </cell>
          <cell r="Z224">
            <v>135187</v>
          </cell>
          <cell r="AA224">
            <v>135187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337032</v>
          </cell>
          <cell r="BB224">
            <v>229712</v>
          </cell>
          <cell r="BC224">
            <v>107320</v>
          </cell>
          <cell r="BD224">
            <v>84258</v>
          </cell>
          <cell r="BE224">
            <v>57428</v>
          </cell>
          <cell r="BF224">
            <v>26830</v>
          </cell>
          <cell r="BG224">
            <v>0</v>
          </cell>
          <cell r="BH224">
            <v>0</v>
          </cell>
          <cell r="BI224">
            <v>0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40775122</v>
          </cell>
          <cell r="G225">
            <v>0</v>
          </cell>
          <cell r="H225">
            <v>0</v>
          </cell>
          <cell r="I225">
            <v>40775122</v>
          </cell>
          <cell r="J225">
            <v>40838794</v>
          </cell>
          <cell r="K225">
            <v>0</v>
          </cell>
          <cell r="L225">
            <v>0</v>
          </cell>
          <cell r="M225">
            <v>40838794</v>
          </cell>
          <cell r="N225">
            <v>-63672</v>
          </cell>
          <cell r="O225">
            <v>0</v>
          </cell>
          <cell r="P225">
            <v>0</v>
          </cell>
          <cell r="Q225">
            <v>-63672</v>
          </cell>
          <cell r="R225">
            <v>22964</v>
          </cell>
          <cell r="S225">
            <v>0</v>
          </cell>
          <cell r="T225">
            <v>0</v>
          </cell>
          <cell r="U225">
            <v>22964</v>
          </cell>
          <cell r="V225">
            <v>-86636</v>
          </cell>
          <cell r="W225">
            <v>0</v>
          </cell>
          <cell r="X225">
            <v>0</v>
          </cell>
          <cell r="Y225">
            <v>-86636</v>
          </cell>
          <cell r="Z225">
            <v>128572</v>
          </cell>
          <cell r="AA225">
            <v>128572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238699</v>
          </cell>
          <cell r="BB225">
            <v>203560</v>
          </cell>
          <cell r="BC225">
            <v>35139</v>
          </cell>
          <cell r="BD225">
            <v>59675</v>
          </cell>
          <cell r="BE225">
            <v>50890</v>
          </cell>
          <cell r="BF225">
            <v>8785</v>
          </cell>
          <cell r="BG225">
            <v>0</v>
          </cell>
          <cell r="BH225">
            <v>0</v>
          </cell>
          <cell r="BI225">
            <v>0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30807312</v>
          </cell>
          <cell r="G226">
            <v>0</v>
          </cell>
          <cell r="H226">
            <v>0</v>
          </cell>
          <cell r="I226">
            <v>30807312</v>
          </cell>
          <cell r="J226">
            <v>29446899</v>
          </cell>
          <cell r="K226">
            <v>0</v>
          </cell>
          <cell r="L226">
            <v>0</v>
          </cell>
          <cell r="M226">
            <v>29446899</v>
          </cell>
          <cell r="N226">
            <v>1360413</v>
          </cell>
          <cell r="O226">
            <v>0</v>
          </cell>
          <cell r="P226">
            <v>0</v>
          </cell>
          <cell r="Q226">
            <v>1360413</v>
          </cell>
          <cell r="R226">
            <v>2853105</v>
          </cell>
          <cell r="S226">
            <v>0</v>
          </cell>
          <cell r="T226">
            <v>0</v>
          </cell>
          <cell r="U226">
            <v>2853105</v>
          </cell>
          <cell r="V226">
            <v>-1492692</v>
          </cell>
          <cell r="W226">
            <v>0</v>
          </cell>
          <cell r="X226">
            <v>0</v>
          </cell>
          <cell r="Y226">
            <v>-1492692</v>
          </cell>
          <cell r="Z226">
            <v>110790</v>
          </cell>
          <cell r="AA226">
            <v>110790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349640</v>
          </cell>
          <cell r="BB226">
            <v>299558</v>
          </cell>
          <cell r="BC226">
            <v>50082</v>
          </cell>
          <cell r="BD226">
            <v>78669</v>
          </cell>
          <cell r="BE226">
            <v>67400</v>
          </cell>
          <cell r="BF226">
            <v>11269</v>
          </cell>
          <cell r="BG226">
            <v>8741</v>
          </cell>
          <cell r="BH226">
            <v>7489</v>
          </cell>
          <cell r="BI226">
            <v>1252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43427818.5</v>
          </cell>
          <cell r="G227">
            <v>0</v>
          </cell>
          <cell r="H227">
            <v>0</v>
          </cell>
          <cell r="I227">
            <v>43427818.5</v>
          </cell>
          <cell r="J227">
            <v>44084180</v>
          </cell>
          <cell r="K227">
            <v>0</v>
          </cell>
          <cell r="L227">
            <v>0</v>
          </cell>
          <cell r="M227">
            <v>44084180</v>
          </cell>
          <cell r="N227">
            <v>-656361.51</v>
          </cell>
          <cell r="O227">
            <v>0</v>
          </cell>
          <cell r="P227">
            <v>0</v>
          </cell>
          <cell r="Q227">
            <v>-656361.51</v>
          </cell>
          <cell r="R227">
            <v>-153085</v>
          </cell>
          <cell r="S227">
            <v>0</v>
          </cell>
          <cell r="T227">
            <v>0</v>
          </cell>
          <cell r="U227">
            <v>-153085</v>
          </cell>
          <cell r="V227">
            <v>-503277</v>
          </cell>
          <cell r="W227">
            <v>0</v>
          </cell>
          <cell r="X227">
            <v>0</v>
          </cell>
          <cell r="Y227">
            <v>-503277</v>
          </cell>
          <cell r="Z227">
            <v>124561</v>
          </cell>
          <cell r="AA227">
            <v>124561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226902</v>
          </cell>
          <cell r="BB227">
            <v>198502</v>
          </cell>
          <cell r="BC227">
            <v>28400</v>
          </cell>
          <cell r="BD227">
            <v>51053</v>
          </cell>
          <cell r="BE227">
            <v>44663</v>
          </cell>
          <cell r="BF227">
            <v>6390</v>
          </cell>
          <cell r="BG227">
            <v>5673</v>
          </cell>
          <cell r="BH227">
            <v>4963</v>
          </cell>
          <cell r="BI227">
            <v>710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9695845</v>
          </cell>
          <cell r="G228">
            <v>0</v>
          </cell>
          <cell r="H228">
            <v>0</v>
          </cell>
          <cell r="I228">
            <v>9695845</v>
          </cell>
          <cell r="J228">
            <v>9743895</v>
          </cell>
          <cell r="K228">
            <v>0</v>
          </cell>
          <cell r="L228">
            <v>0</v>
          </cell>
          <cell r="M228">
            <v>9743895</v>
          </cell>
          <cell r="N228">
            <v>-48050</v>
          </cell>
          <cell r="O228">
            <v>0</v>
          </cell>
          <cell r="P228">
            <v>0</v>
          </cell>
          <cell r="Q228">
            <v>-48050</v>
          </cell>
          <cell r="R228">
            <v>16837</v>
          </cell>
          <cell r="S228">
            <v>0</v>
          </cell>
          <cell r="T228">
            <v>0</v>
          </cell>
          <cell r="U228">
            <v>16837</v>
          </cell>
          <cell r="V228">
            <v>-64887</v>
          </cell>
          <cell r="W228">
            <v>0</v>
          </cell>
          <cell r="X228">
            <v>0</v>
          </cell>
          <cell r="Y228">
            <v>-64887</v>
          </cell>
          <cell r="Z228">
            <v>53206</v>
          </cell>
          <cell r="AA228">
            <v>53206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197516</v>
          </cell>
          <cell r="BB228">
            <v>165341</v>
          </cell>
          <cell r="BC228">
            <v>32175</v>
          </cell>
          <cell r="BD228">
            <v>0</v>
          </cell>
          <cell r="BE228">
            <v>0</v>
          </cell>
          <cell r="BF228">
            <v>0</v>
          </cell>
          <cell r="BG228">
            <v>4031</v>
          </cell>
          <cell r="BH228">
            <v>3374</v>
          </cell>
          <cell r="BI228">
            <v>657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15293925</v>
          </cell>
          <cell r="G229">
            <v>0</v>
          </cell>
          <cell r="H229">
            <v>0</v>
          </cell>
          <cell r="I229">
            <v>15293925</v>
          </cell>
          <cell r="J229">
            <v>15179360</v>
          </cell>
          <cell r="K229">
            <v>0</v>
          </cell>
          <cell r="L229">
            <v>0</v>
          </cell>
          <cell r="M229">
            <v>15179360</v>
          </cell>
          <cell r="N229">
            <v>114565</v>
          </cell>
          <cell r="O229">
            <v>0</v>
          </cell>
          <cell r="P229">
            <v>0</v>
          </cell>
          <cell r="Q229">
            <v>114565</v>
          </cell>
          <cell r="R229">
            <v>181727</v>
          </cell>
          <cell r="S229">
            <v>0</v>
          </cell>
          <cell r="T229">
            <v>0</v>
          </cell>
          <cell r="U229">
            <v>181727</v>
          </cell>
          <cell r="V229">
            <v>-67162</v>
          </cell>
          <cell r="W229">
            <v>0</v>
          </cell>
          <cell r="X229">
            <v>0</v>
          </cell>
          <cell r="Y229">
            <v>-67162</v>
          </cell>
          <cell r="Z229">
            <v>111364</v>
          </cell>
          <cell r="AA229">
            <v>111364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394988</v>
          </cell>
          <cell r="BB229">
            <v>363348</v>
          </cell>
          <cell r="BC229">
            <v>31640</v>
          </cell>
          <cell r="BD229">
            <v>88872</v>
          </cell>
          <cell r="BE229">
            <v>81753</v>
          </cell>
          <cell r="BF229">
            <v>7119</v>
          </cell>
          <cell r="BG229">
            <v>9875</v>
          </cell>
          <cell r="BH229">
            <v>9084</v>
          </cell>
          <cell r="BI229">
            <v>791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88583014</v>
          </cell>
          <cell r="G230">
            <v>0</v>
          </cell>
          <cell r="H230">
            <v>0</v>
          </cell>
          <cell r="I230">
            <v>88583014</v>
          </cell>
          <cell r="J230">
            <v>89609793</v>
          </cell>
          <cell r="K230">
            <v>0</v>
          </cell>
          <cell r="L230">
            <v>0</v>
          </cell>
          <cell r="M230">
            <v>89609793</v>
          </cell>
          <cell r="N230">
            <v>-1026779</v>
          </cell>
          <cell r="O230">
            <v>0</v>
          </cell>
          <cell r="P230">
            <v>0</v>
          </cell>
          <cell r="Q230">
            <v>-1026779</v>
          </cell>
          <cell r="R230">
            <v>-234228</v>
          </cell>
          <cell r="S230">
            <v>0</v>
          </cell>
          <cell r="T230">
            <v>0</v>
          </cell>
          <cell r="U230">
            <v>-234228</v>
          </cell>
          <cell r="V230">
            <v>-792551</v>
          </cell>
          <cell r="W230">
            <v>0</v>
          </cell>
          <cell r="X230">
            <v>0</v>
          </cell>
          <cell r="Y230">
            <v>-792551</v>
          </cell>
          <cell r="Z230">
            <v>439400</v>
          </cell>
          <cell r="AA230">
            <v>439400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1007908</v>
          </cell>
          <cell r="BB230">
            <v>830119</v>
          </cell>
          <cell r="BC230">
            <v>177789</v>
          </cell>
          <cell r="BD230">
            <v>0</v>
          </cell>
          <cell r="BE230">
            <v>0</v>
          </cell>
          <cell r="BF230">
            <v>0</v>
          </cell>
          <cell r="BG230">
            <v>20570</v>
          </cell>
          <cell r="BH230">
            <v>16941</v>
          </cell>
          <cell r="BI230">
            <v>3629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91366141</v>
          </cell>
          <cell r="G231">
            <v>0</v>
          </cell>
          <cell r="H231">
            <v>0</v>
          </cell>
          <cell r="I231">
            <v>91366141</v>
          </cell>
          <cell r="J231">
            <v>91837510</v>
          </cell>
          <cell r="K231">
            <v>0</v>
          </cell>
          <cell r="L231">
            <v>0</v>
          </cell>
          <cell r="M231">
            <v>91837510</v>
          </cell>
          <cell r="N231">
            <v>-471369</v>
          </cell>
          <cell r="O231">
            <v>0</v>
          </cell>
          <cell r="P231">
            <v>0</v>
          </cell>
          <cell r="Q231">
            <v>-471369</v>
          </cell>
          <cell r="R231">
            <v>-87388</v>
          </cell>
          <cell r="S231">
            <v>0</v>
          </cell>
          <cell r="T231">
            <v>0</v>
          </cell>
          <cell r="U231">
            <v>-87388</v>
          </cell>
          <cell r="V231">
            <v>-383981</v>
          </cell>
          <cell r="W231">
            <v>0</v>
          </cell>
          <cell r="X231">
            <v>0</v>
          </cell>
          <cell r="Y231">
            <v>-383981</v>
          </cell>
          <cell r="Z231">
            <v>438871</v>
          </cell>
          <cell r="AA231">
            <v>438871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1731001</v>
          </cell>
          <cell r="BB231">
            <v>1292515</v>
          </cell>
          <cell r="BC231">
            <v>438486</v>
          </cell>
          <cell r="BD231">
            <v>0</v>
          </cell>
          <cell r="BE231">
            <v>0</v>
          </cell>
          <cell r="BF231">
            <v>0</v>
          </cell>
          <cell r="BG231">
            <v>35327</v>
          </cell>
          <cell r="BH231">
            <v>26378</v>
          </cell>
          <cell r="BI231">
            <v>8949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33175841</v>
          </cell>
          <cell r="G232">
            <v>0</v>
          </cell>
          <cell r="H232">
            <v>0</v>
          </cell>
          <cell r="I232">
            <v>33175841</v>
          </cell>
          <cell r="J232">
            <v>33769912</v>
          </cell>
          <cell r="K232">
            <v>0</v>
          </cell>
          <cell r="L232">
            <v>0</v>
          </cell>
          <cell r="M232">
            <v>33769912</v>
          </cell>
          <cell r="N232">
            <v>-594071</v>
          </cell>
          <cell r="O232">
            <v>0</v>
          </cell>
          <cell r="P232">
            <v>0</v>
          </cell>
          <cell r="Q232">
            <v>-594071</v>
          </cell>
          <cell r="R232">
            <v>312356</v>
          </cell>
          <cell r="S232">
            <v>0</v>
          </cell>
          <cell r="T232">
            <v>0</v>
          </cell>
          <cell r="U232">
            <v>312356</v>
          </cell>
          <cell r="V232">
            <v>-906427</v>
          </cell>
          <cell r="W232">
            <v>0</v>
          </cell>
          <cell r="X232">
            <v>0</v>
          </cell>
          <cell r="Y232">
            <v>-906427</v>
          </cell>
          <cell r="Z232">
            <v>247588</v>
          </cell>
          <cell r="AA232">
            <v>247588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945327</v>
          </cell>
          <cell r="BB232">
            <v>817320</v>
          </cell>
          <cell r="BC232">
            <v>128007</v>
          </cell>
          <cell r="BD232">
            <v>212699</v>
          </cell>
          <cell r="BE232">
            <v>183897</v>
          </cell>
          <cell r="BF232">
            <v>28802</v>
          </cell>
          <cell r="BG232">
            <v>23633</v>
          </cell>
          <cell r="BH232">
            <v>20433</v>
          </cell>
          <cell r="BI232">
            <v>3200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152301</v>
          </cell>
          <cell r="G233">
            <v>0</v>
          </cell>
          <cell r="H233">
            <v>0</v>
          </cell>
          <cell r="I233">
            <v>152301</v>
          </cell>
          <cell r="J233">
            <v>209657</v>
          </cell>
          <cell r="K233">
            <v>0</v>
          </cell>
          <cell r="L233">
            <v>0</v>
          </cell>
          <cell r="M233">
            <v>209657</v>
          </cell>
          <cell r="N233">
            <v>-57356</v>
          </cell>
          <cell r="O233">
            <v>0</v>
          </cell>
          <cell r="P233">
            <v>0</v>
          </cell>
          <cell r="Q233">
            <v>-57356</v>
          </cell>
          <cell r="R233">
            <v>151712</v>
          </cell>
          <cell r="S233">
            <v>0</v>
          </cell>
          <cell r="T233">
            <v>0</v>
          </cell>
          <cell r="U233">
            <v>151711</v>
          </cell>
          <cell r="V233">
            <v>-209068</v>
          </cell>
          <cell r="W233">
            <v>0</v>
          </cell>
          <cell r="X233">
            <v>0</v>
          </cell>
          <cell r="Y233">
            <v>-209068</v>
          </cell>
          <cell r="Z233">
            <v>162353</v>
          </cell>
          <cell r="AA233">
            <v>162353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507</v>
          </cell>
          <cell r="AJ233">
            <v>9420</v>
          </cell>
          <cell r="AK233">
            <v>-8913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514518</v>
          </cell>
          <cell r="BB233">
            <v>440093</v>
          </cell>
          <cell r="BC233">
            <v>74425</v>
          </cell>
          <cell r="BD233">
            <v>115767</v>
          </cell>
          <cell r="BE233">
            <v>99021</v>
          </cell>
          <cell r="BF233">
            <v>16746</v>
          </cell>
          <cell r="BG233">
            <v>12863</v>
          </cell>
          <cell r="BH233">
            <v>11002</v>
          </cell>
          <cell r="BI233">
            <v>1861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67889320</v>
          </cell>
          <cell r="G234">
            <v>0</v>
          </cell>
          <cell r="H234">
            <v>0</v>
          </cell>
          <cell r="I234">
            <v>67889320</v>
          </cell>
          <cell r="J234">
            <v>65932430</v>
          </cell>
          <cell r="K234">
            <v>0</v>
          </cell>
          <cell r="L234">
            <v>0</v>
          </cell>
          <cell r="M234">
            <v>65932430</v>
          </cell>
          <cell r="N234">
            <v>1956890</v>
          </cell>
          <cell r="O234">
            <v>0</v>
          </cell>
          <cell r="P234">
            <v>0</v>
          </cell>
          <cell r="Q234">
            <v>1956890</v>
          </cell>
          <cell r="R234">
            <v>-687448</v>
          </cell>
          <cell r="S234">
            <v>0</v>
          </cell>
          <cell r="T234">
            <v>0</v>
          </cell>
          <cell r="U234">
            <v>-687448</v>
          </cell>
          <cell r="V234">
            <v>2644338</v>
          </cell>
          <cell r="W234">
            <v>0</v>
          </cell>
          <cell r="X234">
            <v>0</v>
          </cell>
          <cell r="Y234">
            <v>2644338</v>
          </cell>
          <cell r="Z234">
            <v>322252</v>
          </cell>
          <cell r="AA234">
            <v>322252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1298460</v>
          </cell>
          <cell r="BB234">
            <v>1066126</v>
          </cell>
          <cell r="BC234">
            <v>232334</v>
          </cell>
          <cell r="BD234">
            <v>0</v>
          </cell>
          <cell r="BE234">
            <v>0</v>
          </cell>
          <cell r="BF234">
            <v>0</v>
          </cell>
          <cell r="BG234">
            <v>26499</v>
          </cell>
          <cell r="BH234">
            <v>21758</v>
          </cell>
          <cell r="BI234">
            <v>4741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37743503</v>
          </cell>
          <cell r="G235">
            <v>0</v>
          </cell>
          <cell r="H235">
            <v>0</v>
          </cell>
          <cell r="I235">
            <v>37743503</v>
          </cell>
          <cell r="J235">
            <v>41939969</v>
          </cell>
          <cell r="K235">
            <v>0</v>
          </cell>
          <cell r="L235">
            <v>0</v>
          </cell>
          <cell r="M235">
            <v>41939969</v>
          </cell>
          <cell r="N235">
            <v>-4196466</v>
          </cell>
          <cell r="O235">
            <v>0</v>
          </cell>
          <cell r="P235">
            <v>0</v>
          </cell>
          <cell r="Q235">
            <v>-4196466</v>
          </cell>
          <cell r="R235">
            <v>1787445</v>
          </cell>
          <cell r="S235">
            <v>0</v>
          </cell>
          <cell r="T235">
            <v>0</v>
          </cell>
          <cell r="U235">
            <v>1787445</v>
          </cell>
          <cell r="V235">
            <v>-5983911</v>
          </cell>
          <cell r="W235">
            <v>0</v>
          </cell>
          <cell r="X235">
            <v>0</v>
          </cell>
          <cell r="Y235">
            <v>-5983911</v>
          </cell>
          <cell r="Z235">
            <v>120601</v>
          </cell>
          <cell r="AA235">
            <v>120601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9186</v>
          </cell>
          <cell r="AJ235">
            <v>0</v>
          </cell>
          <cell r="AK235">
            <v>9186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303260</v>
          </cell>
          <cell r="BB235">
            <v>251581</v>
          </cell>
          <cell r="BC235">
            <v>51679</v>
          </cell>
          <cell r="BD235">
            <v>68234</v>
          </cell>
          <cell r="BE235">
            <v>56606</v>
          </cell>
          <cell r="BF235">
            <v>11628</v>
          </cell>
          <cell r="BG235">
            <v>7582</v>
          </cell>
          <cell r="BH235">
            <v>6290</v>
          </cell>
          <cell r="BI235">
            <v>1292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40766885</v>
          </cell>
          <cell r="G236">
            <v>0</v>
          </cell>
          <cell r="H236">
            <v>0</v>
          </cell>
          <cell r="I236">
            <v>40766885</v>
          </cell>
          <cell r="J236">
            <v>40820049</v>
          </cell>
          <cell r="K236">
            <v>0</v>
          </cell>
          <cell r="L236">
            <v>0</v>
          </cell>
          <cell r="M236">
            <v>40820049</v>
          </cell>
          <cell r="N236">
            <v>-53164</v>
          </cell>
          <cell r="O236">
            <v>0</v>
          </cell>
          <cell r="P236">
            <v>0</v>
          </cell>
          <cell r="Q236">
            <v>-53164</v>
          </cell>
          <cell r="R236">
            <v>126299</v>
          </cell>
          <cell r="S236">
            <v>0</v>
          </cell>
          <cell r="T236">
            <v>0</v>
          </cell>
          <cell r="U236">
            <v>126299</v>
          </cell>
          <cell r="V236">
            <v>-179463</v>
          </cell>
          <cell r="W236">
            <v>0</v>
          </cell>
          <cell r="X236">
            <v>0</v>
          </cell>
          <cell r="Y236">
            <v>-179463</v>
          </cell>
          <cell r="Z236">
            <v>170087</v>
          </cell>
          <cell r="AA236">
            <v>170087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442611</v>
          </cell>
          <cell r="BB236">
            <v>373938</v>
          </cell>
          <cell r="BC236">
            <v>68673</v>
          </cell>
          <cell r="BD236">
            <v>99587</v>
          </cell>
          <cell r="BE236">
            <v>84136</v>
          </cell>
          <cell r="BF236">
            <v>15451</v>
          </cell>
          <cell r="BG236">
            <v>11065</v>
          </cell>
          <cell r="BH236">
            <v>9348</v>
          </cell>
          <cell r="BI236">
            <v>1717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211532182</v>
          </cell>
          <cell r="G237">
            <v>1013991</v>
          </cell>
          <cell r="H237">
            <v>1206073</v>
          </cell>
          <cell r="I237">
            <v>213752246</v>
          </cell>
          <cell r="J237">
            <v>212878245</v>
          </cell>
          <cell r="K237">
            <v>1013991</v>
          </cell>
          <cell r="L237">
            <v>1206073</v>
          </cell>
          <cell r="M237">
            <v>215098309</v>
          </cell>
          <cell r="N237">
            <v>-1346063</v>
          </cell>
          <cell r="O237">
            <v>0</v>
          </cell>
          <cell r="P237">
            <v>0</v>
          </cell>
          <cell r="Q237">
            <v>-1346063</v>
          </cell>
          <cell r="R237">
            <v>113045</v>
          </cell>
          <cell r="S237">
            <v>0</v>
          </cell>
          <cell r="T237">
            <v>0</v>
          </cell>
          <cell r="U237">
            <v>113045</v>
          </cell>
          <cell r="V237">
            <v>-1459108</v>
          </cell>
          <cell r="W237">
            <v>0</v>
          </cell>
          <cell r="X237">
            <v>0</v>
          </cell>
          <cell r="Y237">
            <v>-1459108</v>
          </cell>
          <cell r="Z237">
            <v>774873</v>
          </cell>
          <cell r="AA237">
            <v>774873</v>
          </cell>
          <cell r="AB237">
            <v>0</v>
          </cell>
          <cell r="AC237">
            <v>0</v>
          </cell>
          <cell r="AD237">
            <v>42556</v>
          </cell>
          <cell r="AE237">
            <v>-42556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55000</v>
          </cell>
          <cell r="AP237">
            <v>55000</v>
          </cell>
          <cell r="AQ237">
            <v>0</v>
          </cell>
          <cell r="AR237">
            <v>55000</v>
          </cell>
          <cell r="AS237">
            <v>0</v>
          </cell>
          <cell r="AT237">
            <v>55000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2472953</v>
          </cell>
          <cell r="BB237">
            <v>2212658</v>
          </cell>
          <cell r="BC237">
            <v>260295</v>
          </cell>
          <cell r="BD237">
            <v>0</v>
          </cell>
          <cell r="BE237">
            <v>0</v>
          </cell>
          <cell r="BF237">
            <v>0</v>
          </cell>
          <cell r="BG237">
            <v>50194</v>
          </cell>
          <cell r="BH237">
            <v>45156</v>
          </cell>
          <cell r="BI237">
            <v>5038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8201564</v>
          </cell>
          <cell r="G238">
            <v>0</v>
          </cell>
          <cell r="H238">
            <v>0</v>
          </cell>
          <cell r="I238">
            <v>8201564</v>
          </cell>
          <cell r="J238">
            <v>8419771</v>
          </cell>
          <cell r="K238">
            <v>0</v>
          </cell>
          <cell r="L238">
            <v>0</v>
          </cell>
          <cell r="M238">
            <v>8419771</v>
          </cell>
          <cell r="N238">
            <v>-218207</v>
          </cell>
          <cell r="O238">
            <v>0</v>
          </cell>
          <cell r="P238">
            <v>0</v>
          </cell>
          <cell r="Q238">
            <v>-218207</v>
          </cell>
          <cell r="R238">
            <v>209057</v>
          </cell>
          <cell r="S238">
            <v>0</v>
          </cell>
          <cell r="T238">
            <v>0</v>
          </cell>
          <cell r="U238">
            <v>209057</v>
          </cell>
          <cell r="V238">
            <v>-427264</v>
          </cell>
          <cell r="W238">
            <v>0</v>
          </cell>
          <cell r="X238">
            <v>0</v>
          </cell>
          <cell r="Y238">
            <v>-427264</v>
          </cell>
          <cell r="Z238">
            <v>152929</v>
          </cell>
          <cell r="AA238">
            <v>152929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491324</v>
          </cell>
          <cell r="BB238">
            <v>416136</v>
          </cell>
          <cell r="BC238">
            <v>75188</v>
          </cell>
          <cell r="BD238">
            <v>110548</v>
          </cell>
          <cell r="BE238">
            <v>93631</v>
          </cell>
          <cell r="BF238">
            <v>16917</v>
          </cell>
          <cell r="BG238">
            <v>12283</v>
          </cell>
          <cell r="BH238">
            <v>10403</v>
          </cell>
          <cell r="BI238">
            <v>1880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75933514</v>
          </cell>
          <cell r="G239">
            <v>0</v>
          </cell>
          <cell r="H239">
            <v>0</v>
          </cell>
          <cell r="I239">
            <v>75933514</v>
          </cell>
          <cell r="J239">
            <v>75981895</v>
          </cell>
          <cell r="K239">
            <v>0</v>
          </cell>
          <cell r="L239">
            <v>0</v>
          </cell>
          <cell r="M239">
            <v>75981895</v>
          </cell>
          <cell r="N239">
            <v>-48381</v>
          </cell>
          <cell r="O239">
            <v>0</v>
          </cell>
          <cell r="P239">
            <v>0</v>
          </cell>
          <cell r="Q239">
            <v>-48381</v>
          </cell>
          <cell r="R239">
            <v>177329</v>
          </cell>
          <cell r="S239">
            <v>0</v>
          </cell>
          <cell r="T239">
            <v>0</v>
          </cell>
          <cell r="U239">
            <v>177329</v>
          </cell>
          <cell r="V239">
            <v>-225710</v>
          </cell>
          <cell r="W239">
            <v>0</v>
          </cell>
          <cell r="X239">
            <v>0</v>
          </cell>
          <cell r="Y239">
            <v>-225710</v>
          </cell>
          <cell r="Z239">
            <v>463653</v>
          </cell>
          <cell r="AA239">
            <v>463653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1828682</v>
          </cell>
          <cell r="BB239">
            <v>1569144</v>
          </cell>
          <cell r="BC239">
            <v>259538</v>
          </cell>
          <cell r="BD239">
            <v>0</v>
          </cell>
          <cell r="BE239">
            <v>0</v>
          </cell>
          <cell r="BF239">
            <v>0</v>
          </cell>
          <cell r="BG239">
            <v>37320</v>
          </cell>
          <cell r="BH239">
            <v>32023</v>
          </cell>
          <cell r="BI239">
            <v>5297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94745326</v>
          </cell>
          <cell r="G240">
            <v>0</v>
          </cell>
          <cell r="H240">
            <v>0</v>
          </cell>
          <cell r="I240">
            <v>94745326</v>
          </cell>
          <cell r="J240">
            <v>95721467</v>
          </cell>
          <cell r="K240">
            <v>0</v>
          </cell>
          <cell r="L240">
            <v>0</v>
          </cell>
          <cell r="M240">
            <v>95721467</v>
          </cell>
          <cell r="N240">
            <v>-976141</v>
          </cell>
          <cell r="O240">
            <v>0</v>
          </cell>
          <cell r="P240">
            <v>0</v>
          </cell>
          <cell r="Q240">
            <v>-976141</v>
          </cell>
          <cell r="R240">
            <v>-396874</v>
          </cell>
          <cell r="S240">
            <v>0</v>
          </cell>
          <cell r="T240">
            <v>0</v>
          </cell>
          <cell r="U240">
            <v>-396874</v>
          </cell>
          <cell r="V240">
            <v>-579267</v>
          </cell>
          <cell r="W240">
            <v>0</v>
          </cell>
          <cell r="X240">
            <v>0</v>
          </cell>
          <cell r="Y240">
            <v>-579267</v>
          </cell>
          <cell r="Z240">
            <v>210291</v>
          </cell>
          <cell r="AA240">
            <v>210291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261387</v>
          </cell>
          <cell r="BB240">
            <v>210804</v>
          </cell>
          <cell r="BC240">
            <v>50583</v>
          </cell>
          <cell r="BD240">
            <v>0</v>
          </cell>
          <cell r="BE240">
            <v>0</v>
          </cell>
          <cell r="BF240">
            <v>0</v>
          </cell>
          <cell r="BG240">
            <v>5334</v>
          </cell>
          <cell r="BH240">
            <v>4302</v>
          </cell>
          <cell r="BI240">
            <v>1032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101097602</v>
          </cell>
          <cell r="G241">
            <v>0</v>
          </cell>
          <cell r="H241">
            <v>0</v>
          </cell>
          <cell r="I241">
            <v>101097602</v>
          </cell>
          <cell r="J241">
            <v>101967449</v>
          </cell>
          <cell r="K241">
            <v>0</v>
          </cell>
          <cell r="L241">
            <v>0</v>
          </cell>
          <cell r="M241">
            <v>101967449</v>
          </cell>
          <cell r="N241">
            <v>-869847</v>
          </cell>
          <cell r="O241">
            <v>0</v>
          </cell>
          <cell r="P241">
            <v>0</v>
          </cell>
          <cell r="Q241">
            <v>-869847</v>
          </cell>
          <cell r="R241">
            <v>87676</v>
          </cell>
          <cell r="S241">
            <v>0</v>
          </cell>
          <cell r="T241">
            <v>0</v>
          </cell>
          <cell r="U241">
            <v>87676</v>
          </cell>
          <cell r="V241">
            <v>-957523</v>
          </cell>
          <cell r="W241">
            <v>0</v>
          </cell>
          <cell r="X241">
            <v>0</v>
          </cell>
          <cell r="Y241">
            <v>-957523</v>
          </cell>
          <cell r="Z241">
            <v>242567</v>
          </cell>
          <cell r="AA241">
            <v>242567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498815</v>
          </cell>
          <cell r="BB241">
            <v>394843</v>
          </cell>
          <cell r="BC241">
            <v>103972</v>
          </cell>
          <cell r="BD241">
            <v>0</v>
          </cell>
          <cell r="BE241">
            <v>0</v>
          </cell>
          <cell r="BF241">
            <v>0</v>
          </cell>
          <cell r="BG241">
            <v>10180</v>
          </cell>
          <cell r="BH241">
            <v>8058</v>
          </cell>
          <cell r="BI241">
            <v>2122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29850489</v>
          </cell>
          <cell r="G242">
            <v>0</v>
          </cell>
          <cell r="H242">
            <v>0</v>
          </cell>
          <cell r="I242">
            <v>29850489</v>
          </cell>
          <cell r="J242">
            <v>29723938</v>
          </cell>
          <cell r="K242">
            <v>0</v>
          </cell>
          <cell r="L242">
            <v>0</v>
          </cell>
          <cell r="M242">
            <v>29723938</v>
          </cell>
          <cell r="N242">
            <v>126551</v>
          </cell>
          <cell r="O242">
            <v>0</v>
          </cell>
          <cell r="P242">
            <v>0</v>
          </cell>
          <cell r="Q242">
            <v>126551</v>
          </cell>
          <cell r="R242">
            <v>158976</v>
          </cell>
          <cell r="S242">
            <v>0</v>
          </cell>
          <cell r="T242">
            <v>0</v>
          </cell>
          <cell r="U242">
            <v>158976</v>
          </cell>
          <cell r="V242">
            <v>-32425</v>
          </cell>
          <cell r="W242">
            <v>0</v>
          </cell>
          <cell r="X242">
            <v>0</v>
          </cell>
          <cell r="Y242">
            <v>-32425</v>
          </cell>
          <cell r="Z242">
            <v>99868</v>
          </cell>
          <cell r="AA242">
            <v>99868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170803</v>
          </cell>
          <cell r="BB242">
            <v>144994</v>
          </cell>
          <cell r="BC242">
            <v>25809</v>
          </cell>
          <cell r="BD242">
            <v>38431</v>
          </cell>
          <cell r="BE242">
            <v>32624</v>
          </cell>
          <cell r="BF242">
            <v>5807</v>
          </cell>
          <cell r="BG242">
            <v>4270</v>
          </cell>
          <cell r="BH242">
            <v>3625</v>
          </cell>
          <cell r="BI242">
            <v>645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1244072</v>
          </cell>
          <cell r="G243">
            <v>0</v>
          </cell>
          <cell r="H243">
            <v>0</v>
          </cell>
          <cell r="I243">
            <v>1244072</v>
          </cell>
          <cell r="J243">
            <v>1445451</v>
          </cell>
          <cell r="K243">
            <v>0</v>
          </cell>
          <cell r="L243">
            <v>0</v>
          </cell>
          <cell r="M243">
            <v>1445451</v>
          </cell>
          <cell r="N243">
            <v>-201379</v>
          </cell>
          <cell r="O243">
            <v>0</v>
          </cell>
          <cell r="P243">
            <v>0</v>
          </cell>
          <cell r="Q243">
            <v>-201379</v>
          </cell>
          <cell r="R243">
            <v>92927</v>
          </cell>
          <cell r="S243">
            <v>0</v>
          </cell>
          <cell r="T243">
            <v>0</v>
          </cell>
          <cell r="U243">
            <v>92927</v>
          </cell>
          <cell r="V243">
            <v>-294306</v>
          </cell>
          <cell r="W243">
            <v>0</v>
          </cell>
          <cell r="X243">
            <v>0</v>
          </cell>
          <cell r="Y243">
            <v>-294306</v>
          </cell>
          <cell r="Z243">
            <v>218656</v>
          </cell>
          <cell r="AA243">
            <v>218656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453966</v>
          </cell>
          <cell r="BB243">
            <v>281787</v>
          </cell>
          <cell r="BC243">
            <v>172179</v>
          </cell>
          <cell r="BD243">
            <v>102142</v>
          </cell>
          <cell r="BE243">
            <v>63402</v>
          </cell>
          <cell r="BF243">
            <v>38740</v>
          </cell>
          <cell r="BG243">
            <v>11349</v>
          </cell>
          <cell r="BH243">
            <v>7045</v>
          </cell>
          <cell r="BI243">
            <v>4304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230342</v>
          </cell>
          <cell r="G244">
            <v>0</v>
          </cell>
          <cell r="H244">
            <v>0</v>
          </cell>
          <cell r="I244">
            <v>230342</v>
          </cell>
          <cell r="J244">
            <v>115074</v>
          </cell>
          <cell r="K244">
            <v>0</v>
          </cell>
          <cell r="L244">
            <v>0</v>
          </cell>
          <cell r="M244">
            <v>115074</v>
          </cell>
          <cell r="N244">
            <v>115268</v>
          </cell>
          <cell r="O244">
            <v>0</v>
          </cell>
          <cell r="P244">
            <v>0</v>
          </cell>
          <cell r="Q244">
            <v>115268</v>
          </cell>
          <cell r="R244">
            <v>-27186</v>
          </cell>
          <cell r="S244">
            <v>0</v>
          </cell>
          <cell r="T244">
            <v>0</v>
          </cell>
          <cell r="U244">
            <v>-27186</v>
          </cell>
          <cell r="V244">
            <v>88082</v>
          </cell>
          <cell r="W244">
            <v>0</v>
          </cell>
          <cell r="X244">
            <v>0</v>
          </cell>
          <cell r="Y244">
            <v>88082</v>
          </cell>
          <cell r="Z244">
            <v>90901</v>
          </cell>
          <cell r="AA244">
            <v>90901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260575</v>
          </cell>
          <cell r="BB244">
            <v>227717</v>
          </cell>
          <cell r="BC244">
            <v>32858</v>
          </cell>
          <cell r="BD244">
            <v>58629</v>
          </cell>
          <cell r="BE244">
            <v>51236</v>
          </cell>
          <cell r="BF244">
            <v>7393</v>
          </cell>
          <cell r="BG244">
            <v>6514</v>
          </cell>
          <cell r="BH244">
            <v>5693</v>
          </cell>
          <cell r="BI244">
            <v>821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147209814</v>
          </cell>
          <cell r="G245">
            <v>0</v>
          </cell>
          <cell r="H245">
            <v>0</v>
          </cell>
          <cell r="I245">
            <v>147209814</v>
          </cell>
          <cell r="J245">
            <v>147126632</v>
          </cell>
          <cell r="K245">
            <v>0</v>
          </cell>
          <cell r="L245">
            <v>0</v>
          </cell>
          <cell r="M245">
            <v>147126632</v>
          </cell>
          <cell r="N245">
            <v>83181.899999999994</v>
          </cell>
          <cell r="O245">
            <v>0</v>
          </cell>
          <cell r="P245">
            <v>0</v>
          </cell>
          <cell r="Q245">
            <v>83181.899999999994</v>
          </cell>
          <cell r="R245">
            <v>524853</v>
          </cell>
          <cell r="S245">
            <v>0</v>
          </cell>
          <cell r="T245">
            <v>0</v>
          </cell>
          <cell r="U245">
            <v>524853</v>
          </cell>
          <cell r="V245">
            <v>-441671</v>
          </cell>
          <cell r="W245">
            <v>0</v>
          </cell>
          <cell r="X245">
            <v>0</v>
          </cell>
          <cell r="Y245">
            <v>-441671</v>
          </cell>
          <cell r="Z245">
            <v>330468</v>
          </cell>
          <cell r="AA245">
            <v>330468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806715</v>
          </cell>
          <cell r="BB245">
            <v>693989</v>
          </cell>
          <cell r="BC245">
            <v>112726</v>
          </cell>
          <cell r="BD245">
            <v>0</v>
          </cell>
          <cell r="BE245">
            <v>0</v>
          </cell>
          <cell r="BF245">
            <v>0</v>
          </cell>
          <cell r="BG245">
            <v>16464</v>
          </cell>
          <cell r="BH245">
            <v>14163</v>
          </cell>
          <cell r="BI245">
            <v>2301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31130062</v>
          </cell>
          <cell r="G246">
            <v>0</v>
          </cell>
          <cell r="H246">
            <v>0</v>
          </cell>
          <cell r="I246">
            <v>31130062</v>
          </cell>
          <cell r="J246">
            <v>28697749</v>
          </cell>
          <cell r="K246">
            <v>0</v>
          </cell>
          <cell r="L246">
            <v>0</v>
          </cell>
          <cell r="M246">
            <v>28697749</v>
          </cell>
          <cell r="N246">
            <v>2432313</v>
          </cell>
          <cell r="O246">
            <v>0</v>
          </cell>
          <cell r="P246">
            <v>0</v>
          </cell>
          <cell r="Q246">
            <v>2432313</v>
          </cell>
          <cell r="R246">
            <v>2607567</v>
          </cell>
          <cell r="S246">
            <v>0</v>
          </cell>
          <cell r="T246">
            <v>0</v>
          </cell>
          <cell r="U246">
            <v>2607567</v>
          </cell>
          <cell r="V246">
            <v>-175254</v>
          </cell>
          <cell r="W246">
            <v>0</v>
          </cell>
          <cell r="X246">
            <v>0</v>
          </cell>
          <cell r="Y246">
            <v>-175254</v>
          </cell>
          <cell r="Z246">
            <v>206226</v>
          </cell>
          <cell r="AA246">
            <v>206226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712901</v>
          </cell>
          <cell r="BB246">
            <v>610194</v>
          </cell>
          <cell r="BC246">
            <v>102707</v>
          </cell>
          <cell r="BD246">
            <v>160403</v>
          </cell>
          <cell r="BE246">
            <v>137294</v>
          </cell>
          <cell r="BF246">
            <v>23109</v>
          </cell>
          <cell r="BG246">
            <v>17823</v>
          </cell>
          <cell r="BH246">
            <v>15255</v>
          </cell>
          <cell r="BI246">
            <v>2568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25843042</v>
          </cell>
          <cell r="G247">
            <v>0</v>
          </cell>
          <cell r="H247">
            <v>0</v>
          </cell>
          <cell r="I247">
            <v>25843042</v>
          </cell>
          <cell r="J247">
            <v>24376737</v>
          </cell>
          <cell r="K247">
            <v>0</v>
          </cell>
          <cell r="L247">
            <v>0</v>
          </cell>
          <cell r="M247">
            <v>24376737</v>
          </cell>
          <cell r="N247">
            <v>1466305</v>
          </cell>
          <cell r="O247">
            <v>0</v>
          </cell>
          <cell r="P247">
            <v>0</v>
          </cell>
          <cell r="Q247">
            <v>1466305</v>
          </cell>
          <cell r="R247">
            <v>1548348</v>
          </cell>
          <cell r="S247">
            <v>0</v>
          </cell>
          <cell r="T247">
            <v>0</v>
          </cell>
          <cell r="U247">
            <v>1548348</v>
          </cell>
          <cell r="V247">
            <v>-82043</v>
          </cell>
          <cell r="W247">
            <v>0</v>
          </cell>
          <cell r="X247">
            <v>0</v>
          </cell>
          <cell r="Y247">
            <v>-82043</v>
          </cell>
          <cell r="Z247">
            <v>113511</v>
          </cell>
          <cell r="AA247">
            <v>113511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193097</v>
          </cell>
          <cell r="AJ247">
            <v>0</v>
          </cell>
          <cell r="AK247">
            <v>193097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341318</v>
          </cell>
          <cell r="BB247">
            <v>286162</v>
          </cell>
          <cell r="BC247">
            <v>55156</v>
          </cell>
          <cell r="BD247">
            <v>85330</v>
          </cell>
          <cell r="BE247">
            <v>71541</v>
          </cell>
          <cell r="BF247">
            <v>13789</v>
          </cell>
          <cell r="BG247">
            <v>0</v>
          </cell>
          <cell r="BH247">
            <v>0</v>
          </cell>
          <cell r="BI247">
            <v>0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37427727</v>
          </cell>
          <cell r="G248">
            <v>0</v>
          </cell>
          <cell r="H248">
            <v>0</v>
          </cell>
          <cell r="I248">
            <v>37427727</v>
          </cell>
          <cell r="J248">
            <v>37479663</v>
          </cell>
          <cell r="K248">
            <v>0</v>
          </cell>
          <cell r="L248">
            <v>0</v>
          </cell>
          <cell r="M248">
            <v>37479663</v>
          </cell>
          <cell r="N248">
            <v>-51936</v>
          </cell>
          <cell r="O248">
            <v>0</v>
          </cell>
          <cell r="P248">
            <v>0</v>
          </cell>
          <cell r="Q248">
            <v>-51936</v>
          </cell>
          <cell r="R248">
            <v>106213</v>
          </cell>
          <cell r="S248">
            <v>0</v>
          </cell>
          <cell r="T248">
            <v>0</v>
          </cell>
          <cell r="U248">
            <v>106213</v>
          </cell>
          <cell r="V248">
            <v>-158149</v>
          </cell>
          <cell r="W248">
            <v>0</v>
          </cell>
          <cell r="X248">
            <v>0</v>
          </cell>
          <cell r="Y248">
            <v>-158149</v>
          </cell>
          <cell r="Z248">
            <v>179287</v>
          </cell>
          <cell r="AA248">
            <v>179287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495304</v>
          </cell>
          <cell r="BB248">
            <v>400236</v>
          </cell>
          <cell r="BC248">
            <v>95068</v>
          </cell>
          <cell r="BD248">
            <v>123826</v>
          </cell>
          <cell r="BE248">
            <v>100059</v>
          </cell>
          <cell r="BF248">
            <v>23767</v>
          </cell>
          <cell r="BG248">
            <v>0</v>
          </cell>
          <cell r="BH248">
            <v>0</v>
          </cell>
          <cell r="BI248">
            <v>0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39834925</v>
          </cell>
          <cell r="G249">
            <v>0</v>
          </cell>
          <cell r="H249">
            <v>0</v>
          </cell>
          <cell r="I249">
            <v>39834925</v>
          </cell>
          <cell r="J249">
            <v>39936183</v>
          </cell>
          <cell r="K249">
            <v>0</v>
          </cell>
          <cell r="L249">
            <v>0</v>
          </cell>
          <cell r="M249">
            <v>39936183</v>
          </cell>
          <cell r="N249">
            <v>-101258</v>
          </cell>
          <cell r="O249">
            <v>0</v>
          </cell>
          <cell r="P249">
            <v>0</v>
          </cell>
          <cell r="Q249">
            <v>-101258</v>
          </cell>
          <cell r="R249">
            <v>109674</v>
          </cell>
          <cell r="S249">
            <v>0</v>
          </cell>
          <cell r="T249">
            <v>0</v>
          </cell>
          <cell r="U249">
            <v>109674</v>
          </cell>
          <cell r="V249">
            <v>-210932</v>
          </cell>
          <cell r="W249">
            <v>0</v>
          </cell>
          <cell r="X249">
            <v>0</v>
          </cell>
          <cell r="Y249">
            <v>-210932</v>
          </cell>
          <cell r="Z249">
            <v>296593</v>
          </cell>
          <cell r="AA249">
            <v>296593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1093565</v>
          </cell>
          <cell r="BB249">
            <v>946333</v>
          </cell>
          <cell r="BC249">
            <v>147232</v>
          </cell>
          <cell r="BD249">
            <v>273391</v>
          </cell>
          <cell r="BE249">
            <v>236583</v>
          </cell>
          <cell r="BF249">
            <v>36808</v>
          </cell>
          <cell r="BG249">
            <v>0</v>
          </cell>
          <cell r="BH249">
            <v>0</v>
          </cell>
          <cell r="BI249">
            <v>0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28199771</v>
          </cell>
          <cell r="G250">
            <v>0</v>
          </cell>
          <cell r="H250">
            <v>0</v>
          </cell>
          <cell r="I250">
            <v>28199771</v>
          </cell>
          <cell r="J250">
            <v>28119617</v>
          </cell>
          <cell r="K250">
            <v>0</v>
          </cell>
          <cell r="L250">
            <v>0</v>
          </cell>
          <cell r="M250">
            <v>28119617</v>
          </cell>
          <cell r="N250">
            <v>80154</v>
          </cell>
          <cell r="O250">
            <v>0</v>
          </cell>
          <cell r="P250">
            <v>0</v>
          </cell>
          <cell r="Q250">
            <v>80154</v>
          </cell>
          <cell r="R250">
            <v>129748</v>
          </cell>
          <cell r="S250">
            <v>0</v>
          </cell>
          <cell r="T250">
            <v>0</v>
          </cell>
          <cell r="U250">
            <v>129748</v>
          </cell>
          <cell r="V250">
            <v>-49594</v>
          </cell>
          <cell r="W250">
            <v>0</v>
          </cell>
          <cell r="X250">
            <v>0</v>
          </cell>
          <cell r="Y250">
            <v>-49594</v>
          </cell>
          <cell r="Z250">
            <v>148821</v>
          </cell>
          <cell r="AA250">
            <v>148821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20000</v>
          </cell>
          <cell r="AK250">
            <v>-20000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455341</v>
          </cell>
          <cell r="BB250">
            <v>356218</v>
          </cell>
          <cell r="BC250">
            <v>99123</v>
          </cell>
          <cell r="BD250">
            <v>113835</v>
          </cell>
          <cell r="BE250">
            <v>89055</v>
          </cell>
          <cell r="BF250">
            <v>24780</v>
          </cell>
          <cell r="BG250">
            <v>0</v>
          </cell>
          <cell r="BH250">
            <v>0</v>
          </cell>
          <cell r="BI250">
            <v>0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20107371.800000001</v>
          </cell>
          <cell r="G251">
            <v>0</v>
          </cell>
          <cell r="H251">
            <v>0</v>
          </cell>
          <cell r="I251">
            <v>20107371.800000001</v>
          </cell>
          <cell r="J251">
            <v>20239344.600000001</v>
          </cell>
          <cell r="K251">
            <v>0</v>
          </cell>
          <cell r="L251">
            <v>0</v>
          </cell>
          <cell r="M251">
            <v>20239344.600000001</v>
          </cell>
          <cell r="N251">
            <v>-131972.76</v>
          </cell>
          <cell r="O251">
            <v>0</v>
          </cell>
          <cell r="P251">
            <v>0</v>
          </cell>
          <cell r="Q251">
            <v>-131972.76</v>
          </cell>
          <cell r="R251">
            <v>23390</v>
          </cell>
          <cell r="S251">
            <v>0</v>
          </cell>
          <cell r="T251">
            <v>0</v>
          </cell>
          <cell r="U251">
            <v>23390</v>
          </cell>
          <cell r="V251">
            <v>-155363</v>
          </cell>
          <cell r="W251">
            <v>0</v>
          </cell>
          <cell r="X251">
            <v>0</v>
          </cell>
          <cell r="Y251">
            <v>-155363</v>
          </cell>
          <cell r="Z251">
            <v>106988</v>
          </cell>
          <cell r="AA251">
            <v>106988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326672</v>
          </cell>
          <cell r="BB251">
            <v>269220</v>
          </cell>
          <cell r="BC251">
            <v>57452</v>
          </cell>
          <cell r="BD251">
            <v>81668</v>
          </cell>
          <cell r="BE251">
            <v>67305</v>
          </cell>
          <cell r="BF251">
            <v>14363</v>
          </cell>
          <cell r="BG251">
            <v>0</v>
          </cell>
          <cell r="BH251">
            <v>0</v>
          </cell>
          <cell r="BI251">
            <v>0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41771817</v>
          </cell>
          <cell r="G252">
            <v>0</v>
          </cell>
          <cell r="H252">
            <v>0</v>
          </cell>
          <cell r="I252">
            <v>41771817</v>
          </cell>
          <cell r="J252">
            <v>41943600</v>
          </cell>
          <cell r="K252">
            <v>0</v>
          </cell>
          <cell r="L252">
            <v>0</v>
          </cell>
          <cell r="M252">
            <v>41943600</v>
          </cell>
          <cell r="N252">
            <v>-171783</v>
          </cell>
          <cell r="O252">
            <v>0</v>
          </cell>
          <cell r="P252">
            <v>0</v>
          </cell>
          <cell r="Q252">
            <v>-171783</v>
          </cell>
          <cell r="R252">
            <v>46577</v>
          </cell>
          <cell r="S252">
            <v>0</v>
          </cell>
          <cell r="T252">
            <v>0</v>
          </cell>
          <cell r="U252">
            <v>46577</v>
          </cell>
          <cell r="V252">
            <v>-218360</v>
          </cell>
          <cell r="W252">
            <v>0</v>
          </cell>
          <cell r="X252">
            <v>0</v>
          </cell>
          <cell r="Y252">
            <v>-218360</v>
          </cell>
          <cell r="Z252">
            <v>186629</v>
          </cell>
          <cell r="AA252">
            <v>186629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465070</v>
          </cell>
          <cell r="BB252">
            <v>382812</v>
          </cell>
          <cell r="BC252">
            <v>82258</v>
          </cell>
          <cell r="BD252">
            <v>116267</v>
          </cell>
          <cell r="BE252">
            <v>95703</v>
          </cell>
          <cell r="BF252">
            <v>20564</v>
          </cell>
          <cell r="BG252">
            <v>0</v>
          </cell>
          <cell r="BH252">
            <v>0</v>
          </cell>
          <cell r="BI252">
            <v>0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39144254</v>
          </cell>
          <cell r="G253">
            <v>0</v>
          </cell>
          <cell r="H253">
            <v>0</v>
          </cell>
          <cell r="I253">
            <v>39144254</v>
          </cell>
          <cell r="J253">
            <v>39378456</v>
          </cell>
          <cell r="K253">
            <v>0</v>
          </cell>
          <cell r="L253">
            <v>0</v>
          </cell>
          <cell r="M253">
            <v>39378456</v>
          </cell>
          <cell r="N253">
            <v>-234202</v>
          </cell>
          <cell r="O253">
            <v>0</v>
          </cell>
          <cell r="P253">
            <v>0</v>
          </cell>
          <cell r="Q253">
            <v>-234202</v>
          </cell>
          <cell r="R253">
            <v>59186</v>
          </cell>
          <cell r="S253">
            <v>0</v>
          </cell>
          <cell r="T253">
            <v>0</v>
          </cell>
          <cell r="U253">
            <v>59186</v>
          </cell>
          <cell r="V253">
            <v>-293388</v>
          </cell>
          <cell r="W253">
            <v>0</v>
          </cell>
          <cell r="X253">
            <v>0</v>
          </cell>
          <cell r="Y253">
            <v>-293388</v>
          </cell>
          <cell r="Z253">
            <v>124367</v>
          </cell>
          <cell r="AA253">
            <v>124367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393417</v>
          </cell>
          <cell r="BB253">
            <v>327319</v>
          </cell>
          <cell r="BC253">
            <v>66098</v>
          </cell>
          <cell r="BD253">
            <v>88519</v>
          </cell>
          <cell r="BE253">
            <v>73647</v>
          </cell>
          <cell r="BF253">
            <v>14872</v>
          </cell>
          <cell r="BG253">
            <v>9835</v>
          </cell>
          <cell r="BH253">
            <v>8183</v>
          </cell>
          <cell r="BI253">
            <v>1652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47749931</v>
          </cell>
          <cell r="G254">
            <v>0</v>
          </cell>
          <cell r="H254">
            <v>0</v>
          </cell>
          <cell r="I254">
            <v>47749931</v>
          </cell>
          <cell r="J254">
            <v>47768835</v>
          </cell>
          <cell r="K254">
            <v>0</v>
          </cell>
          <cell r="L254">
            <v>0</v>
          </cell>
          <cell r="M254">
            <v>47768835</v>
          </cell>
          <cell r="N254">
            <v>-18904</v>
          </cell>
          <cell r="O254">
            <v>0</v>
          </cell>
          <cell r="P254">
            <v>0</v>
          </cell>
          <cell r="Q254">
            <v>-18904</v>
          </cell>
          <cell r="R254">
            <v>293918</v>
          </cell>
          <cell r="S254">
            <v>0</v>
          </cell>
          <cell r="T254">
            <v>0</v>
          </cell>
          <cell r="U254">
            <v>293918</v>
          </cell>
          <cell r="V254">
            <v>-312822</v>
          </cell>
          <cell r="W254">
            <v>0</v>
          </cell>
          <cell r="X254">
            <v>0</v>
          </cell>
          <cell r="Y254">
            <v>-312822</v>
          </cell>
          <cell r="Z254">
            <v>223390</v>
          </cell>
          <cell r="AA254">
            <v>223390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8101</v>
          </cell>
          <cell r="AJ254">
            <v>20000</v>
          </cell>
          <cell r="AK254">
            <v>-11899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691708</v>
          </cell>
          <cell r="BB254">
            <v>572430</v>
          </cell>
          <cell r="BC254">
            <v>119278</v>
          </cell>
          <cell r="BD254">
            <v>155634</v>
          </cell>
          <cell r="BE254">
            <v>128797</v>
          </cell>
          <cell r="BF254">
            <v>26837</v>
          </cell>
          <cell r="BG254">
            <v>17293</v>
          </cell>
          <cell r="BH254">
            <v>14311</v>
          </cell>
          <cell r="BI254">
            <v>2982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20779848.600000001</v>
          </cell>
          <cell r="G255">
            <v>0</v>
          </cell>
          <cell r="H255">
            <v>0</v>
          </cell>
          <cell r="I255">
            <v>20779848.600000001</v>
          </cell>
          <cell r="J255">
            <v>20746571</v>
          </cell>
          <cell r="K255">
            <v>0</v>
          </cell>
          <cell r="L255">
            <v>0</v>
          </cell>
          <cell r="M255">
            <v>20746571</v>
          </cell>
          <cell r="N255">
            <v>33277.660000000003</v>
          </cell>
          <cell r="O255">
            <v>0</v>
          </cell>
          <cell r="P255">
            <v>0</v>
          </cell>
          <cell r="Q255">
            <v>33277.660000000003</v>
          </cell>
          <cell r="R255">
            <v>134434</v>
          </cell>
          <cell r="S255">
            <v>0</v>
          </cell>
          <cell r="T255">
            <v>0</v>
          </cell>
          <cell r="U255">
            <v>134434</v>
          </cell>
          <cell r="V255">
            <v>-101156</v>
          </cell>
          <cell r="W255">
            <v>0</v>
          </cell>
          <cell r="X255">
            <v>0</v>
          </cell>
          <cell r="Y255">
            <v>-101156</v>
          </cell>
          <cell r="Z255">
            <v>103528</v>
          </cell>
          <cell r="AA255">
            <v>103528</v>
          </cell>
          <cell r="AB255">
            <v>0</v>
          </cell>
          <cell r="AC255">
            <v>494143</v>
          </cell>
          <cell r="AD255">
            <v>662065</v>
          </cell>
          <cell r="AE255">
            <v>-167922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54035</v>
          </cell>
          <cell r="AP255">
            <v>54035</v>
          </cell>
          <cell r="AQ255">
            <v>0</v>
          </cell>
          <cell r="AR255">
            <v>54035</v>
          </cell>
          <cell r="AS255">
            <v>54035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377013</v>
          </cell>
          <cell r="BB255">
            <v>326372</v>
          </cell>
          <cell r="BC255">
            <v>50641</v>
          </cell>
          <cell r="BD255">
            <v>84828</v>
          </cell>
          <cell r="BE255">
            <v>73434</v>
          </cell>
          <cell r="BF255">
            <v>11394</v>
          </cell>
          <cell r="BG255">
            <v>9425</v>
          </cell>
          <cell r="BH255">
            <v>8159</v>
          </cell>
          <cell r="BI255">
            <v>1266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29305404</v>
          </cell>
          <cell r="G256">
            <v>0</v>
          </cell>
          <cell r="H256">
            <v>0</v>
          </cell>
          <cell r="I256">
            <v>29305404</v>
          </cell>
          <cell r="J256">
            <v>29627722</v>
          </cell>
          <cell r="K256">
            <v>0</v>
          </cell>
          <cell r="L256">
            <v>0</v>
          </cell>
          <cell r="M256">
            <v>29627722</v>
          </cell>
          <cell r="N256">
            <v>-322318</v>
          </cell>
          <cell r="O256">
            <v>0</v>
          </cell>
          <cell r="P256">
            <v>0</v>
          </cell>
          <cell r="Q256">
            <v>-322318</v>
          </cell>
          <cell r="R256">
            <v>73782</v>
          </cell>
          <cell r="S256">
            <v>0</v>
          </cell>
          <cell r="T256">
            <v>0</v>
          </cell>
          <cell r="U256">
            <v>73782</v>
          </cell>
          <cell r="V256">
            <v>-396100</v>
          </cell>
          <cell r="W256">
            <v>0</v>
          </cell>
          <cell r="X256">
            <v>0</v>
          </cell>
          <cell r="Y256">
            <v>-396100</v>
          </cell>
          <cell r="Z256">
            <v>150312</v>
          </cell>
          <cell r="AA256">
            <v>150312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576884</v>
          </cell>
          <cell r="BB256">
            <v>505010</v>
          </cell>
          <cell r="BC256">
            <v>71874</v>
          </cell>
          <cell r="BD256">
            <v>0</v>
          </cell>
          <cell r="BE256">
            <v>0</v>
          </cell>
          <cell r="BF256">
            <v>0</v>
          </cell>
          <cell r="BG256">
            <v>11773</v>
          </cell>
          <cell r="BH256">
            <v>10306</v>
          </cell>
          <cell r="BI256">
            <v>1467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99732233</v>
          </cell>
          <cell r="G257">
            <v>0</v>
          </cell>
          <cell r="H257">
            <v>0</v>
          </cell>
          <cell r="I257">
            <v>99732233</v>
          </cell>
          <cell r="J257">
            <v>100875135</v>
          </cell>
          <cell r="K257">
            <v>0</v>
          </cell>
          <cell r="L257">
            <v>0</v>
          </cell>
          <cell r="M257">
            <v>100875135</v>
          </cell>
          <cell r="N257">
            <v>-1142902</v>
          </cell>
          <cell r="O257">
            <v>0</v>
          </cell>
          <cell r="P257">
            <v>0</v>
          </cell>
          <cell r="Q257">
            <v>-1142902</v>
          </cell>
          <cell r="R257">
            <v>130416</v>
          </cell>
          <cell r="S257">
            <v>0</v>
          </cell>
          <cell r="T257">
            <v>0</v>
          </cell>
          <cell r="U257">
            <v>130416</v>
          </cell>
          <cell r="V257">
            <v>-1273318</v>
          </cell>
          <cell r="W257">
            <v>0</v>
          </cell>
          <cell r="X257">
            <v>0</v>
          </cell>
          <cell r="Y257">
            <v>-1273318</v>
          </cell>
          <cell r="Z257">
            <v>321850</v>
          </cell>
          <cell r="AA257">
            <v>321850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768939</v>
          </cell>
          <cell r="BB257">
            <v>661120</v>
          </cell>
          <cell r="BC257">
            <v>107819</v>
          </cell>
          <cell r="BD257">
            <v>0</v>
          </cell>
          <cell r="BE257">
            <v>0</v>
          </cell>
          <cell r="BF257">
            <v>0</v>
          </cell>
          <cell r="BG257">
            <v>15693</v>
          </cell>
          <cell r="BH257">
            <v>13492</v>
          </cell>
          <cell r="BI257">
            <v>2201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46297460.700000003</v>
          </cell>
          <cell r="G258">
            <v>0</v>
          </cell>
          <cell r="H258">
            <v>0</v>
          </cell>
          <cell r="I258">
            <v>46297460.700000003</v>
          </cell>
          <cell r="J258">
            <v>46247279</v>
          </cell>
          <cell r="K258">
            <v>0</v>
          </cell>
          <cell r="L258">
            <v>0</v>
          </cell>
          <cell r="M258">
            <v>46247279</v>
          </cell>
          <cell r="N258">
            <v>50181.760000000002</v>
          </cell>
          <cell r="O258">
            <v>0</v>
          </cell>
          <cell r="P258">
            <v>0</v>
          </cell>
          <cell r="Q258">
            <v>50181.760000000002</v>
          </cell>
          <cell r="R258">
            <v>80744</v>
          </cell>
          <cell r="S258">
            <v>0</v>
          </cell>
          <cell r="T258">
            <v>0</v>
          </cell>
          <cell r="U258">
            <v>80744</v>
          </cell>
          <cell r="V258">
            <v>-30562</v>
          </cell>
          <cell r="W258">
            <v>0</v>
          </cell>
          <cell r="X258">
            <v>0</v>
          </cell>
          <cell r="Y258">
            <v>-30562</v>
          </cell>
          <cell r="Z258">
            <v>238667</v>
          </cell>
          <cell r="AA258">
            <v>238667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1113942</v>
          </cell>
          <cell r="BB258">
            <v>969094</v>
          </cell>
          <cell r="BC258">
            <v>144848</v>
          </cell>
          <cell r="BD258">
            <v>0</v>
          </cell>
          <cell r="BE258">
            <v>0</v>
          </cell>
          <cell r="BF258">
            <v>0</v>
          </cell>
          <cell r="BG258">
            <v>22734</v>
          </cell>
          <cell r="BH258">
            <v>19777</v>
          </cell>
          <cell r="BI258">
            <v>2957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608892</v>
          </cell>
          <cell r="G259">
            <v>0</v>
          </cell>
          <cell r="H259">
            <v>0</v>
          </cell>
          <cell r="I259">
            <v>608892</v>
          </cell>
          <cell r="J259">
            <v>712596</v>
          </cell>
          <cell r="K259">
            <v>0</v>
          </cell>
          <cell r="L259">
            <v>0</v>
          </cell>
          <cell r="M259">
            <v>712596</v>
          </cell>
          <cell r="N259">
            <v>-1321488</v>
          </cell>
          <cell r="O259">
            <v>0</v>
          </cell>
          <cell r="P259">
            <v>0</v>
          </cell>
          <cell r="Q259">
            <v>-1321488</v>
          </cell>
          <cell r="R259">
            <v>485473</v>
          </cell>
          <cell r="S259">
            <v>0</v>
          </cell>
          <cell r="T259">
            <v>0</v>
          </cell>
          <cell r="U259">
            <v>485473</v>
          </cell>
          <cell r="V259">
            <v>-1806961</v>
          </cell>
          <cell r="W259">
            <v>0</v>
          </cell>
          <cell r="X259">
            <v>0</v>
          </cell>
          <cell r="Y259">
            <v>-1806961</v>
          </cell>
          <cell r="Z259">
            <v>655771</v>
          </cell>
          <cell r="AA259">
            <v>655771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776026</v>
          </cell>
          <cell r="BB259">
            <v>636316</v>
          </cell>
          <cell r="BC259">
            <v>139710</v>
          </cell>
          <cell r="BD259">
            <v>517351</v>
          </cell>
          <cell r="BE259">
            <v>424210</v>
          </cell>
          <cell r="BF259">
            <v>93141</v>
          </cell>
          <cell r="BG259">
            <v>0</v>
          </cell>
          <cell r="BH259">
            <v>0</v>
          </cell>
          <cell r="BI259">
            <v>0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40626938</v>
          </cell>
          <cell r="G260">
            <v>0</v>
          </cell>
          <cell r="H260">
            <v>0</v>
          </cell>
          <cell r="I260">
            <v>40626938</v>
          </cell>
          <cell r="J260">
            <v>40455294</v>
          </cell>
          <cell r="K260">
            <v>0</v>
          </cell>
          <cell r="L260">
            <v>0</v>
          </cell>
          <cell r="M260">
            <v>40455294</v>
          </cell>
          <cell r="N260">
            <v>171644</v>
          </cell>
          <cell r="O260">
            <v>0</v>
          </cell>
          <cell r="P260">
            <v>0</v>
          </cell>
          <cell r="Q260">
            <v>171644</v>
          </cell>
          <cell r="R260">
            <v>-43281</v>
          </cell>
          <cell r="S260">
            <v>0</v>
          </cell>
          <cell r="T260">
            <v>0</v>
          </cell>
          <cell r="U260">
            <v>-43281</v>
          </cell>
          <cell r="V260">
            <v>214925</v>
          </cell>
          <cell r="W260">
            <v>0</v>
          </cell>
          <cell r="X260">
            <v>0</v>
          </cell>
          <cell r="Y260">
            <v>214925</v>
          </cell>
          <cell r="Z260">
            <v>132328</v>
          </cell>
          <cell r="AA260">
            <v>132328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230928</v>
          </cell>
          <cell r="BB260">
            <v>197395</v>
          </cell>
          <cell r="BC260">
            <v>33533</v>
          </cell>
          <cell r="BD260">
            <v>57732</v>
          </cell>
          <cell r="BE260">
            <v>49349</v>
          </cell>
          <cell r="BF260">
            <v>8383</v>
          </cell>
          <cell r="BG260">
            <v>0</v>
          </cell>
          <cell r="BH260">
            <v>0</v>
          </cell>
          <cell r="BI260">
            <v>0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180620</v>
          </cell>
          <cell r="G261">
            <v>0</v>
          </cell>
          <cell r="H261">
            <v>0</v>
          </cell>
          <cell r="I261">
            <v>180620</v>
          </cell>
          <cell r="J261">
            <v>314959</v>
          </cell>
          <cell r="K261">
            <v>0</v>
          </cell>
          <cell r="L261">
            <v>0</v>
          </cell>
          <cell r="M261">
            <v>314959</v>
          </cell>
          <cell r="N261">
            <v>-134339</v>
          </cell>
          <cell r="O261">
            <v>0</v>
          </cell>
          <cell r="P261">
            <v>0</v>
          </cell>
          <cell r="Q261">
            <v>-134339</v>
          </cell>
          <cell r="R261">
            <v>180620</v>
          </cell>
          <cell r="S261">
            <v>0</v>
          </cell>
          <cell r="T261">
            <v>0</v>
          </cell>
          <cell r="U261">
            <v>180620</v>
          </cell>
          <cell r="V261">
            <v>-314959</v>
          </cell>
          <cell r="W261">
            <v>0</v>
          </cell>
          <cell r="X261">
            <v>0</v>
          </cell>
          <cell r="Y261">
            <v>-314959</v>
          </cell>
          <cell r="Z261">
            <v>197970</v>
          </cell>
          <cell r="AA261">
            <v>197970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296203</v>
          </cell>
          <cell r="BB261">
            <v>236156</v>
          </cell>
          <cell r="BC261">
            <v>60047</v>
          </cell>
          <cell r="BD261">
            <v>74051</v>
          </cell>
          <cell r="BE261">
            <v>59039</v>
          </cell>
          <cell r="BF261">
            <v>15012</v>
          </cell>
          <cell r="BG261">
            <v>0</v>
          </cell>
          <cell r="BH261">
            <v>0</v>
          </cell>
          <cell r="BI261">
            <v>0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45475763</v>
          </cell>
          <cell r="G262">
            <v>0</v>
          </cell>
          <cell r="H262">
            <v>0</v>
          </cell>
          <cell r="I262">
            <v>45475763</v>
          </cell>
          <cell r="J262">
            <v>45488941</v>
          </cell>
          <cell r="K262">
            <v>0</v>
          </cell>
          <cell r="L262">
            <v>0</v>
          </cell>
          <cell r="M262">
            <v>45488941</v>
          </cell>
          <cell r="N262">
            <v>-13178</v>
          </cell>
          <cell r="O262">
            <v>0</v>
          </cell>
          <cell r="P262">
            <v>0</v>
          </cell>
          <cell r="Q262">
            <v>-13178</v>
          </cell>
          <cell r="R262">
            <v>56938.33</v>
          </cell>
          <cell r="S262">
            <v>0</v>
          </cell>
          <cell r="T262">
            <v>0</v>
          </cell>
          <cell r="U262">
            <v>56938</v>
          </cell>
          <cell r="V262">
            <v>-70116</v>
          </cell>
          <cell r="W262">
            <v>0</v>
          </cell>
          <cell r="X262">
            <v>0</v>
          </cell>
          <cell r="Y262">
            <v>-70116</v>
          </cell>
          <cell r="Z262">
            <v>164145</v>
          </cell>
          <cell r="AA262">
            <v>164145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35841</v>
          </cell>
          <cell r="AJ262">
            <v>0</v>
          </cell>
          <cell r="AK262">
            <v>35841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373442</v>
          </cell>
          <cell r="BB262">
            <v>328099</v>
          </cell>
          <cell r="BC262">
            <v>45343</v>
          </cell>
          <cell r="BD262">
            <v>93361</v>
          </cell>
          <cell r="BE262">
            <v>82025</v>
          </cell>
          <cell r="BF262">
            <v>11336</v>
          </cell>
          <cell r="BG262">
            <v>0</v>
          </cell>
          <cell r="BH262">
            <v>0</v>
          </cell>
          <cell r="BI262">
            <v>0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60554260</v>
          </cell>
          <cell r="G263">
            <v>0</v>
          </cell>
          <cell r="H263">
            <v>0</v>
          </cell>
          <cell r="I263">
            <v>60554260</v>
          </cell>
          <cell r="J263">
            <v>60843936</v>
          </cell>
          <cell r="K263">
            <v>0</v>
          </cell>
          <cell r="L263">
            <v>0</v>
          </cell>
          <cell r="M263">
            <v>60843936</v>
          </cell>
          <cell r="N263">
            <v>-289676</v>
          </cell>
          <cell r="O263">
            <v>0</v>
          </cell>
          <cell r="P263">
            <v>0</v>
          </cell>
          <cell r="Q263">
            <v>-289676</v>
          </cell>
          <cell r="R263">
            <v>-15581</v>
          </cell>
          <cell r="S263">
            <v>0</v>
          </cell>
          <cell r="T263">
            <v>0</v>
          </cell>
          <cell r="U263">
            <v>-15581</v>
          </cell>
          <cell r="V263">
            <v>-274095</v>
          </cell>
          <cell r="W263">
            <v>0</v>
          </cell>
          <cell r="X263">
            <v>0</v>
          </cell>
          <cell r="Y263">
            <v>-274095</v>
          </cell>
          <cell r="Z263">
            <v>195142</v>
          </cell>
          <cell r="AA263">
            <v>195142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720020</v>
          </cell>
          <cell r="BB263">
            <v>628442</v>
          </cell>
          <cell r="BC263">
            <v>91578</v>
          </cell>
          <cell r="BD263">
            <v>0</v>
          </cell>
          <cell r="BE263">
            <v>0</v>
          </cell>
          <cell r="BF263">
            <v>0</v>
          </cell>
          <cell r="BG263">
            <v>14694</v>
          </cell>
          <cell r="BH263">
            <v>12825</v>
          </cell>
          <cell r="BI263">
            <v>1869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44150822</v>
          </cell>
          <cell r="G264">
            <v>0</v>
          </cell>
          <cell r="H264">
            <v>0</v>
          </cell>
          <cell r="I264">
            <v>44150822</v>
          </cell>
          <cell r="J264">
            <v>44183024</v>
          </cell>
          <cell r="K264">
            <v>0</v>
          </cell>
          <cell r="L264">
            <v>0</v>
          </cell>
          <cell r="M264">
            <v>44183024</v>
          </cell>
          <cell r="N264">
            <v>-32202</v>
          </cell>
          <cell r="O264">
            <v>0</v>
          </cell>
          <cell r="P264">
            <v>0</v>
          </cell>
          <cell r="Q264">
            <v>-32202</v>
          </cell>
          <cell r="R264">
            <v>65862</v>
          </cell>
          <cell r="S264">
            <v>0</v>
          </cell>
          <cell r="T264">
            <v>0</v>
          </cell>
          <cell r="U264">
            <v>65862</v>
          </cell>
          <cell r="V264">
            <v>-98064</v>
          </cell>
          <cell r="W264">
            <v>0</v>
          </cell>
          <cell r="X264">
            <v>0</v>
          </cell>
          <cell r="Y264">
            <v>-98064</v>
          </cell>
          <cell r="Z264">
            <v>172645</v>
          </cell>
          <cell r="AA264">
            <v>172645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445200</v>
          </cell>
          <cell r="BB264">
            <v>382510</v>
          </cell>
          <cell r="BC264">
            <v>62690</v>
          </cell>
          <cell r="BD264">
            <v>100170</v>
          </cell>
          <cell r="BE264">
            <v>86065</v>
          </cell>
          <cell r="BF264">
            <v>14105</v>
          </cell>
          <cell r="BG264">
            <v>11130</v>
          </cell>
          <cell r="BH264">
            <v>9563</v>
          </cell>
          <cell r="BI264">
            <v>1567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17831350</v>
          </cell>
          <cell r="G265">
            <v>0</v>
          </cell>
          <cell r="H265">
            <v>0</v>
          </cell>
          <cell r="I265">
            <v>17831350</v>
          </cell>
          <cell r="J265">
            <v>17801478</v>
          </cell>
          <cell r="K265">
            <v>0</v>
          </cell>
          <cell r="L265">
            <v>0</v>
          </cell>
          <cell r="M265">
            <v>17801478</v>
          </cell>
          <cell r="N265">
            <v>29872</v>
          </cell>
          <cell r="O265">
            <v>0</v>
          </cell>
          <cell r="P265">
            <v>0</v>
          </cell>
          <cell r="Q265">
            <v>29872</v>
          </cell>
          <cell r="R265">
            <v>116957</v>
          </cell>
          <cell r="S265">
            <v>0</v>
          </cell>
          <cell r="T265">
            <v>0</v>
          </cell>
          <cell r="U265">
            <v>116957</v>
          </cell>
          <cell r="V265">
            <v>-87085</v>
          </cell>
          <cell r="W265">
            <v>0</v>
          </cell>
          <cell r="X265">
            <v>0</v>
          </cell>
          <cell r="Y265">
            <v>-87085</v>
          </cell>
          <cell r="Z265">
            <v>116953</v>
          </cell>
          <cell r="AA265">
            <v>116953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420385</v>
          </cell>
          <cell r="BB265">
            <v>359331</v>
          </cell>
          <cell r="BC265">
            <v>61054</v>
          </cell>
          <cell r="BD265">
            <v>94587</v>
          </cell>
          <cell r="BE265">
            <v>80850</v>
          </cell>
          <cell r="BF265">
            <v>13737</v>
          </cell>
          <cell r="BG265">
            <v>10510</v>
          </cell>
          <cell r="BH265">
            <v>8983</v>
          </cell>
          <cell r="BI265">
            <v>1527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51532641</v>
          </cell>
          <cell r="G266">
            <v>0</v>
          </cell>
          <cell r="H266">
            <v>0</v>
          </cell>
          <cell r="I266">
            <v>51532641</v>
          </cell>
          <cell r="J266">
            <v>51965005</v>
          </cell>
          <cell r="K266">
            <v>0</v>
          </cell>
          <cell r="L266">
            <v>0</v>
          </cell>
          <cell r="M266">
            <v>51965005</v>
          </cell>
          <cell r="N266">
            <v>-432364</v>
          </cell>
          <cell r="O266">
            <v>0</v>
          </cell>
          <cell r="P266">
            <v>0</v>
          </cell>
          <cell r="Q266">
            <v>-432364</v>
          </cell>
          <cell r="R266">
            <v>-47401</v>
          </cell>
          <cell r="S266">
            <v>0</v>
          </cell>
          <cell r="T266">
            <v>0</v>
          </cell>
          <cell r="U266">
            <v>-47401</v>
          </cell>
          <cell r="V266">
            <v>-384963</v>
          </cell>
          <cell r="W266">
            <v>0</v>
          </cell>
          <cell r="X266">
            <v>0</v>
          </cell>
          <cell r="Y266">
            <v>-384963</v>
          </cell>
          <cell r="Z266">
            <v>113077</v>
          </cell>
          <cell r="AA266">
            <v>113077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160559</v>
          </cell>
          <cell r="BB266">
            <v>135629</v>
          </cell>
          <cell r="BC266">
            <v>24930</v>
          </cell>
          <cell r="BD266">
            <v>40140</v>
          </cell>
          <cell r="BE266">
            <v>33907</v>
          </cell>
          <cell r="BF266">
            <v>6233</v>
          </cell>
          <cell r="BG266">
            <v>0</v>
          </cell>
          <cell r="BH266">
            <v>0</v>
          </cell>
          <cell r="BI266">
            <v>0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-741246</v>
          </cell>
          <cell r="O267">
            <v>0</v>
          </cell>
          <cell r="P267">
            <v>0</v>
          </cell>
          <cell r="Q267">
            <v>-741246</v>
          </cell>
          <cell r="R267">
            <v>102090</v>
          </cell>
          <cell r="S267">
            <v>0</v>
          </cell>
          <cell r="T267">
            <v>0</v>
          </cell>
          <cell r="U267">
            <v>102090</v>
          </cell>
          <cell r="V267">
            <v>-843336</v>
          </cell>
          <cell r="W267">
            <v>0</v>
          </cell>
          <cell r="X267">
            <v>0</v>
          </cell>
          <cell r="Y267">
            <v>-843336</v>
          </cell>
          <cell r="Z267">
            <v>429417</v>
          </cell>
          <cell r="AA267">
            <v>429417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1584512</v>
          </cell>
          <cell r="BB267">
            <v>1372158</v>
          </cell>
          <cell r="BC267">
            <v>212354</v>
          </cell>
          <cell r="BD267">
            <v>0</v>
          </cell>
          <cell r="BE267">
            <v>0</v>
          </cell>
          <cell r="BF267">
            <v>0</v>
          </cell>
          <cell r="BG267">
            <v>32337</v>
          </cell>
          <cell r="BH267">
            <v>28003</v>
          </cell>
          <cell r="BI267">
            <v>4334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88190924</v>
          </cell>
          <cell r="G268">
            <v>0</v>
          </cell>
          <cell r="H268">
            <v>0</v>
          </cell>
          <cell r="I268">
            <v>88190924</v>
          </cell>
          <cell r="J268">
            <v>88712354.5</v>
          </cell>
          <cell r="K268">
            <v>0</v>
          </cell>
          <cell r="L268">
            <v>0</v>
          </cell>
          <cell r="M268">
            <v>88712354.5</v>
          </cell>
          <cell r="N268">
            <v>-521430.48</v>
          </cell>
          <cell r="O268">
            <v>0</v>
          </cell>
          <cell r="P268">
            <v>0</v>
          </cell>
          <cell r="Q268">
            <v>-521430.48</v>
          </cell>
          <cell r="R268">
            <v>-110260</v>
          </cell>
          <cell r="S268">
            <v>0</v>
          </cell>
          <cell r="T268">
            <v>0</v>
          </cell>
          <cell r="U268">
            <v>-110260</v>
          </cell>
          <cell r="V268">
            <v>-411170</v>
          </cell>
          <cell r="W268">
            <v>0</v>
          </cell>
          <cell r="X268">
            <v>0</v>
          </cell>
          <cell r="Y268">
            <v>-411170</v>
          </cell>
          <cell r="Z268">
            <v>236341</v>
          </cell>
          <cell r="AA268">
            <v>236341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34962</v>
          </cell>
          <cell r="AP268">
            <v>8685</v>
          </cell>
          <cell r="AQ268">
            <v>26277</v>
          </cell>
          <cell r="AR268">
            <v>34262</v>
          </cell>
          <cell r="AS268">
            <v>0</v>
          </cell>
          <cell r="AT268">
            <v>34262</v>
          </cell>
          <cell r="AU268">
            <v>0</v>
          </cell>
          <cell r="AV268">
            <v>0</v>
          </cell>
          <cell r="AW268">
            <v>0</v>
          </cell>
          <cell r="AX268">
            <v>699</v>
          </cell>
          <cell r="AY268">
            <v>0</v>
          </cell>
          <cell r="AZ268">
            <v>699</v>
          </cell>
          <cell r="BA268">
            <v>630482</v>
          </cell>
          <cell r="BB268">
            <v>523117</v>
          </cell>
          <cell r="BC268">
            <v>107365</v>
          </cell>
          <cell r="BD268">
            <v>0</v>
          </cell>
          <cell r="BE268">
            <v>0</v>
          </cell>
          <cell r="BF268">
            <v>0</v>
          </cell>
          <cell r="BG268">
            <v>12867</v>
          </cell>
          <cell r="BH268">
            <v>10676</v>
          </cell>
          <cell r="BI268">
            <v>2191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100109735</v>
          </cell>
          <cell r="G269">
            <v>0</v>
          </cell>
          <cell r="H269">
            <v>0</v>
          </cell>
          <cell r="I269">
            <v>100109735</v>
          </cell>
          <cell r="J269">
            <v>100655530</v>
          </cell>
          <cell r="K269">
            <v>0</v>
          </cell>
          <cell r="L269">
            <v>0</v>
          </cell>
          <cell r="M269">
            <v>100655530</v>
          </cell>
          <cell r="N269">
            <v>-545795</v>
          </cell>
          <cell r="O269">
            <v>0</v>
          </cell>
          <cell r="P269">
            <v>0</v>
          </cell>
          <cell r="Q269">
            <v>-545795</v>
          </cell>
          <cell r="R269">
            <v>220871</v>
          </cell>
          <cell r="S269">
            <v>0</v>
          </cell>
          <cell r="T269">
            <v>0</v>
          </cell>
          <cell r="U269">
            <v>220871</v>
          </cell>
          <cell r="V269">
            <v>-766666</v>
          </cell>
          <cell r="W269">
            <v>0</v>
          </cell>
          <cell r="X269">
            <v>0</v>
          </cell>
          <cell r="Y269">
            <v>-766666</v>
          </cell>
          <cell r="Z269">
            <v>366370</v>
          </cell>
          <cell r="AA269">
            <v>366370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1381318</v>
          </cell>
          <cell r="BB269">
            <v>1198652</v>
          </cell>
          <cell r="BC269">
            <v>182666</v>
          </cell>
          <cell r="BD269">
            <v>0</v>
          </cell>
          <cell r="BE269">
            <v>0</v>
          </cell>
          <cell r="BF269">
            <v>0</v>
          </cell>
          <cell r="BG269">
            <v>28190</v>
          </cell>
          <cell r="BH269">
            <v>24462</v>
          </cell>
          <cell r="BI269">
            <v>3728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210912</v>
          </cell>
          <cell r="G270">
            <v>0</v>
          </cell>
          <cell r="H270">
            <v>0</v>
          </cell>
          <cell r="I270">
            <v>210912</v>
          </cell>
          <cell r="J270">
            <v>57272</v>
          </cell>
          <cell r="K270">
            <v>0</v>
          </cell>
          <cell r="L270">
            <v>0</v>
          </cell>
          <cell r="M270">
            <v>57272</v>
          </cell>
          <cell r="N270">
            <v>153640</v>
          </cell>
          <cell r="O270">
            <v>0</v>
          </cell>
          <cell r="P270">
            <v>0</v>
          </cell>
          <cell r="Q270">
            <v>153640</v>
          </cell>
          <cell r="R270">
            <v>90200</v>
          </cell>
          <cell r="S270">
            <v>0</v>
          </cell>
          <cell r="T270">
            <v>0</v>
          </cell>
          <cell r="U270">
            <v>90200</v>
          </cell>
          <cell r="V270">
            <v>63440</v>
          </cell>
          <cell r="W270">
            <v>0</v>
          </cell>
          <cell r="X270">
            <v>0</v>
          </cell>
          <cell r="Y270">
            <v>63440</v>
          </cell>
          <cell r="Z270">
            <v>217406</v>
          </cell>
          <cell r="AA270">
            <v>217406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628198</v>
          </cell>
          <cell r="BB270">
            <v>595184</v>
          </cell>
          <cell r="BC270">
            <v>33014</v>
          </cell>
          <cell r="BD270">
            <v>157050</v>
          </cell>
          <cell r="BE270">
            <v>148796</v>
          </cell>
          <cell r="BF270">
            <v>8254</v>
          </cell>
          <cell r="BG270">
            <v>0</v>
          </cell>
          <cell r="BH270">
            <v>0</v>
          </cell>
          <cell r="BI270">
            <v>0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24153339</v>
          </cell>
          <cell r="G271">
            <v>0</v>
          </cell>
          <cell r="H271">
            <v>0</v>
          </cell>
          <cell r="I271">
            <v>24153339</v>
          </cell>
          <cell r="J271">
            <v>24334528</v>
          </cell>
          <cell r="K271">
            <v>0</v>
          </cell>
          <cell r="L271">
            <v>0</v>
          </cell>
          <cell r="M271">
            <v>24334528</v>
          </cell>
          <cell r="N271">
            <v>-181189</v>
          </cell>
          <cell r="O271">
            <v>0</v>
          </cell>
          <cell r="P271">
            <v>0</v>
          </cell>
          <cell r="Q271">
            <v>-181189</v>
          </cell>
          <cell r="R271">
            <v>-90497</v>
          </cell>
          <cell r="S271">
            <v>0</v>
          </cell>
          <cell r="T271">
            <v>0</v>
          </cell>
          <cell r="U271">
            <v>-90497</v>
          </cell>
          <cell r="V271">
            <v>-90692</v>
          </cell>
          <cell r="W271">
            <v>0</v>
          </cell>
          <cell r="X271">
            <v>0</v>
          </cell>
          <cell r="Y271">
            <v>-90692</v>
          </cell>
          <cell r="Z271">
            <v>157553</v>
          </cell>
          <cell r="AA271">
            <v>157553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550</v>
          </cell>
          <cell r="AJ271">
            <v>0</v>
          </cell>
          <cell r="AK271">
            <v>550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492912</v>
          </cell>
          <cell r="BB271">
            <v>419551</v>
          </cell>
          <cell r="BC271">
            <v>73361</v>
          </cell>
          <cell r="BD271">
            <v>123228</v>
          </cell>
          <cell r="BE271">
            <v>104888</v>
          </cell>
          <cell r="BF271">
            <v>18340</v>
          </cell>
          <cell r="BG271">
            <v>0</v>
          </cell>
          <cell r="BH271">
            <v>0</v>
          </cell>
          <cell r="BI271">
            <v>0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67496637.799999997</v>
          </cell>
          <cell r="G272">
            <v>0</v>
          </cell>
          <cell r="H272">
            <v>0</v>
          </cell>
          <cell r="I272">
            <v>67496637.799999997</v>
          </cell>
          <cell r="J272">
            <v>48756085.700000003</v>
          </cell>
          <cell r="K272">
            <v>0</v>
          </cell>
          <cell r="L272">
            <v>0</v>
          </cell>
          <cell r="M272">
            <v>48756085.700000003</v>
          </cell>
          <cell r="N272">
            <v>18740552</v>
          </cell>
          <cell r="O272">
            <v>0</v>
          </cell>
          <cell r="P272">
            <v>0</v>
          </cell>
          <cell r="Q272">
            <v>18740552</v>
          </cell>
          <cell r="R272">
            <v>18745176</v>
          </cell>
          <cell r="S272">
            <v>0</v>
          </cell>
          <cell r="T272">
            <v>0</v>
          </cell>
          <cell r="U272">
            <v>18745176</v>
          </cell>
          <cell r="V272">
            <v>-4624</v>
          </cell>
          <cell r="W272">
            <v>0</v>
          </cell>
          <cell r="X272">
            <v>0</v>
          </cell>
          <cell r="Y272">
            <v>-4624</v>
          </cell>
          <cell r="Z272">
            <v>277838</v>
          </cell>
          <cell r="AA272">
            <v>277838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672652</v>
          </cell>
          <cell r="BB272">
            <v>577121</v>
          </cell>
          <cell r="BC272">
            <v>95531</v>
          </cell>
          <cell r="BD272">
            <v>168163</v>
          </cell>
          <cell r="BE272">
            <v>144280</v>
          </cell>
          <cell r="BF272">
            <v>23883</v>
          </cell>
          <cell r="BG272">
            <v>0</v>
          </cell>
          <cell r="BH272">
            <v>0</v>
          </cell>
          <cell r="BI272">
            <v>0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133594</v>
          </cell>
          <cell r="G273">
            <v>0</v>
          </cell>
          <cell r="H273">
            <v>0</v>
          </cell>
          <cell r="I273">
            <v>133594</v>
          </cell>
          <cell r="J273">
            <v>178587</v>
          </cell>
          <cell r="K273">
            <v>0</v>
          </cell>
          <cell r="L273">
            <v>0</v>
          </cell>
          <cell r="M273">
            <v>178587</v>
          </cell>
          <cell r="N273">
            <v>-44993</v>
          </cell>
          <cell r="O273">
            <v>0</v>
          </cell>
          <cell r="P273">
            <v>0</v>
          </cell>
          <cell r="Q273">
            <v>-44993</v>
          </cell>
          <cell r="R273">
            <v>208503</v>
          </cell>
          <cell r="S273">
            <v>0</v>
          </cell>
          <cell r="T273">
            <v>0</v>
          </cell>
          <cell r="U273">
            <v>208503</v>
          </cell>
          <cell r="V273">
            <v>-253496</v>
          </cell>
          <cell r="W273">
            <v>0</v>
          </cell>
          <cell r="X273">
            <v>0</v>
          </cell>
          <cell r="Y273">
            <v>-253496</v>
          </cell>
          <cell r="Z273">
            <v>333443</v>
          </cell>
          <cell r="AA273">
            <v>333443</v>
          </cell>
          <cell r="AB273">
            <v>0</v>
          </cell>
          <cell r="AC273">
            <v>570350</v>
          </cell>
          <cell r="AD273">
            <v>380008</v>
          </cell>
          <cell r="AE273">
            <v>190342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28390</v>
          </cell>
          <cell r="AP273">
            <v>37680</v>
          </cell>
          <cell r="AQ273">
            <v>-9290</v>
          </cell>
          <cell r="AR273">
            <v>28390</v>
          </cell>
          <cell r="AS273">
            <v>0</v>
          </cell>
          <cell r="AT273">
            <v>28390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1021016</v>
          </cell>
          <cell r="BB273">
            <v>894043</v>
          </cell>
          <cell r="BC273">
            <v>126973</v>
          </cell>
          <cell r="BD273">
            <v>0</v>
          </cell>
          <cell r="BE273">
            <v>0</v>
          </cell>
          <cell r="BF273">
            <v>0</v>
          </cell>
          <cell r="BG273">
            <v>20837</v>
          </cell>
          <cell r="BH273">
            <v>18246</v>
          </cell>
          <cell r="BI273">
            <v>2591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35795961</v>
          </cell>
          <cell r="G274">
            <v>0</v>
          </cell>
          <cell r="H274">
            <v>0</v>
          </cell>
          <cell r="I274">
            <v>35795961</v>
          </cell>
          <cell r="J274">
            <v>36981024</v>
          </cell>
          <cell r="K274">
            <v>0</v>
          </cell>
          <cell r="L274">
            <v>0</v>
          </cell>
          <cell r="M274">
            <v>36981024</v>
          </cell>
          <cell r="N274">
            <v>-1185063</v>
          </cell>
          <cell r="O274">
            <v>0</v>
          </cell>
          <cell r="P274">
            <v>0</v>
          </cell>
          <cell r="Q274">
            <v>-1185063</v>
          </cell>
          <cell r="R274">
            <v>-1009004</v>
          </cell>
          <cell r="S274">
            <v>0</v>
          </cell>
          <cell r="T274">
            <v>0</v>
          </cell>
          <cell r="U274">
            <v>-1009004</v>
          </cell>
          <cell r="V274">
            <v>-176059</v>
          </cell>
          <cell r="W274">
            <v>0</v>
          </cell>
          <cell r="X274">
            <v>0</v>
          </cell>
          <cell r="Y274">
            <v>-176059</v>
          </cell>
          <cell r="Z274">
            <v>122476</v>
          </cell>
          <cell r="AA274">
            <v>122476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233402</v>
          </cell>
          <cell r="BB274">
            <v>196956</v>
          </cell>
          <cell r="BC274">
            <v>36446</v>
          </cell>
          <cell r="BD274">
            <v>58350</v>
          </cell>
          <cell r="BE274">
            <v>49239</v>
          </cell>
          <cell r="BF274">
            <v>9111</v>
          </cell>
          <cell r="BG274">
            <v>0</v>
          </cell>
          <cell r="BH274">
            <v>0</v>
          </cell>
          <cell r="BI274">
            <v>0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58909691</v>
          </cell>
          <cell r="G275">
            <v>0</v>
          </cell>
          <cell r="H275">
            <v>0</v>
          </cell>
          <cell r="I275">
            <v>58909691</v>
          </cell>
          <cell r="J275">
            <v>60027675</v>
          </cell>
          <cell r="K275">
            <v>0</v>
          </cell>
          <cell r="L275">
            <v>0</v>
          </cell>
          <cell r="M275">
            <v>60027675</v>
          </cell>
          <cell r="N275">
            <v>-1117984</v>
          </cell>
          <cell r="O275">
            <v>0</v>
          </cell>
          <cell r="P275">
            <v>0</v>
          </cell>
          <cell r="Q275">
            <v>-1117984</v>
          </cell>
          <cell r="R275">
            <v>-85323</v>
          </cell>
          <cell r="S275">
            <v>0</v>
          </cell>
          <cell r="T275">
            <v>0</v>
          </cell>
          <cell r="U275">
            <v>-85323</v>
          </cell>
          <cell r="V275">
            <v>-1032661</v>
          </cell>
          <cell r="W275">
            <v>0</v>
          </cell>
          <cell r="X275">
            <v>0</v>
          </cell>
          <cell r="Y275">
            <v>-1032661</v>
          </cell>
          <cell r="Z275">
            <v>209603</v>
          </cell>
          <cell r="AA275">
            <v>209603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398047</v>
          </cell>
          <cell r="BB275">
            <v>341318</v>
          </cell>
          <cell r="BC275">
            <v>56729</v>
          </cell>
          <cell r="BD275">
            <v>265364</v>
          </cell>
          <cell r="BE275">
            <v>227545</v>
          </cell>
          <cell r="BF275">
            <v>37819</v>
          </cell>
          <cell r="BG275">
            <v>0</v>
          </cell>
          <cell r="BH275">
            <v>0</v>
          </cell>
          <cell r="BI275">
            <v>0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-101969</v>
          </cell>
          <cell r="G276">
            <v>0</v>
          </cell>
          <cell r="H276">
            <v>0</v>
          </cell>
          <cell r="I276">
            <v>-101969</v>
          </cell>
          <cell r="J276">
            <v>43465</v>
          </cell>
          <cell r="K276">
            <v>0</v>
          </cell>
          <cell r="L276">
            <v>0</v>
          </cell>
          <cell r="M276">
            <v>43465</v>
          </cell>
          <cell r="N276">
            <v>-145434</v>
          </cell>
          <cell r="O276">
            <v>0</v>
          </cell>
          <cell r="P276">
            <v>0</v>
          </cell>
          <cell r="Q276">
            <v>-145434</v>
          </cell>
          <cell r="R276">
            <v>-76620</v>
          </cell>
          <cell r="S276">
            <v>0</v>
          </cell>
          <cell r="T276">
            <v>0</v>
          </cell>
          <cell r="U276">
            <v>-76620</v>
          </cell>
          <cell r="V276">
            <v>-68814</v>
          </cell>
          <cell r="W276">
            <v>0</v>
          </cell>
          <cell r="X276">
            <v>0</v>
          </cell>
          <cell r="Y276">
            <v>-68814</v>
          </cell>
          <cell r="Z276">
            <v>176909</v>
          </cell>
          <cell r="AA276">
            <v>176909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589843</v>
          </cell>
          <cell r="BB276">
            <v>474923</v>
          </cell>
          <cell r="BC276">
            <v>114920</v>
          </cell>
          <cell r="BD276">
            <v>132715</v>
          </cell>
          <cell r="BE276">
            <v>106858</v>
          </cell>
          <cell r="BF276">
            <v>25857</v>
          </cell>
          <cell r="BG276">
            <v>14746</v>
          </cell>
          <cell r="BH276">
            <v>11873</v>
          </cell>
          <cell r="BI276">
            <v>2873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115822407</v>
          </cell>
          <cell r="G277">
            <v>0</v>
          </cell>
          <cell r="H277">
            <v>0</v>
          </cell>
          <cell r="I277">
            <v>115822407</v>
          </cell>
          <cell r="J277">
            <v>118911150</v>
          </cell>
          <cell r="K277">
            <v>0</v>
          </cell>
          <cell r="L277">
            <v>0</v>
          </cell>
          <cell r="M277">
            <v>118911150</v>
          </cell>
          <cell r="N277">
            <v>-3088743.2</v>
          </cell>
          <cell r="O277">
            <v>0</v>
          </cell>
          <cell r="P277">
            <v>0</v>
          </cell>
          <cell r="Q277">
            <v>-3088743.2</v>
          </cell>
          <cell r="R277">
            <v>-316161</v>
          </cell>
          <cell r="S277">
            <v>0</v>
          </cell>
          <cell r="T277">
            <v>0</v>
          </cell>
          <cell r="U277">
            <v>-316161</v>
          </cell>
          <cell r="V277">
            <v>-2772582</v>
          </cell>
          <cell r="W277">
            <v>0</v>
          </cell>
          <cell r="X277">
            <v>0</v>
          </cell>
          <cell r="Y277">
            <v>-2772582</v>
          </cell>
          <cell r="Z277">
            <v>273630</v>
          </cell>
          <cell r="AA277">
            <v>273630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592674</v>
          </cell>
          <cell r="BB277">
            <v>487116</v>
          </cell>
          <cell r="BC277">
            <v>105558</v>
          </cell>
          <cell r="BD277">
            <v>0</v>
          </cell>
          <cell r="BE277">
            <v>0</v>
          </cell>
          <cell r="BF277">
            <v>0</v>
          </cell>
          <cell r="BG277">
            <v>12095</v>
          </cell>
          <cell r="BH277">
            <v>9941</v>
          </cell>
          <cell r="BI277">
            <v>2154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57272140</v>
          </cell>
          <cell r="G278">
            <v>0</v>
          </cell>
          <cell r="H278">
            <v>0</v>
          </cell>
          <cell r="I278">
            <v>57272140</v>
          </cell>
          <cell r="J278">
            <v>57838508.899999999</v>
          </cell>
          <cell r="K278">
            <v>0</v>
          </cell>
          <cell r="L278">
            <v>0</v>
          </cell>
          <cell r="M278">
            <v>57838508.899999999</v>
          </cell>
          <cell r="N278">
            <v>-566368.85</v>
          </cell>
          <cell r="O278">
            <v>0</v>
          </cell>
          <cell r="P278">
            <v>0</v>
          </cell>
          <cell r="Q278">
            <v>-566368.85</v>
          </cell>
          <cell r="R278">
            <v>192371</v>
          </cell>
          <cell r="S278">
            <v>0</v>
          </cell>
          <cell r="T278">
            <v>0</v>
          </cell>
          <cell r="U278">
            <v>192371</v>
          </cell>
          <cell r="V278">
            <v>-758740</v>
          </cell>
          <cell r="W278">
            <v>0</v>
          </cell>
          <cell r="X278">
            <v>0</v>
          </cell>
          <cell r="Y278">
            <v>-758740</v>
          </cell>
          <cell r="Z278">
            <v>300092</v>
          </cell>
          <cell r="AA278">
            <v>300092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1332067</v>
          </cell>
          <cell r="BB278">
            <v>1135467</v>
          </cell>
          <cell r="BC278">
            <v>196600</v>
          </cell>
          <cell r="BD278">
            <v>0</v>
          </cell>
          <cell r="BE278">
            <v>0</v>
          </cell>
          <cell r="BF278">
            <v>0</v>
          </cell>
          <cell r="BG278">
            <v>27185</v>
          </cell>
          <cell r="BH278">
            <v>23173</v>
          </cell>
          <cell r="BI278">
            <v>4012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32940698</v>
          </cell>
          <cell r="G279">
            <v>0</v>
          </cell>
          <cell r="H279">
            <v>0</v>
          </cell>
          <cell r="I279">
            <v>32940698</v>
          </cell>
          <cell r="J279">
            <v>33038943</v>
          </cell>
          <cell r="K279">
            <v>0</v>
          </cell>
          <cell r="L279">
            <v>0</v>
          </cell>
          <cell r="M279">
            <v>33038943</v>
          </cell>
          <cell r="N279">
            <v>-98245</v>
          </cell>
          <cell r="O279">
            <v>0</v>
          </cell>
          <cell r="P279">
            <v>0</v>
          </cell>
          <cell r="Q279">
            <v>-98245</v>
          </cell>
          <cell r="R279">
            <v>22994</v>
          </cell>
          <cell r="S279">
            <v>0</v>
          </cell>
          <cell r="T279">
            <v>0</v>
          </cell>
          <cell r="U279">
            <v>22994</v>
          </cell>
          <cell r="V279">
            <v>-121239</v>
          </cell>
          <cell r="W279">
            <v>0</v>
          </cell>
          <cell r="X279">
            <v>0</v>
          </cell>
          <cell r="Y279">
            <v>-121239</v>
          </cell>
          <cell r="Z279">
            <v>92458</v>
          </cell>
          <cell r="AA279">
            <v>92458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217037</v>
          </cell>
          <cell r="BB279">
            <v>176609</v>
          </cell>
          <cell r="BC279">
            <v>40428</v>
          </cell>
          <cell r="BD279">
            <v>48833</v>
          </cell>
          <cell r="BE279">
            <v>39737</v>
          </cell>
          <cell r="BF279">
            <v>9096</v>
          </cell>
          <cell r="BG279">
            <v>5426</v>
          </cell>
          <cell r="BH279">
            <v>4415</v>
          </cell>
          <cell r="BI279">
            <v>1011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19214494</v>
          </cell>
          <cell r="G280">
            <v>0</v>
          </cell>
          <cell r="H280">
            <v>0</v>
          </cell>
          <cell r="I280">
            <v>19214494</v>
          </cell>
          <cell r="J280">
            <v>19162184</v>
          </cell>
          <cell r="K280">
            <v>0</v>
          </cell>
          <cell r="L280">
            <v>0</v>
          </cell>
          <cell r="M280">
            <v>19162184</v>
          </cell>
          <cell r="N280">
            <v>52310</v>
          </cell>
          <cell r="O280">
            <v>0</v>
          </cell>
          <cell r="P280">
            <v>0</v>
          </cell>
          <cell r="Q280">
            <v>52310</v>
          </cell>
          <cell r="R280">
            <v>127239</v>
          </cell>
          <cell r="S280">
            <v>0</v>
          </cell>
          <cell r="T280">
            <v>0</v>
          </cell>
          <cell r="U280">
            <v>127239</v>
          </cell>
          <cell r="V280">
            <v>-74929</v>
          </cell>
          <cell r="W280">
            <v>0</v>
          </cell>
          <cell r="X280">
            <v>0</v>
          </cell>
          <cell r="Y280">
            <v>-74929</v>
          </cell>
          <cell r="Z280">
            <v>129595</v>
          </cell>
          <cell r="AA280">
            <v>129595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385292</v>
          </cell>
          <cell r="BB280">
            <v>326330</v>
          </cell>
          <cell r="BC280">
            <v>58962</v>
          </cell>
          <cell r="BD280">
            <v>96323</v>
          </cell>
          <cell r="BE280">
            <v>81582</v>
          </cell>
          <cell r="BF280">
            <v>14741</v>
          </cell>
          <cell r="BG280">
            <v>0</v>
          </cell>
          <cell r="BH280">
            <v>0</v>
          </cell>
          <cell r="BI280">
            <v>0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47639006</v>
          </cell>
          <cell r="G281">
            <v>0</v>
          </cell>
          <cell r="H281">
            <v>0</v>
          </cell>
          <cell r="I281">
            <v>47639006</v>
          </cell>
          <cell r="J281">
            <v>47711199</v>
          </cell>
          <cell r="K281">
            <v>0</v>
          </cell>
          <cell r="L281">
            <v>0</v>
          </cell>
          <cell r="M281">
            <v>47711199</v>
          </cell>
          <cell r="N281">
            <v>-72193</v>
          </cell>
          <cell r="O281">
            <v>0</v>
          </cell>
          <cell r="P281">
            <v>0</v>
          </cell>
          <cell r="Q281">
            <v>-72193</v>
          </cell>
          <cell r="R281">
            <v>-71647</v>
          </cell>
          <cell r="S281">
            <v>0</v>
          </cell>
          <cell r="T281">
            <v>0</v>
          </cell>
          <cell r="U281">
            <v>-71647</v>
          </cell>
          <cell r="V281">
            <v>-546</v>
          </cell>
          <cell r="W281">
            <v>0</v>
          </cell>
          <cell r="X281">
            <v>0</v>
          </cell>
          <cell r="Y281">
            <v>-546</v>
          </cell>
          <cell r="Z281">
            <v>163257</v>
          </cell>
          <cell r="AA281">
            <v>163257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29894</v>
          </cell>
          <cell r="AJ281">
            <v>0</v>
          </cell>
          <cell r="AK281">
            <v>29894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450758</v>
          </cell>
          <cell r="BB281">
            <v>460480</v>
          </cell>
          <cell r="BC281">
            <v>-9722</v>
          </cell>
          <cell r="BD281">
            <v>101421</v>
          </cell>
          <cell r="BE281">
            <v>103608</v>
          </cell>
          <cell r="BF281">
            <v>-2187</v>
          </cell>
          <cell r="BG281">
            <v>11269</v>
          </cell>
          <cell r="BH281">
            <v>11512</v>
          </cell>
          <cell r="BI281">
            <v>-243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37570892</v>
          </cell>
          <cell r="G282">
            <v>0</v>
          </cell>
          <cell r="H282">
            <v>0</v>
          </cell>
          <cell r="I282">
            <v>37570892</v>
          </cell>
          <cell r="J282">
            <v>37459723</v>
          </cell>
          <cell r="K282">
            <v>0</v>
          </cell>
          <cell r="L282">
            <v>0</v>
          </cell>
          <cell r="M282">
            <v>37459723</v>
          </cell>
          <cell r="N282">
            <v>111169</v>
          </cell>
          <cell r="O282">
            <v>0</v>
          </cell>
          <cell r="P282">
            <v>0</v>
          </cell>
          <cell r="Q282">
            <v>111169</v>
          </cell>
          <cell r="R282">
            <v>264250</v>
          </cell>
          <cell r="S282">
            <v>0</v>
          </cell>
          <cell r="T282">
            <v>0</v>
          </cell>
          <cell r="U282">
            <v>264250</v>
          </cell>
          <cell r="V282">
            <v>-153081</v>
          </cell>
          <cell r="W282">
            <v>0</v>
          </cell>
          <cell r="X282">
            <v>0</v>
          </cell>
          <cell r="Y282">
            <v>-153081</v>
          </cell>
          <cell r="Z282">
            <v>193085</v>
          </cell>
          <cell r="AA282">
            <v>193085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672292</v>
          </cell>
          <cell r="BB282">
            <v>589086</v>
          </cell>
          <cell r="BC282">
            <v>83206</v>
          </cell>
          <cell r="BD282">
            <v>151266</v>
          </cell>
          <cell r="BE282">
            <v>132544</v>
          </cell>
          <cell r="BF282">
            <v>18722</v>
          </cell>
          <cell r="BG282">
            <v>16807</v>
          </cell>
          <cell r="BH282">
            <v>14727</v>
          </cell>
          <cell r="BI282">
            <v>2080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68144048.299999997</v>
          </cell>
          <cell r="G283">
            <v>0</v>
          </cell>
          <cell r="H283">
            <v>0</v>
          </cell>
          <cell r="I283">
            <v>68144048.299999997</v>
          </cell>
          <cell r="J283">
            <v>68497240.700000003</v>
          </cell>
          <cell r="K283">
            <v>0</v>
          </cell>
          <cell r="L283">
            <v>0</v>
          </cell>
          <cell r="M283">
            <v>68497240.700000003</v>
          </cell>
          <cell r="N283">
            <v>-353192.46</v>
          </cell>
          <cell r="O283">
            <v>0</v>
          </cell>
          <cell r="P283">
            <v>0</v>
          </cell>
          <cell r="Q283">
            <v>-353192.46</v>
          </cell>
          <cell r="R283">
            <v>26820</v>
          </cell>
          <cell r="S283">
            <v>0</v>
          </cell>
          <cell r="T283">
            <v>0</v>
          </cell>
          <cell r="U283">
            <v>26820</v>
          </cell>
          <cell r="V283">
            <v>-380012</v>
          </cell>
          <cell r="W283">
            <v>0</v>
          </cell>
          <cell r="X283">
            <v>0</v>
          </cell>
          <cell r="Y283">
            <v>-380012</v>
          </cell>
          <cell r="Z283">
            <v>212679</v>
          </cell>
          <cell r="AA283">
            <v>212679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597373</v>
          </cell>
          <cell r="BB283">
            <v>516398</v>
          </cell>
          <cell r="BC283">
            <v>80975</v>
          </cell>
          <cell r="BD283">
            <v>0</v>
          </cell>
          <cell r="BE283">
            <v>0</v>
          </cell>
          <cell r="BF283">
            <v>0</v>
          </cell>
          <cell r="BG283">
            <v>12191</v>
          </cell>
          <cell r="BH283">
            <v>10539</v>
          </cell>
          <cell r="BI283">
            <v>1652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32010687</v>
          </cell>
          <cell r="G284">
            <v>0</v>
          </cell>
          <cell r="H284">
            <v>0</v>
          </cell>
          <cell r="I284">
            <v>32010687</v>
          </cell>
          <cell r="J284">
            <v>32024431</v>
          </cell>
          <cell r="K284">
            <v>0</v>
          </cell>
          <cell r="L284">
            <v>0</v>
          </cell>
          <cell r="M284">
            <v>32024431</v>
          </cell>
          <cell r="N284">
            <v>-13744</v>
          </cell>
          <cell r="O284">
            <v>0</v>
          </cell>
          <cell r="P284">
            <v>0</v>
          </cell>
          <cell r="Q284">
            <v>-13744</v>
          </cell>
          <cell r="R284">
            <v>119039</v>
          </cell>
          <cell r="S284">
            <v>0</v>
          </cell>
          <cell r="T284">
            <v>0</v>
          </cell>
          <cell r="U284">
            <v>119039</v>
          </cell>
          <cell r="V284">
            <v>-132783</v>
          </cell>
          <cell r="W284">
            <v>0</v>
          </cell>
          <cell r="X284">
            <v>0</v>
          </cell>
          <cell r="Y284">
            <v>-132783</v>
          </cell>
          <cell r="Z284">
            <v>292364</v>
          </cell>
          <cell r="AA284">
            <v>292364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54662</v>
          </cell>
          <cell r="AJ284">
            <v>0</v>
          </cell>
          <cell r="AK284">
            <v>54662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811859</v>
          </cell>
          <cell r="BB284">
            <v>703119</v>
          </cell>
          <cell r="BC284">
            <v>108740</v>
          </cell>
          <cell r="BD284">
            <v>182668</v>
          </cell>
          <cell r="BE284">
            <v>158202</v>
          </cell>
          <cell r="BF284">
            <v>24466</v>
          </cell>
          <cell r="BG284">
            <v>20296</v>
          </cell>
          <cell r="BH284">
            <v>17578</v>
          </cell>
          <cell r="BI284">
            <v>2718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55054268</v>
          </cell>
          <cell r="G285">
            <v>0</v>
          </cell>
          <cell r="H285">
            <v>0</v>
          </cell>
          <cell r="I285">
            <v>55054268</v>
          </cell>
          <cell r="J285">
            <v>55220378</v>
          </cell>
          <cell r="K285">
            <v>0</v>
          </cell>
          <cell r="L285">
            <v>0</v>
          </cell>
          <cell r="M285">
            <v>55220378</v>
          </cell>
          <cell r="N285">
            <v>-166110</v>
          </cell>
          <cell r="O285">
            <v>0</v>
          </cell>
          <cell r="P285">
            <v>0</v>
          </cell>
          <cell r="Q285">
            <v>-166110</v>
          </cell>
          <cell r="R285">
            <v>44318</v>
          </cell>
          <cell r="S285">
            <v>0</v>
          </cell>
          <cell r="T285">
            <v>0</v>
          </cell>
          <cell r="U285">
            <v>44318</v>
          </cell>
          <cell r="V285">
            <v>-210428</v>
          </cell>
          <cell r="W285">
            <v>0</v>
          </cell>
          <cell r="X285">
            <v>0</v>
          </cell>
          <cell r="Y285">
            <v>-210428</v>
          </cell>
          <cell r="Z285">
            <v>183929</v>
          </cell>
          <cell r="AA285">
            <v>183929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451552</v>
          </cell>
          <cell r="BB285">
            <v>358678</v>
          </cell>
          <cell r="BC285">
            <v>92874</v>
          </cell>
          <cell r="BD285">
            <v>101599</v>
          </cell>
          <cell r="BE285">
            <v>80703</v>
          </cell>
          <cell r="BF285">
            <v>20896</v>
          </cell>
          <cell r="BG285">
            <v>11289</v>
          </cell>
          <cell r="BH285">
            <v>8967</v>
          </cell>
          <cell r="BI285">
            <v>2322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35624088</v>
          </cell>
          <cell r="G286">
            <v>0</v>
          </cell>
          <cell r="H286">
            <v>0</v>
          </cell>
          <cell r="I286">
            <v>35624088</v>
          </cell>
          <cell r="J286">
            <v>35674687</v>
          </cell>
          <cell r="K286">
            <v>0</v>
          </cell>
          <cell r="L286">
            <v>0</v>
          </cell>
          <cell r="M286">
            <v>35674687</v>
          </cell>
          <cell r="N286">
            <v>-50599</v>
          </cell>
          <cell r="O286">
            <v>0</v>
          </cell>
          <cell r="P286">
            <v>0</v>
          </cell>
          <cell r="Q286">
            <v>-50599</v>
          </cell>
          <cell r="R286">
            <v>45840</v>
          </cell>
          <cell r="S286">
            <v>0</v>
          </cell>
          <cell r="T286">
            <v>0</v>
          </cell>
          <cell r="U286">
            <v>45840</v>
          </cell>
          <cell r="V286">
            <v>-96439</v>
          </cell>
          <cell r="W286">
            <v>0</v>
          </cell>
          <cell r="X286">
            <v>0</v>
          </cell>
          <cell r="Y286">
            <v>-96439</v>
          </cell>
          <cell r="Z286">
            <v>124701</v>
          </cell>
          <cell r="AA286">
            <v>124701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321019</v>
          </cell>
          <cell r="BB286">
            <v>266473</v>
          </cell>
          <cell r="BC286">
            <v>54546</v>
          </cell>
          <cell r="BD286">
            <v>80255</v>
          </cell>
          <cell r="BE286">
            <v>66618</v>
          </cell>
          <cell r="BF286">
            <v>13637</v>
          </cell>
          <cell r="BG286">
            <v>0</v>
          </cell>
          <cell r="BH286">
            <v>0</v>
          </cell>
          <cell r="BI286">
            <v>0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31172443</v>
          </cell>
          <cell r="G287">
            <v>0</v>
          </cell>
          <cell r="H287">
            <v>0</v>
          </cell>
          <cell r="I287">
            <v>31172443</v>
          </cell>
          <cell r="J287">
            <v>31064552</v>
          </cell>
          <cell r="K287">
            <v>0</v>
          </cell>
          <cell r="L287">
            <v>0</v>
          </cell>
          <cell r="M287">
            <v>31064552</v>
          </cell>
          <cell r="N287">
            <v>107891</v>
          </cell>
          <cell r="O287">
            <v>0</v>
          </cell>
          <cell r="P287">
            <v>0</v>
          </cell>
          <cell r="Q287">
            <v>107891</v>
          </cell>
          <cell r="R287">
            <v>-157989</v>
          </cell>
          <cell r="S287">
            <v>0</v>
          </cell>
          <cell r="T287">
            <v>0</v>
          </cell>
          <cell r="U287">
            <v>-157989</v>
          </cell>
          <cell r="V287">
            <v>265880</v>
          </cell>
          <cell r="W287">
            <v>0</v>
          </cell>
          <cell r="X287">
            <v>0</v>
          </cell>
          <cell r="Y287">
            <v>265880</v>
          </cell>
          <cell r="Z287">
            <v>191907</v>
          </cell>
          <cell r="AA287">
            <v>191907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667762</v>
          </cell>
          <cell r="BB287">
            <v>567095</v>
          </cell>
          <cell r="BC287">
            <v>100667</v>
          </cell>
          <cell r="BD287">
            <v>150247</v>
          </cell>
          <cell r="BE287">
            <v>127596</v>
          </cell>
          <cell r="BF287">
            <v>22651</v>
          </cell>
          <cell r="BG287">
            <v>16694</v>
          </cell>
          <cell r="BH287">
            <v>14177</v>
          </cell>
          <cell r="BI287">
            <v>2517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31258389</v>
          </cell>
          <cell r="G288">
            <v>0</v>
          </cell>
          <cell r="H288">
            <v>0</v>
          </cell>
          <cell r="I288">
            <v>31258389</v>
          </cell>
          <cell r="J288">
            <v>31143852</v>
          </cell>
          <cell r="K288">
            <v>0</v>
          </cell>
          <cell r="L288">
            <v>0</v>
          </cell>
          <cell r="M288">
            <v>31143852</v>
          </cell>
          <cell r="N288">
            <v>114537</v>
          </cell>
          <cell r="O288">
            <v>0</v>
          </cell>
          <cell r="P288">
            <v>0</v>
          </cell>
          <cell r="Q288">
            <v>114537</v>
          </cell>
          <cell r="R288">
            <v>229198</v>
          </cell>
          <cell r="S288">
            <v>0</v>
          </cell>
          <cell r="T288">
            <v>0</v>
          </cell>
          <cell r="U288">
            <v>229198</v>
          </cell>
          <cell r="V288">
            <v>-114661</v>
          </cell>
          <cell r="W288">
            <v>0</v>
          </cell>
          <cell r="X288">
            <v>0</v>
          </cell>
          <cell r="Y288">
            <v>-114661</v>
          </cell>
          <cell r="Z288">
            <v>101285</v>
          </cell>
          <cell r="AA288">
            <v>95137</v>
          </cell>
          <cell r="AB288">
            <v>6148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174887</v>
          </cell>
          <cell r="BB288">
            <v>151809</v>
          </cell>
          <cell r="BC288">
            <v>23078</v>
          </cell>
          <cell r="BD288">
            <v>43722</v>
          </cell>
          <cell r="BE288">
            <v>37952</v>
          </cell>
          <cell r="BF288">
            <v>5770</v>
          </cell>
          <cell r="BG288">
            <v>0</v>
          </cell>
          <cell r="BH288">
            <v>0</v>
          </cell>
          <cell r="BI288">
            <v>0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106161487</v>
          </cell>
          <cell r="G289">
            <v>0</v>
          </cell>
          <cell r="H289">
            <v>0</v>
          </cell>
          <cell r="I289">
            <v>106161487</v>
          </cell>
          <cell r="J289">
            <v>105098628</v>
          </cell>
          <cell r="K289">
            <v>0</v>
          </cell>
          <cell r="L289">
            <v>0</v>
          </cell>
          <cell r="M289">
            <v>105098628</v>
          </cell>
          <cell r="N289">
            <v>1062859</v>
          </cell>
          <cell r="O289">
            <v>0</v>
          </cell>
          <cell r="P289">
            <v>0</v>
          </cell>
          <cell r="Q289">
            <v>1062859</v>
          </cell>
          <cell r="R289">
            <v>1171092</v>
          </cell>
          <cell r="S289">
            <v>0</v>
          </cell>
          <cell r="T289">
            <v>0</v>
          </cell>
          <cell r="U289">
            <v>1171092</v>
          </cell>
          <cell r="V289">
            <v>-108233</v>
          </cell>
          <cell r="W289">
            <v>0</v>
          </cell>
          <cell r="X289">
            <v>0</v>
          </cell>
          <cell r="Y289">
            <v>-108233</v>
          </cell>
          <cell r="Z289">
            <v>222500</v>
          </cell>
          <cell r="AA289">
            <v>222500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449629</v>
          </cell>
          <cell r="BB289">
            <v>379090</v>
          </cell>
          <cell r="BC289">
            <v>70539</v>
          </cell>
          <cell r="BD289">
            <v>0</v>
          </cell>
          <cell r="BE289">
            <v>0</v>
          </cell>
          <cell r="BF289">
            <v>0</v>
          </cell>
          <cell r="BG289">
            <v>9176</v>
          </cell>
          <cell r="BH289">
            <v>7737</v>
          </cell>
          <cell r="BI289">
            <v>1439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421255</v>
          </cell>
          <cell r="K290">
            <v>0</v>
          </cell>
          <cell r="L290">
            <v>0</v>
          </cell>
          <cell r="M290">
            <v>421255</v>
          </cell>
          <cell r="N290">
            <v>-421255</v>
          </cell>
          <cell r="O290">
            <v>0</v>
          </cell>
          <cell r="P290">
            <v>0</v>
          </cell>
          <cell r="Q290">
            <v>-421255</v>
          </cell>
          <cell r="R290">
            <v>224554</v>
          </cell>
          <cell r="S290">
            <v>0</v>
          </cell>
          <cell r="T290">
            <v>0</v>
          </cell>
          <cell r="U290">
            <v>224554</v>
          </cell>
          <cell r="V290">
            <v>-645809</v>
          </cell>
          <cell r="W290">
            <v>0</v>
          </cell>
          <cell r="X290">
            <v>0</v>
          </cell>
          <cell r="Y290">
            <v>-645809</v>
          </cell>
          <cell r="Z290">
            <v>168018</v>
          </cell>
          <cell r="AA290">
            <v>168018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316145</v>
          </cell>
          <cell r="BB290">
            <v>257185</v>
          </cell>
          <cell r="BC290">
            <v>58960</v>
          </cell>
          <cell r="BD290">
            <v>71133</v>
          </cell>
          <cell r="BE290">
            <v>57867</v>
          </cell>
          <cell r="BF290">
            <v>13266</v>
          </cell>
          <cell r="BG290">
            <v>7904</v>
          </cell>
          <cell r="BH290">
            <v>6430</v>
          </cell>
          <cell r="BI290">
            <v>1474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44584329</v>
          </cell>
          <cell r="G291">
            <v>0</v>
          </cell>
          <cell r="H291">
            <v>0</v>
          </cell>
          <cell r="I291">
            <v>44584329</v>
          </cell>
          <cell r="J291">
            <v>44608062</v>
          </cell>
          <cell r="K291">
            <v>0</v>
          </cell>
          <cell r="L291">
            <v>0</v>
          </cell>
          <cell r="M291">
            <v>44608062</v>
          </cell>
          <cell r="N291">
            <v>-23733</v>
          </cell>
          <cell r="O291">
            <v>0</v>
          </cell>
          <cell r="P291">
            <v>0</v>
          </cell>
          <cell r="Q291">
            <v>-23733</v>
          </cell>
          <cell r="R291">
            <v>184572</v>
          </cell>
          <cell r="S291">
            <v>0</v>
          </cell>
          <cell r="T291">
            <v>0</v>
          </cell>
          <cell r="U291">
            <v>184572</v>
          </cell>
          <cell r="V291">
            <v>-208305</v>
          </cell>
          <cell r="W291">
            <v>0</v>
          </cell>
          <cell r="X291">
            <v>0</v>
          </cell>
          <cell r="Y291">
            <v>-208305</v>
          </cell>
          <cell r="Z291">
            <v>206989</v>
          </cell>
          <cell r="AA291">
            <v>206989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960740</v>
          </cell>
          <cell r="BB291">
            <v>841888</v>
          </cell>
          <cell r="BC291">
            <v>118852</v>
          </cell>
          <cell r="BD291">
            <v>0</v>
          </cell>
          <cell r="BE291">
            <v>0</v>
          </cell>
          <cell r="BF291">
            <v>0</v>
          </cell>
          <cell r="BG291">
            <v>19607</v>
          </cell>
          <cell r="BH291">
            <v>17181</v>
          </cell>
          <cell r="BI291">
            <v>2426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10438106</v>
          </cell>
          <cell r="G292">
            <v>0</v>
          </cell>
          <cell r="H292">
            <v>0</v>
          </cell>
          <cell r="I292">
            <v>10438106</v>
          </cell>
          <cell r="J292">
            <v>10235080</v>
          </cell>
          <cell r="K292">
            <v>0</v>
          </cell>
          <cell r="L292">
            <v>0</v>
          </cell>
          <cell r="M292">
            <v>10235080</v>
          </cell>
          <cell r="N292">
            <v>120743</v>
          </cell>
          <cell r="O292">
            <v>0</v>
          </cell>
          <cell r="P292">
            <v>0</v>
          </cell>
          <cell r="Q292">
            <v>120743</v>
          </cell>
          <cell r="R292">
            <v>239743</v>
          </cell>
          <cell r="S292">
            <v>0</v>
          </cell>
          <cell r="T292">
            <v>0</v>
          </cell>
          <cell r="U292">
            <v>239743</v>
          </cell>
          <cell r="V292">
            <v>-119000</v>
          </cell>
          <cell r="W292">
            <v>0</v>
          </cell>
          <cell r="X292">
            <v>0</v>
          </cell>
          <cell r="Y292">
            <v>-119000</v>
          </cell>
          <cell r="Z292">
            <v>121660</v>
          </cell>
          <cell r="AA292">
            <v>121660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51309</v>
          </cell>
          <cell r="AJ292">
            <v>40000</v>
          </cell>
          <cell r="AK292">
            <v>11309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510868</v>
          </cell>
          <cell r="BB292">
            <v>427513</v>
          </cell>
          <cell r="BC292">
            <v>83355</v>
          </cell>
          <cell r="BD292">
            <v>114945</v>
          </cell>
          <cell r="BE292">
            <v>96190</v>
          </cell>
          <cell r="BF292">
            <v>18755</v>
          </cell>
          <cell r="BG292">
            <v>12772</v>
          </cell>
          <cell r="BH292">
            <v>10688</v>
          </cell>
          <cell r="BI292">
            <v>2084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371679587</v>
          </cell>
          <cell r="G293">
            <v>0</v>
          </cell>
          <cell r="H293">
            <v>0</v>
          </cell>
          <cell r="I293">
            <v>371679587</v>
          </cell>
          <cell r="J293">
            <v>371230722</v>
          </cell>
          <cell r="K293">
            <v>0</v>
          </cell>
          <cell r="L293">
            <v>0</v>
          </cell>
          <cell r="M293">
            <v>371230722</v>
          </cell>
          <cell r="N293">
            <v>448865</v>
          </cell>
          <cell r="O293">
            <v>0</v>
          </cell>
          <cell r="P293">
            <v>0</v>
          </cell>
          <cell r="Q293">
            <v>448865</v>
          </cell>
          <cell r="R293">
            <v>968697</v>
          </cell>
          <cell r="S293">
            <v>0</v>
          </cell>
          <cell r="T293">
            <v>0</v>
          </cell>
          <cell r="U293">
            <v>968697</v>
          </cell>
          <cell r="V293">
            <v>-519832</v>
          </cell>
          <cell r="W293">
            <v>0</v>
          </cell>
          <cell r="X293">
            <v>0</v>
          </cell>
          <cell r="Y293">
            <v>-519832</v>
          </cell>
          <cell r="Z293">
            <v>944275</v>
          </cell>
          <cell r="AA293">
            <v>944275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803480</v>
          </cell>
          <cell r="BB293">
            <v>678013</v>
          </cell>
          <cell r="BC293">
            <v>125467</v>
          </cell>
          <cell r="BD293">
            <v>535653</v>
          </cell>
          <cell r="BE293">
            <v>452009</v>
          </cell>
          <cell r="BF293">
            <v>83644</v>
          </cell>
          <cell r="BG293">
            <v>0</v>
          </cell>
          <cell r="BH293">
            <v>0</v>
          </cell>
          <cell r="BI293">
            <v>0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177431579</v>
          </cell>
          <cell r="G294">
            <v>0</v>
          </cell>
          <cell r="H294">
            <v>0</v>
          </cell>
          <cell r="I294">
            <v>177431579</v>
          </cell>
          <cell r="J294">
            <v>178060702</v>
          </cell>
          <cell r="K294">
            <v>0</v>
          </cell>
          <cell r="L294">
            <v>0</v>
          </cell>
          <cell r="M294">
            <v>178060702</v>
          </cell>
          <cell r="N294">
            <v>-629123</v>
          </cell>
          <cell r="O294">
            <v>0</v>
          </cell>
          <cell r="P294">
            <v>0</v>
          </cell>
          <cell r="Q294">
            <v>-629123</v>
          </cell>
          <cell r="R294">
            <v>25703</v>
          </cell>
          <cell r="S294">
            <v>0</v>
          </cell>
          <cell r="T294">
            <v>0</v>
          </cell>
          <cell r="U294">
            <v>25703</v>
          </cell>
          <cell r="V294">
            <v>-654826</v>
          </cell>
          <cell r="W294">
            <v>0</v>
          </cell>
          <cell r="X294">
            <v>0</v>
          </cell>
          <cell r="Y294">
            <v>-654826</v>
          </cell>
          <cell r="Z294">
            <v>452163</v>
          </cell>
          <cell r="AA294">
            <v>452163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73476</v>
          </cell>
          <cell r="AJ294">
            <v>0</v>
          </cell>
          <cell r="AK294">
            <v>73476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938813</v>
          </cell>
          <cell r="BB294">
            <v>780411</v>
          </cell>
          <cell r="BC294">
            <v>158402</v>
          </cell>
          <cell r="BD294">
            <v>0</v>
          </cell>
          <cell r="BE294">
            <v>0</v>
          </cell>
          <cell r="BF294">
            <v>0</v>
          </cell>
          <cell r="BG294">
            <v>19159</v>
          </cell>
          <cell r="BH294">
            <v>15927</v>
          </cell>
          <cell r="BI294">
            <v>3232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47838235</v>
          </cell>
          <cell r="G295">
            <v>0</v>
          </cell>
          <cell r="H295">
            <v>0</v>
          </cell>
          <cell r="I295">
            <v>47838235</v>
          </cell>
          <cell r="J295">
            <v>48178733</v>
          </cell>
          <cell r="K295">
            <v>0</v>
          </cell>
          <cell r="L295">
            <v>0</v>
          </cell>
          <cell r="M295">
            <v>48178733</v>
          </cell>
          <cell r="N295">
            <v>-340498</v>
          </cell>
          <cell r="O295">
            <v>0</v>
          </cell>
          <cell r="P295">
            <v>0</v>
          </cell>
          <cell r="Q295">
            <v>-340498</v>
          </cell>
          <cell r="R295">
            <v>136834</v>
          </cell>
          <cell r="S295">
            <v>0</v>
          </cell>
          <cell r="T295">
            <v>0</v>
          </cell>
          <cell r="U295">
            <v>136834</v>
          </cell>
          <cell r="V295">
            <v>-477332</v>
          </cell>
          <cell r="W295">
            <v>0</v>
          </cell>
          <cell r="X295">
            <v>0</v>
          </cell>
          <cell r="Y295">
            <v>-477332</v>
          </cell>
          <cell r="Z295">
            <v>181431</v>
          </cell>
          <cell r="AA295">
            <v>181431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415888</v>
          </cell>
          <cell r="BB295">
            <v>342700</v>
          </cell>
          <cell r="BC295">
            <v>73188</v>
          </cell>
          <cell r="BD295">
            <v>93575</v>
          </cell>
          <cell r="BE295">
            <v>77108</v>
          </cell>
          <cell r="BF295">
            <v>16467</v>
          </cell>
          <cell r="BG295">
            <v>10397</v>
          </cell>
          <cell r="BH295">
            <v>8568</v>
          </cell>
          <cell r="BI295">
            <v>1829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40904182</v>
          </cell>
          <cell r="G296">
            <v>0</v>
          </cell>
          <cell r="H296">
            <v>0</v>
          </cell>
          <cell r="I296">
            <v>40904182</v>
          </cell>
          <cell r="J296">
            <v>41214130</v>
          </cell>
          <cell r="K296">
            <v>0</v>
          </cell>
          <cell r="L296">
            <v>0</v>
          </cell>
          <cell r="M296">
            <v>41214130</v>
          </cell>
          <cell r="N296">
            <v>-309948</v>
          </cell>
          <cell r="O296">
            <v>0</v>
          </cell>
          <cell r="P296">
            <v>0</v>
          </cell>
          <cell r="Q296">
            <v>-309948</v>
          </cell>
          <cell r="R296">
            <v>163450</v>
          </cell>
          <cell r="S296">
            <v>0</v>
          </cell>
          <cell r="T296">
            <v>0</v>
          </cell>
          <cell r="U296">
            <v>163450</v>
          </cell>
          <cell r="V296">
            <v>-473398</v>
          </cell>
          <cell r="W296">
            <v>0</v>
          </cell>
          <cell r="X296">
            <v>0</v>
          </cell>
          <cell r="Y296">
            <v>-473398</v>
          </cell>
          <cell r="Z296">
            <v>138241</v>
          </cell>
          <cell r="AA296">
            <v>138241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324722</v>
          </cell>
          <cell r="BB296">
            <v>281267</v>
          </cell>
          <cell r="BC296">
            <v>43455</v>
          </cell>
          <cell r="BD296">
            <v>73062</v>
          </cell>
          <cell r="BE296">
            <v>63285</v>
          </cell>
          <cell r="BF296">
            <v>9777</v>
          </cell>
          <cell r="BG296">
            <v>8118</v>
          </cell>
          <cell r="BH296">
            <v>7032</v>
          </cell>
          <cell r="BI296">
            <v>1086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51538413</v>
          </cell>
          <cell r="G297">
            <v>0</v>
          </cell>
          <cell r="H297">
            <v>1022749</v>
          </cell>
          <cell r="I297">
            <v>52561162</v>
          </cell>
          <cell r="J297">
            <v>50110974</v>
          </cell>
          <cell r="K297">
            <v>0</v>
          </cell>
          <cell r="L297">
            <v>1026065</v>
          </cell>
          <cell r="M297">
            <v>51137039</v>
          </cell>
          <cell r="N297">
            <v>1427439</v>
          </cell>
          <cell r="O297">
            <v>0</v>
          </cell>
          <cell r="P297">
            <v>-3316</v>
          </cell>
          <cell r="Q297">
            <v>1424123</v>
          </cell>
          <cell r="R297">
            <v>1963614</v>
          </cell>
          <cell r="S297">
            <v>0</v>
          </cell>
          <cell r="T297">
            <v>-3316</v>
          </cell>
          <cell r="U297">
            <v>1960298</v>
          </cell>
          <cell r="V297">
            <v>-536175</v>
          </cell>
          <cell r="W297">
            <v>0</v>
          </cell>
          <cell r="X297">
            <v>0</v>
          </cell>
          <cell r="Y297">
            <v>-536175</v>
          </cell>
          <cell r="Z297">
            <v>189424</v>
          </cell>
          <cell r="AA297">
            <v>189424</v>
          </cell>
          <cell r="AB297">
            <v>0</v>
          </cell>
          <cell r="AC297">
            <v>0</v>
          </cell>
          <cell r="AD297">
            <v>431046</v>
          </cell>
          <cell r="AE297">
            <v>-431046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268150</v>
          </cell>
          <cell r="AP297">
            <v>1189000</v>
          </cell>
          <cell r="AQ297">
            <v>-920850</v>
          </cell>
          <cell r="AR297">
            <v>268150</v>
          </cell>
          <cell r="AS297">
            <v>1189000</v>
          </cell>
          <cell r="AT297">
            <v>-920850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324972</v>
          </cell>
          <cell r="BB297">
            <v>261717</v>
          </cell>
          <cell r="BC297">
            <v>63255</v>
          </cell>
          <cell r="BD297">
            <v>76962</v>
          </cell>
          <cell r="BE297">
            <v>65429</v>
          </cell>
          <cell r="BF297">
            <v>11533</v>
          </cell>
          <cell r="BG297">
            <v>0</v>
          </cell>
          <cell r="BH297">
            <v>0</v>
          </cell>
          <cell r="BI297">
            <v>0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113621212</v>
          </cell>
          <cell r="G298">
            <v>0</v>
          </cell>
          <cell r="H298">
            <v>0</v>
          </cell>
          <cell r="I298">
            <v>113621212</v>
          </cell>
          <cell r="J298">
            <v>113817771</v>
          </cell>
          <cell r="K298">
            <v>0</v>
          </cell>
          <cell r="L298">
            <v>0</v>
          </cell>
          <cell r="M298">
            <v>113817771</v>
          </cell>
          <cell r="N298">
            <v>-196559</v>
          </cell>
          <cell r="O298">
            <v>0</v>
          </cell>
          <cell r="P298">
            <v>0</v>
          </cell>
          <cell r="Q298">
            <v>-196559</v>
          </cell>
          <cell r="R298">
            <v>399405</v>
          </cell>
          <cell r="S298">
            <v>0</v>
          </cell>
          <cell r="T298">
            <v>0</v>
          </cell>
          <cell r="U298">
            <v>399405</v>
          </cell>
          <cell r="V298">
            <v>-595964</v>
          </cell>
          <cell r="W298">
            <v>0</v>
          </cell>
          <cell r="X298">
            <v>0</v>
          </cell>
          <cell r="Y298">
            <v>-595964</v>
          </cell>
          <cell r="Z298">
            <v>457961</v>
          </cell>
          <cell r="AA298">
            <v>457961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1695375</v>
          </cell>
          <cell r="BB298">
            <v>1456331</v>
          </cell>
          <cell r="BC298">
            <v>239044</v>
          </cell>
          <cell r="BD298">
            <v>0</v>
          </cell>
          <cell r="BE298">
            <v>0</v>
          </cell>
          <cell r="BF298">
            <v>0</v>
          </cell>
          <cell r="BG298">
            <v>34599</v>
          </cell>
          <cell r="BH298">
            <v>29721</v>
          </cell>
          <cell r="BI298">
            <v>4878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69352594</v>
          </cell>
          <cell r="G299">
            <v>0</v>
          </cell>
          <cell r="H299">
            <v>199910</v>
          </cell>
          <cell r="I299">
            <v>69552504</v>
          </cell>
          <cell r="J299">
            <v>69521050</v>
          </cell>
          <cell r="K299">
            <v>0</v>
          </cell>
          <cell r="L299">
            <v>199910</v>
          </cell>
          <cell r="M299">
            <v>69720960</v>
          </cell>
          <cell r="N299">
            <v>-168456</v>
          </cell>
          <cell r="O299">
            <v>0</v>
          </cell>
          <cell r="P299">
            <v>0</v>
          </cell>
          <cell r="Q299">
            <v>-168456</v>
          </cell>
          <cell r="R299">
            <v>203507</v>
          </cell>
          <cell r="S299">
            <v>0</v>
          </cell>
          <cell r="T299">
            <v>0</v>
          </cell>
          <cell r="U299">
            <v>203507</v>
          </cell>
          <cell r="V299">
            <v>-371963</v>
          </cell>
          <cell r="W299">
            <v>0</v>
          </cell>
          <cell r="X299">
            <v>0</v>
          </cell>
          <cell r="Y299">
            <v>-371963</v>
          </cell>
          <cell r="Z299">
            <v>344295</v>
          </cell>
          <cell r="AA299">
            <v>344295</v>
          </cell>
          <cell r="AB299">
            <v>0</v>
          </cell>
          <cell r="AC299">
            <v>30666</v>
          </cell>
          <cell r="AD299">
            <v>0</v>
          </cell>
          <cell r="AE299">
            <v>30666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128476</v>
          </cell>
          <cell r="AQ299">
            <v>-128476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1267169</v>
          </cell>
          <cell r="BB299">
            <v>1058350</v>
          </cell>
          <cell r="BC299">
            <v>208819</v>
          </cell>
          <cell r="BD299">
            <v>0</v>
          </cell>
          <cell r="BE299">
            <v>0</v>
          </cell>
          <cell r="BF299">
            <v>0</v>
          </cell>
          <cell r="BG299">
            <v>25852</v>
          </cell>
          <cell r="BH299">
            <v>21599</v>
          </cell>
          <cell r="BI299">
            <v>4253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58125702</v>
          </cell>
          <cell r="G300">
            <v>0</v>
          </cell>
          <cell r="H300">
            <v>0</v>
          </cell>
          <cell r="I300">
            <v>58125702</v>
          </cell>
          <cell r="J300">
            <v>57786871</v>
          </cell>
          <cell r="K300">
            <v>0</v>
          </cell>
          <cell r="L300">
            <v>0</v>
          </cell>
          <cell r="M300">
            <v>57786871</v>
          </cell>
          <cell r="N300">
            <v>338831</v>
          </cell>
          <cell r="O300">
            <v>0</v>
          </cell>
          <cell r="P300">
            <v>0</v>
          </cell>
          <cell r="Q300">
            <v>338831</v>
          </cell>
          <cell r="R300">
            <v>442293</v>
          </cell>
          <cell r="S300">
            <v>0</v>
          </cell>
          <cell r="T300">
            <v>0</v>
          </cell>
          <cell r="U300">
            <v>442293</v>
          </cell>
          <cell r="V300">
            <v>-103462</v>
          </cell>
          <cell r="W300">
            <v>0</v>
          </cell>
          <cell r="X300">
            <v>0</v>
          </cell>
          <cell r="Y300">
            <v>-103462</v>
          </cell>
          <cell r="Z300">
            <v>292541</v>
          </cell>
          <cell r="AA300">
            <v>292541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760636</v>
          </cell>
          <cell r="BB300">
            <v>662793</v>
          </cell>
          <cell r="BC300">
            <v>97843</v>
          </cell>
          <cell r="BD300">
            <v>507090</v>
          </cell>
          <cell r="BE300">
            <v>441862</v>
          </cell>
          <cell r="BF300">
            <v>65228</v>
          </cell>
          <cell r="BG300">
            <v>0</v>
          </cell>
          <cell r="BH300">
            <v>0</v>
          </cell>
          <cell r="BI300">
            <v>0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102862285</v>
          </cell>
          <cell r="G301">
            <v>0</v>
          </cell>
          <cell r="H301">
            <v>0</v>
          </cell>
          <cell r="I301">
            <v>102862285</v>
          </cell>
          <cell r="J301">
            <v>103055665</v>
          </cell>
          <cell r="K301">
            <v>0</v>
          </cell>
          <cell r="L301">
            <v>0</v>
          </cell>
          <cell r="M301">
            <v>103055665</v>
          </cell>
          <cell r="N301">
            <v>-193380</v>
          </cell>
          <cell r="O301">
            <v>0</v>
          </cell>
          <cell r="P301">
            <v>0</v>
          </cell>
          <cell r="Q301">
            <v>-193380</v>
          </cell>
          <cell r="R301">
            <v>455159</v>
          </cell>
          <cell r="S301">
            <v>0</v>
          </cell>
          <cell r="T301">
            <v>0</v>
          </cell>
          <cell r="U301">
            <v>455159</v>
          </cell>
          <cell r="V301">
            <v>-648539</v>
          </cell>
          <cell r="W301">
            <v>0</v>
          </cell>
          <cell r="X301">
            <v>0</v>
          </cell>
          <cell r="Y301">
            <v>-648539</v>
          </cell>
          <cell r="Z301">
            <v>484461</v>
          </cell>
          <cell r="AA301">
            <v>484461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529747</v>
          </cell>
          <cell r="BB301">
            <v>449921</v>
          </cell>
          <cell r="BC301">
            <v>79826</v>
          </cell>
          <cell r="BD301">
            <v>353165</v>
          </cell>
          <cell r="BE301">
            <v>299948</v>
          </cell>
          <cell r="BF301">
            <v>53217</v>
          </cell>
          <cell r="BG301">
            <v>0</v>
          </cell>
          <cell r="BH301">
            <v>0</v>
          </cell>
          <cell r="BI301">
            <v>0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104501170</v>
          </cell>
          <cell r="G302">
            <v>0</v>
          </cell>
          <cell r="H302">
            <v>0</v>
          </cell>
          <cell r="I302">
            <v>104501170</v>
          </cell>
          <cell r="J302">
            <v>105819326</v>
          </cell>
          <cell r="K302">
            <v>0</v>
          </cell>
          <cell r="L302">
            <v>0</v>
          </cell>
          <cell r="M302">
            <v>105819326</v>
          </cell>
          <cell r="N302">
            <v>-1318156</v>
          </cell>
          <cell r="O302">
            <v>0</v>
          </cell>
          <cell r="P302">
            <v>0</v>
          </cell>
          <cell r="Q302">
            <v>-1318156</v>
          </cell>
          <cell r="R302">
            <v>-895924</v>
          </cell>
          <cell r="S302">
            <v>0</v>
          </cell>
          <cell r="T302">
            <v>0</v>
          </cell>
          <cell r="U302">
            <v>-895924</v>
          </cell>
          <cell r="V302">
            <v>-422232</v>
          </cell>
          <cell r="W302">
            <v>0</v>
          </cell>
          <cell r="X302">
            <v>0</v>
          </cell>
          <cell r="Y302">
            <v>-422232</v>
          </cell>
          <cell r="Z302">
            <v>308145</v>
          </cell>
          <cell r="AA302">
            <v>308145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667673</v>
          </cell>
          <cell r="BB302">
            <v>534532</v>
          </cell>
          <cell r="BC302">
            <v>133141</v>
          </cell>
          <cell r="BD302">
            <v>0</v>
          </cell>
          <cell r="BE302">
            <v>0</v>
          </cell>
          <cell r="BF302">
            <v>0</v>
          </cell>
          <cell r="BG302">
            <v>13626</v>
          </cell>
          <cell r="BH302">
            <v>10909</v>
          </cell>
          <cell r="BI302">
            <v>2717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10041</v>
          </cell>
          <cell r="G303">
            <v>0</v>
          </cell>
          <cell r="H303">
            <v>0</v>
          </cell>
          <cell r="I303">
            <v>10041</v>
          </cell>
          <cell r="J303">
            <v>187961</v>
          </cell>
          <cell r="K303">
            <v>0</v>
          </cell>
          <cell r="L303">
            <v>0</v>
          </cell>
          <cell r="M303">
            <v>187961</v>
          </cell>
          <cell r="N303">
            <v>-177920</v>
          </cell>
          <cell r="O303">
            <v>0</v>
          </cell>
          <cell r="P303">
            <v>0</v>
          </cell>
          <cell r="Q303">
            <v>-177920</v>
          </cell>
          <cell r="R303">
            <v>48425</v>
          </cell>
          <cell r="S303">
            <v>0</v>
          </cell>
          <cell r="T303">
            <v>0</v>
          </cell>
          <cell r="U303">
            <v>48425</v>
          </cell>
          <cell r="V303">
            <v>-226345</v>
          </cell>
          <cell r="W303">
            <v>0</v>
          </cell>
          <cell r="X303">
            <v>0</v>
          </cell>
          <cell r="Y303">
            <v>-226345</v>
          </cell>
          <cell r="Z303">
            <v>212678</v>
          </cell>
          <cell r="AA303">
            <v>212678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524984</v>
          </cell>
          <cell r="BB303">
            <v>454018</v>
          </cell>
          <cell r="BC303">
            <v>70966</v>
          </cell>
          <cell r="BD303">
            <v>131246</v>
          </cell>
          <cell r="BE303">
            <v>113505</v>
          </cell>
          <cell r="BF303">
            <v>17741</v>
          </cell>
          <cell r="BG303">
            <v>0</v>
          </cell>
          <cell r="BH303">
            <v>0</v>
          </cell>
          <cell r="BI303">
            <v>0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68483913</v>
          </cell>
          <cell r="G304">
            <v>0</v>
          </cell>
          <cell r="H304">
            <v>0</v>
          </cell>
          <cell r="I304">
            <v>68483913</v>
          </cell>
          <cell r="J304">
            <v>71938873</v>
          </cell>
          <cell r="K304">
            <v>0</v>
          </cell>
          <cell r="L304">
            <v>0</v>
          </cell>
          <cell r="M304">
            <v>71938873</v>
          </cell>
          <cell r="N304">
            <v>-3454960</v>
          </cell>
          <cell r="O304">
            <v>0</v>
          </cell>
          <cell r="P304">
            <v>0</v>
          </cell>
          <cell r="Q304">
            <v>-3454960</v>
          </cell>
          <cell r="R304">
            <v>-383305</v>
          </cell>
          <cell r="S304">
            <v>0</v>
          </cell>
          <cell r="T304">
            <v>0</v>
          </cell>
          <cell r="U304">
            <v>-383305</v>
          </cell>
          <cell r="V304">
            <v>-3071655</v>
          </cell>
          <cell r="W304">
            <v>0</v>
          </cell>
          <cell r="X304">
            <v>0</v>
          </cell>
          <cell r="Y304">
            <v>-3071655</v>
          </cell>
          <cell r="Z304">
            <v>205695</v>
          </cell>
          <cell r="AA304">
            <v>176395</v>
          </cell>
          <cell r="AB304">
            <v>29300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251330</v>
          </cell>
          <cell r="BB304">
            <v>201951</v>
          </cell>
          <cell r="BC304">
            <v>49379</v>
          </cell>
          <cell r="BD304">
            <v>62833</v>
          </cell>
          <cell r="BE304">
            <v>50488</v>
          </cell>
          <cell r="BF304">
            <v>12345</v>
          </cell>
          <cell r="BG304">
            <v>0</v>
          </cell>
          <cell r="BH304">
            <v>0</v>
          </cell>
          <cell r="BI304">
            <v>0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27368105</v>
          </cell>
          <cell r="G305">
            <v>0</v>
          </cell>
          <cell r="H305">
            <v>0</v>
          </cell>
          <cell r="I305">
            <v>27368105</v>
          </cell>
          <cell r="J305">
            <v>27543716</v>
          </cell>
          <cell r="K305">
            <v>0</v>
          </cell>
          <cell r="L305">
            <v>0</v>
          </cell>
          <cell r="M305">
            <v>27543716</v>
          </cell>
          <cell r="N305">
            <v>-175611</v>
          </cell>
          <cell r="O305">
            <v>0</v>
          </cell>
          <cell r="P305">
            <v>0</v>
          </cell>
          <cell r="Q305">
            <v>-175611</v>
          </cell>
          <cell r="R305">
            <v>-93714</v>
          </cell>
          <cell r="S305">
            <v>0</v>
          </cell>
          <cell r="T305">
            <v>0</v>
          </cell>
          <cell r="U305">
            <v>-93714</v>
          </cell>
          <cell r="V305">
            <v>-81897</v>
          </cell>
          <cell r="W305">
            <v>0</v>
          </cell>
          <cell r="X305">
            <v>0</v>
          </cell>
          <cell r="Y305">
            <v>-81897</v>
          </cell>
          <cell r="Z305">
            <v>204116</v>
          </cell>
          <cell r="AA305">
            <v>204116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596994</v>
          </cell>
          <cell r="BB305">
            <v>447294</v>
          </cell>
          <cell r="BC305">
            <v>149700</v>
          </cell>
          <cell r="BD305">
            <v>149248</v>
          </cell>
          <cell r="BE305">
            <v>111823</v>
          </cell>
          <cell r="BF305">
            <v>37425</v>
          </cell>
          <cell r="BG305">
            <v>0</v>
          </cell>
          <cell r="BH305">
            <v>0</v>
          </cell>
          <cell r="BI305">
            <v>0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36100094</v>
          </cell>
          <cell r="G306">
            <v>0</v>
          </cell>
          <cell r="H306">
            <v>0</v>
          </cell>
          <cell r="I306">
            <v>36100094</v>
          </cell>
          <cell r="J306">
            <v>36130774</v>
          </cell>
          <cell r="K306">
            <v>0</v>
          </cell>
          <cell r="L306">
            <v>0</v>
          </cell>
          <cell r="M306">
            <v>36130774</v>
          </cell>
          <cell r="N306">
            <v>-30680</v>
          </cell>
          <cell r="O306">
            <v>0</v>
          </cell>
          <cell r="P306">
            <v>0</v>
          </cell>
          <cell r="Q306">
            <v>-30680</v>
          </cell>
          <cell r="R306">
            <v>64015</v>
          </cell>
          <cell r="S306">
            <v>0</v>
          </cell>
          <cell r="T306">
            <v>0</v>
          </cell>
          <cell r="U306">
            <v>64015</v>
          </cell>
          <cell r="V306">
            <v>-94695</v>
          </cell>
          <cell r="W306">
            <v>0</v>
          </cell>
          <cell r="X306">
            <v>0</v>
          </cell>
          <cell r="Y306">
            <v>-94695</v>
          </cell>
          <cell r="Z306">
            <v>181490</v>
          </cell>
          <cell r="AA306">
            <v>181490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396146</v>
          </cell>
          <cell r="BB306">
            <v>329936</v>
          </cell>
          <cell r="BC306">
            <v>66210</v>
          </cell>
          <cell r="BD306">
            <v>99036</v>
          </cell>
          <cell r="BE306">
            <v>82484</v>
          </cell>
          <cell r="BF306">
            <v>16552</v>
          </cell>
          <cell r="BG306">
            <v>0</v>
          </cell>
          <cell r="BH306">
            <v>0</v>
          </cell>
          <cell r="BI306">
            <v>0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28740277</v>
          </cell>
          <cell r="G307">
            <v>0</v>
          </cell>
          <cell r="H307">
            <v>0</v>
          </cell>
          <cell r="I307">
            <v>28740277</v>
          </cell>
          <cell r="J307">
            <v>28758679</v>
          </cell>
          <cell r="K307">
            <v>0</v>
          </cell>
          <cell r="L307">
            <v>0</v>
          </cell>
          <cell r="M307">
            <v>28758679</v>
          </cell>
          <cell r="N307">
            <v>-18402</v>
          </cell>
          <cell r="O307">
            <v>0</v>
          </cell>
          <cell r="P307">
            <v>0</v>
          </cell>
          <cell r="Q307">
            <v>-18402</v>
          </cell>
          <cell r="R307">
            <v>169986</v>
          </cell>
          <cell r="S307">
            <v>0</v>
          </cell>
          <cell r="T307">
            <v>0</v>
          </cell>
          <cell r="U307">
            <v>169986</v>
          </cell>
          <cell r="V307">
            <v>-188388</v>
          </cell>
          <cell r="W307">
            <v>0</v>
          </cell>
          <cell r="X307">
            <v>0</v>
          </cell>
          <cell r="Y307">
            <v>-188388</v>
          </cell>
          <cell r="Z307">
            <v>207210</v>
          </cell>
          <cell r="AA307">
            <v>207210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846178</v>
          </cell>
          <cell r="BB307">
            <v>703256</v>
          </cell>
          <cell r="BC307">
            <v>142922</v>
          </cell>
          <cell r="BD307">
            <v>190390</v>
          </cell>
          <cell r="BE307">
            <v>158233</v>
          </cell>
          <cell r="BF307">
            <v>32157</v>
          </cell>
          <cell r="BG307">
            <v>21154</v>
          </cell>
          <cell r="BH307">
            <v>17581</v>
          </cell>
          <cell r="BI307">
            <v>3573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28078417.100000001</v>
          </cell>
          <cell r="G308">
            <v>0</v>
          </cell>
          <cell r="H308">
            <v>0</v>
          </cell>
          <cell r="I308">
            <v>28078417.100000001</v>
          </cell>
          <cell r="J308">
            <v>28175666.800000001</v>
          </cell>
          <cell r="K308">
            <v>0</v>
          </cell>
          <cell r="L308">
            <v>0</v>
          </cell>
          <cell r="M308">
            <v>28175666.800000001</v>
          </cell>
          <cell r="N308">
            <v>-97249.72</v>
          </cell>
          <cell r="O308">
            <v>0</v>
          </cell>
          <cell r="P308">
            <v>0</v>
          </cell>
          <cell r="Q308">
            <v>-97249.72</v>
          </cell>
          <cell r="R308">
            <v>-285306</v>
          </cell>
          <cell r="S308">
            <v>0</v>
          </cell>
          <cell r="T308">
            <v>0</v>
          </cell>
          <cell r="U308">
            <v>-285306</v>
          </cell>
          <cell r="V308">
            <v>188056</v>
          </cell>
          <cell r="W308">
            <v>0</v>
          </cell>
          <cell r="X308">
            <v>0</v>
          </cell>
          <cell r="Y308">
            <v>188056</v>
          </cell>
          <cell r="Z308">
            <v>113391</v>
          </cell>
          <cell r="AA308">
            <v>113391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366531</v>
          </cell>
          <cell r="BB308">
            <v>314014</v>
          </cell>
          <cell r="BC308">
            <v>52517</v>
          </cell>
          <cell r="BD308">
            <v>91633</v>
          </cell>
          <cell r="BE308">
            <v>78503</v>
          </cell>
          <cell r="BF308">
            <v>13130</v>
          </cell>
          <cell r="BG308">
            <v>0</v>
          </cell>
          <cell r="BH308">
            <v>0</v>
          </cell>
          <cell r="BI308">
            <v>0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57111301</v>
          </cell>
          <cell r="G309">
            <v>0</v>
          </cell>
          <cell r="H309">
            <v>0</v>
          </cell>
          <cell r="I309">
            <v>57111301</v>
          </cell>
          <cell r="J309">
            <v>57353901</v>
          </cell>
          <cell r="K309">
            <v>0</v>
          </cell>
          <cell r="L309">
            <v>0</v>
          </cell>
          <cell r="M309">
            <v>57353901</v>
          </cell>
          <cell r="N309">
            <v>-242600</v>
          </cell>
          <cell r="O309">
            <v>0</v>
          </cell>
          <cell r="P309">
            <v>0</v>
          </cell>
          <cell r="Q309">
            <v>-242600</v>
          </cell>
          <cell r="R309">
            <v>29811</v>
          </cell>
          <cell r="S309">
            <v>0</v>
          </cell>
          <cell r="T309">
            <v>0</v>
          </cell>
          <cell r="U309">
            <v>29811</v>
          </cell>
          <cell r="V309">
            <v>-272411</v>
          </cell>
          <cell r="W309">
            <v>0</v>
          </cell>
          <cell r="X309">
            <v>0</v>
          </cell>
          <cell r="Y309">
            <v>-272411</v>
          </cell>
          <cell r="Z309">
            <v>151424</v>
          </cell>
          <cell r="AA309">
            <v>151424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233794</v>
          </cell>
          <cell r="BB309">
            <v>223130</v>
          </cell>
          <cell r="BC309">
            <v>10664</v>
          </cell>
          <cell r="BD309">
            <v>58448</v>
          </cell>
          <cell r="BE309">
            <v>55782</v>
          </cell>
          <cell r="BF309">
            <v>2666</v>
          </cell>
          <cell r="BG309">
            <v>0</v>
          </cell>
          <cell r="BH309">
            <v>0</v>
          </cell>
          <cell r="BI309">
            <v>0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79364045</v>
          </cell>
          <cell r="G310">
            <v>0</v>
          </cell>
          <cell r="H310">
            <v>0</v>
          </cell>
          <cell r="I310">
            <v>79364045</v>
          </cell>
          <cell r="J310">
            <v>79825012</v>
          </cell>
          <cell r="K310">
            <v>0</v>
          </cell>
          <cell r="L310">
            <v>0</v>
          </cell>
          <cell r="M310">
            <v>79825012</v>
          </cell>
          <cell r="N310">
            <v>-460966</v>
          </cell>
          <cell r="O310">
            <v>0</v>
          </cell>
          <cell r="P310">
            <v>0</v>
          </cell>
          <cell r="Q310">
            <v>-460966</v>
          </cell>
          <cell r="R310">
            <v>122126</v>
          </cell>
          <cell r="S310">
            <v>0</v>
          </cell>
          <cell r="T310">
            <v>0</v>
          </cell>
          <cell r="U310">
            <v>122126</v>
          </cell>
          <cell r="V310">
            <v>-583092</v>
          </cell>
          <cell r="W310">
            <v>0</v>
          </cell>
          <cell r="X310">
            <v>0</v>
          </cell>
          <cell r="Y310">
            <v>-583092</v>
          </cell>
          <cell r="Z310">
            <v>257520</v>
          </cell>
          <cell r="AA310">
            <v>257520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496781</v>
          </cell>
          <cell r="BB310">
            <v>404530</v>
          </cell>
          <cell r="BC310">
            <v>92251</v>
          </cell>
          <cell r="BD310">
            <v>0</v>
          </cell>
          <cell r="BE310">
            <v>0</v>
          </cell>
          <cell r="BF310">
            <v>0</v>
          </cell>
          <cell r="BG310">
            <v>10138</v>
          </cell>
          <cell r="BH310">
            <v>8256</v>
          </cell>
          <cell r="BI310">
            <v>1882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10349156</v>
          </cell>
          <cell r="G311">
            <v>0</v>
          </cell>
          <cell r="H311">
            <v>0</v>
          </cell>
          <cell r="I311">
            <v>10349156</v>
          </cell>
          <cell r="J311">
            <v>10421378</v>
          </cell>
          <cell r="K311">
            <v>0</v>
          </cell>
          <cell r="L311">
            <v>0</v>
          </cell>
          <cell r="M311">
            <v>10421378</v>
          </cell>
          <cell r="N311">
            <v>-72222</v>
          </cell>
          <cell r="O311">
            <v>0</v>
          </cell>
          <cell r="P311">
            <v>0</v>
          </cell>
          <cell r="Q311">
            <v>-72222</v>
          </cell>
          <cell r="R311">
            <v>226687</v>
          </cell>
          <cell r="S311">
            <v>0</v>
          </cell>
          <cell r="T311">
            <v>0</v>
          </cell>
          <cell r="U311">
            <v>226687</v>
          </cell>
          <cell r="V311">
            <v>-298909</v>
          </cell>
          <cell r="W311">
            <v>0</v>
          </cell>
          <cell r="X311">
            <v>0</v>
          </cell>
          <cell r="Y311">
            <v>-298909</v>
          </cell>
          <cell r="Z311">
            <v>84591</v>
          </cell>
          <cell r="AA311">
            <v>84591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259068</v>
          </cell>
          <cell r="BB311">
            <v>209382</v>
          </cell>
          <cell r="BC311">
            <v>49686</v>
          </cell>
          <cell r="BD311">
            <v>58290</v>
          </cell>
          <cell r="BE311">
            <v>47111</v>
          </cell>
          <cell r="BF311">
            <v>11179</v>
          </cell>
          <cell r="BG311">
            <v>6477</v>
          </cell>
          <cell r="BH311">
            <v>5235</v>
          </cell>
          <cell r="BI311">
            <v>1242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29382898.600000001</v>
          </cell>
          <cell r="G312">
            <v>0</v>
          </cell>
          <cell r="H312">
            <v>0</v>
          </cell>
          <cell r="I312">
            <v>29382898.600000001</v>
          </cell>
          <cell r="J312">
            <v>29416451</v>
          </cell>
          <cell r="K312">
            <v>0</v>
          </cell>
          <cell r="L312">
            <v>0</v>
          </cell>
          <cell r="M312">
            <v>29416451</v>
          </cell>
          <cell r="N312">
            <v>-33552.370000000003</v>
          </cell>
          <cell r="O312">
            <v>0</v>
          </cell>
          <cell r="P312">
            <v>0</v>
          </cell>
          <cell r="Q312">
            <v>-33552.370000000003</v>
          </cell>
          <cell r="R312">
            <v>-84177</v>
          </cell>
          <cell r="S312">
            <v>0</v>
          </cell>
          <cell r="T312">
            <v>0</v>
          </cell>
          <cell r="U312">
            <v>-84177</v>
          </cell>
          <cell r="V312">
            <v>50625</v>
          </cell>
          <cell r="W312">
            <v>0</v>
          </cell>
          <cell r="X312">
            <v>0</v>
          </cell>
          <cell r="Y312">
            <v>50625</v>
          </cell>
          <cell r="Z312">
            <v>204819</v>
          </cell>
          <cell r="AA312">
            <v>204819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714905</v>
          </cell>
          <cell r="BB312">
            <v>599942</v>
          </cell>
          <cell r="BC312">
            <v>114963</v>
          </cell>
          <cell r="BD312">
            <v>160854</v>
          </cell>
          <cell r="BE312">
            <v>134987</v>
          </cell>
          <cell r="BF312">
            <v>25867</v>
          </cell>
          <cell r="BG312">
            <v>17873</v>
          </cell>
          <cell r="BH312">
            <v>14999</v>
          </cell>
          <cell r="BI312">
            <v>2874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31384381</v>
          </cell>
          <cell r="G313">
            <v>0</v>
          </cell>
          <cell r="H313">
            <v>0</v>
          </cell>
          <cell r="I313">
            <v>31384381</v>
          </cell>
          <cell r="J313">
            <v>31522196</v>
          </cell>
          <cell r="K313">
            <v>0</v>
          </cell>
          <cell r="L313">
            <v>0</v>
          </cell>
          <cell r="M313">
            <v>31522196</v>
          </cell>
          <cell r="N313">
            <v>-137815</v>
          </cell>
          <cell r="O313">
            <v>0</v>
          </cell>
          <cell r="P313">
            <v>0</v>
          </cell>
          <cell r="Q313">
            <v>-137815</v>
          </cell>
          <cell r="R313">
            <v>-118505</v>
          </cell>
          <cell r="S313">
            <v>0</v>
          </cell>
          <cell r="T313">
            <v>0</v>
          </cell>
          <cell r="U313">
            <v>-118505</v>
          </cell>
          <cell r="V313">
            <v>-19310</v>
          </cell>
          <cell r="W313">
            <v>0</v>
          </cell>
          <cell r="X313">
            <v>0</v>
          </cell>
          <cell r="Y313">
            <v>-19310</v>
          </cell>
          <cell r="Z313">
            <v>134046</v>
          </cell>
          <cell r="AA313">
            <v>134046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373189</v>
          </cell>
          <cell r="BB313">
            <v>322797</v>
          </cell>
          <cell r="BC313">
            <v>50392</v>
          </cell>
          <cell r="BD313">
            <v>83968</v>
          </cell>
          <cell r="BE313">
            <v>72629</v>
          </cell>
          <cell r="BF313">
            <v>11339</v>
          </cell>
          <cell r="BG313">
            <v>9330</v>
          </cell>
          <cell r="BH313">
            <v>8070</v>
          </cell>
          <cell r="BI313">
            <v>1260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14636903</v>
          </cell>
          <cell r="G314">
            <v>0</v>
          </cell>
          <cell r="H314">
            <v>0</v>
          </cell>
          <cell r="I314">
            <v>14636903</v>
          </cell>
          <cell r="J314">
            <v>14662065</v>
          </cell>
          <cell r="K314">
            <v>0</v>
          </cell>
          <cell r="L314">
            <v>0</v>
          </cell>
          <cell r="M314">
            <v>14662065</v>
          </cell>
          <cell r="N314">
            <v>-25162</v>
          </cell>
          <cell r="O314">
            <v>0</v>
          </cell>
          <cell r="P314">
            <v>0</v>
          </cell>
          <cell r="Q314">
            <v>-25162</v>
          </cell>
          <cell r="R314">
            <v>61665</v>
          </cell>
          <cell r="S314">
            <v>0</v>
          </cell>
          <cell r="T314">
            <v>0</v>
          </cell>
          <cell r="U314">
            <v>61665</v>
          </cell>
          <cell r="V314">
            <v>-86827</v>
          </cell>
          <cell r="W314">
            <v>0</v>
          </cell>
          <cell r="X314">
            <v>0</v>
          </cell>
          <cell r="Y314">
            <v>-86827</v>
          </cell>
          <cell r="Z314">
            <v>105838</v>
          </cell>
          <cell r="AA314">
            <v>105838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316494</v>
          </cell>
          <cell r="BB314">
            <v>274794</v>
          </cell>
          <cell r="BC314">
            <v>41700</v>
          </cell>
          <cell r="BD314">
            <v>79124</v>
          </cell>
          <cell r="BE314">
            <v>68698</v>
          </cell>
          <cell r="BF314">
            <v>10426</v>
          </cell>
          <cell r="BG314">
            <v>0</v>
          </cell>
          <cell r="BH314">
            <v>0</v>
          </cell>
          <cell r="BI314">
            <v>0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32959375</v>
          </cell>
          <cell r="G315">
            <v>0</v>
          </cell>
          <cell r="H315">
            <v>0</v>
          </cell>
          <cell r="I315">
            <v>32959375</v>
          </cell>
          <cell r="J315">
            <v>32956934</v>
          </cell>
          <cell r="K315">
            <v>0</v>
          </cell>
          <cell r="L315">
            <v>0</v>
          </cell>
          <cell r="M315">
            <v>32956934</v>
          </cell>
          <cell r="N315">
            <v>2441</v>
          </cell>
          <cell r="O315">
            <v>0</v>
          </cell>
          <cell r="P315">
            <v>0</v>
          </cell>
          <cell r="Q315">
            <v>2441</v>
          </cell>
          <cell r="R315">
            <v>97881</v>
          </cell>
          <cell r="S315">
            <v>0</v>
          </cell>
          <cell r="T315">
            <v>0</v>
          </cell>
          <cell r="U315">
            <v>97881</v>
          </cell>
          <cell r="V315">
            <v>-95440</v>
          </cell>
          <cell r="W315">
            <v>0</v>
          </cell>
          <cell r="X315">
            <v>0</v>
          </cell>
          <cell r="Y315">
            <v>-95440</v>
          </cell>
          <cell r="Z315">
            <v>163678</v>
          </cell>
          <cell r="AA315">
            <v>163678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440397</v>
          </cell>
          <cell r="BB315">
            <v>375626</v>
          </cell>
          <cell r="BC315">
            <v>64771</v>
          </cell>
          <cell r="BD315">
            <v>110099</v>
          </cell>
          <cell r="BE315">
            <v>93906</v>
          </cell>
          <cell r="BF315">
            <v>16193</v>
          </cell>
          <cell r="BG315">
            <v>0</v>
          </cell>
          <cell r="BH315">
            <v>0</v>
          </cell>
          <cell r="BI315">
            <v>0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14496567</v>
          </cell>
          <cell r="G316">
            <v>0</v>
          </cell>
          <cell r="H316">
            <v>0</v>
          </cell>
          <cell r="I316">
            <v>14496567</v>
          </cell>
          <cell r="J316">
            <v>13676736</v>
          </cell>
          <cell r="K316">
            <v>0</v>
          </cell>
          <cell r="L316">
            <v>0</v>
          </cell>
          <cell r="M316">
            <v>13676736</v>
          </cell>
          <cell r="N316">
            <v>819831</v>
          </cell>
          <cell r="O316">
            <v>0</v>
          </cell>
          <cell r="P316">
            <v>0</v>
          </cell>
          <cell r="Q316">
            <v>819831</v>
          </cell>
          <cell r="R316">
            <v>901994</v>
          </cell>
          <cell r="S316">
            <v>0</v>
          </cell>
          <cell r="T316">
            <v>0</v>
          </cell>
          <cell r="U316">
            <v>901994</v>
          </cell>
          <cell r="V316">
            <v>-82163</v>
          </cell>
          <cell r="W316">
            <v>0</v>
          </cell>
          <cell r="X316">
            <v>0</v>
          </cell>
          <cell r="Y316">
            <v>-82163</v>
          </cell>
          <cell r="Z316">
            <v>74427</v>
          </cell>
          <cell r="AA316">
            <v>74427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249204</v>
          </cell>
          <cell r="BB316">
            <v>212526</v>
          </cell>
          <cell r="BC316">
            <v>36678</v>
          </cell>
          <cell r="BD316">
            <v>56071</v>
          </cell>
          <cell r="BE316">
            <v>47818</v>
          </cell>
          <cell r="BF316">
            <v>8253</v>
          </cell>
          <cell r="BG316">
            <v>6230</v>
          </cell>
          <cell r="BH316">
            <v>5313</v>
          </cell>
          <cell r="BI316">
            <v>917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1712807476</v>
          </cell>
          <cell r="G317">
            <v>0</v>
          </cell>
          <cell r="H317">
            <v>0</v>
          </cell>
          <cell r="I317">
            <v>1712807476</v>
          </cell>
          <cell r="J317">
            <v>1735790087</v>
          </cell>
          <cell r="K317">
            <v>0</v>
          </cell>
          <cell r="L317">
            <v>0</v>
          </cell>
          <cell r="M317">
            <v>1735790087</v>
          </cell>
          <cell r="N317">
            <v>-22982611</v>
          </cell>
          <cell r="O317">
            <v>0</v>
          </cell>
          <cell r="P317">
            <v>0</v>
          </cell>
          <cell r="Q317">
            <v>-22982611</v>
          </cell>
          <cell r="R317">
            <v>14484228</v>
          </cell>
          <cell r="S317">
            <v>0</v>
          </cell>
          <cell r="T317">
            <v>0</v>
          </cell>
          <cell r="U317">
            <v>14484228</v>
          </cell>
          <cell r="V317">
            <v>-37466839</v>
          </cell>
          <cell r="W317">
            <v>0</v>
          </cell>
          <cell r="X317">
            <v>0</v>
          </cell>
          <cell r="Y317">
            <v>-37466839</v>
          </cell>
          <cell r="Z317">
            <v>3180114</v>
          </cell>
          <cell r="AA317">
            <v>3180114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278110</v>
          </cell>
          <cell r="BB317">
            <v>252095</v>
          </cell>
          <cell r="BC317">
            <v>26015</v>
          </cell>
          <cell r="BD317">
            <v>185407</v>
          </cell>
          <cell r="BE317">
            <v>168064</v>
          </cell>
          <cell r="BF317">
            <v>17343</v>
          </cell>
          <cell r="BG317">
            <v>0</v>
          </cell>
          <cell r="BH317">
            <v>0</v>
          </cell>
          <cell r="BI317">
            <v>0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15256431.5</v>
          </cell>
          <cell r="G318">
            <v>0</v>
          </cell>
          <cell r="H318">
            <v>0</v>
          </cell>
          <cell r="I318">
            <v>15256431.5</v>
          </cell>
          <cell r="J318">
            <v>15318416</v>
          </cell>
          <cell r="K318">
            <v>0</v>
          </cell>
          <cell r="L318">
            <v>0</v>
          </cell>
          <cell r="M318">
            <v>15318416</v>
          </cell>
          <cell r="N318">
            <v>-61984.44</v>
          </cell>
          <cell r="O318">
            <v>0</v>
          </cell>
          <cell r="P318">
            <v>0</v>
          </cell>
          <cell r="Q318">
            <v>-61984.44</v>
          </cell>
          <cell r="R318">
            <v>-27779</v>
          </cell>
          <cell r="S318">
            <v>0</v>
          </cell>
          <cell r="T318">
            <v>0</v>
          </cell>
          <cell r="U318">
            <v>-27779</v>
          </cell>
          <cell r="V318">
            <v>-34205</v>
          </cell>
          <cell r="W318">
            <v>0</v>
          </cell>
          <cell r="X318">
            <v>0</v>
          </cell>
          <cell r="Y318">
            <v>-34205</v>
          </cell>
          <cell r="Z318">
            <v>107439</v>
          </cell>
          <cell r="AA318">
            <v>107439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300124</v>
          </cell>
          <cell r="BB318">
            <v>258033</v>
          </cell>
          <cell r="BC318">
            <v>42091</v>
          </cell>
          <cell r="BD318">
            <v>67528</v>
          </cell>
          <cell r="BE318">
            <v>58057</v>
          </cell>
          <cell r="BF318">
            <v>9471</v>
          </cell>
          <cell r="BG318">
            <v>7503</v>
          </cell>
          <cell r="BH318">
            <v>6451</v>
          </cell>
          <cell r="BI318">
            <v>1052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80725310</v>
          </cell>
          <cell r="G319">
            <v>0</v>
          </cell>
          <cell r="H319">
            <v>0</v>
          </cell>
          <cell r="I319">
            <v>80725310</v>
          </cell>
          <cell r="J319">
            <v>80605453</v>
          </cell>
          <cell r="K319">
            <v>0</v>
          </cell>
          <cell r="L319">
            <v>0</v>
          </cell>
          <cell r="M319">
            <v>80605453</v>
          </cell>
          <cell r="N319">
            <v>119857</v>
          </cell>
          <cell r="O319">
            <v>0</v>
          </cell>
          <cell r="P319">
            <v>0</v>
          </cell>
          <cell r="Q319">
            <v>119857</v>
          </cell>
          <cell r="R319">
            <v>-545863</v>
          </cell>
          <cell r="S319">
            <v>0</v>
          </cell>
          <cell r="T319">
            <v>0</v>
          </cell>
          <cell r="U319">
            <v>-545863</v>
          </cell>
          <cell r="V319">
            <v>665720</v>
          </cell>
          <cell r="W319">
            <v>0</v>
          </cell>
          <cell r="X319">
            <v>0</v>
          </cell>
          <cell r="Y319">
            <v>665720</v>
          </cell>
          <cell r="Z319">
            <v>387575</v>
          </cell>
          <cell r="AA319">
            <v>387575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1548129</v>
          </cell>
          <cell r="BB319">
            <v>1010344</v>
          </cell>
          <cell r="BC319">
            <v>537785</v>
          </cell>
          <cell r="BD319">
            <v>0</v>
          </cell>
          <cell r="BE319">
            <v>0</v>
          </cell>
          <cell r="BF319">
            <v>0</v>
          </cell>
          <cell r="BG319">
            <v>31594</v>
          </cell>
          <cell r="BH319">
            <v>20619</v>
          </cell>
          <cell r="BI319">
            <v>10975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204947</v>
          </cell>
          <cell r="G320">
            <v>0</v>
          </cell>
          <cell r="H320">
            <v>0</v>
          </cell>
          <cell r="I320">
            <v>204947</v>
          </cell>
          <cell r="J320">
            <v>724792</v>
          </cell>
          <cell r="K320">
            <v>0</v>
          </cell>
          <cell r="L320">
            <v>0</v>
          </cell>
          <cell r="M320">
            <v>724792</v>
          </cell>
          <cell r="N320">
            <v>-519845</v>
          </cell>
          <cell r="O320">
            <v>0</v>
          </cell>
          <cell r="P320">
            <v>0</v>
          </cell>
          <cell r="Q320">
            <v>-519845</v>
          </cell>
          <cell r="R320">
            <v>453346</v>
          </cell>
          <cell r="S320">
            <v>0</v>
          </cell>
          <cell r="T320">
            <v>0</v>
          </cell>
          <cell r="U320">
            <v>453346</v>
          </cell>
          <cell r="V320">
            <v>-973191</v>
          </cell>
          <cell r="W320">
            <v>0</v>
          </cell>
          <cell r="X320">
            <v>0</v>
          </cell>
          <cell r="Y320">
            <v>-973191</v>
          </cell>
          <cell r="Z320">
            <v>617775</v>
          </cell>
          <cell r="AA320">
            <v>617775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87473</v>
          </cell>
          <cell r="AJ320">
            <v>0</v>
          </cell>
          <cell r="AK320">
            <v>87473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2137332</v>
          </cell>
          <cell r="BB320">
            <v>872719</v>
          </cell>
          <cell r="BC320">
            <v>1264613</v>
          </cell>
          <cell r="BD320">
            <v>0</v>
          </cell>
          <cell r="BE320">
            <v>0</v>
          </cell>
          <cell r="BF320">
            <v>0</v>
          </cell>
          <cell r="BG320">
            <v>43619</v>
          </cell>
          <cell r="BH320">
            <v>17811</v>
          </cell>
          <cell r="BI320">
            <v>25808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61522009</v>
          </cell>
          <cell r="G321">
            <v>0</v>
          </cell>
          <cell r="H321">
            <v>0</v>
          </cell>
          <cell r="I321">
            <v>61522009</v>
          </cell>
          <cell r="J321">
            <v>61612883</v>
          </cell>
          <cell r="K321">
            <v>0</v>
          </cell>
          <cell r="L321">
            <v>0</v>
          </cell>
          <cell r="M321">
            <v>61612883</v>
          </cell>
          <cell r="N321">
            <v>-90874</v>
          </cell>
          <cell r="O321">
            <v>0</v>
          </cell>
          <cell r="P321">
            <v>0</v>
          </cell>
          <cell r="Q321">
            <v>-90874</v>
          </cell>
          <cell r="R321">
            <v>167579</v>
          </cell>
          <cell r="S321">
            <v>0</v>
          </cell>
          <cell r="T321">
            <v>0</v>
          </cell>
          <cell r="U321">
            <v>167579</v>
          </cell>
          <cell r="V321">
            <v>-258453</v>
          </cell>
          <cell r="W321">
            <v>0</v>
          </cell>
          <cell r="X321">
            <v>0</v>
          </cell>
          <cell r="Y321">
            <v>-258453</v>
          </cell>
          <cell r="Z321">
            <v>190784</v>
          </cell>
          <cell r="AA321">
            <v>190784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448949</v>
          </cell>
          <cell r="BB321">
            <v>355721</v>
          </cell>
          <cell r="BC321">
            <v>93228</v>
          </cell>
          <cell r="BD321">
            <v>101014</v>
          </cell>
          <cell r="BE321">
            <v>80037</v>
          </cell>
          <cell r="BF321">
            <v>20977</v>
          </cell>
          <cell r="BG321">
            <v>11224</v>
          </cell>
          <cell r="BH321">
            <v>8893</v>
          </cell>
          <cell r="BI321">
            <v>2331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71338632.200000003</v>
          </cell>
          <cell r="G322">
            <v>0</v>
          </cell>
          <cell r="H322">
            <v>0</v>
          </cell>
          <cell r="I322">
            <v>71338632.200000003</v>
          </cell>
          <cell r="J322">
            <v>71786629.799999997</v>
          </cell>
          <cell r="K322">
            <v>0</v>
          </cell>
          <cell r="L322">
            <v>0</v>
          </cell>
          <cell r="M322">
            <v>71786629.799999997</v>
          </cell>
          <cell r="N322">
            <v>-447997.57</v>
          </cell>
          <cell r="O322">
            <v>0</v>
          </cell>
          <cell r="P322">
            <v>0</v>
          </cell>
          <cell r="Q322">
            <v>-447997.57</v>
          </cell>
          <cell r="R322">
            <v>29940</v>
          </cell>
          <cell r="S322">
            <v>0</v>
          </cell>
          <cell r="T322">
            <v>0</v>
          </cell>
          <cell r="U322">
            <v>29940</v>
          </cell>
          <cell r="V322">
            <v>-477938</v>
          </cell>
          <cell r="W322">
            <v>0</v>
          </cell>
          <cell r="X322">
            <v>0</v>
          </cell>
          <cell r="Y322">
            <v>-477938</v>
          </cell>
          <cell r="Z322">
            <v>251201</v>
          </cell>
          <cell r="AA322">
            <v>251201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404634</v>
          </cell>
          <cell r="BB322">
            <v>337863</v>
          </cell>
          <cell r="BC322">
            <v>66771</v>
          </cell>
          <cell r="BD322">
            <v>0</v>
          </cell>
          <cell r="BE322">
            <v>0</v>
          </cell>
          <cell r="BF322">
            <v>0</v>
          </cell>
          <cell r="BG322">
            <v>8258</v>
          </cell>
          <cell r="BH322">
            <v>6895</v>
          </cell>
          <cell r="BI322">
            <v>1363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83490255</v>
          </cell>
          <cell r="G323">
            <v>0</v>
          </cell>
          <cell r="H323">
            <v>0</v>
          </cell>
          <cell r="I323">
            <v>83490255</v>
          </cell>
          <cell r="J323">
            <v>83753253</v>
          </cell>
          <cell r="K323">
            <v>0</v>
          </cell>
          <cell r="L323">
            <v>0</v>
          </cell>
          <cell r="M323">
            <v>83753253</v>
          </cell>
          <cell r="N323">
            <v>-262998</v>
          </cell>
          <cell r="O323">
            <v>0</v>
          </cell>
          <cell r="P323">
            <v>0</v>
          </cell>
          <cell r="Q323">
            <v>-262998</v>
          </cell>
          <cell r="R323">
            <v>97227</v>
          </cell>
          <cell r="S323">
            <v>0</v>
          </cell>
          <cell r="T323">
            <v>0</v>
          </cell>
          <cell r="U323">
            <v>97227</v>
          </cell>
          <cell r="V323">
            <v>-360225</v>
          </cell>
          <cell r="W323">
            <v>0</v>
          </cell>
          <cell r="X323">
            <v>0</v>
          </cell>
          <cell r="Y323">
            <v>-360225</v>
          </cell>
          <cell r="Z323">
            <v>339810</v>
          </cell>
          <cell r="AA323">
            <v>339810</v>
          </cell>
          <cell r="AB323">
            <v>0</v>
          </cell>
          <cell r="AC323">
            <v>0</v>
          </cell>
          <cell r="AD323">
            <v>67368</v>
          </cell>
          <cell r="AE323">
            <v>-67368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1424779</v>
          </cell>
          <cell r="BB323">
            <v>1205673</v>
          </cell>
          <cell r="BC323">
            <v>219106</v>
          </cell>
          <cell r="BD323">
            <v>0</v>
          </cell>
          <cell r="BE323">
            <v>0</v>
          </cell>
          <cell r="BF323">
            <v>0</v>
          </cell>
          <cell r="BG323">
            <v>29077</v>
          </cell>
          <cell r="BH323">
            <v>24606</v>
          </cell>
          <cell r="BI323">
            <v>4471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44360345</v>
          </cell>
          <cell r="G324">
            <v>0</v>
          </cell>
          <cell r="H324">
            <v>0</v>
          </cell>
          <cell r="I324">
            <v>44360345</v>
          </cell>
          <cell r="J324">
            <v>44783483</v>
          </cell>
          <cell r="K324">
            <v>0</v>
          </cell>
          <cell r="L324">
            <v>0</v>
          </cell>
          <cell r="M324">
            <v>44783483</v>
          </cell>
          <cell r="N324">
            <v>-423138</v>
          </cell>
          <cell r="O324">
            <v>0</v>
          </cell>
          <cell r="P324">
            <v>0</v>
          </cell>
          <cell r="Q324">
            <v>-423138</v>
          </cell>
          <cell r="R324">
            <v>-77865</v>
          </cell>
          <cell r="S324">
            <v>0</v>
          </cell>
          <cell r="T324">
            <v>0</v>
          </cell>
          <cell r="U324">
            <v>-77865</v>
          </cell>
          <cell r="V324">
            <v>-345273</v>
          </cell>
          <cell r="W324">
            <v>0</v>
          </cell>
          <cell r="X324">
            <v>0</v>
          </cell>
          <cell r="Y324">
            <v>-345273</v>
          </cell>
          <cell r="Z324">
            <v>135670</v>
          </cell>
          <cell r="AA324">
            <v>135670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193226</v>
          </cell>
          <cell r="BB324">
            <v>166579</v>
          </cell>
          <cell r="BC324">
            <v>26647</v>
          </cell>
          <cell r="BD324">
            <v>48306</v>
          </cell>
          <cell r="BE324">
            <v>41645</v>
          </cell>
          <cell r="BF324">
            <v>6661</v>
          </cell>
          <cell r="BG324">
            <v>0</v>
          </cell>
          <cell r="BH324">
            <v>0</v>
          </cell>
          <cell r="BI324">
            <v>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56865307</v>
          </cell>
          <cell r="G325">
            <v>0</v>
          </cell>
          <cell r="H325">
            <v>0</v>
          </cell>
          <cell r="I325">
            <v>56865307</v>
          </cell>
          <cell r="J325">
            <v>57091223</v>
          </cell>
          <cell r="K325">
            <v>0</v>
          </cell>
          <cell r="L325">
            <v>0</v>
          </cell>
          <cell r="M325">
            <v>57091223</v>
          </cell>
          <cell r="N325">
            <v>-225916</v>
          </cell>
          <cell r="O325">
            <v>0</v>
          </cell>
          <cell r="P325">
            <v>0</v>
          </cell>
          <cell r="Q325">
            <v>-225916</v>
          </cell>
          <cell r="R325">
            <v>-20794</v>
          </cell>
          <cell r="S325">
            <v>0</v>
          </cell>
          <cell r="T325">
            <v>0</v>
          </cell>
          <cell r="U325">
            <v>-20794</v>
          </cell>
          <cell r="V325">
            <v>-205122</v>
          </cell>
          <cell r="W325">
            <v>0</v>
          </cell>
          <cell r="X325">
            <v>0</v>
          </cell>
          <cell r="Y325">
            <v>-205122</v>
          </cell>
          <cell r="Z325">
            <v>181184</v>
          </cell>
          <cell r="AA325">
            <v>181184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389625</v>
          </cell>
          <cell r="BB325">
            <v>180626</v>
          </cell>
          <cell r="BC325">
            <v>208999</v>
          </cell>
          <cell r="BD325">
            <v>0</v>
          </cell>
          <cell r="BE325">
            <v>0</v>
          </cell>
          <cell r="BF325">
            <v>0</v>
          </cell>
          <cell r="BG325">
            <v>7952</v>
          </cell>
          <cell r="BH325">
            <v>3686</v>
          </cell>
          <cell r="BI325">
            <v>4266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74322783</v>
          </cell>
          <cell r="G326">
            <v>0</v>
          </cell>
          <cell r="H326">
            <v>85369</v>
          </cell>
          <cell r="I326">
            <v>74408152</v>
          </cell>
          <cell r="J326">
            <v>74389332</v>
          </cell>
          <cell r="K326">
            <v>0</v>
          </cell>
          <cell r="L326">
            <v>85369</v>
          </cell>
          <cell r="M326">
            <v>74474701</v>
          </cell>
          <cell r="N326">
            <v>-66549</v>
          </cell>
          <cell r="O326">
            <v>0</v>
          </cell>
          <cell r="P326">
            <v>0</v>
          </cell>
          <cell r="Q326">
            <v>-66549</v>
          </cell>
          <cell r="R326">
            <v>429321</v>
          </cell>
          <cell r="S326">
            <v>0</v>
          </cell>
          <cell r="T326">
            <v>0</v>
          </cell>
          <cell r="U326">
            <v>429321</v>
          </cell>
          <cell r="V326">
            <v>-495870</v>
          </cell>
          <cell r="W326">
            <v>0</v>
          </cell>
          <cell r="X326">
            <v>0</v>
          </cell>
          <cell r="Y326">
            <v>-495870</v>
          </cell>
          <cell r="Z326">
            <v>348621</v>
          </cell>
          <cell r="AA326">
            <v>348621</v>
          </cell>
          <cell r="AB326">
            <v>0</v>
          </cell>
          <cell r="AC326">
            <v>140</v>
          </cell>
          <cell r="AD326">
            <v>2356</v>
          </cell>
          <cell r="AE326">
            <v>-2216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55000</v>
          </cell>
          <cell r="AQ326">
            <v>-55000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1182247</v>
          </cell>
          <cell r="BB326">
            <v>970926</v>
          </cell>
          <cell r="BC326">
            <v>211321</v>
          </cell>
          <cell r="BD326">
            <v>0</v>
          </cell>
          <cell r="BE326">
            <v>0</v>
          </cell>
          <cell r="BF326">
            <v>0</v>
          </cell>
          <cell r="BG326">
            <v>24127</v>
          </cell>
          <cell r="BH326">
            <v>19815</v>
          </cell>
          <cell r="BI326">
            <v>4312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39874317</v>
          </cell>
          <cell r="G327">
            <v>0</v>
          </cell>
          <cell r="H327">
            <v>0</v>
          </cell>
          <cell r="I327">
            <v>39874317</v>
          </cell>
          <cell r="J327">
            <v>40126153</v>
          </cell>
          <cell r="K327">
            <v>0</v>
          </cell>
          <cell r="L327">
            <v>0</v>
          </cell>
          <cell r="M327">
            <v>40126153</v>
          </cell>
          <cell r="N327">
            <v>-251836</v>
          </cell>
          <cell r="O327">
            <v>0</v>
          </cell>
          <cell r="P327">
            <v>0</v>
          </cell>
          <cell r="Q327">
            <v>-251836</v>
          </cell>
          <cell r="R327">
            <v>50823</v>
          </cell>
          <cell r="S327">
            <v>0</v>
          </cell>
          <cell r="T327">
            <v>0</v>
          </cell>
          <cell r="U327">
            <v>50823</v>
          </cell>
          <cell r="V327">
            <v>-302659</v>
          </cell>
          <cell r="W327">
            <v>0</v>
          </cell>
          <cell r="X327">
            <v>0</v>
          </cell>
          <cell r="Y327">
            <v>-302659</v>
          </cell>
          <cell r="Z327">
            <v>140483</v>
          </cell>
          <cell r="AA327">
            <v>140483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333653</v>
          </cell>
          <cell r="BB327">
            <v>283598</v>
          </cell>
          <cell r="BC327">
            <v>50055</v>
          </cell>
          <cell r="BD327">
            <v>75072</v>
          </cell>
          <cell r="BE327">
            <v>63810</v>
          </cell>
          <cell r="BF327">
            <v>11262</v>
          </cell>
          <cell r="BG327">
            <v>8341</v>
          </cell>
          <cell r="BH327">
            <v>7090</v>
          </cell>
          <cell r="BI327">
            <v>1251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31849904</v>
          </cell>
          <cell r="G328">
            <v>0</v>
          </cell>
          <cell r="H328">
            <v>0</v>
          </cell>
          <cell r="I328">
            <v>31849904</v>
          </cell>
          <cell r="J328">
            <v>31898676</v>
          </cell>
          <cell r="K328">
            <v>0</v>
          </cell>
          <cell r="L328">
            <v>0</v>
          </cell>
          <cell r="M328">
            <v>31898676</v>
          </cell>
          <cell r="N328">
            <v>-48772</v>
          </cell>
          <cell r="O328">
            <v>0</v>
          </cell>
          <cell r="P328">
            <v>0</v>
          </cell>
          <cell r="Q328">
            <v>-48772</v>
          </cell>
          <cell r="R328">
            <v>-5734</v>
          </cell>
          <cell r="S328">
            <v>0</v>
          </cell>
          <cell r="T328">
            <v>0</v>
          </cell>
          <cell r="U328">
            <v>-5734</v>
          </cell>
          <cell r="V328">
            <v>-43038</v>
          </cell>
          <cell r="W328">
            <v>0</v>
          </cell>
          <cell r="X328">
            <v>0</v>
          </cell>
          <cell r="Y328">
            <v>-43038</v>
          </cell>
          <cell r="Z328">
            <v>133297</v>
          </cell>
          <cell r="AA328">
            <v>133297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389019</v>
          </cell>
          <cell r="BB328">
            <v>346371</v>
          </cell>
          <cell r="BC328">
            <v>42648</v>
          </cell>
          <cell r="BD328">
            <v>97255</v>
          </cell>
          <cell r="BE328">
            <v>86593</v>
          </cell>
          <cell r="BF328">
            <v>10662</v>
          </cell>
          <cell r="BG328">
            <v>0</v>
          </cell>
          <cell r="BH328">
            <v>0</v>
          </cell>
          <cell r="BI328">
            <v>0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38694106</v>
          </cell>
          <cell r="G329">
            <v>0</v>
          </cell>
          <cell r="H329">
            <v>0</v>
          </cell>
          <cell r="I329">
            <v>38694106</v>
          </cell>
          <cell r="J329">
            <v>38814062</v>
          </cell>
          <cell r="K329">
            <v>0</v>
          </cell>
          <cell r="L329">
            <v>0</v>
          </cell>
          <cell r="M329">
            <v>38814062</v>
          </cell>
          <cell r="N329">
            <v>-119956</v>
          </cell>
          <cell r="O329">
            <v>0</v>
          </cell>
          <cell r="P329">
            <v>0</v>
          </cell>
          <cell r="Q329">
            <v>-119956</v>
          </cell>
          <cell r="R329">
            <v>76033</v>
          </cell>
          <cell r="S329">
            <v>0</v>
          </cell>
          <cell r="T329">
            <v>0</v>
          </cell>
          <cell r="U329">
            <v>76033</v>
          </cell>
          <cell r="V329">
            <v>-195989</v>
          </cell>
          <cell r="W329">
            <v>0</v>
          </cell>
          <cell r="X329">
            <v>0</v>
          </cell>
          <cell r="Y329">
            <v>-195989</v>
          </cell>
          <cell r="Z329">
            <v>188368</v>
          </cell>
          <cell r="AA329">
            <v>188368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570585</v>
          </cell>
          <cell r="BB329">
            <v>480463</v>
          </cell>
          <cell r="BC329">
            <v>90122</v>
          </cell>
          <cell r="BD329">
            <v>128382</v>
          </cell>
          <cell r="BE329">
            <v>108104</v>
          </cell>
          <cell r="BF329">
            <v>20278</v>
          </cell>
          <cell r="BG329">
            <v>14265</v>
          </cell>
          <cell r="BH329">
            <v>12012</v>
          </cell>
          <cell r="BI329">
            <v>2253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80230578</v>
          </cell>
          <cell r="G330">
            <v>0</v>
          </cell>
          <cell r="H330">
            <v>0</v>
          </cell>
          <cell r="I330">
            <v>80230578</v>
          </cell>
          <cell r="J330">
            <v>81126316</v>
          </cell>
          <cell r="K330">
            <v>0</v>
          </cell>
          <cell r="L330">
            <v>0</v>
          </cell>
          <cell r="M330">
            <v>81126316</v>
          </cell>
          <cell r="N330">
            <v>-895738</v>
          </cell>
          <cell r="O330">
            <v>0</v>
          </cell>
          <cell r="P330">
            <v>0</v>
          </cell>
          <cell r="Q330">
            <v>-895738</v>
          </cell>
          <cell r="R330">
            <v>43503</v>
          </cell>
          <cell r="S330">
            <v>0</v>
          </cell>
          <cell r="T330">
            <v>0</v>
          </cell>
          <cell r="U330">
            <v>43503</v>
          </cell>
          <cell r="V330">
            <v>-939241</v>
          </cell>
          <cell r="W330">
            <v>0</v>
          </cell>
          <cell r="X330">
            <v>0</v>
          </cell>
          <cell r="Y330">
            <v>-939241</v>
          </cell>
          <cell r="Z330">
            <v>248843</v>
          </cell>
          <cell r="AA330">
            <v>248843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423190</v>
          </cell>
          <cell r="BB330">
            <v>354460</v>
          </cell>
          <cell r="BC330">
            <v>68730</v>
          </cell>
          <cell r="BD330">
            <v>95218</v>
          </cell>
          <cell r="BE330">
            <v>79754</v>
          </cell>
          <cell r="BF330">
            <v>15464</v>
          </cell>
          <cell r="BG330">
            <v>10580</v>
          </cell>
          <cell r="BH330">
            <v>8862</v>
          </cell>
          <cell r="BI330">
            <v>1718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26802113.100000001</v>
          </cell>
          <cell r="G331">
            <v>0</v>
          </cell>
          <cell r="H331">
            <v>0</v>
          </cell>
          <cell r="I331">
            <v>26802113.100000001</v>
          </cell>
          <cell r="J331">
            <v>26599704.300000001</v>
          </cell>
          <cell r="K331">
            <v>0</v>
          </cell>
          <cell r="L331">
            <v>0</v>
          </cell>
          <cell r="M331">
            <v>26599704.300000001</v>
          </cell>
          <cell r="N331">
            <v>202408.81</v>
          </cell>
          <cell r="O331">
            <v>0</v>
          </cell>
          <cell r="P331">
            <v>0</v>
          </cell>
          <cell r="Q331">
            <v>202408.81</v>
          </cell>
          <cell r="R331">
            <v>245465</v>
          </cell>
          <cell r="S331">
            <v>0</v>
          </cell>
          <cell r="T331">
            <v>0</v>
          </cell>
          <cell r="U331">
            <v>245465</v>
          </cell>
          <cell r="V331">
            <v>-43056</v>
          </cell>
          <cell r="W331">
            <v>0</v>
          </cell>
          <cell r="X331">
            <v>0</v>
          </cell>
          <cell r="Y331">
            <v>-43056</v>
          </cell>
          <cell r="Z331">
            <v>154556</v>
          </cell>
          <cell r="AA331">
            <v>154556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537481</v>
          </cell>
          <cell r="BB331">
            <v>471026</v>
          </cell>
          <cell r="BC331">
            <v>66455</v>
          </cell>
          <cell r="BD331">
            <v>120933</v>
          </cell>
          <cell r="BE331">
            <v>105981</v>
          </cell>
          <cell r="BF331">
            <v>14952</v>
          </cell>
          <cell r="BG331">
            <v>13437</v>
          </cell>
          <cell r="BH331">
            <v>11776</v>
          </cell>
          <cell r="BI331">
            <v>1661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34034417.600000001</v>
          </cell>
          <cell r="G332">
            <v>0</v>
          </cell>
          <cell r="H332">
            <v>0</v>
          </cell>
          <cell r="I332">
            <v>34034417.600000001</v>
          </cell>
          <cell r="J332">
            <v>34201245.600000001</v>
          </cell>
          <cell r="K332">
            <v>0</v>
          </cell>
          <cell r="L332">
            <v>0</v>
          </cell>
          <cell r="M332">
            <v>34201245.600000001</v>
          </cell>
          <cell r="N332">
            <v>-166828</v>
          </cell>
          <cell r="O332">
            <v>0</v>
          </cell>
          <cell r="P332">
            <v>0</v>
          </cell>
          <cell r="Q332">
            <v>-166828</v>
          </cell>
          <cell r="R332">
            <v>-12735</v>
          </cell>
          <cell r="S332">
            <v>0</v>
          </cell>
          <cell r="T332">
            <v>0</v>
          </cell>
          <cell r="U332">
            <v>-12735</v>
          </cell>
          <cell r="V332">
            <v>-154093</v>
          </cell>
          <cell r="W332">
            <v>0</v>
          </cell>
          <cell r="X332">
            <v>0</v>
          </cell>
          <cell r="Y332">
            <v>-154093</v>
          </cell>
          <cell r="Z332">
            <v>137574</v>
          </cell>
          <cell r="AA332">
            <v>137574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400226</v>
          </cell>
          <cell r="BB332">
            <v>343198</v>
          </cell>
          <cell r="BC332">
            <v>57028</v>
          </cell>
          <cell r="BD332">
            <v>90051</v>
          </cell>
          <cell r="BE332">
            <v>77219</v>
          </cell>
          <cell r="BF332">
            <v>12832</v>
          </cell>
          <cell r="BG332">
            <v>10006</v>
          </cell>
          <cell r="BH332">
            <v>8580</v>
          </cell>
          <cell r="BI332">
            <v>1426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95447166.700000003</v>
          </cell>
          <cell r="G333">
            <v>0</v>
          </cell>
          <cell r="H333">
            <v>0</v>
          </cell>
          <cell r="I333">
            <v>95447166.700000003</v>
          </cell>
          <cell r="J333">
            <v>95878784.700000003</v>
          </cell>
          <cell r="K333">
            <v>0</v>
          </cell>
          <cell r="L333">
            <v>0</v>
          </cell>
          <cell r="M333">
            <v>95878784.700000003</v>
          </cell>
          <cell r="N333">
            <v>-431618.03</v>
          </cell>
          <cell r="O333">
            <v>0</v>
          </cell>
          <cell r="P333">
            <v>0</v>
          </cell>
          <cell r="Q333">
            <v>-431618.03</v>
          </cell>
          <cell r="R333">
            <v>185399</v>
          </cell>
          <cell r="S333">
            <v>0</v>
          </cell>
          <cell r="T333">
            <v>0</v>
          </cell>
          <cell r="U333">
            <v>185399</v>
          </cell>
          <cell r="V333">
            <v>-617017</v>
          </cell>
          <cell r="W333">
            <v>0</v>
          </cell>
          <cell r="X333">
            <v>0</v>
          </cell>
          <cell r="Y333">
            <v>-617017</v>
          </cell>
          <cell r="Z333">
            <v>295938</v>
          </cell>
          <cell r="AA333">
            <v>295938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732385</v>
          </cell>
          <cell r="BB333">
            <v>614661</v>
          </cell>
          <cell r="BC333">
            <v>117724</v>
          </cell>
          <cell r="BD333">
            <v>0</v>
          </cell>
          <cell r="BE333">
            <v>0</v>
          </cell>
          <cell r="BF333">
            <v>0</v>
          </cell>
          <cell r="BG333">
            <v>14947</v>
          </cell>
          <cell r="BH333">
            <v>12544</v>
          </cell>
          <cell r="BI333">
            <v>2403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21885792806.269993</v>
          </cell>
          <cell r="G334">
            <v>7343012</v>
          </cell>
          <cell r="H334">
            <v>73234035.620000005</v>
          </cell>
          <cell r="I334">
            <v>21966369853.969994</v>
          </cell>
          <cell r="J334">
            <v>21916906180.620003</v>
          </cell>
          <cell r="K334">
            <v>7337586</v>
          </cell>
          <cell r="L334">
            <v>73153400.010000005</v>
          </cell>
          <cell r="M334">
            <v>21997397166.620003</v>
          </cell>
          <cell r="N334">
            <v>-33620878.18</v>
          </cell>
          <cell r="O334">
            <v>5426</v>
          </cell>
          <cell r="P334">
            <v>80635.610000000015</v>
          </cell>
          <cell r="Q334">
            <v>-33534816.550000001</v>
          </cell>
          <cell r="R334">
            <v>116964773.45</v>
          </cell>
          <cell r="S334">
            <v>0</v>
          </cell>
          <cell r="T334">
            <v>-770.25</v>
          </cell>
          <cell r="U334">
            <v>116964002</v>
          </cell>
          <cell r="V334">
            <v>-150640022</v>
          </cell>
          <cell r="W334">
            <v>5426</v>
          </cell>
          <cell r="X334">
            <v>81406</v>
          </cell>
          <cell r="Y334">
            <v>-150553189.82999998</v>
          </cell>
          <cell r="Z334">
            <v>84126680</v>
          </cell>
          <cell r="AA334">
            <v>84001481</v>
          </cell>
          <cell r="AB334">
            <v>125199</v>
          </cell>
          <cell r="AC334">
            <v>2727861</v>
          </cell>
          <cell r="AD334">
            <v>4462117</v>
          </cell>
          <cell r="AE334">
            <v>-1734256</v>
          </cell>
          <cell r="AF334">
            <v>1132971</v>
          </cell>
          <cell r="AG334">
            <v>152225</v>
          </cell>
          <cell r="AH334">
            <v>980746</v>
          </cell>
          <cell r="AI334">
            <v>3595456</v>
          </cell>
          <cell r="AJ334">
            <v>1879911</v>
          </cell>
          <cell r="AK334">
            <v>1715545</v>
          </cell>
          <cell r="AL334">
            <v>0</v>
          </cell>
          <cell r="AM334">
            <v>46086</v>
          </cell>
          <cell r="AN334">
            <v>-46086</v>
          </cell>
          <cell r="AO334">
            <v>6849309</v>
          </cell>
          <cell r="AP334">
            <v>6430918</v>
          </cell>
          <cell r="AQ334">
            <v>418391</v>
          </cell>
          <cell r="AR334">
            <v>6660932</v>
          </cell>
          <cell r="AS334">
            <v>4904032</v>
          </cell>
          <cell r="AT334">
            <v>1756900</v>
          </cell>
          <cell r="AU334">
            <v>156733</v>
          </cell>
          <cell r="AV334">
            <v>6759</v>
          </cell>
          <cell r="AW334">
            <v>149974</v>
          </cell>
          <cell r="AX334">
            <v>19923</v>
          </cell>
          <cell r="AY334">
            <v>2388</v>
          </cell>
          <cell r="AZ334">
            <v>17535</v>
          </cell>
          <cell r="BA334">
            <v>213415643</v>
          </cell>
          <cell r="BB334">
            <v>176601680</v>
          </cell>
          <cell r="BC334">
            <v>36813963</v>
          </cell>
          <cell r="BD334">
            <v>31273802</v>
          </cell>
          <cell r="BE334">
            <v>25544494</v>
          </cell>
          <cell r="BF334">
            <v>5729308</v>
          </cell>
          <cell r="BG334">
            <v>3425098</v>
          </cell>
          <cell r="BH334">
            <v>2853836</v>
          </cell>
          <cell r="BI334">
            <v>571262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4402639121</v>
          </cell>
          <cell r="G335">
            <v>0</v>
          </cell>
          <cell r="H335">
            <v>0</v>
          </cell>
          <cell r="I335">
            <v>4402639121</v>
          </cell>
          <cell r="J335">
            <v>4428505628</v>
          </cell>
          <cell r="K335">
            <v>0</v>
          </cell>
          <cell r="L335">
            <v>0</v>
          </cell>
          <cell r="M335">
            <v>4428505628</v>
          </cell>
          <cell r="N335">
            <v>-27084291</v>
          </cell>
          <cell r="O335">
            <v>0</v>
          </cell>
          <cell r="P335">
            <v>0</v>
          </cell>
          <cell r="Q335">
            <v>-27084291</v>
          </cell>
          <cell r="R335">
            <v>20653933</v>
          </cell>
          <cell r="S335">
            <v>0</v>
          </cell>
          <cell r="T335">
            <v>0</v>
          </cell>
          <cell r="U335">
            <v>20653933</v>
          </cell>
          <cell r="V335">
            <v>-47738224</v>
          </cell>
          <cell r="W335">
            <v>0</v>
          </cell>
          <cell r="X335">
            <v>0</v>
          </cell>
          <cell r="Y335">
            <v>-47738224</v>
          </cell>
          <cell r="Z335">
            <v>11553579</v>
          </cell>
          <cell r="AA335">
            <v>11549955</v>
          </cell>
          <cell r="AB335">
            <v>3624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60284</v>
          </cell>
          <cell r="AJ335">
            <v>0</v>
          </cell>
          <cell r="AK335">
            <v>60284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6487826</v>
          </cell>
          <cell r="BB335">
            <v>5493116</v>
          </cell>
          <cell r="BC335">
            <v>994710</v>
          </cell>
          <cell r="BD335">
            <v>4325218</v>
          </cell>
          <cell r="BE335">
            <v>3662079</v>
          </cell>
          <cell r="BF335">
            <v>663139</v>
          </cell>
          <cell r="BG335">
            <v>0</v>
          </cell>
          <cell r="BH335">
            <v>0</v>
          </cell>
          <cell r="BI335">
            <v>0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1863409438.47</v>
          </cell>
          <cell r="G336">
            <v>0</v>
          </cell>
          <cell r="H336">
            <v>404449</v>
          </cell>
          <cell r="I336">
            <v>1863813887.47</v>
          </cell>
          <cell r="J336">
            <v>1866743423.4000001</v>
          </cell>
          <cell r="K336">
            <v>0</v>
          </cell>
          <cell r="L336">
            <v>404055</v>
          </cell>
          <cell r="M336">
            <v>1867147478.4000001</v>
          </cell>
          <cell r="N336">
            <v>-3333983.49</v>
          </cell>
          <cell r="O336">
            <v>0</v>
          </cell>
          <cell r="P336">
            <v>394</v>
          </cell>
          <cell r="Q336">
            <v>-3333589.49</v>
          </cell>
          <cell r="R336">
            <v>2677415</v>
          </cell>
          <cell r="S336">
            <v>0</v>
          </cell>
          <cell r="T336">
            <v>0</v>
          </cell>
          <cell r="U336">
            <v>2677415</v>
          </cell>
          <cell r="V336">
            <v>-6011397</v>
          </cell>
          <cell r="W336">
            <v>0</v>
          </cell>
          <cell r="X336">
            <v>394</v>
          </cell>
          <cell r="Y336">
            <v>-6011003</v>
          </cell>
          <cell r="Z336">
            <v>6844759</v>
          </cell>
          <cell r="AA336">
            <v>6781022</v>
          </cell>
          <cell r="AB336">
            <v>63737</v>
          </cell>
          <cell r="AC336">
            <v>173688</v>
          </cell>
          <cell r="AD336">
            <v>0</v>
          </cell>
          <cell r="AE336">
            <v>173688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101389</v>
          </cell>
          <cell r="AP336">
            <v>151485</v>
          </cell>
          <cell r="AQ336">
            <v>-50096</v>
          </cell>
          <cell r="AR336">
            <v>101389</v>
          </cell>
          <cell r="AS336">
            <v>151485</v>
          </cell>
          <cell r="AT336">
            <v>-50096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11085299</v>
          </cell>
          <cell r="BB336">
            <v>8410761</v>
          </cell>
          <cell r="BC336">
            <v>2674538</v>
          </cell>
          <cell r="BD336">
            <v>7388694</v>
          </cell>
          <cell r="BE336">
            <v>5607174</v>
          </cell>
          <cell r="BF336">
            <v>1781520</v>
          </cell>
          <cell r="BG336">
            <v>0</v>
          </cell>
          <cell r="BH336">
            <v>0</v>
          </cell>
          <cell r="BI336">
            <v>0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4047013685</v>
          </cell>
          <cell r="G337">
            <v>2139909</v>
          </cell>
          <cell r="H337">
            <v>41646705</v>
          </cell>
          <cell r="I337">
            <v>4090800299</v>
          </cell>
          <cell r="J337">
            <v>4065753228.9000001</v>
          </cell>
          <cell r="K337">
            <v>2099855</v>
          </cell>
          <cell r="L337">
            <v>41637659</v>
          </cell>
          <cell r="M337">
            <v>4109490742.9000001</v>
          </cell>
          <cell r="N337">
            <v>-19480789.350000001</v>
          </cell>
          <cell r="O337">
            <v>40054</v>
          </cell>
          <cell r="P337">
            <v>9046</v>
          </cell>
          <cell r="Q337">
            <v>-19431689.350000001</v>
          </cell>
          <cell r="R337">
            <v>4476077</v>
          </cell>
          <cell r="S337">
            <v>0</v>
          </cell>
          <cell r="T337">
            <v>0</v>
          </cell>
          <cell r="U337">
            <v>4476077</v>
          </cell>
          <cell r="V337">
            <v>-23956867</v>
          </cell>
          <cell r="W337">
            <v>40054</v>
          </cell>
          <cell r="X337">
            <v>9046</v>
          </cell>
          <cell r="Y337">
            <v>-23907767</v>
          </cell>
          <cell r="Z337">
            <v>16816671</v>
          </cell>
          <cell r="AA337">
            <v>16816671</v>
          </cell>
          <cell r="AB337">
            <v>0</v>
          </cell>
          <cell r="AC337">
            <v>1353287</v>
          </cell>
          <cell r="AD337">
            <v>3075058</v>
          </cell>
          <cell r="AE337">
            <v>-1721771</v>
          </cell>
          <cell r="AF337">
            <v>1132971</v>
          </cell>
          <cell r="AG337">
            <v>9487</v>
          </cell>
          <cell r="AH337">
            <v>1123484</v>
          </cell>
          <cell r="AI337">
            <v>188916</v>
          </cell>
          <cell r="AJ337">
            <v>187552</v>
          </cell>
          <cell r="AK337">
            <v>1364</v>
          </cell>
          <cell r="AL337">
            <v>0</v>
          </cell>
          <cell r="AM337">
            <v>0</v>
          </cell>
          <cell r="AN337">
            <v>0</v>
          </cell>
          <cell r="AO337">
            <v>1394930</v>
          </cell>
          <cell r="AP337">
            <v>1213542</v>
          </cell>
          <cell r="AQ337">
            <v>181388</v>
          </cell>
          <cell r="AR337">
            <v>1394930</v>
          </cell>
          <cell r="AS337">
            <v>744843</v>
          </cell>
          <cell r="AT337">
            <v>650087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55523264</v>
          </cell>
          <cell r="BB337">
            <v>46351399</v>
          </cell>
          <cell r="BC337">
            <v>9171865</v>
          </cell>
          <cell r="BD337">
            <v>0</v>
          </cell>
          <cell r="BE337">
            <v>0</v>
          </cell>
          <cell r="BF337">
            <v>0</v>
          </cell>
          <cell r="BG337">
            <v>1125863</v>
          </cell>
          <cell r="BH337">
            <v>945947</v>
          </cell>
          <cell r="BI337">
            <v>179916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4608141633.1000004</v>
          </cell>
          <cell r="G338">
            <v>5203103</v>
          </cell>
          <cell r="H338">
            <v>17167065.950000003</v>
          </cell>
          <cell r="I338">
            <v>4630511802.1000004</v>
          </cell>
          <cell r="J338">
            <v>4612724007.1999998</v>
          </cell>
          <cell r="K338">
            <v>5237731</v>
          </cell>
          <cell r="L338">
            <v>17101833.050000001</v>
          </cell>
          <cell r="M338">
            <v>4635063571.2000008</v>
          </cell>
          <cell r="N338">
            <v>-4582372.91</v>
          </cell>
          <cell r="O338">
            <v>-34628</v>
          </cell>
          <cell r="P338">
            <v>65232.899999999994</v>
          </cell>
          <cell r="Q338">
            <v>-4551768.01</v>
          </cell>
          <cell r="R338">
            <v>29390743</v>
          </cell>
          <cell r="S338">
            <v>0</v>
          </cell>
          <cell r="T338">
            <v>-9971</v>
          </cell>
          <cell r="U338">
            <v>29380772</v>
          </cell>
          <cell r="V338">
            <v>-33973114</v>
          </cell>
          <cell r="W338">
            <v>-34628</v>
          </cell>
          <cell r="X338">
            <v>75204</v>
          </cell>
          <cell r="Y338">
            <v>-33932538</v>
          </cell>
          <cell r="Z338">
            <v>17774280</v>
          </cell>
          <cell r="AA338">
            <v>17758640</v>
          </cell>
          <cell r="AB338">
            <v>15640</v>
          </cell>
          <cell r="AC338">
            <v>11720</v>
          </cell>
          <cell r="AD338">
            <v>207438</v>
          </cell>
          <cell r="AE338">
            <v>-195718</v>
          </cell>
          <cell r="AF338">
            <v>0</v>
          </cell>
          <cell r="AG338">
            <v>142738</v>
          </cell>
          <cell r="AH338">
            <v>-142738</v>
          </cell>
          <cell r="AI338">
            <v>1652154</v>
          </cell>
          <cell r="AJ338">
            <v>1146876</v>
          </cell>
          <cell r="AK338">
            <v>505278</v>
          </cell>
          <cell r="AL338">
            <v>0</v>
          </cell>
          <cell r="AM338">
            <v>0</v>
          </cell>
          <cell r="AN338">
            <v>0</v>
          </cell>
          <cell r="AO338">
            <v>995637</v>
          </cell>
          <cell r="AP338">
            <v>1532205</v>
          </cell>
          <cell r="AQ338">
            <v>-536568</v>
          </cell>
          <cell r="AR338">
            <v>981408</v>
          </cell>
          <cell r="AS338">
            <v>1285215</v>
          </cell>
          <cell r="AT338">
            <v>-303807</v>
          </cell>
          <cell r="AU338">
            <v>0</v>
          </cell>
          <cell r="AV338">
            <v>0</v>
          </cell>
          <cell r="AW338">
            <v>0</v>
          </cell>
          <cell r="AX338">
            <v>2508</v>
          </cell>
          <cell r="AY338">
            <v>1637</v>
          </cell>
          <cell r="AZ338">
            <v>871</v>
          </cell>
          <cell r="BA338">
            <v>56765715</v>
          </cell>
          <cell r="BB338">
            <v>46893550</v>
          </cell>
          <cell r="BC338">
            <v>9872165</v>
          </cell>
          <cell r="BD338">
            <v>0</v>
          </cell>
          <cell r="BE338">
            <v>0</v>
          </cell>
          <cell r="BF338">
            <v>0</v>
          </cell>
          <cell r="BG338">
            <v>990869</v>
          </cell>
          <cell r="BH338">
            <v>819910</v>
          </cell>
          <cell r="BI338">
            <v>170959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6964588928.7000027</v>
          </cell>
          <cell r="G339">
            <v>0</v>
          </cell>
          <cell r="H339">
            <v>14015815.67</v>
          </cell>
          <cell r="I339">
            <v>6978604744.4000025</v>
          </cell>
          <cell r="J339">
            <v>6943179893.1200008</v>
          </cell>
          <cell r="K339">
            <v>0</v>
          </cell>
          <cell r="L339">
            <v>14009852.960000001</v>
          </cell>
          <cell r="M339">
            <v>6957189746.1200008</v>
          </cell>
          <cell r="N339">
            <v>20860558.569999997</v>
          </cell>
          <cell r="O339">
            <v>0</v>
          </cell>
          <cell r="P339">
            <v>5962.7099999999919</v>
          </cell>
          <cell r="Q339">
            <v>20866521.300000001</v>
          </cell>
          <cell r="R339">
            <v>59766605.450000003</v>
          </cell>
          <cell r="S339">
            <v>0</v>
          </cell>
          <cell r="T339">
            <v>9200.75</v>
          </cell>
          <cell r="U339">
            <v>59775805</v>
          </cell>
          <cell r="V339">
            <v>-38960420</v>
          </cell>
          <cell r="W339">
            <v>0</v>
          </cell>
          <cell r="X339">
            <v>-3238</v>
          </cell>
          <cell r="Y339">
            <v>-38963657.829999998</v>
          </cell>
          <cell r="Z339">
            <v>31137391</v>
          </cell>
          <cell r="AA339">
            <v>31095193</v>
          </cell>
          <cell r="AB339">
            <v>42198</v>
          </cell>
          <cell r="AC339">
            <v>1189166</v>
          </cell>
          <cell r="AD339">
            <v>1179621</v>
          </cell>
          <cell r="AE339">
            <v>9545</v>
          </cell>
          <cell r="AF339">
            <v>0</v>
          </cell>
          <cell r="AG339">
            <v>0</v>
          </cell>
          <cell r="AH339">
            <v>0</v>
          </cell>
          <cell r="AI339">
            <v>1694102</v>
          </cell>
          <cell r="AJ339">
            <v>545483</v>
          </cell>
          <cell r="AK339">
            <v>1148619</v>
          </cell>
          <cell r="AL339">
            <v>0</v>
          </cell>
          <cell r="AM339">
            <v>46086</v>
          </cell>
          <cell r="AN339">
            <v>-46086</v>
          </cell>
          <cell r="AO339">
            <v>4357353</v>
          </cell>
          <cell r="AP339">
            <v>3533686</v>
          </cell>
          <cell r="AQ339">
            <v>823667</v>
          </cell>
          <cell r="AR339">
            <v>4183205</v>
          </cell>
          <cell r="AS339">
            <v>2722489</v>
          </cell>
          <cell r="AT339">
            <v>1460716</v>
          </cell>
          <cell r="AU339">
            <v>156733</v>
          </cell>
          <cell r="AV339">
            <v>6759</v>
          </cell>
          <cell r="AW339">
            <v>149974</v>
          </cell>
          <cell r="AX339">
            <v>17415</v>
          </cell>
          <cell r="AY339">
            <v>751</v>
          </cell>
          <cell r="AZ339">
            <v>16664</v>
          </cell>
          <cell r="BA339">
            <v>83553539</v>
          </cell>
          <cell r="BB339">
            <v>69452854</v>
          </cell>
          <cell r="BC339">
            <v>14100685</v>
          </cell>
          <cell r="BD339">
            <v>19559890</v>
          </cell>
          <cell r="BE339">
            <v>16275241</v>
          </cell>
          <cell r="BF339">
            <v>3284649</v>
          </cell>
          <cell r="BG339">
            <v>1308366</v>
          </cell>
          <cell r="BH339">
            <v>1087979</v>
          </cell>
          <cell r="BI339">
            <v>220387</v>
          </cell>
        </row>
      </sheetData>
      <sheetData sheetId="10">
        <row r="8">
          <cell r="A8">
            <v>1</v>
          </cell>
          <cell r="B8" t="str">
            <v>E3831</v>
          </cell>
          <cell r="C8" t="str">
            <v>SD</v>
          </cell>
          <cell r="D8" t="str">
            <v>SE</v>
          </cell>
          <cell r="E8" t="str">
            <v>Adur</v>
          </cell>
          <cell r="F8">
            <v>7907073</v>
          </cell>
          <cell r="G8">
            <v>6325659</v>
          </cell>
          <cell r="H8">
            <v>1581415</v>
          </cell>
          <cell r="I8">
            <v>0</v>
          </cell>
          <cell r="J8">
            <v>15814147</v>
          </cell>
          <cell r="K8">
            <v>0</v>
          </cell>
          <cell r="L8">
            <v>0</v>
          </cell>
          <cell r="M8">
            <v>7907073</v>
          </cell>
          <cell r="N8">
            <v>15814147</v>
          </cell>
          <cell r="O8">
            <v>84623</v>
          </cell>
          <cell r="P8">
            <v>84623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419802</v>
          </cell>
          <cell r="AC8">
            <v>335842</v>
          </cell>
          <cell r="AD8">
            <v>83961</v>
          </cell>
          <cell r="AE8">
            <v>0</v>
          </cell>
          <cell r="AF8">
            <v>839605</v>
          </cell>
          <cell r="AG8">
            <v>126878</v>
          </cell>
          <cell r="AH8">
            <v>101502</v>
          </cell>
          <cell r="AI8">
            <v>25376</v>
          </cell>
          <cell r="AJ8">
            <v>0</v>
          </cell>
          <cell r="AK8">
            <v>253756</v>
          </cell>
          <cell r="AL8">
            <v>168214</v>
          </cell>
          <cell r="AM8">
            <v>134572</v>
          </cell>
          <cell r="AN8">
            <v>33643</v>
          </cell>
          <cell r="AO8">
            <v>0</v>
          </cell>
          <cell r="AP8">
            <v>336429</v>
          </cell>
          <cell r="AQ8">
            <v>34051</v>
          </cell>
          <cell r="AR8">
            <v>27240</v>
          </cell>
          <cell r="AS8">
            <v>6810</v>
          </cell>
          <cell r="AT8">
            <v>0</v>
          </cell>
          <cell r="AU8">
            <v>68101</v>
          </cell>
          <cell r="AV8">
            <v>202265</v>
          </cell>
          <cell r="AW8">
            <v>161812</v>
          </cell>
          <cell r="AX8">
            <v>40453</v>
          </cell>
          <cell r="AY8">
            <v>0</v>
          </cell>
          <cell r="AZ8">
            <v>404530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42984</v>
          </cell>
          <cell r="BG8">
            <v>34388</v>
          </cell>
          <cell r="BH8">
            <v>8597</v>
          </cell>
          <cell r="BI8">
            <v>0</v>
          </cell>
          <cell r="BJ8">
            <v>85969</v>
          </cell>
          <cell r="BK8">
            <v>42984</v>
          </cell>
          <cell r="BL8">
            <v>34388</v>
          </cell>
          <cell r="BM8">
            <v>8597</v>
          </cell>
          <cell r="BN8">
            <v>0</v>
          </cell>
          <cell r="BO8">
            <v>85969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545532</v>
          </cell>
          <cell r="BV8">
            <v>436425</v>
          </cell>
          <cell r="BW8">
            <v>109106</v>
          </cell>
          <cell r="BX8">
            <v>0</v>
          </cell>
          <cell r="BY8">
            <v>1091063</v>
          </cell>
          <cell r="BZ8">
            <v>545532</v>
          </cell>
          <cell r="CA8">
            <v>436425</v>
          </cell>
          <cell r="CB8">
            <v>109106</v>
          </cell>
          <cell r="CC8">
            <v>0</v>
          </cell>
          <cell r="CD8">
            <v>1091063</v>
          </cell>
        </row>
        <row r="9">
          <cell r="A9">
            <v>2</v>
          </cell>
          <cell r="B9" t="str">
            <v>E0931</v>
          </cell>
          <cell r="C9" t="str">
            <v>SD</v>
          </cell>
          <cell r="D9" t="str">
            <v>NW</v>
          </cell>
          <cell r="E9" t="str">
            <v>Allerdale</v>
          </cell>
          <cell r="F9">
            <v>12028872</v>
          </cell>
          <cell r="G9">
            <v>9623098</v>
          </cell>
          <cell r="H9">
            <v>2405774</v>
          </cell>
          <cell r="I9">
            <v>0</v>
          </cell>
          <cell r="J9">
            <v>24057744</v>
          </cell>
          <cell r="K9">
            <v>0</v>
          </cell>
          <cell r="L9">
            <v>0</v>
          </cell>
          <cell r="M9">
            <v>12028872</v>
          </cell>
          <cell r="N9">
            <v>24057744</v>
          </cell>
          <cell r="O9">
            <v>182676</v>
          </cell>
          <cell r="P9">
            <v>182676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151152</v>
          </cell>
          <cell r="V9">
            <v>0</v>
          </cell>
          <cell r="W9">
            <v>151152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453526</v>
          </cell>
          <cell r="AC9">
            <v>362821</v>
          </cell>
          <cell r="AD9">
            <v>90705</v>
          </cell>
          <cell r="AE9">
            <v>0</v>
          </cell>
          <cell r="AF9">
            <v>907052</v>
          </cell>
          <cell r="AG9">
            <v>77083</v>
          </cell>
          <cell r="AH9">
            <v>61667</v>
          </cell>
          <cell r="AI9">
            <v>15417</v>
          </cell>
          <cell r="AJ9">
            <v>0</v>
          </cell>
          <cell r="AK9">
            <v>154167</v>
          </cell>
          <cell r="AL9">
            <v>279417</v>
          </cell>
          <cell r="AM9">
            <v>223534</v>
          </cell>
          <cell r="AN9">
            <v>55883</v>
          </cell>
          <cell r="AO9">
            <v>0</v>
          </cell>
          <cell r="AP9">
            <v>558834</v>
          </cell>
          <cell r="AQ9">
            <v>-83664</v>
          </cell>
          <cell r="AR9">
            <v>-66932</v>
          </cell>
          <cell r="AS9">
            <v>-16733</v>
          </cell>
          <cell r="AT9">
            <v>0</v>
          </cell>
          <cell r="AU9">
            <v>-167329</v>
          </cell>
          <cell r="AV9">
            <v>195753</v>
          </cell>
          <cell r="AW9">
            <v>156602</v>
          </cell>
          <cell r="AX9">
            <v>39150</v>
          </cell>
          <cell r="AY9">
            <v>0</v>
          </cell>
          <cell r="AZ9">
            <v>391505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357646</v>
          </cell>
          <cell r="BG9">
            <v>286116</v>
          </cell>
          <cell r="BH9">
            <v>71529</v>
          </cell>
          <cell r="BI9">
            <v>0</v>
          </cell>
          <cell r="BJ9">
            <v>715291</v>
          </cell>
          <cell r="BK9">
            <v>357646</v>
          </cell>
          <cell r="BL9">
            <v>286116</v>
          </cell>
          <cell r="BM9">
            <v>71529</v>
          </cell>
          <cell r="BN9">
            <v>0</v>
          </cell>
          <cell r="BO9">
            <v>715291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889197</v>
          </cell>
          <cell r="BV9">
            <v>711357</v>
          </cell>
          <cell r="BW9">
            <v>177839</v>
          </cell>
          <cell r="BX9">
            <v>0</v>
          </cell>
          <cell r="BY9">
            <v>1778393</v>
          </cell>
          <cell r="BZ9">
            <v>889197</v>
          </cell>
          <cell r="CA9">
            <v>711357</v>
          </cell>
          <cell r="CB9">
            <v>177839</v>
          </cell>
          <cell r="CC9">
            <v>0</v>
          </cell>
          <cell r="CD9">
            <v>1778393</v>
          </cell>
        </row>
        <row r="10">
          <cell r="A10">
            <v>3</v>
          </cell>
          <cell r="B10" t="str">
            <v>E1031</v>
          </cell>
          <cell r="C10" t="str">
            <v>SD</v>
          </cell>
          <cell r="D10" t="str">
            <v>EM</v>
          </cell>
          <cell r="E10" t="str">
            <v>Amber Valley</v>
          </cell>
          <cell r="F10">
            <v>14581664</v>
          </cell>
          <cell r="G10">
            <v>11665331</v>
          </cell>
          <cell r="H10">
            <v>2624699</v>
          </cell>
          <cell r="I10">
            <v>291633</v>
          </cell>
          <cell r="J10">
            <v>29163327</v>
          </cell>
          <cell r="K10">
            <v>0</v>
          </cell>
          <cell r="L10">
            <v>0</v>
          </cell>
          <cell r="M10">
            <v>14581664</v>
          </cell>
          <cell r="N10">
            <v>29163327</v>
          </cell>
          <cell r="O10">
            <v>154747</v>
          </cell>
          <cell r="P10">
            <v>154747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234229</v>
          </cell>
          <cell r="AC10">
            <v>187383</v>
          </cell>
          <cell r="AD10">
            <v>42161</v>
          </cell>
          <cell r="AE10">
            <v>4685</v>
          </cell>
          <cell r="AF10">
            <v>468458</v>
          </cell>
          <cell r="AG10">
            <v>340642</v>
          </cell>
          <cell r="AH10">
            <v>272513</v>
          </cell>
          <cell r="AI10">
            <v>61315</v>
          </cell>
          <cell r="AJ10">
            <v>6813</v>
          </cell>
          <cell r="AK10">
            <v>681283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237500</v>
          </cell>
          <cell r="AR10">
            <v>190000</v>
          </cell>
          <cell r="AS10">
            <v>42750</v>
          </cell>
          <cell r="AT10">
            <v>4750</v>
          </cell>
          <cell r="AU10">
            <v>475000</v>
          </cell>
          <cell r="AV10">
            <v>237500</v>
          </cell>
          <cell r="AW10">
            <v>190000</v>
          </cell>
          <cell r="AX10">
            <v>42750</v>
          </cell>
          <cell r="AY10">
            <v>4750</v>
          </cell>
          <cell r="AZ10">
            <v>475000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60000</v>
          </cell>
          <cell r="BG10">
            <v>48000</v>
          </cell>
          <cell r="BH10">
            <v>10800</v>
          </cell>
          <cell r="BI10">
            <v>1200</v>
          </cell>
          <cell r="BJ10">
            <v>120000</v>
          </cell>
          <cell r="BK10">
            <v>60000</v>
          </cell>
          <cell r="BL10">
            <v>48000</v>
          </cell>
          <cell r="BM10">
            <v>10800</v>
          </cell>
          <cell r="BN10">
            <v>1200</v>
          </cell>
          <cell r="BO10">
            <v>120000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170000</v>
          </cell>
          <cell r="BV10">
            <v>136000</v>
          </cell>
          <cell r="BW10">
            <v>30600</v>
          </cell>
          <cell r="BX10">
            <v>3400</v>
          </cell>
          <cell r="BY10">
            <v>340000</v>
          </cell>
          <cell r="BZ10">
            <v>170000</v>
          </cell>
          <cell r="CA10">
            <v>136000</v>
          </cell>
          <cell r="CB10">
            <v>30600</v>
          </cell>
          <cell r="CC10">
            <v>3400</v>
          </cell>
          <cell r="CD10">
            <v>340000</v>
          </cell>
        </row>
        <row r="11">
          <cell r="A11">
            <v>4</v>
          </cell>
          <cell r="B11" t="str">
            <v>E3832</v>
          </cell>
          <cell r="C11" t="str">
            <v>SD</v>
          </cell>
          <cell r="D11" t="str">
            <v>SE</v>
          </cell>
          <cell r="E11" t="str">
            <v>Arun</v>
          </cell>
          <cell r="F11">
            <v>15217832</v>
          </cell>
          <cell r="G11">
            <v>12174265</v>
          </cell>
          <cell r="H11">
            <v>3043566</v>
          </cell>
          <cell r="I11">
            <v>0</v>
          </cell>
          <cell r="J11">
            <v>30435663</v>
          </cell>
          <cell r="K11">
            <v>0</v>
          </cell>
          <cell r="L11">
            <v>0</v>
          </cell>
          <cell r="M11">
            <v>15217832</v>
          </cell>
          <cell r="N11">
            <v>30435663</v>
          </cell>
          <cell r="O11">
            <v>173257</v>
          </cell>
          <cell r="P11">
            <v>173257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822456</v>
          </cell>
          <cell r="AC11">
            <v>657965</v>
          </cell>
          <cell r="AD11">
            <v>164491</v>
          </cell>
          <cell r="AE11">
            <v>0</v>
          </cell>
          <cell r="AF11">
            <v>1644912</v>
          </cell>
          <cell r="AG11">
            <v>221059</v>
          </cell>
          <cell r="AH11">
            <v>176848</v>
          </cell>
          <cell r="AI11">
            <v>44212</v>
          </cell>
          <cell r="AJ11">
            <v>0</v>
          </cell>
          <cell r="AK11">
            <v>442119</v>
          </cell>
          <cell r="AL11">
            <v>200000</v>
          </cell>
          <cell r="AM11">
            <v>160000</v>
          </cell>
          <cell r="AN11">
            <v>40000</v>
          </cell>
          <cell r="AO11">
            <v>0</v>
          </cell>
          <cell r="AP11">
            <v>400000</v>
          </cell>
          <cell r="AQ11">
            <v>5500</v>
          </cell>
          <cell r="AR11">
            <v>4400</v>
          </cell>
          <cell r="AS11">
            <v>1100</v>
          </cell>
          <cell r="AT11">
            <v>0</v>
          </cell>
          <cell r="AU11">
            <v>11000</v>
          </cell>
          <cell r="AV11">
            <v>205500</v>
          </cell>
          <cell r="AW11">
            <v>164400</v>
          </cell>
          <cell r="AX11">
            <v>41100</v>
          </cell>
          <cell r="AY11">
            <v>0</v>
          </cell>
          <cell r="AZ11">
            <v>411000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342500</v>
          </cell>
          <cell r="BG11">
            <v>274000</v>
          </cell>
          <cell r="BH11">
            <v>68500</v>
          </cell>
          <cell r="BI11">
            <v>0</v>
          </cell>
          <cell r="BJ11">
            <v>685000</v>
          </cell>
          <cell r="BK11">
            <v>342500</v>
          </cell>
          <cell r="BL11">
            <v>274000</v>
          </cell>
          <cell r="BM11">
            <v>68500</v>
          </cell>
          <cell r="BN11">
            <v>0</v>
          </cell>
          <cell r="BO11">
            <v>685000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929000</v>
          </cell>
          <cell r="BV11">
            <v>743200</v>
          </cell>
          <cell r="BW11">
            <v>185800</v>
          </cell>
          <cell r="BX11">
            <v>0</v>
          </cell>
          <cell r="BY11">
            <v>1858000</v>
          </cell>
          <cell r="BZ11">
            <v>929000</v>
          </cell>
          <cell r="CA11">
            <v>743200</v>
          </cell>
          <cell r="CB11">
            <v>185800</v>
          </cell>
          <cell r="CC11">
            <v>0</v>
          </cell>
          <cell r="CD11">
            <v>1858000</v>
          </cell>
        </row>
        <row r="12">
          <cell r="A12">
            <v>5</v>
          </cell>
          <cell r="B12" t="str">
            <v>E3031</v>
          </cell>
          <cell r="C12" t="str">
            <v>SD</v>
          </cell>
          <cell r="D12" t="str">
            <v>EM</v>
          </cell>
          <cell r="E12" t="str">
            <v>Ashfield</v>
          </cell>
          <cell r="F12">
            <v>15472302</v>
          </cell>
          <cell r="G12">
            <v>12377841</v>
          </cell>
          <cell r="H12">
            <v>2785014</v>
          </cell>
          <cell r="I12">
            <v>309446</v>
          </cell>
          <cell r="J12">
            <v>30944603</v>
          </cell>
          <cell r="K12">
            <v>0</v>
          </cell>
          <cell r="L12">
            <v>0</v>
          </cell>
          <cell r="M12">
            <v>15472302</v>
          </cell>
          <cell r="N12">
            <v>30944603</v>
          </cell>
          <cell r="O12">
            <v>127890</v>
          </cell>
          <cell r="P12">
            <v>127890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486842</v>
          </cell>
          <cell r="AC12">
            <v>389474</v>
          </cell>
          <cell r="AD12">
            <v>87632</v>
          </cell>
          <cell r="AE12">
            <v>9737</v>
          </cell>
          <cell r="AF12">
            <v>973685</v>
          </cell>
          <cell r="AG12">
            <v>60813.94</v>
          </cell>
          <cell r="AH12">
            <v>48651</v>
          </cell>
          <cell r="AI12">
            <v>10946</v>
          </cell>
          <cell r="AJ12">
            <v>1216</v>
          </cell>
          <cell r="AK12">
            <v>121626.94</v>
          </cell>
          <cell r="AL12">
            <v>196354</v>
          </cell>
          <cell r="AM12">
            <v>157084</v>
          </cell>
          <cell r="AN12">
            <v>35344</v>
          </cell>
          <cell r="AO12">
            <v>3927</v>
          </cell>
          <cell r="AP12">
            <v>392709</v>
          </cell>
          <cell r="AQ12">
            <v>76336</v>
          </cell>
          <cell r="AR12">
            <v>61068</v>
          </cell>
          <cell r="AS12">
            <v>13740</v>
          </cell>
          <cell r="AT12">
            <v>1527</v>
          </cell>
          <cell r="AU12">
            <v>152671</v>
          </cell>
          <cell r="AV12">
            <v>272690</v>
          </cell>
          <cell r="AW12">
            <v>218152</v>
          </cell>
          <cell r="AX12">
            <v>49084</v>
          </cell>
          <cell r="AY12">
            <v>5454</v>
          </cell>
          <cell r="AZ12">
            <v>545380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121213</v>
          </cell>
          <cell r="BG12">
            <v>96970</v>
          </cell>
          <cell r="BH12">
            <v>21818</v>
          </cell>
          <cell r="BI12">
            <v>2424</v>
          </cell>
          <cell r="BJ12">
            <v>242425</v>
          </cell>
          <cell r="BK12">
            <v>121213</v>
          </cell>
          <cell r="BL12">
            <v>96970</v>
          </cell>
          <cell r="BM12">
            <v>21818</v>
          </cell>
          <cell r="BN12">
            <v>2424</v>
          </cell>
          <cell r="BO12">
            <v>242425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335843</v>
          </cell>
          <cell r="BV12">
            <v>268675</v>
          </cell>
          <cell r="BW12">
            <v>60452</v>
          </cell>
          <cell r="BX12">
            <v>6717</v>
          </cell>
          <cell r="BY12">
            <v>671687</v>
          </cell>
          <cell r="BZ12">
            <v>335843</v>
          </cell>
          <cell r="CA12">
            <v>268675</v>
          </cell>
          <cell r="CB12">
            <v>60452</v>
          </cell>
          <cell r="CC12">
            <v>6717</v>
          </cell>
          <cell r="CD12">
            <v>671687</v>
          </cell>
        </row>
        <row r="13">
          <cell r="A13">
            <v>6</v>
          </cell>
          <cell r="B13" t="str">
            <v>E2231</v>
          </cell>
          <cell r="C13" t="str">
            <v>SD</v>
          </cell>
          <cell r="D13" t="str">
            <v>SE</v>
          </cell>
          <cell r="E13" t="str">
            <v>Ashford</v>
          </cell>
          <cell r="F13">
            <v>20871009</v>
          </cell>
          <cell r="G13">
            <v>16696806</v>
          </cell>
          <cell r="H13">
            <v>3756781</v>
          </cell>
          <cell r="I13">
            <v>417420</v>
          </cell>
          <cell r="J13">
            <v>41742016</v>
          </cell>
          <cell r="K13">
            <v>0</v>
          </cell>
          <cell r="L13">
            <v>0</v>
          </cell>
          <cell r="M13">
            <v>20871009</v>
          </cell>
          <cell r="N13">
            <v>41742016</v>
          </cell>
          <cell r="O13">
            <v>179047</v>
          </cell>
          <cell r="P13">
            <v>179047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359155.35</v>
          </cell>
          <cell r="AC13">
            <v>287325</v>
          </cell>
          <cell r="AD13">
            <v>64648</v>
          </cell>
          <cell r="AE13">
            <v>7183</v>
          </cell>
          <cell r="AF13">
            <v>718311.35</v>
          </cell>
          <cell r="AG13">
            <v>551093.14</v>
          </cell>
          <cell r="AH13">
            <v>440875</v>
          </cell>
          <cell r="AI13">
            <v>99197</v>
          </cell>
          <cell r="AJ13">
            <v>11022</v>
          </cell>
          <cell r="AK13">
            <v>1102187.1399999999</v>
          </cell>
          <cell r="AL13">
            <v>347853</v>
          </cell>
          <cell r="AM13">
            <v>278283</v>
          </cell>
          <cell r="AN13">
            <v>62614</v>
          </cell>
          <cell r="AO13">
            <v>6957</v>
          </cell>
          <cell r="AP13">
            <v>695707</v>
          </cell>
          <cell r="AQ13">
            <v>33114</v>
          </cell>
          <cell r="AR13">
            <v>26491</v>
          </cell>
          <cell r="AS13">
            <v>5960</v>
          </cell>
          <cell r="AT13">
            <v>662</v>
          </cell>
          <cell r="AU13">
            <v>66227</v>
          </cell>
          <cell r="AV13">
            <v>380967</v>
          </cell>
          <cell r="AW13">
            <v>304774</v>
          </cell>
          <cell r="AX13">
            <v>68574</v>
          </cell>
          <cell r="AY13">
            <v>7619</v>
          </cell>
          <cell r="AZ13">
            <v>761934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300000</v>
          </cell>
          <cell r="BG13">
            <v>240000</v>
          </cell>
          <cell r="BH13">
            <v>54000</v>
          </cell>
          <cell r="BI13">
            <v>6000</v>
          </cell>
          <cell r="BJ13">
            <v>600000</v>
          </cell>
          <cell r="BK13">
            <v>300000</v>
          </cell>
          <cell r="BL13">
            <v>240000</v>
          </cell>
          <cell r="BM13">
            <v>54000</v>
          </cell>
          <cell r="BN13">
            <v>6000</v>
          </cell>
          <cell r="BO13">
            <v>600000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1200000</v>
          </cell>
          <cell r="BV13">
            <v>960000</v>
          </cell>
          <cell r="BW13">
            <v>216000</v>
          </cell>
          <cell r="BX13">
            <v>24000</v>
          </cell>
          <cell r="BY13">
            <v>2400000</v>
          </cell>
          <cell r="BZ13">
            <v>1200000</v>
          </cell>
          <cell r="CA13">
            <v>960000</v>
          </cell>
          <cell r="CB13">
            <v>216000</v>
          </cell>
          <cell r="CC13">
            <v>24000</v>
          </cell>
          <cell r="CD13">
            <v>2400000</v>
          </cell>
        </row>
        <row r="14">
          <cell r="A14">
            <v>7</v>
          </cell>
          <cell r="B14" t="str">
            <v>E0431</v>
          </cell>
          <cell r="C14" t="str">
            <v>SD</v>
          </cell>
          <cell r="D14" t="str">
            <v>SE</v>
          </cell>
          <cell r="E14" t="str">
            <v>Aylesbury Vale</v>
          </cell>
          <cell r="F14">
            <v>21980356</v>
          </cell>
          <cell r="G14">
            <v>17584285</v>
          </cell>
          <cell r="H14">
            <v>3956464</v>
          </cell>
          <cell r="I14">
            <v>439607</v>
          </cell>
          <cell r="J14">
            <v>43960712</v>
          </cell>
          <cell r="K14">
            <v>0</v>
          </cell>
          <cell r="L14">
            <v>0</v>
          </cell>
          <cell r="M14">
            <v>21980356</v>
          </cell>
          <cell r="N14">
            <v>43960712</v>
          </cell>
          <cell r="O14">
            <v>223664</v>
          </cell>
          <cell r="P14">
            <v>223664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92568</v>
          </cell>
          <cell r="AC14">
            <v>74054</v>
          </cell>
          <cell r="AD14">
            <v>16662</v>
          </cell>
          <cell r="AE14">
            <v>1851</v>
          </cell>
          <cell r="AF14">
            <v>185135</v>
          </cell>
          <cell r="AG14">
            <v>633960</v>
          </cell>
          <cell r="AH14">
            <v>507168</v>
          </cell>
          <cell r="AI14">
            <v>114113</v>
          </cell>
          <cell r="AJ14">
            <v>12679</v>
          </cell>
          <cell r="AK14">
            <v>1267920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2036126</v>
          </cell>
          <cell r="BG14">
            <v>1628901</v>
          </cell>
          <cell r="BH14">
            <v>366503</v>
          </cell>
          <cell r="BI14">
            <v>40723</v>
          </cell>
          <cell r="BJ14">
            <v>4072253</v>
          </cell>
          <cell r="BK14">
            <v>2036126</v>
          </cell>
          <cell r="BL14">
            <v>1628901</v>
          </cell>
          <cell r="BM14">
            <v>366503</v>
          </cell>
          <cell r="BN14">
            <v>40723</v>
          </cell>
          <cell r="BO14">
            <v>4072253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>
            <v>8</v>
          </cell>
          <cell r="B15" t="str">
            <v>E3531</v>
          </cell>
          <cell r="C15" t="str">
            <v>SD</v>
          </cell>
          <cell r="D15" t="str">
            <v>E</v>
          </cell>
          <cell r="E15" t="str">
            <v>Babergh</v>
          </cell>
          <cell r="F15">
            <v>11012347</v>
          </cell>
          <cell r="G15">
            <v>8809878</v>
          </cell>
          <cell r="H15">
            <v>2202470</v>
          </cell>
          <cell r="I15">
            <v>0</v>
          </cell>
          <cell r="J15">
            <v>22024695</v>
          </cell>
          <cell r="K15">
            <v>0</v>
          </cell>
          <cell r="L15">
            <v>0</v>
          </cell>
          <cell r="M15">
            <v>11012347</v>
          </cell>
          <cell r="N15">
            <v>22024695</v>
          </cell>
          <cell r="O15">
            <v>126602</v>
          </cell>
          <cell r="P15">
            <v>126602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375022</v>
          </cell>
          <cell r="AC15">
            <v>300017</v>
          </cell>
          <cell r="AD15">
            <v>75004</v>
          </cell>
          <cell r="AE15">
            <v>0</v>
          </cell>
          <cell r="AF15">
            <v>750043</v>
          </cell>
          <cell r="AG15">
            <v>211217</v>
          </cell>
          <cell r="AH15">
            <v>168974</v>
          </cell>
          <cell r="AI15">
            <v>42243</v>
          </cell>
          <cell r="AJ15">
            <v>0</v>
          </cell>
          <cell r="AK15">
            <v>422434</v>
          </cell>
          <cell r="AL15">
            <v>180193</v>
          </cell>
          <cell r="AM15">
            <v>144154</v>
          </cell>
          <cell r="AN15">
            <v>36039</v>
          </cell>
          <cell r="AO15">
            <v>0</v>
          </cell>
          <cell r="AP15">
            <v>360386</v>
          </cell>
          <cell r="AQ15">
            <v>-3381</v>
          </cell>
          <cell r="AR15">
            <v>-2704</v>
          </cell>
          <cell r="AS15">
            <v>-676</v>
          </cell>
          <cell r="AT15">
            <v>0</v>
          </cell>
          <cell r="AU15">
            <v>-6761</v>
          </cell>
          <cell r="AV15">
            <v>176812</v>
          </cell>
          <cell r="AW15">
            <v>141450</v>
          </cell>
          <cell r="AX15">
            <v>35363</v>
          </cell>
          <cell r="AY15">
            <v>0</v>
          </cell>
          <cell r="AZ15">
            <v>353625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150519</v>
          </cell>
          <cell r="BG15">
            <v>120416</v>
          </cell>
          <cell r="BH15">
            <v>30104</v>
          </cell>
          <cell r="BI15">
            <v>0</v>
          </cell>
          <cell r="BJ15">
            <v>301039</v>
          </cell>
          <cell r="BK15">
            <v>150519</v>
          </cell>
          <cell r="BL15">
            <v>120416</v>
          </cell>
          <cell r="BM15">
            <v>30104</v>
          </cell>
          <cell r="BN15">
            <v>0</v>
          </cell>
          <cell r="BO15">
            <v>301039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387479</v>
          </cell>
          <cell r="BV15">
            <v>309984</v>
          </cell>
          <cell r="BW15">
            <v>77496</v>
          </cell>
          <cell r="BX15">
            <v>0</v>
          </cell>
          <cell r="BY15">
            <v>774959</v>
          </cell>
          <cell r="BZ15">
            <v>387479</v>
          </cell>
          <cell r="CA15">
            <v>309984</v>
          </cell>
          <cell r="CB15">
            <v>77496</v>
          </cell>
          <cell r="CC15">
            <v>0</v>
          </cell>
          <cell r="CD15">
            <v>774959</v>
          </cell>
        </row>
        <row r="16">
          <cell r="A16">
            <v>9</v>
          </cell>
          <cell r="B16" t="str">
            <v>E5030</v>
          </cell>
          <cell r="C16" t="str">
            <v>OLB</v>
          </cell>
          <cell r="D16" t="str">
            <v>L</v>
          </cell>
          <cell r="E16" t="str">
            <v>Barking &amp; Dagenham</v>
          </cell>
          <cell r="F16">
            <v>23815097</v>
          </cell>
          <cell r="G16">
            <v>14289058</v>
          </cell>
          <cell r="H16">
            <v>9526039</v>
          </cell>
          <cell r="I16">
            <v>0</v>
          </cell>
          <cell r="J16">
            <v>47630194</v>
          </cell>
          <cell r="K16">
            <v>0</v>
          </cell>
          <cell r="L16">
            <v>0</v>
          </cell>
          <cell r="M16">
            <v>23815097</v>
          </cell>
          <cell r="N16">
            <v>47630194</v>
          </cell>
          <cell r="O16">
            <v>205809</v>
          </cell>
          <cell r="P16">
            <v>205809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2615717</v>
          </cell>
          <cell r="AC16">
            <v>1569430</v>
          </cell>
          <cell r="AD16">
            <v>1046287</v>
          </cell>
          <cell r="AE16">
            <v>0</v>
          </cell>
          <cell r="AF16">
            <v>5231434</v>
          </cell>
          <cell r="AG16">
            <v>393426</v>
          </cell>
          <cell r="AH16">
            <v>236055</v>
          </cell>
          <cell r="AI16">
            <v>157370</v>
          </cell>
          <cell r="AJ16">
            <v>0</v>
          </cell>
          <cell r="AK16">
            <v>786851</v>
          </cell>
          <cell r="AL16">
            <v>2224500</v>
          </cell>
          <cell r="AM16">
            <v>1334700</v>
          </cell>
          <cell r="AN16">
            <v>889800</v>
          </cell>
          <cell r="AO16">
            <v>0</v>
          </cell>
          <cell r="AP16">
            <v>4449000</v>
          </cell>
          <cell r="AQ16">
            <v>121500</v>
          </cell>
          <cell r="AR16">
            <v>72900</v>
          </cell>
          <cell r="AS16">
            <v>48600</v>
          </cell>
          <cell r="AT16">
            <v>0</v>
          </cell>
          <cell r="AU16">
            <v>243000</v>
          </cell>
          <cell r="AV16">
            <v>2346000</v>
          </cell>
          <cell r="AW16">
            <v>1407600</v>
          </cell>
          <cell r="AX16">
            <v>938400</v>
          </cell>
          <cell r="AY16">
            <v>0</v>
          </cell>
          <cell r="AZ16">
            <v>4692000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1037314</v>
          </cell>
          <cell r="BG16">
            <v>622389</v>
          </cell>
          <cell r="BH16">
            <v>414926</v>
          </cell>
          <cell r="BI16">
            <v>0</v>
          </cell>
          <cell r="BJ16">
            <v>2074629</v>
          </cell>
          <cell r="BK16">
            <v>1037314</v>
          </cell>
          <cell r="BL16">
            <v>622389</v>
          </cell>
          <cell r="BM16">
            <v>414926</v>
          </cell>
          <cell r="BN16">
            <v>0</v>
          </cell>
          <cell r="BO16">
            <v>2074629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3778642</v>
          </cell>
          <cell r="BV16">
            <v>2267185</v>
          </cell>
          <cell r="BW16">
            <v>1511457</v>
          </cell>
          <cell r="BX16">
            <v>0</v>
          </cell>
          <cell r="BY16">
            <v>7557284</v>
          </cell>
          <cell r="BZ16">
            <v>3778642</v>
          </cell>
          <cell r="CA16">
            <v>2267185</v>
          </cell>
          <cell r="CB16">
            <v>1511457</v>
          </cell>
          <cell r="CC16">
            <v>0</v>
          </cell>
          <cell r="CD16">
            <v>7557284</v>
          </cell>
        </row>
        <row r="17">
          <cell r="A17">
            <v>10</v>
          </cell>
          <cell r="B17" t="str">
            <v>E5031</v>
          </cell>
          <cell r="C17" t="str">
            <v>OLB</v>
          </cell>
          <cell r="D17" t="str">
            <v>L</v>
          </cell>
          <cell r="E17" t="str">
            <v>Barnet</v>
          </cell>
          <cell r="F17">
            <v>51931496</v>
          </cell>
          <cell r="G17">
            <v>31158898</v>
          </cell>
          <cell r="H17">
            <v>20772599</v>
          </cell>
          <cell r="I17">
            <v>0</v>
          </cell>
          <cell r="J17">
            <v>103862993</v>
          </cell>
          <cell r="K17">
            <v>0</v>
          </cell>
          <cell r="L17">
            <v>0</v>
          </cell>
          <cell r="M17">
            <v>51931496</v>
          </cell>
          <cell r="N17">
            <v>103862993</v>
          </cell>
          <cell r="O17">
            <v>419218</v>
          </cell>
          <cell r="P17">
            <v>419218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5878994.1699999999</v>
          </cell>
          <cell r="AC17">
            <v>3527396</v>
          </cell>
          <cell r="AD17">
            <v>2351597</v>
          </cell>
          <cell r="AE17">
            <v>0</v>
          </cell>
          <cell r="AF17">
            <v>11757987.1</v>
          </cell>
          <cell r="AG17">
            <v>999705.06</v>
          </cell>
          <cell r="AH17">
            <v>599823</v>
          </cell>
          <cell r="AI17">
            <v>399882</v>
          </cell>
          <cell r="AJ17">
            <v>0</v>
          </cell>
          <cell r="AK17">
            <v>1999410.06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1362497</v>
          </cell>
          <cell r="AR17">
            <v>817499</v>
          </cell>
          <cell r="AS17">
            <v>544999</v>
          </cell>
          <cell r="AT17">
            <v>0</v>
          </cell>
          <cell r="AU17">
            <v>2724995</v>
          </cell>
          <cell r="AV17">
            <v>1362497</v>
          </cell>
          <cell r="AW17">
            <v>817499</v>
          </cell>
          <cell r="AX17">
            <v>544999</v>
          </cell>
          <cell r="AY17">
            <v>0</v>
          </cell>
          <cell r="AZ17">
            <v>2724995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530931</v>
          </cell>
          <cell r="BG17">
            <v>318559</v>
          </cell>
          <cell r="BH17">
            <v>212372</v>
          </cell>
          <cell r="BI17">
            <v>0</v>
          </cell>
          <cell r="BJ17">
            <v>1061862</v>
          </cell>
          <cell r="BK17">
            <v>530931</v>
          </cell>
          <cell r="BL17">
            <v>318559</v>
          </cell>
          <cell r="BM17">
            <v>212372</v>
          </cell>
          <cell r="BN17">
            <v>0</v>
          </cell>
          <cell r="BO17">
            <v>1061862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1819121</v>
          </cell>
          <cell r="BV17">
            <v>1091473</v>
          </cell>
          <cell r="BW17">
            <v>727649</v>
          </cell>
          <cell r="BX17">
            <v>0</v>
          </cell>
          <cell r="BY17">
            <v>3638243</v>
          </cell>
          <cell r="BZ17">
            <v>1819121</v>
          </cell>
          <cell r="CA17">
            <v>1091473</v>
          </cell>
          <cell r="CB17">
            <v>727649</v>
          </cell>
          <cell r="CC17">
            <v>0</v>
          </cell>
          <cell r="CD17">
            <v>3638243</v>
          </cell>
        </row>
        <row r="18">
          <cell r="A18">
            <v>11</v>
          </cell>
          <cell r="B18" t="str">
            <v>E4401</v>
          </cell>
          <cell r="C18" t="str">
            <v>Met</v>
          </cell>
          <cell r="D18" t="str">
            <v>YH</v>
          </cell>
          <cell r="E18" t="str">
            <v>Barnsley</v>
          </cell>
          <cell r="F18">
            <v>24877880</v>
          </cell>
          <cell r="G18">
            <v>24380323</v>
          </cell>
          <cell r="H18">
            <v>0</v>
          </cell>
          <cell r="I18">
            <v>497558</v>
          </cell>
          <cell r="J18">
            <v>49755761</v>
          </cell>
          <cell r="K18">
            <v>55000</v>
          </cell>
          <cell r="L18">
            <v>55000</v>
          </cell>
          <cell r="M18">
            <v>24822880</v>
          </cell>
          <cell r="N18">
            <v>49700761</v>
          </cell>
          <cell r="O18">
            <v>271283</v>
          </cell>
          <cell r="P18">
            <v>271283</v>
          </cell>
          <cell r="Q18">
            <v>222673</v>
          </cell>
          <cell r="R18">
            <v>222673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55000</v>
          </cell>
          <cell r="Y18">
            <v>0</v>
          </cell>
          <cell r="Z18">
            <v>0</v>
          </cell>
          <cell r="AA18">
            <v>55000</v>
          </cell>
          <cell r="AB18">
            <v>1217834</v>
          </cell>
          <cell r="AC18">
            <v>1193478</v>
          </cell>
          <cell r="AD18">
            <v>0</v>
          </cell>
          <cell r="AE18">
            <v>24357</v>
          </cell>
          <cell r="AF18">
            <v>2435669</v>
          </cell>
          <cell r="AG18">
            <v>348767</v>
          </cell>
          <cell r="AH18">
            <v>341792</v>
          </cell>
          <cell r="AI18">
            <v>0</v>
          </cell>
          <cell r="AJ18">
            <v>6975</v>
          </cell>
          <cell r="AK18">
            <v>697534</v>
          </cell>
          <cell r="AL18">
            <v>380112</v>
          </cell>
          <cell r="AM18">
            <v>372510</v>
          </cell>
          <cell r="AN18">
            <v>0</v>
          </cell>
          <cell r="AO18">
            <v>7602</v>
          </cell>
          <cell r="AP18">
            <v>760224</v>
          </cell>
          <cell r="AQ18">
            <v>224047</v>
          </cell>
          <cell r="AR18">
            <v>219566</v>
          </cell>
          <cell r="AS18">
            <v>0</v>
          </cell>
          <cell r="AT18">
            <v>4481</v>
          </cell>
          <cell r="AU18">
            <v>448094</v>
          </cell>
          <cell r="AV18">
            <v>604159</v>
          </cell>
          <cell r="AW18">
            <v>592076</v>
          </cell>
          <cell r="AX18">
            <v>0</v>
          </cell>
          <cell r="AY18">
            <v>12083</v>
          </cell>
          <cell r="AZ18">
            <v>1208318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400000</v>
          </cell>
          <cell r="BG18">
            <v>392000</v>
          </cell>
          <cell r="BH18">
            <v>0</v>
          </cell>
          <cell r="BI18">
            <v>8000</v>
          </cell>
          <cell r="BJ18">
            <v>800000</v>
          </cell>
          <cell r="BK18">
            <v>400000</v>
          </cell>
          <cell r="BL18">
            <v>392000</v>
          </cell>
          <cell r="BM18">
            <v>0</v>
          </cell>
          <cell r="BN18">
            <v>8000</v>
          </cell>
          <cell r="BO18">
            <v>800000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482349</v>
          </cell>
          <cell r="BV18">
            <v>472702</v>
          </cell>
          <cell r="BW18">
            <v>0</v>
          </cell>
          <cell r="BX18">
            <v>9647</v>
          </cell>
          <cell r="BY18">
            <v>964698</v>
          </cell>
          <cell r="BZ18">
            <v>482349</v>
          </cell>
          <cell r="CA18">
            <v>472702</v>
          </cell>
          <cell r="CB18">
            <v>0</v>
          </cell>
          <cell r="CC18">
            <v>9647</v>
          </cell>
          <cell r="CD18">
            <v>964698</v>
          </cell>
        </row>
        <row r="19">
          <cell r="A19">
            <v>12</v>
          </cell>
          <cell r="B19" t="str">
            <v>E0932</v>
          </cell>
          <cell r="C19" t="str">
            <v>SD</v>
          </cell>
          <cell r="D19" t="str">
            <v>NW</v>
          </cell>
          <cell r="E19" t="str">
            <v>Barrow-in-Furness</v>
          </cell>
          <cell r="F19">
            <v>11184755</v>
          </cell>
          <cell r="G19">
            <v>8947804</v>
          </cell>
          <cell r="H19">
            <v>2236951</v>
          </cell>
          <cell r="I19">
            <v>0</v>
          </cell>
          <cell r="J19">
            <v>22369510</v>
          </cell>
          <cell r="K19">
            <v>0</v>
          </cell>
          <cell r="L19">
            <v>0</v>
          </cell>
          <cell r="M19">
            <v>11184755</v>
          </cell>
          <cell r="N19">
            <v>22369510</v>
          </cell>
          <cell r="O19">
            <v>99249</v>
          </cell>
          <cell r="P19">
            <v>99249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776469</v>
          </cell>
          <cell r="AC19">
            <v>621175</v>
          </cell>
          <cell r="AD19">
            <v>155294</v>
          </cell>
          <cell r="AE19">
            <v>0</v>
          </cell>
          <cell r="AF19">
            <v>1552938</v>
          </cell>
          <cell r="AG19">
            <v>427153</v>
          </cell>
          <cell r="AH19">
            <v>341723</v>
          </cell>
          <cell r="AI19">
            <v>85431</v>
          </cell>
          <cell r="AJ19">
            <v>0</v>
          </cell>
          <cell r="AK19">
            <v>854307</v>
          </cell>
          <cell r="AL19">
            <v>618066</v>
          </cell>
          <cell r="AM19">
            <v>494452</v>
          </cell>
          <cell r="AN19">
            <v>123613</v>
          </cell>
          <cell r="AO19">
            <v>0</v>
          </cell>
          <cell r="AP19">
            <v>1236131</v>
          </cell>
          <cell r="AQ19">
            <v>47107</v>
          </cell>
          <cell r="AR19">
            <v>37685</v>
          </cell>
          <cell r="AS19">
            <v>9421</v>
          </cell>
          <cell r="AT19">
            <v>0</v>
          </cell>
          <cell r="AU19">
            <v>94213</v>
          </cell>
          <cell r="AV19">
            <v>665173</v>
          </cell>
          <cell r="AW19">
            <v>532137</v>
          </cell>
          <cell r="AX19">
            <v>133034</v>
          </cell>
          <cell r="AY19">
            <v>0</v>
          </cell>
          <cell r="AZ19">
            <v>1330344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132543</v>
          </cell>
          <cell r="BG19">
            <v>106034</v>
          </cell>
          <cell r="BH19">
            <v>26509</v>
          </cell>
          <cell r="BI19">
            <v>0</v>
          </cell>
          <cell r="BJ19">
            <v>265086</v>
          </cell>
          <cell r="BK19">
            <v>132543</v>
          </cell>
          <cell r="BL19">
            <v>106034</v>
          </cell>
          <cell r="BM19">
            <v>26509</v>
          </cell>
          <cell r="BN19">
            <v>0</v>
          </cell>
          <cell r="BO19">
            <v>265086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378468</v>
          </cell>
          <cell r="BV19">
            <v>302774</v>
          </cell>
          <cell r="BW19">
            <v>75694</v>
          </cell>
          <cell r="BX19">
            <v>0</v>
          </cell>
          <cell r="BY19">
            <v>756936</v>
          </cell>
          <cell r="BZ19">
            <v>378468</v>
          </cell>
          <cell r="CA19">
            <v>302774</v>
          </cell>
          <cell r="CB19">
            <v>75694</v>
          </cell>
          <cell r="CC19">
            <v>0</v>
          </cell>
          <cell r="CD19">
            <v>756936</v>
          </cell>
        </row>
        <row r="20">
          <cell r="A20">
            <v>13</v>
          </cell>
          <cell r="B20" t="str">
            <v>E1531</v>
          </cell>
          <cell r="C20" t="str">
            <v>SD</v>
          </cell>
          <cell r="D20" t="str">
            <v>E</v>
          </cell>
          <cell r="E20" t="str">
            <v>Basildon</v>
          </cell>
          <cell r="F20">
            <v>34710644</v>
          </cell>
          <cell r="G20">
            <v>27768515</v>
          </cell>
          <cell r="H20">
            <v>6247916</v>
          </cell>
          <cell r="I20">
            <v>694213</v>
          </cell>
          <cell r="J20">
            <v>69421288</v>
          </cell>
          <cell r="K20">
            <v>0</v>
          </cell>
          <cell r="L20">
            <v>0</v>
          </cell>
          <cell r="M20">
            <v>34710644</v>
          </cell>
          <cell r="N20">
            <v>69421288</v>
          </cell>
          <cell r="O20">
            <v>236652</v>
          </cell>
          <cell r="P20">
            <v>236652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1107964</v>
          </cell>
          <cell r="AC20">
            <v>886372</v>
          </cell>
          <cell r="AD20">
            <v>199434</v>
          </cell>
          <cell r="AE20">
            <v>22159</v>
          </cell>
          <cell r="AF20">
            <v>2215929</v>
          </cell>
          <cell r="AG20">
            <v>453025</v>
          </cell>
          <cell r="AH20">
            <v>362420</v>
          </cell>
          <cell r="AI20">
            <v>81544</v>
          </cell>
          <cell r="AJ20">
            <v>9060</v>
          </cell>
          <cell r="AK20">
            <v>906049</v>
          </cell>
          <cell r="AL20">
            <v>371500</v>
          </cell>
          <cell r="AM20">
            <v>297200</v>
          </cell>
          <cell r="AN20">
            <v>66870</v>
          </cell>
          <cell r="AO20">
            <v>7430</v>
          </cell>
          <cell r="AP20">
            <v>743000</v>
          </cell>
          <cell r="AQ20">
            <v>78500</v>
          </cell>
          <cell r="AR20">
            <v>62800</v>
          </cell>
          <cell r="AS20">
            <v>14130</v>
          </cell>
          <cell r="AT20">
            <v>1570</v>
          </cell>
          <cell r="AU20">
            <v>157000</v>
          </cell>
          <cell r="AV20">
            <v>450000</v>
          </cell>
          <cell r="AW20">
            <v>360000</v>
          </cell>
          <cell r="AX20">
            <v>81000</v>
          </cell>
          <cell r="AY20">
            <v>9000</v>
          </cell>
          <cell r="AZ20">
            <v>900000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1260000</v>
          </cell>
          <cell r="BG20">
            <v>1008000</v>
          </cell>
          <cell r="BH20">
            <v>226800</v>
          </cell>
          <cell r="BI20">
            <v>25200</v>
          </cell>
          <cell r="BJ20">
            <v>2520000</v>
          </cell>
          <cell r="BK20">
            <v>1260000</v>
          </cell>
          <cell r="BL20">
            <v>1008000</v>
          </cell>
          <cell r="BM20">
            <v>226800</v>
          </cell>
          <cell r="BN20">
            <v>25200</v>
          </cell>
          <cell r="BO20">
            <v>2520000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3190000</v>
          </cell>
          <cell r="BV20">
            <v>2552000</v>
          </cell>
          <cell r="BW20">
            <v>574200</v>
          </cell>
          <cell r="BX20">
            <v>63800</v>
          </cell>
          <cell r="BY20">
            <v>6380000</v>
          </cell>
          <cell r="BZ20">
            <v>3190000</v>
          </cell>
          <cell r="CA20">
            <v>2552000</v>
          </cell>
          <cell r="CB20">
            <v>574200</v>
          </cell>
          <cell r="CC20">
            <v>63800</v>
          </cell>
          <cell r="CD20">
            <v>6380000</v>
          </cell>
        </row>
        <row r="21">
          <cell r="A21">
            <v>14</v>
          </cell>
          <cell r="B21" t="str">
            <v>E1731</v>
          </cell>
          <cell r="C21" t="str">
            <v>SD</v>
          </cell>
          <cell r="D21" t="str">
            <v>SE</v>
          </cell>
          <cell r="E21" t="str">
            <v>Basingstoke &amp; Deane</v>
          </cell>
          <cell r="F21">
            <v>33519433</v>
          </cell>
          <cell r="G21">
            <v>26815546</v>
          </cell>
          <cell r="H21">
            <v>6033498</v>
          </cell>
          <cell r="I21">
            <v>670389</v>
          </cell>
          <cell r="J21">
            <v>67038866</v>
          </cell>
          <cell r="K21">
            <v>0</v>
          </cell>
          <cell r="L21">
            <v>0</v>
          </cell>
          <cell r="M21">
            <v>33519433</v>
          </cell>
          <cell r="N21">
            <v>67038866</v>
          </cell>
          <cell r="O21">
            <v>206499</v>
          </cell>
          <cell r="P21">
            <v>206499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46806</v>
          </cell>
          <cell r="V21">
            <v>0</v>
          </cell>
          <cell r="W21">
            <v>46806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1367358</v>
          </cell>
          <cell r="AC21">
            <v>1093886</v>
          </cell>
          <cell r="AD21">
            <v>246124</v>
          </cell>
          <cell r="AE21">
            <v>27347</v>
          </cell>
          <cell r="AF21">
            <v>2734715</v>
          </cell>
          <cell r="AG21">
            <v>763168</v>
          </cell>
          <cell r="AH21">
            <v>610534</v>
          </cell>
          <cell r="AI21">
            <v>137370</v>
          </cell>
          <cell r="AJ21">
            <v>15263</v>
          </cell>
          <cell r="AK21">
            <v>1526335</v>
          </cell>
          <cell r="AL21">
            <v>275000</v>
          </cell>
          <cell r="AM21">
            <v>220000</v>
          </cell>
          <cell r="AN21">
            <v>49500</v>
          </cell>
          <cell r="AO21">
            <v>5500</v>
          </cell>
          <cell r="AP21">
            <v>550000</v>
          </cell>
          <cell r="AQ21">
            <v>25000</v>
          </cell>
          <cell r="AR21">
            <v>20000</v>
          </cell>
          <cell r="AS21">
            <v>4500</v>
          </cell>
          <cell r="AT21">
            <v>500</v>
          </cell>
          <cell r="AU21">
            <v>50000</v>
          </cell>
          <cell r="AV21">
            <v>300000</v>
          </cell>
          <cell r="AW21">
            <v>240000</v>
          </cell>
          <cell r="AX21">
            <v>54000</v>
          </cell>
          <cell r="AY21">
            <v>6000</v>
          </cell>
          <cell r="AZ21">
            <v>600000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429000</v>
          </cell>
          <cell r="BG21">
            <v>343200</v>
          </cell>
          <cell r="BH21">
            <v>77220</v>
          </cell>
          <cell r="BI21">
            <v>8580</v>
          </cell>
          <cell r="BJ21">
            <v>858000</v>
          </cell>
          <cell r="BK21">
            <v>429000</v>
          </cell>
          <cell r="BL21">
            <v>343200</v>
          </cell>
          <cell r="BM21">
            <v>77220</v>
          </cell>
          <cell r="BN21">
            <v>8580</v>
          </cell>
          <cell r="BO21">
            <v>858000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1121000</v>
          </cell>
          <cell r="BV21">
            <v>896800</v>
          </cell>
          <cell r="BW21">
            <v>201780</v>
          </cell>
          <cell r="BX21">
            <v>22420</v>
          </cell>
          <cell r="BY21">
            <v>2242000</v>
          </cell>
          <cell r="BZ21">
            <v>1121000</v>
          </cell>
          <cell r="CA21">
            <v>896800</v>
          </cell>
          <cell r="CB21">
            <v>201780</v>
          </cell>
          <cell r="CC21">
            <v>22420</v>
          </cell>
          <cell r="CD21">
            <v>2242000</v>
          </cell>
        </row>
        <row r="22">
          <cell r="A22">
            <v>15</v>
          </cell>
          <cell r="B22" t="str">
            <v>E3032</v>
          </cell>
          <cell r="C22" t="str">
            <v>SD</v>
          </cell>
          <cell r="D22" t="str">
            <v>EM</v>
          </cell>
          <cell r="E22" t="str">
            <v>Bassetlaw</v>
          </cell>
          <cell r="F22">
            <v>19677938</v>
          </cell>
          <cell r="G22">
            <v>15742350</v>
          </cell>
          <cell r="H22">
            <v>3542029</v>
          </cell>
          <cell r="I22">
            <v>393559</v>
          </cell>
          <cell r="J22">
            <v>39355876</v>
          </cell>
          <cell r="K22">
            <v>0</v>
          </cell>
          <cell r="L22">
            <v>0</v>
          </cell>
          <cell r="M22">
            <v>19677938</v>
          </cell>
          <cell r="N22">
            <v>39355876</v>
          </cell>
          <cell r="O22">
            <v>167257</v>
          </cell>
          <cell r="P22">
            <v>167257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950464</v>
          </cell>
          <cell r="AC22">
            <v>760371</v>
          </cell>
          <cell r="AD22">
            <v>171084</v>
          </cell>
          <cell r="AE22">
            <v>19009</v>
          </cell>
          <cell r="AF22">
            <v>1900928</v>
          </cell>
          <cell r="AG22">
            <v>355329</v>
          </cell>
          <cell r="AH22">
            <v>284263</v>
          </cell>
          <cell r="AI22">
            <v>63959</v>
          </cell>
          <cell r="AJ22">
            <v>7107</v>
          </cell>
          <cell r="AK22">
            <v>710658</v>
          </cell>
          <cell r="AL22">
            <v>202081</v>
          </cell>
          <cell r="AM22">
            <v>161664</v>
          </cell>
          <cell r="AN22">
            <v>36374</v>
          </cell>
          <cell r="AO22">
            <v>4042</v>
          </cell>
          <cell r="AP22">
            <v>404161</v>
          </cell>
          <cell r="AQ22">
            <v>200519</v>
          </cell>
          <cell r="AR22">
            <v>160416</v>
          </cell>
          <cell r="AS22">
            <v>36094</v>
          </cell>
          <cell r="AT22">
            <v>4010</v>
          </cell>
          <cell r="AU22">
            <v>401039</v>
          </cell>
          <cell r="AV22">
            <v>402600</v>
          </cell>
          <cell r="AW22">
            <v>322080</v>
          </cell>
          <cell r="AX22">
            <v>72468</v>
          </cell>
          <cell r="AY22">
            <v>8052</v>
          </cell>
          <cell r="AZ22">
            <v>805200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297514</v>
          </cell>
          <cell r="BG22">
            <v>238010</v>
          </cell>
          <cell r="BH22">
            <v>53552</v>
          </cell>
          <cell r="BI22">
            <v>5950</v>
          </cell>
          <cell r="BJ22">
            <v>595026</v>
          </cell>
          <cell r="BK22">
            <v>297514</v>
          </cell>
          <cell r="BL22">
            <v>238010</v>
          </cell>
          <cell r="BM22">
            <v>53552</v>
          </cell>
          <cell r="BN22">
            <v>5950</v>
          </cell>
          <cell r="BO22">
            <v>595026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824320</v>
          </cell>
          <cell r="BV22">
            <v>659456</v>
          </cell>
          <cell r="BW22">
            <v>148378</v>
          </cell>
          <cell r="BX22">
            <v>16486</v>
          </cell>
          <cell r="BY22">
            <v>1648640</v>
          </cell>
          <cell r="BZ22">
            <v>824320</v>
          </cell>
          <cell r="CA22">
            <v>659456</v>
          </cell>
          <cell r="CB22">
            <v>148378</v>
          </cell>
          <cell r="CC22">
            <v>16486</v>
          </cell>
          <cell r="CD22">
            <v>1648640</v>
          </cell>
        </row>
        <row r="23">
          <cell r="A23">
            <v>16</v>
          </cell>
          <cell r="B23" t="str">
            <v>E0101</v>
          </cell>
          <cell r="C23" t="str">
            <v>UA</v>
          </cell>
          <cell r="D23" t="str">
            <v>SW</v>
          </cell>
          <cell r="E23" t="str">
            <v>Bath &amp; North East Somerset</v>
          </cell>
          <cell r="F23">
            <v>29779923</v>
          </cell>
          <cell r="G23">
            <v>29184325</v>
          </cell>
          <cell r="H23">
            <v>0</v>
          </cell>
          <cell r="I23">
            <v>595598</v>
          </cell>
          <cell r="J23">
            <v>59559846</v>
          </cell>
          <cell r="K23">
            <v>0</v>
          </cell>
          <cell r="L23">
            <v>0</v>
          </cell>
          <cell r="M23">
            <v>29779923</v>
          </cell>
          <cell r="N23">
            <v>59559846</v>
          </cell>
          <cell r="O23">
            <v>260612</v>
          </cell>
          <cell r="P23">
            <v>260612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1029830</v>
          </cell>
          <cell r="AC23">
            <v>1009234</v>
          </cell>
          <cell r="AD23">
            <v>0</v>
          </cell>
          <cell r="AE23">
            <v>20597</v>
          </cell>
          <cell r="AF23">
            <v>2059661</v>
          </cell>
          <cell r="AG23">
            <v>478814</v>
          </cell>
          <cell r="AH23">
            <v>469238</v>
          </cell>
          <cell r="AI23">
            <v>0</v>
          </cell>
          <cell r="AJ23">
            <v>9576</v>
          </cell>
          <cell r="AK23">
            <v>957628</v>
          </cell>
          <cell r="AL23">
            <v>202539</v>
          </cell>
          <cell r="AM23">
            <v>198489</v>
          </cell>
          <cell r="AN23">
            <v>0</v>
          </cell>
          <cell r="AO23">
            <v>4051</v>
          </cell>
          <cell r="AP23">
            <v>405079</v>
          </cell>
          <cell r="AQ23">
            <v>35515</v>
          </cell>
          <cell r="AR23">
            <v>34804</v>
          </cell>
          <cell r="AS23">
            <v>0</v>
          </cell>
          <cell r="AT23">
            <v>710</v>
          </cell>
          <cell r="AU23">
            <v>71029</v>
          </cell>
          <cell r="AV23">
            <v>238054</v>
          </cell>
          <cell r="AW23">
            <v>233293</v>
          </cell>
          <cell r="AX23">
            <v>0</v>
          </cell>
          <cell r="AY23">
            <v>4761</v>
          </cell>
          <cell r="AZ23">
            <v>476108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515789</v>
          </cell>
          <cell r="BG23">
            <v>505474</v>
          </cell>
          <cell r="BH23">
            <v>0</v>
          </cell>
          <cell r="BI23">
            <v>10316</v>
          </cell>
          <cell r="BJ23">
            <v>1031579</v>
          </cell>
          <cell r="BK23">
            <v>515789</v>
          </cell>
          <cell r="BL23">
            <v>505474</v>
          </cell>
          <cell r="BM23">
            <v>0</v>
          </cell>
          <cell r="BN23">
            <v>10316</v>
          </cell>
          <cell r="BO23">
            <v>1031579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1074973</v>
          </cell>
          <cell r="BV23">
            <v>1053474</v>
          </cell>
          <cell r="BW23">
            <v>0</v>
          </cell>
          <cell r="BX23">
            <v>21499</v>
          </cell>
          <cell r="BY23">
            <v>2149946</v>
          </cell>
          <cell r="BZ23">
            <v>1074973</v>
          </cell>
          <cell r="CA23">
            <v>1053474</v>
          </cell>
          <cell r="CB23">
            <v>0</v>
          </cell>
          <cell r="CC23">
            <v>21499</v>
          </cell>
          <cell r="CD23">
            <v>2149946</v>
          </cell>
        </row>
        <row r="24">
          <cell r="A24">
            <v>17</v>
          </cell>
          <cell r="B24" t="str">
            <v>E0202</v>
          </cell>
          <cell r="C24" t="str">
            <v>UA</v>
          </cell>
          <cell r="D24" t="str">
            <v>E</v>
          </cell>
          <cell r="E24" t="str">
            <v>Bedford UA</v>
          </cell>
          <cell r="F24">
            <v>30573442</v>
          </cell>
          <cell r="G24">
            <v>29961974</v>
          </cell>
          <cell r="H24">
            <v>0</v>
          </cell>
          <cell r="I24">
            <v>611469</v>
          </cell>
          <cell r="J24">
            <v>61146885</v>
          </cell>
          <cell r="K24">
            <v>0</v>
          </cell>
          <cell r="L24">
            <v>0</v>
          </cell>
          <cell r="M24">
            <v>30573442</v>
          </cell>
          <cell r="N24">
            <v>61146885</v>
          </cell>
          <cell r="O24">
            <v>233924</v>
          </cell>
          <cell r="P24">
            <v>233924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1072045.67</v>
          </cell>
          <cell r="AC24">
            <v>1050605</v>
          </cell>
          <cell r="AD24">
            <v>0</v>
          </cell>
          <cell r="AE24">
            <v>21441</v>
          </cell>
          <cell r="AF24">
            <v>2144091.67</v>
          </cell>
          <cell r="AG24">
            <v>186986.97</v>
          </cell>
          <cell r="AH24">
            <v>183248</v>
          </cell>
          <cell r="AI24">
            <v>0</v>
          </cell>
          <cell r="AJ24">
            <v>3740</v>
          </cell>
          <cell r="AK24">
            <v>373974.97</v>
          </cell>
          <cell r="AL24">
            <v>652225</v>
          </cell>
          <cell r="AM24">
            <v>639180</v>
          </cell>
          <cell r="AN24">
            <v>0</v>
          </cell>
          <cell r="AO24">
            <v>13044</v>
          </cell>
          <cell r="AP24">
            <v>1304449</v>
          </cell>
          <cell r="AQ24">
            <v>-11871</v>
          </cell>
          <cell r="AR24">
            <v>-11633</v>
          </cell>
          <cell r="AS24">
            <v>0</v>
          </cell>
          <cell r="AT24">
            <v>-237</v>
          </cell>
          <cell r="AU24">
            <v>-23741</v>
          </cell>
          <cell r="AV24">
            <v>640354</v>
          </cell>
          <cell r="AW24">
            <v>627547</v>
          </cell>
          <cell r="AX24">
            <v>0</v>
          </cell>
          <cell r="AY24">
            <v>12807</v>
          </cell>
          <cell r="AZ24">
            <v>1280708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319000</v>
          </cell>
          <cell r="BG24">
            <v>312620</v>
          </cell>
          <cell r="BH24">
            <v>0</v>
          </cell>
          <cell r="BI24">
            <v>6380</v>
          </cell>
          <cell r="BJ24">
            <v>638000</v>
          </cell>
          <cell r="BK24">
            <v>319000</v>
          </cell>
          <cell r="BL24">
            <v>312620</v>
          </cell>
          <cell r="BM24">
            <v>0</v>
          </cell>
          <cell r="BN24">
            <v>6380</v>
          </cell>
          <cell r="BO24">
            <v>638000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781000</v>
          </cell>
          <cell r="BV24">
            <v>765380</v>
          </cell>
          <cell r="BW24">
            <v>0</v>
          </cell>
          <cell r="BX24">
            <v>15620</v>
          </cell>
          <cell r="BY24">
            <v>1562000</v>
          </cell>
          <cell r="BZ24">
            <v>781000</v>
          </cell>
          <cell r="CA24">
            <v>765380</v>
          </cell>
          <cell r="CB24">
            <v>0</v>
          </cell>
          <cell r="CC24">
            <v>15620</v>
          </cell>
          <cell r="CD24">
            <v>1562000</v>
          </cell>
        </row>
        <row r="25">
          <cell r="A25">
            <v>18</v>
          </cell>
          <cell r="B25" t="str">
            <v>E5032</v>
          </cell>
          <cell r="C25" t="str">
            <v>OLB</v>
          </cell>
          <cell r="D25" t="str">
            <v>L</v>
          </cell>
          <cell r="E25" t="str">
            <v>Bexley</v>
          </cell>
          <cell r="F25">
            <v>30756607</v>
          </cell>
          <cell r="G25">
            <v>18453965</v>
          </cell>
          <cell r="H25">
            <v>12302643</v>
          </cell>
          <cell r="I25">
            <v>0</v>
          </cell>
          <cell r="J25">
            <v>61513215</v>
          </cell>
          <cell r="K25">
            <v>0</v>
          </cell>
          <cell r="L25">
            <v>0</v>
          </cell>
          <cell r="M25">
            <v>30756607</v>
          </cell>
          <cell r="N25">
            <v>61513215</v>
          </cell>
          <cell r="O25">
            <v>263898</v>
          </cell>
          <cell r="P25">
            <v>263898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1209351</v>
          </cell>
          <cell r="AC25">
            <v>725610</v>
          </cell>
          <cell r="AD25">
            <v>483740</v>
          </cell>
          <cell r="AE25">
            <v>0</v>
          </cell>
          <cell r="AF25">
            <v>2418701</v>
          </cell>
          <cell r="AG25">
            <v>1519782</v>
          </cell>
          <cell r="AH25">
            <v>911870</v>
          </cell>
          <cell r="AI25">
            <v>607913</v>
          </cell>
          <cell r="AJ25">
            <v>0</v>
          </cell>
          <cell r="AK25">
            <v>3039565</v>
          </cell>
          <cell r="AL25">
            <v>1108000</v>
          </cell>
          <cell r="AM25">
            <v>664800</v>
          </cell>
          <cell r="AN25">
            <v>443200</v>
          </cell>
          <cell r="AO25">
            <v>0</v>
          </cell>
          <cell r="AP25">
            <v>2216000</v>
          </cell>
          <cell r="AQ25">
            <v>-79500</v>
          </cell>
          <cell r="AR25">
            <v>-47700</v>
          </cell>
          <cell r="AS25">
            <v>-31800</v>
          </cell>
          <cell r="AT25">
            <v>0</v>
          </cell>
          <cell r="AU25">
            <v>-159000</v>
          </cell>
          <cell r="AV25">
            <v>1028500</v>
          </cell>
          <cell r="AW25">
            <v>617100</v>
          </cell>
          <cell r="AX25">
            <v>411400</v>
          </cell>
          <cell r="AY25">
            <v>0</v>
          </cell>
          <cell r="AZ25">
            <v>2057000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609826</v>
          </cell>
          <cell r="BG25">
            <v>365896</v>
          </cell>
          <cell r="BH25">
            <v>243930</v>
          </cell>
          <cell r="BI25">
            <v>0</v>
          </cell>
          <cell r="BJ25">
            <v>1219652</v>
          </cell>
          <cell r="BK25">
            <v>609826</v>
          </cell>
          <cell r="BL25">
            <v>365896</v>
          </cell>
          <cell r="BM25">
            <v>243930</v>
          </cell>
          <cell r="BN25">
            <v>0</v>
          </cell>
          <cell r="BO25">
            <v>1219652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2108519</v>
          </cell>
          <cell r="BV25">
            <v>1265112</v>
          </cell>
          <cell r="BW25">
            <v>843408</v>
          </cell>
          <cell r="BX25">
            <v>0</v>
          </cell>
          <cell r="BY25">
            <v>4217039</v>
          </cell>
          <cell r="BZ25">
            <v>2108519</v>
          </cell>
          <cell r="CA25">
            <v>1265112</v>
          </cell>
          <cell r="CB25">
            <v>843408</v>
          </cell>
          <cell r="CC25">
            <v>0</v>
          </cell>
          <cell r="CD25">
            <v>4217039</v>
          </cell>
        </row>
        <row r="26">
          <cell r="A26">
            <v>19</v>
          </cell>
          <cell r="B26" t="str">
            <v>E4601</v>
          </cell>
          <cell r="C26" t="str">
            <v>Met</v>
          </cell>
          <cell r="D26" t="str">
            <v>WM</v>
          </cell>
          <cell r="E26" t="str">
            <v>Birmingham</v>
          </cell>
          <cell r="F26">
            <v>179727136</v>
          </cell>
          <cell r="G26">
            <v>176132593</v>
          </cell>
          <cell r="H26">
            <v>0</v>
          </cell>
          <cell r="I26">
            <v>3594543</v>
          </cell>
          <cell r="J26">
            <v>359454272</v>
          </cell>
          <cell r="K26">
            <v>258556</v>
          </cell>
          <cell r="L26">
            <v>258556</v>
          </cell>
          <cell r="M26">
            <v>179468580</v>
          </cell>
          <cell r="N26">
            <v>359195716</v>
          </cell>
          <cell r="O26">
            <v>1925174</v>
          </cell>
          <cell r="P26">
            <v>1925174</v>
          </cell>
          <cell r="Q26">
            <v>270833</v>
          </cell>
          <cell r="R26">
            <v>270833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258556</v>
          </cell>
          <cell r="Y26">
            <v>0</v>
          </cell>
          <cell r="Z26">
            <v>0</v>
          </cell>
          <cell r="AA26">
            <v>258556</v>
          </cell>
          <cell r="AB26">
            <v>49059087</v>
          </cell>
          <cell r="AC26">
            <v>48077905</v>
          </cell>
          <cell r="AD26">
            <v>0</v>
          </cell>
          <cell r="AE26">
            <v>981182</v>
          </cell>
          <cell r="AF26">
            <v>98118174</v>
          </cell>
          <cell r="AG26">
            <v>17098815</v>
          </cell>
          <cell r="AH26">
            <v>16756839</v>
          </cell>
          <cell r="AI26">
            <v>0</v>
          </cell>
          <cell r="AJ26">
            <v>341976</v>
          </cell>
          <cell r="AK26">
            <v>34197630</v>
          </cell>
          <cell r="AL26">
            <v>25401237</v>
          </cell>
          <cell r="AM26">
            <v>24893213</v>
          </cell>
          <cell r="AN26">
            <v>0</v>
          </cell>
          <cell r="AO26">
            <v>508025</v>
          </cell>
          <cell r="AP26">
            <v>50802475</v>
          </cell>
          <cell r="AQ26">
            <v>2319582</v>
          </cell>
          <cell r="AR26">
            <v>2273191</v>
          </cell>
          <cell r="AS26">
            <v>0</v>
          </cell>
          <cell r="AT26">
            <v>46392</v>
          </cell>
          <cell r="AU26">
            <v>4639165</v>
          </cell>
          <cell r="AV26">
            <v>27720819</v>
          </cell>
          <cell r="AW26">
            <v>27166404</v>
          </cell>
          <cell r="AX26">
            <v>0</v>
          </cell>
          <cell r="AY26">
            <v>554417</v>
          </cell>
          <cell r="AZ26">
            <v>55441640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5709480</v>
          </cell>
          <cell r="BG26">
            <v>5595291</v>
          </cell>
          <cell r="BH26">
            <v>0</v>
          </cell>
          <cell r="BI26">
            <v>114190</v>
          </cell>
          <cell r="BJ26">
            <v>11418961</v>
          </cell>
          <cell r="BK26">
            <v>5709480</v>
          </cell>
          <cell r="BL26">
            <v>5595291</v>
          </cell>
          <cell r="BM26">
            <v>0</v>
          </cell>
          <cell r="BN26">
            <v>114190</v>
          </cell>
          <cell r="BO26">
            <v>11418961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16000465</v>
          </cell>
          <cell r="BV26">
            <v>15680455</v>
          </cell>
          <cell r="BW26">
            <v>0</v>
          </cell>
          <cell r="BX26">
            <v>320009</v>
          </cell>
          <cell r="BY26">
            <v>32000929</v>
          </cell>
          <cell r="BZ26">
            <v>16000465</v>
          </cell>
          <cell r="CA26">
            <v>15680455</v>
          </cell>
          <cell r="CB26">
            <v>0</v>
          </cell>
          <cell r="CC26">
            <v>320009</v>
          </cell>
          <cell r="CD26">
            <v>32000929</v>
          </cell>
        </row>
        <row r="27">
          <cell r="A27">
            <v>20</v>
          </cell>
          <cell r="B27" t="str">
            <v>E2431</v>
          </cell>
          <cell r="C27" t="str">
            <v>SD</v>
          </cell>
          <cell r="D27" t="str">
            <v>EM</v>
          </cell>
          <cell r="E27" t="str">
            <v>Blaby</v>
          </cell>
          <cell r="F27">
            <v>18464401</v>
          </cell>
          <cell r="G27">
            <v>14771520</v>
          </cell>
          <cell r="H27">
            <v>3323592</v>
          </cell>
          <cell r="I27">
            <v>369288</v>
          </cell>
          <cell r="J27">
            <v>36928801</v>
          </cell>
          <cell r="K27">
            <v>0</v>
          </cell>
          <cell r="L27">
            <v>0</v>
          </cell>
          <cell r="M27">
            <v>18464401</v>
          </cell>
          <cell r="N27">
            <v>36928801</v>
          </cell>
          <cell r="O27">
            <v>101281</v>
          </cell>
          <cell r="P27">
            <v>101281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481188</v>
          </cell>
          <cell r="AC27">
            <v>384950</v>
          </cell>
          <cell r="AD27">
            <v>86614</v>
          </cell>
          <cell r="AE27">
            <v>9624</v>
          </cell>
          <cell r="AF27">
            <v>962376</v>
          </cell>
          <cell r="AG27">
            <v>-244731</v>
          </cell>
          <cell r="AH27">
            <v>-195785</v>
          </cell>
          <cell r="AI27">
            <v>-44052</v>
          </cell>
          <cell r="AJ27">
            <v>-4895</v>
          </cell>
          <cell r="AK27">
            <v>-489463</v>
          </cell>
          <cell r="AL27">
            <v>224707</v>
          </cell>
          <cell r="AM27">
            <v>179765</v>
          </cell>
          <cell r="AN27">
            <v>40447</v>
          </cell>
          <cell r="AO27">
            <v>4494</v>
          </cell>
          <cell r="AP27">
            <v>449413</v>
          </cell>
          <cell r="AQ27">
            <v>-103795</v>
          </cell>
          <cell r="AR27">
            <v>-83036</v>
          </cell>
          <cell r="AS27">
            <v>-18683</v>
          </cell>
          <cell r="AT27">
            <v>-2076</v>
          </cell>
          <cell r="AU27">
            <v>-207590</v>
          </cell>
          <cell r="AV27">
            <v>120912</v>
          </cell>
          <cell r="AW27">
            <v>96729</v>
          </cell>
          <cell r="AX27">
            <v>21764</v>
          </cell>
          <cell r="AY27">
            <v>2418</v>
          </cell>
          <cell r="AZ27">
            <v>241823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397709</v>
          </cell>
          <cell r="BG27">
            <v>318166</v>
          </cell>
          <cell r="BH27">
            <v>71587</v>
          </cell>
          <cell r="BI27">
            <v>7954</v>
          </cell>
          <cell r="BJ27">
            <v>795416</v>
          </cell>
          <cell r="BK27">
            <v>397709</v>
          </cell>
          <cell r="BL27">
            <v>318166</v>
          </cell>
          <cell r="BM27">
            <v>71587</v>
          </cell>
          <cell r="BN27">
            <v>7954</v>
          </cell>
          <cell r="BO27">
            <v>795416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988506</v>
          </cell>
          <cell r="BV27">
            <v>790804</v>
          </cell>
          <cell r="BW27">
            <v>177931</v>
          </cell>
          <cell r="BX27">
            <v>19770</v>
          </cell>
          <cell r="BY27">
            <v>1977011</v>
          </cell>
          <cell r="BZ27">
            <v>988506</v>
          </cell>
          <cell r="CA27">
            <v>790804</v>
          </cell>
          <cell r="CB27">
            <v>177931</v>
          </cell>
          <cell r="CC27">
            <v>19770</v>
          </cell>
          <cell r="CD27">
            <v>1977011</v>
          </cell>
        </row>
        <row r="28">
          <cell r="A28">
            <v>21</v>
          </cell>
          <cell r="B28" t="str">
            <v>E2301</v>
          </cell>
          <cell r="C28" t="str">
            <v>UA</v>
          </cell>
          <cell r="D28" t="str">
            <v>NW</v>
          </cell>
          <cell r="E28" t="str">
            <v>Blackburn with Darwen UA</v>
          </cell>
          <cell r="F28">
            <v>21005555</v>
          </cell>
          <cell r="G28">
            <v>20585444</v>
          </cell>
          <cell r="H28">
            <v>0</v>
          </cell>
          <cell r="I28">
            <v>420111</v>
          </cell>
          <cell r="J28">
            <v>42011110</v>
          </cell>
          <cell r="K28">
            <v>0</v>
          </cell>
          <cell r="L28">
            <v>0</v>
          </cell>
          <cell r="M28">
            <v>21005555</v>
          </cell>
          <cell r="N28">
            <v>42011110</v>
          </cell>
          <cell r="O28">
            <v>252639</v>
          </cell>
          <cell r="P28">
            <v>252639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1372986</v>
          </cell>
          <cell r="AC28">
            <v>1345526</v>
          </cell>
          <cell r="AD28">
            <v>0</v>
          </cell>
          <cell r="AE28">
            <v>27460</v>
          </cell>
          <cell r="AF28">
            <v>2745972</v>
          </cell>
          <cell r="AG28">
            <v>298176</v>
          </cell>
          <cell r="AH28">
            <v>292212</v>
          </cell>
          <cell r="AI28">
            <v>0</v>
          </cell>
          <cell r="AJ28">
            <v>5964</v>
          </cell>
          <cell r="AK28">
            <v>596352</v>
          </cell>
          <cell r="AL28">
            <v>509586</v>
          </cell>
          <cell r="AM28">
            <v>499395</v>
          </cell>
          <cell r="AN28">
            <v>0</v>
          </cell>
          <cell r="AO28">
            <v>10192</v>
          </cell>
          <cell r="AP28">
            <v>1019173</v>
          </cell>
          <cell r="AQ28">
            <v>211914</v>
          </cell>
          <cell r="AR28">
            <v>207675</v>
          </cell>
          <cell r="AS28">
            <v>0</v>
          </cell>
          <cell r="AT28">
            <v>4238</v>
          </cell>
          <cell r="AU28">
            <v>423827</v>
          </cell>
          <cell r="AV28">
            <v>721500</v>
          </cell>
          <cell r="AW28">
            <v>707070</v>
          </cell>
          <cell r="AX28">
            <v>0</v>
          </cell>
          <cell r="AY28">
            <v>14430</v>
          </cell>
          <cell r="AZ28">
            <v>1443000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541350</v>
          </cell>
          <cell r="BG28">
            <v>530523</v>
          </cell>
          <cell r="BH28">
            <v>0</v>
          </cell>
          <cell r="BI28">
            <v>10827</v>
          </cell>
          <cell r="BJ28">
            <v>1082700</v>
          </cell>
          <cell r="BK28">
            <v>541350</v>
          </cell>
          <cell r="BL28">
            <v>530523</v>
          </cell>
          <cell r="BM28">
            <v>0</v>
          </cell>
          <cell r="BN28">
            <v>10827</v>
          </cell>
          <cell r="BO28">
            <v>1082700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1248650</v>
          </cell>
          <cell r="BV28">
            <v>1223677</v>
          </cell>
          <cell r="BW28">
            <v>0</v>
          </cell>
          <cell r="BX28">
            <v>24973</v>
          </cell>
          <cell r="BY28">
            <v>2497300</v>
          </cell>
          <cell r="BZ28">
            <v>1248650</v>
          </cell>
          <cell r="CA28">
            <v>1223677</v>
          </cell>
          <cell r="CB28">
            <v>0</v>
          </cell>
          <cell r="CC28">
            <v>24973</v>
          </cell>
          <cell r="CD28">
            <v>2497300</v>
          </cell>
        </row>
        <row r="29">
          <cell r="A29">
            <v>22</v>
          </cell>
          <cell r="B29" t="str">
            <v>E2302</v>
          </cell>
          <cell r="C29" t="str">
            <v>UA</v>
          </cell>
          <cell r="D29" t="str">
            <v>NW</v>
          </cell>
          <cell r="E29" t="str">
            <v>Blackpool UA</v>
          </cell>
          <cell r="F29">
            <v>21529856</v>
          </cell>
          <cell r="G29">
            <v>21099258</v>
          </cell>
          <cell r="H29">
            <v>0</v>
          </cell>
          <cell r="I29">
            <v>430597</v>
          </cell>
          <cell r="J29">
            <v>43059711</v>
          </cell>
          <cell r="K29">
            <v>0</v>
          </cell>
          <cell r="L29">
            <v>0</v>
          </cell>
          <cell r="M29">
            <v>21529856</v>
          </cell>
          <cell r="N29">
            <v>43059711</v>
          </cell>
          <cell r="O29">
            <v>279753</v>
          </cell>
          <cell r="P29">
            <v>279753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2318735</v>
          </cell>
          <cell r="AC29">
            <v>2272361</v>
          </cell>
          <cell r="AD29">
            <v>0</v>
          </cell>
          <cell r="AE29">
            <v>46375</v>
          </cell>
          <cell r="AF29">
            <v>4637471</v>
          </cell>
          <cell r="AG29">
            <v>228170</v>
          </cell>
          <cell r="AH29">
            <v>223607</v>
          </cell>
          <cell r="AI29">
            <v>0</v>
          </cell>
          <cell r="AJ29">
            <v>4563</v>
          </cell>
          <cell r="AK29">
            <v>456340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797616</v>
          </cell>
          <cell r="AR29">
            <v>781663</v>
          </cell>
          <cell r="AS29">
            <v>0</v>
          </cell>
          <cell r="AT29">
            <v>15952</v>
          </cell>
          <cell r="AU29">
            <v>1595231</v>
          </cell>
          <cell r="AV29">
            <v>797616</v>
          </cell>
          <cell r="AW29">
            <v>781663</v>
          </cell>
          <cell r="AX29">
            <v>0</v>
          </cell>
          <cell r="AY29">
            <v>15952</v>
          </cell>
          <cell r="AZ29">
            <v>1595231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642036</v>
          </cell>
          <cell r="BG29">
            <v>629196</v>
          </cell>
          <cell r="BH29">
            <v>0</v>
          </cell>
          <cell r="BI29">
            <v>12841</v>
          </cell>
          <cell r="BJ29">
            <v>1284073</v>
          </cell>
          <cell r="BK29">
            <v>642036</v>
          </cell>
          <cell r="BL29">
            <v>629196</v>
          </cell>
          <cell r="BM29">
            <v>0</v>
          </cell>
          <cell r="BN29">
            <v>12841</v>
          </cell>
          <cell r="BO29">
            <v>1284073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1410422</v>
          </cell>
          <cell r="BV29">
            <v>1382213</v>
          </cell>
          <cell r="BW29">
            <v>0</v>
          </cell>
          <cell r="BX29">
            <v>28208</v>
          </cell>
          <cell r="BY29">
            <v>2820843</v>
          </cell>
          <cell r="BZ29">
            <v>1410422</v>
          </cell>
          <cell r="CA29">
            <v>1382213</v>
          </cell>
          <cell r="CB29">
            <v>0</v>
          </cell>
          <cell r="CC29">
            <v>28208</v>
          </cell>
          <cell r="CD29">
            <v>2820843</v>
          </cell>
        </row>
        <row r="30">
          <cell r="A30">
            <v>23</v>
          </cell>
          <cell r="B30" t="str">
            <v>E1032</v>
          </cell>
          <cell r="C30" t="str">
            <v>SD</v>
          </cell>
          <cell r="D30" t="str">
            <v>EM</v>
          </cell>
          <cell r="E30" t="str">
            <v>Bolsover</v>
          </cell>
          <cell r="F30">
            <v>10188206</v>
          </cell>
          <cell r="G30">
            <v>8150564</v>
          </cell>
          <cell r="H30">
            <v>1833877</v>
          </cell>
          <cell r="I30">
            <v>203764</v>
          </cell>
          <cell r="J30">
            <v>20376411</v>
          </cell>
          <cell r="K30">
            <v>0</v>
          </cell>
          <cell r="L30">
            <v>0</v>
          </cell>
          <cell r="M30">
            <v>10188206</v>
          </cell>
          <cell r="N30">
            <v>20376411</v>
          </cell>
          <cell r="O30">
            <v>93264</v>
          </cell>
          <cell r="P30">
            <v>93264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255358</v>
          </cell>
          <cell r="AC30">
            <v>204286</v>
          </cell>
          <cell r="AD30">
            <v>45964</v>
          </cell>
          <cell r="AE30">
            <v>5107</v>
          </cell>
          <cell r="AF30">
            <v>510715</v>
          </cell>
          <cell r="AG30">
            <v>659172</v>
          </cell>
          <cell r="AH30">
            <v>527337</v>
          </cell>
          <cell r="AI30">
            <v>118651</v>
          </cell>
          <cell r="AJ30">
            <v>13183</v>
          </cell>
          <cell r="AK30">
            <v>1318343</v>
          </cell>
          <cell r="AL30">
            <v>97755</v>
          </cell>
          <cell r="AM30">
            <v>78204</v>
          </cell>
          <cell r="AN30">
            <v>17596</v>
          </cell>
          <cell r="AO30">
            <v>1955</v>
          </cell>
          <cell r="AP30">
            <v>195510</v>
          </cell>
          <cell r="AQ30">
            <v>48033</v>
          </cell>
          <cell r="AR30">
            <v>38427</v>
          </cell>
          <cell r="AS30">
            <v>8646</v>
          </cell>
          <cell r="AT30">
            <v>961</v>
          </cell>
          <cell r="AU30">
            <v>96067</v>
          </cell>
          <cell r="AV30">
            <v>145788</v>
          </cell>
          <cell r="AW30">
            <v>116631</v>
          </cell>
          <cell r="AX30">
            <v>26242</v>
          </cell>
          <cell r="AY30">
            <v>2916</v>
          </cell>
          <cell r="AZ30">
            <v>291577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76892</v>
          </cell>
          <cell r="BG30">
            <v>61513</v>
          </cell>
          <cell r="BH30">
            <v>13840</v>
          </cell>
          <cell r="BI30">
            <v>1538</v>
          </cell>
          <cell r="BJ30">
            <v>153783</v>
          </cell>
          <cell r="BK30">
            <v>76892</v>
          </cell>
          <cell r="BL30">
            <v>61513</v>
          </cell>
          <cell r="BM30">
            <v>13840</v>
          </cell>
          <cell r="BN30">
            <v>1538</v>
          </cell>
          <cell r="BO30">
            <v>153783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303637</v>
          </cell>
          <cell r="BV30">
            <v>242910</v>
          </cell>
          <cell r="BW30">
            <v>54655</v>
          </cell>
          <cell r="BX30">
            <v>6073</v>
          </cell>
          <cell r="BY30">
            <v>607275</v>
          </cell>
          <cell r="BZ30">
            <v>303637</v>
          </cell>
          <cell r="CA30">
            <v>242910</v>
          </cell>
          <cell r="CB30">
            <v>54655</v>
          </cell>
          <cell r="CC30">
            <v>6073</v>
          </cell>
          <cell r="CD30">
            <v>607275</v>
          </cell>
        </row>
        <row r="31">
          <cell r="A31">
            <v>24</v>
          </cell>
          <cell r="B31" t="str">
            <v>E4201</v>
          </cell>
          <cell r="C31" t="str">
            <v>Met</v>
          </cell>
          <cell r="D31" t="str">
            <v>NW</v>
          </cell>
          <cell r="E31" t="str">
            <v>Bolton</v>
          </cell>
          <cell r="F31">
            <v>35722459</v>
          </cell>
          <cell r="G31">
            <v>35008010</v>
          </cell>
          <cell r="H31">
            <v>0</v>
          </cell>
          <cell r="I31">
            <v>714449</v>
          </cell>
          <cell r="J31">
            <v>71444918</v>
          </cell>
          <cell r="K31">
            <v>0</v>
          </cell>
          <cell r="L31">
            <v>0</v>
          </cell>
          <cell r="M31">
            <v>35722459</v>
          </cell>
          <cell r="N31">
            <v>71444918</v>
          </cell>
          <cell r="O31">
            <v>407353</v>
          </cell>
          <cell r="P31">
            <v>407353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3549931</v>
          </cell>
          <cell r="AC31">
            <v>3478933</v>
          </cell>
          <cell r="AD31">
            <v>0</v>
          </cell>
          <cell r="AE31">
            <v>70999</v>
          </cell>
          <cell r="AF31">
            <v>7099863</v>
          </cell>
          <cell r="AG31">
            <v>155688</v>
          </cell>
          <cell r="AH31">
            <v>152574</v>
          </cell>
          <cell r="AI31">
            <v>0</v>
          </cell>
          <cell r="AJ31">
            <v>3114</v>
          </cell>
          <cell r="AK31">
            <v>311376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2080573</v>
          </cell>
          <cell r="AR31">
            <v>2038961</v>
          </cell>
          <cell r="AS31">
            <v>0</v>
          </cell>
          <cell r="AT31">
            <v>41611</v>
          </cell>
          <cell r="AU31">
            <v>4161145</v>
          </cell>
          <cell r="AV31">
            <v>2080573</v>
          </cell>
          <cell r="AW31">
            <v>2038961</v>
          </cell>
          <cell r="AX31">
            <v>0</v>
          </cell>
          <cell r="AY31">
            <v>41611</v>
          </cell>
          <cell r="AZ31">
            <v>4161145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1039079</v>
          </cell>
          <cell r="BG31">
            <v>1018298</v>
          </cell>
          <cell r="BH31">
            <v>0</v>
          </cell>
          <cell r="BI31">
            <v>20782</v>
          </cell>
          <cell r="BJ31">
            <v>2078159</v>
          </cell>
          <cell r="BK31">
            <v>1039079</v>
          </cell>
          <cell r="BL31">
            <v>1018298</v>
          </cell>
          <cell r="BM31">
            <v>0</v>
          </cell>
          <cell r="BN31">
            <v>20782</v>
          </cell>
          <cell r="BO31">
            <v>2078159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3041969</v>
          </cell>
          <cell r="BV31">
            <v>2981129</v>
          </cell>
          <cell r="BW31">
            <v>0</v>
          </cell>
          <cell r="BX31">
            <v>60839</v>
          </cell>
          <cell r="BY31">
            <v>6083937</v>
          </cell>
          <cell r="BZ31">
            <v>3041969</v>
          </cell>
          <cell r="CA31">
            <v>2981129</v>
          </cell>
          <cell r="CB31">
            <v>0</v>
          </cell>
          <cell r="CC31">
            <v>60839</v>
          </cell>
          <cell r="CD31">
            <v>6083937</v>
          </cell>
        </row>
        <row r="32">
          <cell r="A32">
            <v>25</v>
          </cell>
          <cell r="B32" t="str">
            <v>E2531</v>
          </cell>
          <cell r="C32" t="str">
            <v>SD</v>
          </cell>
          <cell r="D32" t="str">
            <v>EM</v>
          </cell>
          <cell r="E32" t="str">
            <v>Boston</v>
          </cell>
          <cell r="F32">
            <v>8325706</v>
          </cell>
          <cell r="G32">
            <v>6660565</v>
          </cell>
          <cell r="H32">
            <v>1665141</v>
          </cell>
          <cell r="I32">
            <v>0</v>
          </cell>
          <cell r="J32">
            <v>16651412</v>
          </cell>
          <cell r="K32">
            <v>0</v>
          </cell>
          <cell r="L32">
            <v>0</v>
          </cell>
          <cell r="M32">
            <v>8325706</v>
          </cell>
          <cell r="N32">
            <v>16651412</v>
          </cell>
          <cell r="O32">
            <v>87470</v>
          </cell>
          <cell r="P32">
            <v>87470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533574</v>
          </cell>
          <cell r="AC32">
            <v>426859</v>
          </cell>
          <cell r="AD32">
            <v>106715</v>
          </cell>
          <cell r="AE32">
            <v>0</v>
          </cell>
          <cell r="AF32">
            <v>1067148</v>
          </cell>
          <cell r="AG32">
            <v>175246.45</v>
          </cell>
          <cell r="AH32">
            <v>140197</v>
          </cell>
          <cell r="AI32">
            <v>35049</v>
          </cell>
          <cell r="AJ32">
            <v>0</v>
          </cell>
          <cell r="AK32">
            <v>350492.45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165574</v>
          </cell>
          <cell r="AR32">
            <v>132459</v>
          </cell>
          <cell r="AS32">
            <v>33115</v>
          </cell>
          <cell r="AT32">
            <v>0</v>
          </cell>
          <cell r="AU32">
            <v>331148</v>
          </cell>
          <cell r="AV32">
            <v>165574</v>
          </cell>
          <cell r="AW32">
            <v>132459</v>
          </cell>
          <cell r="AX32">
            <v>33115</v>
          </cell>
          <cell r="AY32">
            <v>0</v>
          </cell>
          <cell r="AZ32">
            <v>331148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153850</v>
          </cell>
          <cell r="BG32">
            <v>123080</v>
          </cell>
          <cell r="BH32">
            <v>30770</v>
          </cell>
          <cell r="BI32">
            <v>0</v>
          </cell>
          <cell r="BJ32">
            <v>307700</v>
          </cell>
          <cell r="BK32">
            <v>153850</v>
          </cell>
          <cell r="BL32">
            <v>123080</v>
          </cell>
          <cell r="BM32">
            <v>30770</v>
          </cell>
          <cell r="BN32">
            <v>0</v>
          </cell>
          <cell r="BO32">
            <v>307700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552007</v>
          </cell>
          <cell r="BV32">
            <v>441605</v>
          </cell>
          <cell r="BW32">
            <v>110401</v>
          </cell>
          <cell r="BX32">
            <v>0</v>
          </cell>
          <cell r="BY32">
            <v>1104013</v>
          </cell>
          <cell r="BZ32">
            <v>552007</v>
          </cell>
          <cell r="CA32">
            <v>441605</v>
          </cell>
          <cell r="CB32">
            <v>110401</v>
          </cell>
          <cell r="CC32">
            <v>0</v>
          </cell>
          <cell r="CD32">
            <v>1104013</v>
          </cell>
        </row>
        <row r="33">
          <cell r="A33">
            <v>26</v>
          </cell>
          <cell r="B33" t="str">
            <v>E1202</v>
          </cell>
          <cell r="C33" t="str">
            <v>UA</v>
          </cell>
          <cell r="D33" t="str">
            <v>SW</v>
          </cell>
          <cell r="E33" t="str">
            <v>Bournemouth UA</v>
          </cell>
          <cell r="F33">
            <v>29675544</v>
          </cell>
          <cell r="G33">
            <v>29082033</v>
          </cell>
          <cell r="H33">
            <v>0</v>
          </cell>
          <cell r="I33">
            <v>593511</v>
          </cell>
          <cell r="J33">
            <v>59351088</v>
          </cell>
          <cell r="K33">
            <v>0</v>
          </cell>
          <cell r="L33">
            <v>0</v>
          </cell>
          <cell r="M33">
            <v>29675544</v>
          </cell>
          <cell r="N33">
            <v>59351088</v>
          </cell>
          <cell r="O33">
            <v>305765</v>
          </cell>
          <cell r="P33">
            <v>305765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360</v>
          </cell>
          <cell r="V33">
            <v>0</v>
          </cell>
          <cell r="W33">
            <v>360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1477816</v>
          </cell>
          <cell r="AC33">
            <v>1448260</v>
          </cell>
          <cell r="AD33">
            <v>0</v>
          </cell>
          <cell r="AE33">
            <v>29556</v>
          </cell>
          <cell r="AF33">
            <v>2955632</v>
          </cell>
          <cell r="AG33">
            <v>363494</v>
          </cell>
          <cell r="AH33">
            <v>356224</v>
          </cell>
          <cell r="AI33">
            <v>0</v>
          </cell>
          <cell r="AJ33">
            <v>7270</v>
          </cell>
          <cell r="AK33">
            <v>726988</v>
          </cell>
          <cell r="AL33">
            <v>815618</v>
          </cell>
          <cell r="AM33">
            <v>799306</v>
          </cell>
          <cell r="AN33">
            <v>0</v>
          </cell>
          <cell r="AO33">
            <v>16312</v>
          </cell>
          <cell r="AP33">
            <v>1631236</v>
          </cell>
          <cell r="AQ33">
            <v>-108611</v>
          </cell>
          <cell r="AR33">
            <v>-106438</v>
          </cell>
          <cell r="AS33">
            <v>0</v>
          </cell>
          <cell r="AT33">
            <v>-2172</v>
          </cell>
          <cell r="AU33">
            <v>-217221</v>
          </cell>
          <cell r="AV33">
            <v>707007</v>
          </cell>
          <cell r="AW33">
            <v>692868</v>
          </cell>
          <cell r="AX33">
            <v>0</v>
          </cell>
          <cell r="AY33">
            <v>14140</v>
          </cell>
          <cell r="AZ33">
            <v>1414015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375000</v>
          </cell>
          <cell r="BG33">
            <v>367500</v>
          </cell>
          <cell r="BH33">
            <v>0</v>
          </cell>
          <cell r="BI33">
            <v>7500</v>
          </cell>
          <cell r="BJ33">
            <v>750000</v>
          </cell>
          <cell r="BK33">
            <v>375000</v>
          </cell>
          <cell r="BL33">
            <v>367500</v>
          </cell>
          <cell r="BM33">
            <v>0</v>
          </cell>
          <cell r="BN33">
            <v>7500</v>
          </cell>
          <cell r="BO33">
            <v>750000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1000000</v>
          </cell>
          <cell r="BV33">
            <v>980000</v>
          </cell>
          <cell r="BW33">
            <v>0</v>
          </cell>
          <cell r="BX33">
            <v>20000</v>
          </cell>
          <cell r="BY33">
            <v>2000000</v>
          </cell>
          <cell r="BZ33">
            <v>1000000</v>
          </cell>
          <cell r="CA33">
            <v>980000</v>
          </cell>
          <cell r="CB33">
            <v>0</v>
          </cell>
          <cell r="CC33">
            <v>20000</v>
          </cell>
          <cell r="CD33">
            <v>2000000</v>
          </cell>
        </row>
        <row r="34">
          <cell r="A34">
            <v>27</v>
          </cell>
          <cell r="B34" t="str">
            <v>E0301</v>
          </cell>
          <cell r="C34" t="str">
            <v>UA</v>
          </cell>
          <cell r="D34" t="str">
            <v>SE</v>
          </cell>
          <cell r="E34" t="str">
            <v>Bracknell Forest UA</v>
          </cell>
          <cell r="F34">
            <v>32691113</v>
          </cell>
          <cell r="G34">
            <v>32037291</v>
          </cell>
          <cell r="H34">
            <v>0</v>
          </cell>
          <cell r="I34">
            <v>653822</v>
          </cell>
          <cell r="J34">
            <v>65382226</v>
          </cell>
          <cell r="K34">
            <v>0</v>
          </cell>
          <cell r="L34">
            <v>0</v>
          </cell>
          <cell r="M34">
            <v>32691113</v>
          </cell>
          <cell r="N34">
            <v>65382226</v>
          </cell>
          <cell r="O34">
            <v>143520</v>
          </cell>
          <cell r="P34">
            <v>143520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730</v>
          </cell>
          <cell r="V34">
            <v>0</v>
          </cell>
          <cell r="W34">
            <v>730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1368970</v>
          </cell>
          <cell r="AC34">
            <v>1341590</v>
          </cell>
          <cell r="AD34">
            <v>0</v>
          </cell>
          <cell r="AE34">
            <v>27379</v>
          </cell>
          <cell r="AF34">
            <v>2737939</v>
          </cell>
          <cell r="AG34">
            <v>646825</v>
          </cell>
          <cell r="AH34">
            <v>633889</v>
          </cell>
          <cell r="AI34">
            <v>0</v>
          </cell>
          <cell r="AJ34">
            <v>12937</v>
          </cell>
          <cell r="AK34">
            <v>1293651</v>
          </cell>
          <cell r="AL34">
            <v>760550</v>
          </cell>
          <cell r="AM34">
            <v>745339</v>
          </cell>
          <cell r="AN34">
            <v>0</v>
          </cell>
          <cell r="AO34">
            <v>15211</v>
          </cell>
          <cell r="AP34">
            <v>1521100</v>
          </cell>
          <cell r="AQ34">
            <v>-110900</v>
          </cell>
          <cell r="AR34">
            <v>-108682</v>
          </cell>
          <cell r="AS34">
            <v>0</v>
          </cell>
          <cell r="AT34">
            <v>-2218</v>
          </cell>
          <cell r="AU34">
            <v>-221800</v>
          </cell>
          <cell r="AV34">
            <v>649650</v>
          </cell>
          <cell r="AW34">
            <v>636657</v>
          </cell>
          <cell r="AX34">
            <v>0</v>
          </cell>
          <cell r="AY34">
            <v>12993</v>
          </cell>
          <cell r="AZ34">
            <v>1299300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395594</v>
          </cell>
          <cell r="BG34">
            <v>387683</v>
          </cell>
          <cell r="BH34">
            <v>0</v>
          </cell>
          <cell r="BI34">
            <v>7912</v>
          </cell>
          <cell r="BJ34">
            <v>791189</v>
          </cell>
          <cell r="BK34">
            <v>395594</v>
          </cell>
          <cell r="BL34">
            <v>387683</v>
          </cell>
          <cell r="BM34">
            <v>0</v>
          </cell>
          <cell r="BN34">
            <v>7912</v>
          </cell>
          <cell r="BO34">
            <v>791189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1963029</v>
          </cell>
          <cell r="BV34">
            <v>1923768</v>
          </cell>
          <cell r="BW34">
            <v>0</v>
          </cell>
          <cell r="BX34">
            <v>39261</v>
          </cell>
          <cell r="BY34">
            <v>3926058</v>
          </cell>
          <cell r="BZ34">
            <v>1963029</v>
          </cell>
          <cell r="CA34">
            <v>1923768</v>
          </cell>
          <cell r="CB34">
            <v>0</v>
          </cell>
          <cell r="CC34">
            <v>39261</v>
          </cell>
          <cell r="CD34">
            <v>3926058</v>
          </cell>
        </row>
        <row r="35">
          <cell r="A35">
            <v>28</v>
          </cell>
          <cell r="B35" t="str">
            <v>E4701</v>
          </cell>
          <cell r="C35" t="str">
            <v>Met</v>
          </cell>
          <cell r="D35" t="str">
            <v>YH</v>
          </cell>
          <cell r="E35" t="str">
            <v>Bradford</v>
          </cell>
          <cell r="F35">
            <v>61267183</v>
          </cell>
          <cell r="G35">
            <v>60041840</v>
          </cell>
          <cell r="H35">
            <v>0</v>
          </cell>
          <cell r="I35">
            <v>1225344</v>
          </cell>
          <cell r="J35">
            <v>122534367</v>
          </cell>
          <cell r="K35">
            <v>0</v>
          </cell>
          <cell r="L35">
            <v>0</v>
          </cell>
          <cell r="M35">
            <v>61267183</v>
          </cell>
          <cell r="N35">
            <v>122534367</v>
          </cell>
          <cell r="O35">
            <v>734055</v>
          </cell>
          <cell r="P35">
            <v>734055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5107571</v>
          </cell>
          <cell r="AC35">
            <v>5005420</v>
          </cell>
          <cell r="AD35">
            <v>0</v>
          </cell>
          <cell r="AE35">
            <v>102151</v>
          </cell>
          <cell r="AF35">
            <v>10215142</v>
          </cell>
          <cell r="AG35">
            <v>483613</v>
          </cell>
          <cell r="AH35">
            <v>473941</v>
          </cell>
          <cell r="AI35">
            <v>0</v>
          </cell>
          <cell r="AJ35">
            <v>9672</v>
          </cell>
          <cell r="AK35">
            <v>967226</v>
          </cell>
          <cell r="AL35">
            <v>2187312</v>
          </cell>
          <cell r="AM35">
            <v>2143565</v>
          </cell>
          <cell r="AN35">
            <v>0</v>
          </cell>
          <cell r="AO35">
            <v>43746</v>
          </cell>
          <cell r="AP35">
            <v>4374623</v>
          </cell>
          <cell r="AQ35">
            <v>323491</v>
          </cell>
          <cell r="AR35">
            <v>317021</v>
          </cell>
          <cell r="AS35">
            <v>0</v>
          </cell>
          <cell r="AT35">
            <v>6470</v>
          </cell>
          <cell r="AU35">
            <v>646982</v>
          </cell>
          <cell r="AV35">
            <v>2510803</v>
          </cell>
          <cell r="AW35">
            <v>2460586</v>
          </cell>
          <cell r="AX35">
            <v>0</v>
          </cell>
          <cell r="AY35">
            <v>50216</v>
          </cell>
          <cell r="AZ35">
            <v>5021605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1632580</v>
          </cell>
          <cell r="BG35">
            <v>1599928</v>
          </cell>
          <cell r="BH35">
            <v>0</v>
          </cell>
          <cell r="BI35">
            <v>32652</v>
          </cell>
          <cell r="BJ35">
            <v>3265160</v>
          </cell>
          <cell r="BK35">
            <v>1632580</v>
          </cell>
          <cell r="BL35">
            <v>1599928</v>
          </cell>
          <cell r="BM35">
            <v>0</v>
          </cell>
          <cell r="BN35">
            <v>32652</v>
          </cell>
          <cell r="BO35">
            <v>3265160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4533765</v>
          </cell>
          <cell r="BV35">
            <v>4443090</v>
          </cell>
          <cell r="BW35">
            <v>0</v>
          </cell>
          <cell r="BX35">
            <v>90675</v>
          </cell>
          <cell r="BY35">
            <v>9067530</v>
          </cell>
          <cell r="BZ35">
            <v>4533765</v>
          </cell>
          <cell r="CA35">
            <v>4443090</v>
          </cell>
          <cell r="CB35">
            <v>0</v>
          </cell>
          <cell r="CC35">
            <v>90675</v>
          </cell>
          <cell r="CD35">
            <v>9067530</v>
          </cell>
        </row>
        <row r="36">
          <cell r="A36">
            <v>29</v>
          </cell>
          <cell r="B36" t="str">
            <v>E1532</v>
          </cell>
          <cell r="C36" t="str">
            <v>SD</v>
          </cell>
          <cell r="D36" t="str">
            <v>E</v>
          </cell>
          <cell r="E36" t="str">
            <v>Braintree</v>
          </cell>
          <cell r="F36">
            <v>19232677</v>
          </cell>
          <cell r="G36">
            <v>15386142</v>
          </cell>
          <cell r="H36">
            <v>3461882</v>
          </cell>
          <cell r="I36">
            <v>384654</v>
          </cell>
          <cell r="J36">
            <v>38465355</v>
          </cell>
          <cell r="K36">
            <v>0</v>
          </cell>
          <cell r="L36">
            <v>0</v>
          </cell>
          <cell r="M36">
            <v>19232677</v>
          </cell>
          <cell r="N36">
            <v>38465355</v>
          </cell>
          <cell r="O36">
            <v>186394</v>
          </cell>
          <cell r="P36">
            <v>186394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660489</v>
          </cell>
          <cell r="AC36">
            <v>528391</v>
          </cell>
          <cell r="AD36">
            <v>118888</v>
          </cell>
          <cell r="AE36">
            <v>13210</v>
          </cell>
          <cell r="AF36">
            <v>1320978</v>
          </cell>
          <cell r="AG36">
            <v>353625</v>
          </cell>
          <cell r="AH36">
            <v>282899</v>
          </cell>
          <cell r="AI36">
            <v>63652</v>
          </cell>
          <cell r="AJ36">
            <v>7072</v>
          </cell>
          <cell r="AK36">
            <v>707248</v>
          </cell>
          <cell r="AL36">
            <v>210911</v>
          </cell>
          <cell r="AM36">
            <v>168728</v>
          </cell>
          <cell r="AN36">
            <v>37964</v>
          </cell>
          <cell r="AO36">
            <v>4218</v>
          </cell>
          <cell r="AP36">
            <v>421821</v>
          </cell>
          <cell r="AQ36">
            <v>-8971</v>
          </cell>
          <cell r="AR36">
            <v>-7176</v>
          </cell>
          <cell r="AS36">
            <v>-1615</v>
          </cell>
          <cell r="AT36">
            <v>-179</v>
          </cell>
          <cell r="AU36">
            <v>-17941</v>
          </cell>
          <cell r="AV36">
            <v>201940</v>
          </cell>
          <cell r="AW36">
            <v>161552</v>
          </cell>
          <cell r="AX36">
            <v>36349</v>
          </cell>
          <cell r="AY36">
            <v>4039</v>
          </cell>
          <cell r="AZ36">
            <v>403880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196500</v>
          </cell>
          <cell r="BG36">
            <v>157200</v>
          </cell>
          <cell r="BH36">
            <v>35370</v>
          </cell>
          <cell r="BI36">
            <v>3930</v>
          </cell>
          <cell r="BJ36">
            <v>393000</v>
          </cell>
          <cell r="BK36">
            <v>196500</v>
          </cell>
          <cell r="BL36">
            <v>157200</v>
          </cell>
          <cell r="BM36">
            <v>35370</v>
          </cell>
          <cell r="BN36">
            <v>3930</v>
          </cell>
          <cell r="BO36">
            <v>393000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478500</v>
          </cell>
          <cell r="BV36">
            <v>382800</v>
          </cell>
          <cell r="BW36">
            <v>86130</v>
          </cell>
          <cell r="BX36">
            <v>9570</v>
          </cell>
          <cell r="BY36">
            <v>957000</v>
          </cell>
          <cell r="BZ36">
            <v>478500</v>
          </cell>
          <cell r="CA36">
            <v>382800</v>
          </cell>
          <cell r="CB36">
            <v>86130</v>
          </cell>
          <cell r="CC36">
            <v>9570</v>
          </cell>
          <cell r="CD36">
            <v>957000</v>
          </cell>
        </row>
        <row r="37">
          <cell r="A37">
            <v>30</v>
          </cell>
          <cell r="B37" t="str">
            <v>E2631</v>
          </cell>
          <cell r="C37" t="str">
            <v>SD</v>
          </cell>
          <cell r="D37" t="str">
            <v>E</v>
          </cell>
          <cell r="E37" t="str">
            <v>Breckland</v>
          </cell>
          <cell r="F37">
            <v>13715639</v>
          </cell>
          <cell r="G37">
            <v>10972511</v>
          </cell>
          <cell r="H37">
            <v>2743128</v>
          </cell>
          <cell r="I37">
            <v>0</v>
          </cell>
          <cell r="J37">
            <v>27431278</v>
          </cell>
          <cell r="K37">
            <v>0</v>
          </cell>
          <cell r="L37">
            <v>0</v>
          </cell>
          <cell r="M37">
            <v>13715639</v>
          </cell>
          <cell r="N37">
            <v>27431278</v>
          </cell>
          <cell r="O37">
            <v>167038</v>
          </cell>
          <cell r="P37">
            <v>167038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29673</v>
          </cell>
          <cell r="V37">
            <v>0</v>
          </cell>
          <cell r="W37">
            <v>29673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384489.1</v>
          </cell>
          <cell r="AC37">
            <v>307591</v>
          </cell>
          <cell r="AD37">
            <v>76898</v>
          </cell>
          <cell r="AE37">
            <v>0</v>
          </cell>
          <cell r="AF37">
            <v>768978.1</v>
          </cell>
          <cell r="AG37">
            <v>45185.84</v>
          </cell>
          <cell r="AH37">
            <v>36148</v>
          </cell>
          <cell r="AI37">
            <v>9037</v>
          </cell>
          <cell r="AJ37">
            <v>0</v>
          </cell>
          <cell r="AK37">
            <v>90370.84</v>
          </cell>
          <cell r="AL37">
            <v>100522</v>
          </cell>
          <cell r="AM37">
            <v>80418</v>
          </cell>
          <cell r="AN37">
            <v>20104</v>
          </cell>
          <cell r="AO37">
            <v>0</v>
          </cell>
          <cell r="AP37">
            <v>201044</v>
          </cell>
          <cell r="AQ37">
            <v>23354.54</v>
          </cell>
          <cell r="AR37">
            <v>18683</v>
          </cell>
          <cell r="AS37">
            <v>4671</v>
          </cell>
          <cell r="AT37">
            <v>0</v>
          </cell>
          <cell r="AU37">
            <v>46708.54</v>
          </cell>
          <cell r="AV37">
            <v>123876.54</v>
          </cell>
          <cell r="AW37">
            <v>99101</v>
          </cell>
          <cell r="AX37">
            <v>24775</v>
          </cell>
          <cell r="AY37">
            <v>0</v>
          </cell>
          <cell r="AZ37">
            <v>247752.54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259852</v>
          </cell>
          <cell r="BG37">
            <v>207882</v>
          </cell>
          <cell r="BH37">
            <v>51970</v>
          </cell>
          <cell r="BI37">
            <v>0</v>
          </cell>
          <cell r="BJ37">
            <v>519704</v>
          </cell>
          <cell r="BK37">
            <v>259852</v>
          </cell>
          <cell r="BL37">
            <v>207882</v>
          </cell>
          <cell r="BM37">
            <v>51970</v>
          </cell>
          <cell r="BN37">
            <v>0</v>
          </cell>
          <cell r="BO37">
            <v>519704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632308</v>
          </cell>
          <cell r="BV37">
            <v>505847</v>
          </cell>
          <cell r="BW37">
            <v>126462</v>
          </cell>
          <cell r="BX37">
            <v>0</v>
          </cell>
          <cell r="BY37">
            <v>1264617</v>
          </cell>
          <cell r="BZ37">
            <v>632308</v>
          </cell>
          <cell r="CA37">
            <v>505847</v>
          </cell>
          <cell r="CB37">
            <v>126462</v>
          </cell>
          <cell r="CC37">
            <v>0</v>
          </cell>
          <cell r="CD37">
            <v>1264617</v>
          </cell>
        </row>
        <row r="38">
          <cell r="A38">
            <v>31</v>
          </cell>
          <cell r="B38" t="str">
            <v>E5033</v>
          </cell>
          <cell r="C38" t="str">
            <v>OLB</v>
          </cell>
          <cell r="D38" t="str">
            <v>L</v>
          </cell>
          <cell r="E38" t="str">
            <v>Brent</v>
          </cell>
          <cell r="F38">
            <v>50586367</v>
          </cell>
          <cell r="G38">
            <v>30351820</v>
          </cell>
          <cell r="H38">
            <v>20234547</v>
          </cell>
          <cell r="I38">
            <v>0</v>
          </cell>
          <cell r="J38">
            <v>101172734</v>
          </cell>
          <cell r="K38">
            <v>0</v>
          </cell>
          <cell r="L38">
            <v>0</v>
          </cell>
          <cell r="M38">
            <v>50586367</v>
          </cell>
          <cell r="N38">
            <v>101172734</v>
          </cell>
          <cell r="O38">
            <v>416951</v>
          </cell>
          <cell r="P38">
            <v>416951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2795052</v>
          </cell>
          <cell r="AC38">
            <v>1677032</v>
          </cell>
          <cell r="AD38">
            <v>1118021</v>
          </cell>
          <cell r="AE38">
            <v>0</v>
          </cell>
          <cell r="AF38">
            <v>5590105</v>
          </cell>
          <cell r="AG38">
            <v>1475462</v>
          </cell>
          <cell r="AH38">
            <v>885277</v>
          </cell>
          <cell r="AI38">
            <v>590185</v>
          </cell>
          <cell r="AJ38">
            <v>0</v>
          </cell>
          <cell r="AK38">
            <v>2950924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-95689</v>
          </cell>
          <cell r="AR38">
            <v>-57413</v>
          </cell>
          <cell r="AS38">
            <v>-38276</v>
          </cell>
          <cell r="AT38">
            <v>0</v>
          </cell>
          <cell r="AU38">
            <v>-191378</v>
          </cell>
          <cell r="AV38">
            <v>-95689</v>
          </cell>
          <cell r="AW38">
            <v>-57413</v>
          </cell>
          <cell r="AX38">
            <v>-38276</v>
          </cell>
          <cell r="AY38">
            <v>0</v>
          </cell>
          <cell r="AZ38">
            <v>-191378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807337</v>
          </cell>
          <cell r="BG38">
            <v>484402</v>
          </cell>
          <cell r="BH38">
            <v>322935</v>
          </cell>
          <cell r="BI38">
            <v>0</v>
          </cell>
          <cell r="BJ38">
            <v>1614674</v>
          </cell>
          <cell r="BK38">
            <v>807337</v>
          </cell>
          <cell r="BL38">
            <v>484402</v>
          </cell>
          <cell r="BM38">
            <v>322935</v>
          </cell>
          <cell r="BN38">
            <v>0</v>
          </cell>
          <cell r="BO38">
            <v>1614674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2241167</v>
          </cell>
          <cell r="BV38">
            <v>1344700</v>
          </cell>
          <cell r="BW38">
            <v>896467</v>
          </cell>
          <cell r="BX38">
            <v>0</v>
          </cell>
          <cell r="BY38">
            <v>4482334</v>
          </cell>
          <cell r="BZ38">
            <v>2241167</v>
          </cell>
          <cell r="CA38">
            <v>1344700</v>
          </cell>
          <cell r="CB38">
            <v>896467</v>
          </cell>
          <cell r="CC38">
            <v>0</v>
          </cell>
          <cell r="CD38">
            <v>4482334</v>
          </cell>
        </row>
        <row r="39">
          <cell r="A39">
            <v>32</v>
          </cell>
          <cell r="B39" t="str">
            <v>E1533</v>
          </cell>
          <cell r="C39" t="str">
            <v>SD</v>
          </cell>
          <cell r="D39" t="str">
            <v>E</v>
          </cell>
          <cell r="E39" t="str">
            <v>Brentwood</v>
          </cell>
          <cell r="F39">
            <v>13352752</v>
          </cell>
          <cell r="G39">
            <v>10682202</v>
          </cell>
          <cell r="H39">
            <v>2403495</v>
          </cell>
          <cell r="I39">
            <v>267055</v>
          </cell>
          <cell r="J39">
            <v>26705504</v>
          </cell>
          <cell r="K39">
            <v>0</v>
          </cell>
          <cell r="L39">
            <v>0</v>
          </cell>
          <cell r="M39">
            <v>13352752</v>
          </cell>
          <cell r="N39">
            <v>26705504</v>
          </cell>
          <cell r="O39">
            <v>104553</v>
          </cell>
          <cell r="P39">
            <v>104553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1069645</v>
          </cell>
          <cell r="AC39">
            <v>855716</v>
          </cell>
          <cell r="AD39">
            <v>192536</v>
          </cell>
          <cell r="AE39">
            <v>21393</v>
          </cell>
          <cell r="AF39">
            <v>2139290</v>
          </cell>
          <cell r="AG39">
            <v>224080</v>
          </cell>
          <cell r="AH39">
            <v>179264</v>
          </cell>
          <cell r="AI39">
            <v>40334</v>
          </cell>
          <cell r="AJ39">
            <v>4482</v>
          </cell>
          <cell r="AK39">
            <v>448160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151044</v>
          </cell>
          <cell r="AR39">
            <v>120835</v>
          </cell>
          <cell r="AS39">
            <v>27188</v>
          </cell>
          <cell r="AT39">
            <v>3021</v>
          </cell>
          <cell r="AU39">
            <v>302088</v>
          </cell>
          <cell r="AV39">
            <v>151044</v>
          </cell>
          <cell r="AW39">
            <v>120835</v>
          </cell>
          <cell r="AX39">
            <v>27188</v>
          </cell>
          <cell r="AY39">
            <v>3021</v>
          </cell>
          <cell r="AZ39">
            <v>302088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274161</v>
          </cell>
          <cell r="BG39">
            <v>219328</v>
          </cell>
          <cell r="BH39">
            <v>49349</v>
          </cell>
          <cell r="BI39">
            <v>5483</v>
          </cell>
          <cell r="BJ39">
            <v>548321</v>
          </cell>
          <cell r="BK39">
            <v>274161</v>
          </cell>
          <cell r="BL39">
            <v>219328</v>
          </cell>
          <cell r="BM39">
            <v>49349</v>
          </cell>
          <cell r="BN39">
            <v>5483</v>
          </cell>
          <cell r="BO39">
            <v>548321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753007</v>
          </cell>
          <cell r="BV39">
            <v>602405</v>
          </cell>
          <cell r="BW39">
            <v>135541</v>
          </cell>
          <cell r="BX39">
            <v>15060</v>
          </cell>
          <cell r="BY39">
            <v>1506013</v>
          </cell>
          <cell r="BZ39">
            <v>753007</v>
          </cell>
          <cell r="CA39">
            <v>602405</v>
          </cell>
          <cell r="CB39">
            <v>135541</v>
          </cell>
          <cell r="CC39">
            <v>15060</v>
          </cell>
          <cell r="CD39">
            <v>1506013</v>
          </cell>
        </row>
        <row r="40">
          <cell r="A40">
            <v>33</v>
          </cell>
          <cell r="B40" t="str">
            <v>E1401</v>
          </cell>
          <cell r="C40" t="str">
            <v>UA</v>
          </cell>
          <cell r="D40" t="str">
            <v>SE</v>
          </cell>
          <cell r="E40" t="str">
            <v>Brighton and Hove</v>
          </cell>
          <cell r="F40">
            <v>48769944</v>
          </cell>
          <cell r="G40">
            <v>47794545</v>
          </cell>
          <cell r="H40">
            <v>0</v>
          </cell>
          <cell r="I40">
            <v>975399</v>
          </cell>
          <cell r="J40">
            <v>97539888</v>
          </cell>
          <cell r="K40">
            <v>0</v>
          </cell>
          <cell r="L40">
            <v>0</v>
          </cell>
          <cell r="M40">
            <v>48769944</v>
          </cell>
          <cell r="N40">
            <v>97539888</v>
          </cell>
          <cell r="O40">
            <v>417809</v>
          </cell>
          <cell r="P40">
            <v>417809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2208426</v>
          </cell>
          <cell r="AC40">
            <v>2164258</v>
          </cell>
          <cell r="AD40">
            <v>0</v>
          </cell>
          <cell r="AE40">
            <v>44169</v>
          </cell>
          <cell r="AF40">
            <v>4416853</v>
          </cell>
          <cell r="AG40">
            <v>1742575</v>
          </cell>
          <cell r="AH40">
            <v>1707723</v>
          </cell>
          <cell r="AI40">
            <v>0</v>
          </cell>
          <cell r="AJ40">
            <v>34851</v>
          </cell>
          <cell r="AK40">
            <v>3485149</v>
          </cell>
          <cell r="AL40">
            <v>1057874</v>
          </cell>
          <cell r="AM40">
            <v>1036717</v>
          </cell>
          <cell r="AN40">
            <v>0</v>
          </cell>
          <cell r="AO40">
            <v>21157</v>
          </cell>
          <cell r="AP40">
            <v>2115748</v>
          </cell>
          <cell r="AQ40">
            <v>88013</v>
          </cell>
          <cell r="AR40">
            <v>86252</v>
          </cell>
          <cell r="AS40">
            <v>0</v>
          </cell>
          <cell r="AT40">
            <v>1760</v>
          </cell>
          <cell r="AU40">
            <v>176025</v>
          </cell>
          <cell r="AV40">
            <v>1145887</v>
          </cell>
          <cell r="AW40">
            <v>1122969</v>
          </cell>
          <cell r="AX40">
            <v>0</v>
          </cell>
          <cell r="AY40">
            <v>22917</v>
          </cell>
          <cell r="AZ40">
            <v>2291773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1242126</v>
          </cell>
          <cell r="BG40">
            <v>1217284</v>
          </cell>
          <cell r="BH40">
            <v>0</v>
          </cell>
          <cell r="BI40">
            <v>24843</v>
          </cell>
          <cell r="BJ40">
            <v>2484253</v>
          </cell>
          <cell r="BK40">
            <v>1242126</v>
          </cell>
          <cell r="BL40">
            <v>1217284</v>
          </cell>
          <cell r="BM40">
            <v>0</v>
          </cell>
          <cell r="BN40">
            <v>24843</v>
          </cell>
          <cell r="BO40">
            <v>2484253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1796824</v>
          </cell>
          <cell r="BV40">
            <v>1760888</v>
          </cell>
          <cell r="BW40">
            <v>0</v>
          </cell>
          <cell r="BX40">
            <v>35936</v>
          </cell>
          <cell r="BY40">
            <v>3593648</v>
          </cell>
          <cell r="BZ40">
            <v>1796824</v>
          </cell>
          <cell r="CA40">
            <v>1760888</v>
          </cell>
          <cell r="CB40">
            <v>0</v>
          </cell>
          <cell r="CC40">
            <v>35936</v>
          </cell>
          <cell r="CD40">
            <v>3593648</v>
          </cell>
        </row>
        <row r="41">
          <cell r="A41">
            <v>34</v>
          </cell>
          <cell r="B41" t="str">
            <v>E0102</v>
          </cell>
          <cell r="C41" t="str">
            <v>UA</v>
          </cell>
          <cell r="D41" t="str">
            <v>SW</v>
          </cell>
          <cell r="E41" t="str">
            <v>Bristol</v>
          </cell>
          <cell r="F41">
            <v>95788671</v>
          </cell>
          <cell r="G41">
            <v>93872898</v>
          </cell>
          <cell r="H41">
            <v>0</v>
          </cell>
          <cell r="I41">
            <v>1915773</v>
          </cell>
          <cell r="J41">
            <v>191577342</v>
          </cell>
          <cell r="K41">
            <v>341768</v>
          </cell>
          <cell r="L41">
            <v>341768</v>
          </cell>
          <cell r="M41">
            <v>95446903</v>
          </cell>
          <cell r="N41">
            <v>191235574</v>
          </cell>
          <cell r="O41">
            <v>720617</v>
          </cell>
          <cell r="P41">
            <v>720617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221</v>
          </cell>
          <cell r="V41">
            <v>0</v>
          </cell>
          <cell r="W41">
            <v>221</v>
          </cell>
          <cell r="X41">
            <v>341768</v>
          </cell>
          <cell r="Y41">
            <v>0</v>
          </cell>
          <cell r="Z41">
            <v>0</v>
          </cell>
          <cell r="AA41">
            <v>341768</v>
          </cell>
          <cell r="AB41">
            <v>2192665</v>
          </cell>
          <cell r="AC41">
            <v>2148812</v>
          </cell>
          <cell r="AD41">
            <v>0</v>
          </cell>
          <cell r="AE41">
            <v>43853</v>
          </cell>
          <cell r="AF41">
            <v>4385330</v>
          </cell>
          <cell r="AG41">
            <v>1924958</v>
          </cell>
          <cell r="AH41">
            <v>1886459</v>
          </cell>
          <cell r="AI41">
            <v>0</v>
          </cell>
          <cell r="AJ41">
            <v>38499</v>
          </cell>
          <cell r="AK41">
            <v>3849916</v>
          </cell>
          <cell r="AL41">
            <v>730500</v>
          </cell>
          <cell r="AM41">
            <v>715890</v>
          </cell>
          <cell r="AN41">
            <v>0</v>
          </cell>
          <cell r="AO41">
            <v>14610</v>
          </cell>
          <cell r="AP41">
            <v>1461000</v>
          </cell>
          <cell r="AQ41">
            <v>371500</v>
          </cell>
          <cell r="AR41">
            <v>364070</v>
          </cell>
          <cell r="AS41">
            <v>0</v>
          </cell>
          <cell r="AT41">
            <v>7430</v>
          </cell>
          <cell r="AU41">
            <v>743000</v>
          </cell>
          <cell r="AV41">
            <v>1102000</v>
          </cell>
          <cell r="AW41">
            <v>1079960</v>
          </cell>
          <cell r="AX41">
            <v>0</v>
          </cell>
          <cell r="AY41">
            <v>22040</v>
          </cell>
          <cell r="AZ41">
            <v>2204000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1921000</v>
          </cell>
          <cell r="BG41">
            <v>1882580</v>
          </cell>
          <cell r="BH41">
            <v>0</v>
          </cell>
          <cell r="BI41">
            <v>38420</v>
          </cell>
          <cell r="BJ41">
            <v>3842000</v>
          </cell>
          <cell r="BK41">
            <v>1921000</v>
          </cell>
          <cell r="BL41">
            <v>1882580</v>
          </cell>
          <cell r="BM41">
            <v>0</v>
          </cell>
          <cell r="BN41">
            <v>38420</v>
          </cell>
          <cell r="BO41">
            <v>3842000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5120000</v>
          </cell>
          <cell r="BV41">
            <v>5017600</v>
          </cell>
          <cell r="BW41">
            <v>0</v>
          </cell>
          <cell r="BX41">
            <v>102400</v>
          </cell>
          <cell r="BY41">
            <v>10240000</v>
          </cell>
          <cell r="BZ41">
            <v>5120000</v>
          </cell>
          <cell r="CA41">
            <v>5017600</v>
          </cell>
          <cell r="CB41">
            <v>0</v>
          </cell>
          <cell r="CC41">
            <v>102400</v>
          </cell>
          <cell r="CD41">
            <v>10240000</v>
          </cell>
        </row>
        <row r="42">
          <cell r="A42">
            <v>35</v>
          </cell>
          <cell r="B42" t="str">
            <v>E2632</v>
          </cell>
          <cell r="C42" t="str">
            <v>SD</v>
          </cell>
          <cell r="D42" t="str">
            <v>E</v>
          </cell>
          <cell r="E42" t="str">
            <v>Broadland</v>
          </cell>
          <cell r="F42">
            <v>14257590</v>
          </cell>
          <cell r="G42">
            <v>11406072</v>
          </cell>
          <cell r="H42">
            <v>2851518</v>
          </cell>
          <cell r="I42">
            <v>0</v>
          </cell>
          <cell r="J42">
            <v>28515180</v>
          </cell>
          <cell r="K42">
            <v>0</v>
          </cell>
          <cell r="L42">
            <v>0</v>
          </cell>
          <cell r="M42">
            <v>14257590</v>
          </cell>
          <cell r="N42">
            <v>28515180</v>
          </cell>
          <cell r="O42">
            <v>136365</v>
          </cell>
          <cell r="P42">
            <v>136365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135542</v>
          </cell>
          <cell r="AC42">
            <v>108434</v>
          </cell>
          <cell r="AD42">
            <v>27109</v>
          </cell>
          <cell r="AE42">
            <v>0</v>
          </cell>
          <cell r="AF42">
            <v>271085</v>
          </cell>
          <cell r="AG42">
            <v>315933</v>
          </cell>
          <cell r="AH42">
            <v>252746</v>
          </cell>
          <cell r="AI42">
            <v>63187</v>
          </cell>
          <cell r="AJ42">
            <v>0</v>
          </cell>
          <cell r="AK42">
            <v>631866</v>
          </cell>
          <cell r="AL42">
            <v>50487</v>
          </cell>
          <cell r="AM42">
            <v>40389</v>
          </cell>
          <cell r="AN42">
            <v>10097</v>
          </cell>
          <cell r="AO42">
            <v>0</v>
          </cell>
          <cell r="AP42">
            <v>100973</v>
          </cell>
          <cell r="AQ42">
            <v>6751</v>
          </cell>
          <cell r="AR42">
            <v>5400</v>
          </cell>
          <cell r="AS42">
            <v>1350</v>
          </cell>
          <cell r="AT42">
            <v>0</v>
          </cell>
          <cell r="AU42">
            <v>13501</v>
          </cell>
          <cell r="AV42">
            <v>57238</v>
          </cell>
          <cell r="AW42">
            <v>45789</v>
          </cell>
          <cell r="AX42">
            <v>11447</v>
          </cell>
          <cell r="AY42">
            <v>0</v>
          </cell>
          <cell r="AZ42">
            <v>114474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113810</v>
          </cell>
          <cell r="BG42">
            <v>91048</v>
          </cell>
          <cell r="BH42">
            <v>22762</v>
          </cell>
          <cell r="BI42">
            <v>0</v>
          </cell>
          <cell r="BJ42">
            <v>227620</v>
          </cell>
          <cell r="BK42">
            <v>113810</v>
          </cell>
          <cell r="BL42">
            <v>91048</v>
          </cell>
          <cell r="BM42">
            <v>22762</v>
          </cell>
          <cell r="BN42">
            <v>0</v>
          </cell>
          <cell r="BO42">
            <v>227620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298607</v>
          </cell>
          <cell r="BV42">
            <v>238886</v>
          </cell>
          <cell r="BW42">
            <v>59721</v>
          </cell>
          <cell r="BX42">
            <v>0</v>
          </cell>
          <cell r="BY42">
            <v>597214</v>
          </cell>
          <cell r="BZ42">
            <v>298607</v>
          </cell>
          <cell r="CA42">
            <v>238886</v>
          </cell>
          <cell r="CB42">
            <v>59721</v>
          </cell>
          <cell r="CC42">
            <v>0</v>
          </cell>
          <cell r="CD42">
            <v>597214</v>
          </cell>
        </row>
        <row r="43">
          <cell r="A43">
            <v>36</v>
          </cell>
          <cell r="B43" t="str">
            <v>E5034</v>
          </cell>
          <cell r="C43" t="str">
            <v>OLB</v>
          </cell>
          <cell r="D43" t="str">
            <v>L</v>
          </cell>
          <cell r="E43" t="str">
            <v>Bromley</v>
          </cell>
          <cell r="F43">
            <v>41122464</v>
          </cell>
          <cell r="G43">
            <v>24673478</v>
          </cell>
          <cell r="H43">
            <v>16448986</v>
          </cell>
          <cell r="I43">
            <v>0</v>
          </cell>
          <cell r="J43">
            <v>82244928</v>
          </cell>
          <cell r="K43">
            <v>0</v>
          </cell>
          <cell r="L43">
            <v>0</v>
          </cell>
          <cell r="M43">
            <v>41122464</v>
          </cell>
          <cell r="N43">
            <v>82244928</v>
          </cell>
          <cell r="O43">
            <v>347530</v>
          </cell>
          <cell r="P43">
            <v>347530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843604.39</v>
          </cell>
          <cell r="AC43">
            <v>506163</v>
          </cell>
          <cell r="AD43">
            <v>337442</v>
          </cell>
          <cell r="AE43">
            <v>0</v>
          </cell>
          <cell r="AF43">
            <v>1687209.39</v>
          </cell>
          <cell r="AG43">
            <v>1794662</v>
          </cell>
          <cell r="AH43">
            <v>1076797</v>
          </cell>
          <cell r="AI43">
            <v>717865</v>
          </cell>
          <cell r="AJ43">
            <v>0</v>
          </cell>
          <cell r="AK43">
            <v>3589324</v>
          </cell>
          <cell r="AL43">
            <v>331751</v>
          </cell>
          <cell r="AM43">
            <v>199051</v>
          </cell>
          <cell r="AN43">
            <v>132701</v>
          </cell>
          <cell r="AO43">
            <v>0</v>
          </cell>
          <cell r="AP43">
            <v>663503</v>
          </cell>
          <cell r="AQ43">
            <v>11077</v>
          </cell>
          <cell r="AR43">
            <v>6647</v>
          </cell>
          <cell r="AS43">
            <v>4431</v>
          </cell>
          <cell r="AT43">
            <v>0</v>
          </cell>
          <cell r="AU43">
            <v>22155</v>
          </cell>
          <cell r="AV43">
            <v>342828</v>
          </cell>
          <cell r="AW43">
            <v>205698</v>
          </cell>
          <cell r="AX43">
            <v>137132</v>
          </cell>
          <cell r="AY43">
            <v>0</v>
          </cell>
          <cell r="AZ43">
            <v>685658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42166</v>
          </cell>
          <cell r="BG43">
            <v>25300</v>
          </cell>
          <cell r="BH43">
            <v>16867</v>
          </cell>
          <cell r="BI43">
            <v>0</v>
          </cell>
          <cell r="BJ43">
            <v>84333</v>
          </cell>
          <cell r="BK43">
            <v>42166</v>
          </cell>
          <cell r="BL43">
            <v>25300</v>
          </cell>
          <cell r="BM43">
            <v>16867</v>
          </cell>
          <cell r="BN43">
            <v>0</v>
          </cell>
          <cell r="BO43">
            <v>84333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182761</v>
          </cell>
          <cell r="BV43">
            <v>109657</v>
          </cell>
          <cell r="BW43">
            <v>73104</v>
          </cell>
          <cell r="BX43">
            <v>0</v>
          </cell>
          <cell r="BY43">
            <v>365522</v>
          </cell>
          <cell r="BZ43">
            <v>182761</v>
          </cell>
          <cell r="CA43">
            <v>109657</v>
          </cell>
          <cell r="CB43">
            <v>73104</v>
          </cell>
          <cell r="CC43">
            <v>0</v>
          </cell>
          <cell r="CD43">
            <v>365522</v>
          </cell>
        </row>
        <row r="44">
          <cell r="A44">
            <v>37</v>
          </cell>
          <cell r="B44" t="str">
            <v>E1831</v>
          </cell>
          <cell r="C44" t="str">
            <v>SD</v>
          </cell>
          <cell r="D44" t="str">
            <v>WM</v>
          </cell>
          <cell r="E44" t="str">
            <v>Bromsgrove</v>
          </cell>
          <cell r="F44">
            <v>12478979</v>
          </cell>
          <cell r="G44">
            <v>9983183</v>
          </cell>
          <cell r="H44">
            <v>2246216</v>
          </cell>
          <cell r="I44">
            <v>249580</v>
          </cell>
          <cell r="J44">
            <v>24957958</v>
          </cell>
          <cell r="K44">
            <v>0</v>
          </cell>
          <cell r="L44">
            <v>0</v>
          </cell>
          <cell r="M44">
            <v>12478979</v>
          </cell>
          <cell r="N44">
            <v>24957958</v>
          </cell>
          <cell r="O44">
            <v>124548</v>
          </cell>
          <cell r="P44">
            <v>124548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602244</v>
          </cell>
          <cell r="AC44">
            <v>481795</v>
          </cell>
          <cell r="AD44">
            <v>108404</v>
          </cell>
          <cell r="AE44">
            <v>12045</v>
          </cell>
          <cell r="AF44">
            <v>1204488</v>
          </cell>
          <cell r="AG44">
            <v>220507.3</v>
          </cell>
          <cell r="AH44">
            <v>176405</v>
          </cell>
          <cell r="AI44">
            <v>39691</v>
          </cell>
          <cell r="AJ44">
            <v>4410</v>
          </cell>
          <cell r="AK44">
            <v>441013.3</v>
          </cell>
          <cell r="AL44">
            <v>280956</v>
          </cell>
          <cell r="AM44">
            <v>224764</v>
          </cell>
          <cell r="AN44">
            <v>50572</v>
          </cell>
          <cell r="AO44">
            <v>5619</v>
          </cell>
          <cell r="AP44">
            <v>561911</v>
          </cell>
          <cell r="AQ44">
            <v>-7744</v>
          </cell>
          <cell r="AR44">
            <v>-6196</v>
          </cell>
          <cell r="AS44">
            <v>-1394</v>
          </cell>
          <cell r="AT44">
            <v>-155</v>
          </cell>
          <cell r="AU44">
            <v>-15489</v>
          </cell>
          <cell r="AV44">
            <v>273212</v>
          </cell>
          <cell r="AW44">
            <v>218568</v>
          </cell>
          <cell r="AX44">
            <v>49178</v>
          </cell>
          <cell r="AY44">
            <v>5464</v>
          </cell>
          <cell r="AZ44">
            <v>546422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135979</v>
          </cell>
          <cell r="BG44">
            <v>108783</v>
          </cell>
          <cell r="BH44">
            <v>24476</v>
          </cell>
          <cell r="BI44">
            <v>2720</v>
          </cell>
          <cell r="BJ44">
            <v>271958</v>
          </cell>
          <cell r="BK44">
            <v>135979</v>
          </cell>
          <cell r="BL44">
            <v>108783</v>
          </cell>
          <cell r="BM44">
            <v>24476</v>
          </cell>
          <cell r="BN44">
            <v>2720</v>
          </cell>
          <cell r="BO44">
            <v>271958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325519</v>
          </cell>
          <cell r="BV44">
            <v>260414</v>
          </cell>
          <cell r="BW44">
            <v>58593</v>
          </cell>
          <cell r="BX44">
            <v>6510</v>
          </cell>
          <cell r="BY44">
            <v>651036</v>
          </cell>
          <cell r="BZ44">
            <v>325519</v>
          </cell>
          <cell r="CA44">
            <v>260414</v>
          </cell>
          <cell r="CB44">
            <v>58593</v>
          </cell>
          <cell r="CC44">
            <v>6510</v>
          </cell>
          <cell r="CD44">
            <v>651036</v>
          </cell>
        </row>
        <row r="45">
          <cell r="A45">
            <v>38</v>
          </cell>
          <cell r="B45" t="str">
            <v>E1931</v>
          </cell>
          <cell r="C45" t="str">
            <v>SD</v>
          </cell>
          <cell r="D45" t="str">
            <v>E</v>
          </cell>
          <cell r="E45" t="str">
            <v>Broxbourne</v>
          </cell>
          <cell r="F45">
            <v>19292701</v>
          </cell>
          <cell r="G45">
            <v>15434161</v>
          </cell>
          <cell r="H45">
            <v>3858540</v>
          </cell>
          <cell r="I45">
            <v>0</v>
          </cell>
          <cell r="J45">
            <v>38585402</v>
          </cell>
          <cell r="K45">
            <v>0</v>
          </cell>
          <cell r="L45">
            <v>0</v>
          </cell>
          <cell r="M45">
            <v>19292701</v>
          </cell>
          <cell r="N45">
            <v>38585402</v>
          </cell>
          <cell r="O45">
            <v>116696</v>
          </cell>
          <cell r="P45">
            <v>116696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690272</v>
          </cell>
          <cell r="AC45">
            <v>552218</v>
          </cell>
          <cell r="AD45">
            <v>138054</v>
          </cell>
          <cell r="AE45">
            <v>0</v>
          </cell>
          <cell r="AF45">
            <v>1380544</v>
          </cell>
          <cell r="AG45">
            <v>47172</v>
          </cell>
          <cell r="AH45">
            <v>37738</v>
          </cell>
          <cell r="AI45">
            <v>9434</v>
          </cell>
          <cell r="AJ45">
            <v>0</v>
          </cell>
          <cell r="AK45">
            <v>94344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96762</v>
          </cell>
          <cell r="AR45">
            <v>77410</v>
          </cell>
          <cell r="AS45">
            <v>19353</v>
          </cell>
          <cell r="AT45">
            <v>0</v>
          </cell>
          <cell r="AU45">
            <v>193525</v>
          </cell>
          <cell r="AV45">
            <v>96762</v>
          </cell>
          <cell r="AW45">
            <v>77410</v>
          </cell>
          <cell r="AX45">
            <v>19353</v>
          </cell>
          <cell r="AY45">
            <v>0</v>
          </cell>
          <cell r="AZ45">
            <v>193525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296941</v>
          </cell>
          <cell r="BG45">
            <v>237552</v>
          </cell>
          <cell r="BH45">
            <v>59388</v>
          </cell>
          <cell r="BI45">
            <v>0</v>
          </cell>
          <cell r="BJ45">
            <v>593881</v>
          </cell>
          <cell r="BK45">
            <v>296941</v>
          </cell>
          <cell r="BL45">
            <v>237552</v>
          </cell>
          <cell r="BM45">
            <v>59388</v>
          </cell>
          <cell r="BN45">
            <v>0</v>
          </cell>
          <cell r="BO45">
            <v>593881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634281</v>
          </cell>
          <cell r="BV45">
            <v>507425</v>
          </cell>
          <cell r="BW45">
            <v>126856</v>
          </cell>
          <cell r="BX45">
            <v>0</v>
          </cell>
          <cell r="BY45">
            <v>1268562</v>
          </cell>
          <cell r="BZ45">
            <v>634281</v>
          </cell>
          <cell r="CA45">
            <v>507425</v>
          </cell>
          <cell r="CB45">
            <v>126856</v>
          </cell>
          <cell r="CC45">
            <v>0</v>
          </cell>
          <cell r="CD45">
            <v>1268562</v>
          </cell>
        </row>
        <row r="46">
          <cell r="A46">
            <v>39</v>
          </cell>
          <cell r="B46" t="str">
            <v>E3033</v>
          </cell>
          <cell r="C46" t="str">
            <v>SD</v>
          </cell>
          <cell r="D46" t="str">
            <v>EM</v>
          </cell>
          <cell r="E46" t="str">
            <v>Broxtowe</v>
          </cell>
          <cell r="F46">
            <v>11268486</v>
          </cell>
          <cell r="G46">
            <v>9014789</v>
          </cell>
          <cell r="H46">
            <v>2028327</v>
          </cell>
          <cell r="I46">
            <v>225370</v>
          </cell>
          <cell r="J46">
            <v>22536972</v>
          </cell>
          <cell r="K46">
            <v>0</v>
          </cell>
          <cell r="L46">
            <v>0</v>
          </cell>
          <cell r="M46">
            <v>11268486</v>
          </cell>
          <cell r="N46">
            <v>22536972</v>
          </cell>
          <cell r="O46">
            <v>108209</v>
          </cell>
          <cell r="P46">
            <v>108209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729725.6</v>
          </cell>
          <cell r="AC46">
            <v>583779</v>
          </cell>
          <cell r="AD46">
            <v>131350</v>
          </cell>
          <cell r="AE46">
            <v>14594</v>
          </cell>
          <cell r="AF46">
            <v>1459448.6</v>
          </cell>
          <cell r="AG46">
            <v>250154.25</v>
          </cell>
          <cell r="AH46">
            <v>200124</v>
          </cell>
          <cell r="AI46">
            <v>45028</v>
          </cell>
          <cell r="AJ46">
            <v>5003</v>
          </cell>
          <cell r="AK46">
            <v>500309.25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262799</v>
          </cell>
          <cell r="AR46">
            <v>210239</v>
          </cell>
          <cell r="AS46">
            <v>47304</v>
          </cell>
          <cell r="AT46">
            <v>5256</v>
          </cell>
          <cell r="AU46">
            <v>525598</v>
          </cell>
          <cell r="AV46">
            <v>262799</v>
          </cell>
          <cell r="AW46">
            <v>210239</v>
          </cell>
          <cell r="AX46">
            <v>47304</v>
          </cell>
          <cell r="AY46">
            <v>5256</v>
          </cell>
          <cell r="AZ46">
            <v>525598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154941</v>
          </cell>
          <cell r="BG46">
            <v>123952</v>
          </cell>
          <cell r="BH46">
            <v>27889</v>
          </cell>
          <cell r="BI46">
            <v>3099</v>
          </cell>
          <cell r="BJ46">
            <v>309881</v>
          </cell>
          <cell r="BK46">
            <v>154941</v>
          </cell>
          <cell r="BL46">
            <v>123952</v>
          </cell>
          <cell r="BM46">
            <v>27889</v>
          </cell>
          <cell r="BN46">
            <v>3099</v>
          </cell>
          <cell r="BO46">
            <v>309881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429293</v>
          </cell>
          <cell r="BV46">
            <v>343435</v>
          </cell>
          <cell r="BW46">
            <v>77273</v>
          </cell>
          <cell r="BX46">
            <v>8586</v>
          </cell>
          <cell r="BY46">
            <v>858587</v>
          </cell>
          <cell r="BZ46">
            <v>429293</v>
          </cell>
          <cell r="CA46">
            <v>343435</v>
          </cell>
          <cell r="CB46">
            <v>77273</v>
          </cell>
          <cell r="CC46">
            <v>8586</v>
          </cell>
          <cell r="CD46">
            <v>858587</v>
          </cell>
        </row>
        <row r="47">
          <cell r="A47">
            <v>40</v>
          </cell>
          <cell r="B47" t="str">
            <v>E2333</v>
          </cell>
          <cell r="C47" t="str">
            <v>SD</v>
          </cell>
          <cell r="D47" t="str">
            <v>NW</v>
          </cell>
          <cell r="E47" t="str">
            <v>Burnley</v>
          </cell>
          <cell r="F47">
            <v>12793136</v>
          </cell>
          <cell r="G47">
            <v>10234508</v>
          </cell>
          <cell r="H47">
            <v>2302764</v>
          </cell>
          <cell r="I47">
            <v>255863</v>
          </cell>
          <cell r="J47">
            <v>25586271</v>
          </cell>
          <cell r="K47">
            <v>0</v>
          </cell>
          <cell r="L47">
            <v>0</v>
          </cell>
          <cell r="M47">
            <v>12793136</v>
          </cell>
          <cell r="N47">
            <v>25586271</v>
          </cell>
          <cell r="O47">
            <v>147506</v>
          </cell>
          <cell r="P47">
            <v>147506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859650</v>
          </cell>
          <cell r="AC47">
            <v>687720</v>
          </cell>
          <cell r="AD47">
            <v>154737</v>
          </cell>
          <cell r="AE47">
            <v>17193</v>
          </cell>
          <cell r="AF47">
            <v>1719300</v>
          </cell>
          <cell r="AG47">
            <v>348267</v>
          </cell>
          <cell r="AH47">
            <v>278614</v>
          </cell>
          <cell r="AI47">
            <v>62688</v>
          </cell>
          <cell r="AJ47">
            <v>6965</v>
          </cell>
          <cell r="AK47">
            <v>696534</v>
          </cell>
          <cell r="AL47">
            <v>314090.34000000003</v>
          </cell>
          <cell r="AM47">
            <v>251273</v>
          </cell>
          <cell r="AN47">
            <v>56536</v>
          </cell>
          <cell r="AO47">
            <v>6282</v>
          </cell>
          <cell r="AP47">
            <v>628181.34</v>
          </cell>
          <cell r="AQ47">
            <v>148842</v>
          </cell>
          <cell r="AR47">
            <v>119074</v>
          </cell>
          <cell r="AS47">
            <v>26792</v>
          </cell>
          <cell r="AT47">
            <v>2977</v>
          </cell>
          <cell r="AU47">
            <v>297685</v>
          </cell>
          <cell r="AV47">
            <v>462932.34</v>
          </cell>
          <cell r="AW47">
            <v>370347</v>
          </cell>
          <cell r="AX47">
            <v>83328</v>
          </cell>
          <cell r="AY47">
            <v>9259</v>
          </cell>
          <cell r="AZ47">
            <v>925866.34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151998</v>
          </cell>
          <cell r="BG47">
            <v>121598</v>
          </cell>
          <cell r="BH47">
            <v>27360</v>
          </cell>
          <cell r="BI47">
            <v>3040</v>
          </cell>
          <cell r="BJ47">
            <v>303996</v>
          </cell>
          <cell r="BK47">
            <v>151998</v>
          </cell>
          <cell r="BL47">
            <v>121598</v>
          </cell>
          <cell r="BM47">
            <v>27360</v>
          </cell>
          <cell r="BN47">
            <v>3040</v>
          </cell>
          <cell r="BO47">
            <v>303996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665279</v>
          </cell>
          <cell r="BV47">
            <v>532223</v>
          </cell>
          <cell r="BW47">
            <v>119750</v>
          </cell>
          <cell r="BX47">
            <v>13306</v>
          </cell>
          <cell r="BY47">
            <v>1330558</v>
          </cell>
          <cell r="BZ47">
            <v>665279</v>
          </cell>
          <cell r="CA47">
            <v>532223</v>
          </cell>
          <cell r="CB47">
            <v>119750</v>
          </cell>
          <cell r="CC47">
            <v>13306</v>
          </cell>
          <cell r="CD47">
            <v>1330558</v>
          </cell>
        </row>
        <row r="48">
          <cell r="A48">
            <v>41</v>
          </cell>
          <cell r="B48" t="str">
            <v>E4202</v>
          </cell>
          <cell r="C48" t="str">
            <v>Met</v>
          </cell>
          <cell r="D48" t="str">
            <v>NW</v>
          </cell>
          <cell r="E48" t="str">
            <v>Bury</v>
          </cell>
          <cell r="F48">
            <v>23509472</v>
          </cell>
          <cell r="G48">
            <v>23039283</v>
          </cell>
          <cell r="H48">
            <v>0</v>
          </cell>
          <cell r="I48">
            <v>470189</v>
          </cell>
          <cell r="J48">
            <v>47018944</v>
          </cell>
          <cell r="K48">
            <v>0</v>
          </cell>
          <cell r="L48">
            <v>0</v>
          </cell>
          <cell r="M48">
            <v>23509472</v>
          </cell>
          <cell r="N48">
            <v>47018944</v>
          </cell>
          <cell r="O48">
            <v>240185</v>
          </cell>
          <cell r="P48">
            <v>240185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362801</v>
          </cell>
          <cell r="AR48">
            <v>355544</v>
          </cell>
          <cell r="AS48">
            <v>0</v>
          </cell>
          <cell r="AT48">
            <v>7256</v>
          </cell>
          <cell r="AU48">
            <v>725601</v>
          </cell>
          <cell r="AV48">
            <v>362801</v>
          </cell>
          <cell r="AW48">
            <v>355544</v>
          </cell>
          <cell r="AX48">
            <v>0</v>
          </cell>
          <cell r="AY48">
            <v>7256</v>
          </cell>
          <cell r="AZ48">
            <v>725601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500000</v>
          </cell>
          <cell r="BG48">
            <v>490000</v>
          </cell>
          <cell r="BH48">
            <v>0</v>
          </cell>
          <cell r="BI48">
            <v>10000</v>
          </cell>
          <cell r="BJ48">
            <v>1000000</v>
          </cell>
          <cell r="BK48">
            <v>500000</v>
          </cell>
          <cell r="BL48">
            <v>490000</v>
          </cell>
          <cell r="BM48">
            <v>0</v>
          </cell>
          <cell r="BN48">
            <v>10000</v>
          </cell>
          <cell r="BO48">
            <v>1000000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>
            <v>42</v>
          </cell>
          <cell r="B49" t="str">
            <v>E4702</v>
          </cell>
          <cell r="C49" t="str">
            <v>Met</v>
          </cell>
          <cell r="D49" t="str">
            <v>YH</v>
          </cell>
          <cell r="E49" t="str">
            <v>Calderdale</v>
          </cell>
          <cell r="F49">
            <v>27767037</v>
          </cell>
          <cell r="G49">
            <v>27211696</v>
          </cell>
          <cell r="H49">
            <v>0</v>
          </cell>
          <cell r="I49">
            <v>555341</v>
          </cell>
          <cell r="J49">
            <v>55534074</v>
          </cell>
          <cell r="K49">
            <v>0</v>
          </cell>
          <cell r="L49">
            <v>0</v>
          </cell>
          <cell r="M49">
            <v>27767037</v>
          </cell>
          <cell r="N49">
            <v>55534074</v>
          </cell>
          <cell r="O49">
            <v>350658</v>
          </cell>
          <cell r="P49">
            <v>350658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3297461</v>
          </cell>
          <cell r="AC49">
            <v>3231511</v>
          </cell>
          <cell r="AD49">
            <v>0</v>
          </cell>
          <cell r="AE49">
            <v>65949</v>
          </cell>
          <cell r="AF49">
            <v>6594921</v>
          </cell>
          <cell r="AG49">
            <v>734756</v>
          </cell>
          <cell r="AH49">
            <v>720060</v>
          </cell>
          <cell r="AI49">
            <v>0</v>
          </cell>
          <cell r="AJ49">
            <v>14695</v>
          </cell>
          <cell r="AK49">
            <v>1469511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554916</v>
          </cell>
          <cell r="AR49">
            <v>543818</v>
          </cell>
          <cell r="AS49">
            <v>0</v>
          </cell>
          <cell r="AT49">
            <v>11098</v>
          </cell>
          <cell r="AU49">
            <v>1109832</v>
          </cell>
          <cell r="AV49">
            <v>554916</v>
          </cell>
          <cell r="AW49">
            <v>543818</v>
          </cell>
          <cell r="AX49">
            <v>0</v>
          </cell>
          <cell r="AY49">
            <v>11098</v>
          </cell>
          <cell r="AZ49">
            <v>1109832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295424</v>
          </cell>
          <cell r="BG49">
            <v>289516</v>
          </cell>
          <cell r="BH49">
            <v>0</v>
          </cell>
          <cell r="BI49">
            <v>5908</v>
          </cell>
          <cell r="BJ49">
            <v>590848</v>
          </cell>
          <cell r="BK49">
            <v>295424</v>
          </cell>
          <cell r="BL49">
            <v>289516</v>
          </cell>
          <cell r="BM49">
            <v>0</v>
          </cell>
          <cell r="BN49">
            <v>5908</v>
          </cell>
          <cell r="BO49">
            <v>590848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830142</v>
          </cell>
          <cell r="BV49">
            <v>813539</v>
          </cell>
          <cell r="BW49">
            <v>0</v>
          </cell>
          <cell r="BX49">
            <v>16603</v>
          </cell>
          <cell r="BY49">
            <v>1660284</v>
          </cell>
          <cell r="BZ49">
            <v>830142</v>
          </cell>
          <cell r="CA49">
            <v>813539</v>
          </cell>
          <cell r="CB49">
            <v>0</v>
          </cell>
          <cell r="CC49">
            <v>16603</v>
          </cell>
          <cell r="CD49">
            <v>1660284</v>
          </cell>
        </row>
        <row r="50">
          <cell r="A50">
            <v>43</v>
          </cell>
          <cell r="B50" t="str">
            <v>E0531</v>
          </cell>
          <cell r="C50" t="str">
            <v>SD</v>
          </cell>
          <cell r="D50" t="str">
            <v>E</v>
          </cell>
          <cell r="E50" t="str">
            <v>Cambridge</v>
          </cell>
          <cell r="F50">
            <v>42380097</v>
          </cell>
          <cell r="G50">
            <v>33904078</v>
          </cell>
          <cell r="H50">
            <v>7628417</v>
          </cell>
          <cell r="I50">
            <v>847602</v>
          </cell>
          <cell r="J50">
            <v>84760194</v>
          </cell>
          <cell r="K50">
            <v>0</v>
          </cell>
          <cell r="L50">
            <v>0</v>
          </cell>
          <cell r="M50">
            <v>42380097</v>
          </cell>
          <cell r="N50">
            <v>84760194</v>
          </cell>
          <cell r="O50">
            <v>227587</v>
          </cell>
          <cell r="P50">
            <v>227587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613063</v>
          </cell>
          <cell r="AC50">
            <v>490450</v>
          </cell>
          <cell r="AD50">
            <v>110351</v>
          </cell>
          <cell r="AE50">
            <v>12261</v>
          </cell>
          <cell r="AF50">
            <v>1226125</v>
          </cell>
          <cell r="AG50">
            <v>746027</v>
          </cell>
          <cell r="AH50">
            <v>596822</v>
          </cell>
          <cell r="AI50">
            <v>134285</v>
          </cell>
          <cell r="AJ50">
            <v>14921</v>
          </cell>
          <cell r="AK50">
            <v>1492055</v>
          </cell>
          <cell r="AL50">
            <v>107680</v>
          </cell>
          <cell r="AM50">
            <v>86145</v>
          </cell>
          <cell r="AN50">
            <v>19383</v>
          </cell>
          <cell r="AO50">
            <v>2154</v>
          </cell>
          <cell r="AP50">
            <v>215362</v>
          </cell>
          <cell r="AQ50">
            <v>28949</v>
          </cell>
          <cell r="AR50">
            <v>23160</v>
          </cell>
          <cell r="AS50">
            <v>5211</v>
          </cell>
          <cell r="AT50">
            <v>579</v>
          </cell>
          <cell r="AU50">
            <v>57899</v>
          </cell>
          <cell r="AV50">
            <v>136629</v>
          </cell>
          <cell r="AW50">
            <v>109305</v>
          </cell>
          <cell r="AX50">
            <v>24594</v>
          </cell>
          <cell r="AY50">
            <v>2733</v>
          </cell>
          <cell r="AZ50">
            <v>273261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1155419</v>
          </cell>
          <cell r="BG50">
            <v>924336</v>
          </cell>
          <cell r="BH50">
            <v>207976</v>
          </cell>
          <cell r="BI50">
            <v>23108</v>
          </cell>
          <cell r="BJ50">
            <v>2310839</v>
          </cell>
          <cell r="BK50">
            <v>1155419</v>
          </cell>
          <cell r="BL50">
            <v>924336</v>
          </cell>
          <cell r="BM50">
            <v>207976</v>
          </cell>
          <cell r="BN50">
            <v>23108</v>
          </cell>
          <cell r="BO50">
            <v>2310839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2892043</v>
          </cell>
          <cell r="BV50">
            <v>2313634</v>
          </cell>
          <cell r="BW50">
            <v>520568</v>
          </cell>
          <cell r="BX50">
            <v>57841</v>
          </cell>
          <cell r="BY50">
            <v>5784086</v>
          </cell>
          <cell r="BZ50">
            <v>2892043</v>
          </cell>
          <cell r="CA50">
            <v>2313634</v>
          </cell>
          <cell r="CB50">
            <v>520568</v>
          </cell>
          <cell r="CC50">
            <v>57841</v>
          </cell>
          <cell r="CD50">
            <v>5784086</v>
          </cell>
        </row>
        <row r="51">
          <cell r="A51">
            <v>44</v>
          </cell>
          <cell r="B51" t="str">
            <v>E5011</v>
          </cell>
          <cell r="C51" t="str">
            <v>ILB</v>
          </cell>
          <cell r="D51" t="str">
            <v>L</v>
          </cell>
          <cell r="E51" t="str">
            <v>Camden</v>
          </cell>
          <cell r="F51">
            <v>226664274</v>
          </cell>
          <cell r="G51">
            <v>135998564</v>
          </cell>
          <cell r="H51">
            <v>90665709</v>
          </cell>
          <cell r="I51">
            <v>0</v>
          </cell>
          <cell r="J51">
            <v>453328547</v>
          </cell>
          <cell r="K51">
            <v>0</v>
          </cell>
          <cell r="L51">
            <v>0</v>
          </cell>
          <cell r="M51">
            <v>226664274</v>
          </cell>
          <cell r="N51">
            <v>453328547</v>
          </cell>
          <cell r="O51">
            <v>1202147</v>
          </cell>
          <cell r="P51">
            <v>1202147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3781319</v>
          </cell>
          <cell r="AC51">
            <v>2268791</v>
          </cell>
          <cell r="AD51">
            <v>1512528</v>
          </cell>
          <cell r="AE51">
            <v>0</v>
          </cell>
          <cell r="AF51">
            <v>7562638</v>
          </cell>
          <cell r="AG51">
            <v>-3513942</v>
          </cell>
          <cell r="AH51">
            <v>-2108365</v>
          </cell>
          <cell r="AI51">
            <v>-1405577</v>
          </cell>
          <cell r="AJ51">
            <v>0</v>
          </cell>
          <cell r="AK51">
            <v>-7027884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1116504</v>
          </cell>
          <cell r="AR51">
            <v>669903</v>
          </cell>
          <cell r="AS51">
            <v>446602</v>
          </cell>
          <cell r="AT51">
            <v>0</v>
          </cell>
          <cell r="AU51">
            <v>2233009</v>
          </cell>
          <cell r="AV51">
            <v>1116504</v>
          </cell>
          <cell r="AW51">
            <v>669903</v>
          </cell>
          <cell r="AX51">
            <v>446602</v>
          </cell>
          <cell r="AY51">
            <v>0</v>
          </cell>
          <cell r="AZ51">
            <v>2233009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3596247</v>
          </cell>
          <cell r="BG51">
            <v>2157749</v>
          </cell>
          <cell r="BH51">
            <v>1438499</v>
          </cell>
          <cell r="BI51">
            <v>0</v>
          </cell>
          <cell r="BJ51">
            <v>7192495</v>
          </cell>
          <cell r="BK51">
            <v>3596247</v>
          </cell>
          <cell r="BL51">
            <v>2157749</v>
          </cell>
          <cell r="BM51">
            <v>1438499</v>
          </cell>
          <cell r="BN51">
            <v>0</v>
          </cell>
          <cell r="BO51">
            <v>7192495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9964126</v>
          </cell>
          <cell r="BV51">
            <v>5978475</v>
          </cell>
          <cell r="BW51">
            <v>3985650</v>
          </cell>
          <cell r="BX51">
            <v>0</v>
          </cell>
          <cell r="BY51">
            <v>19928251</v>
          </cell>
          <cell r="BZ51">
            <v>9964126</v>
          </cell>
          <cell r="CA51">
            <v>5978475</v>
          </cell>
          <cell r="CB51">
            <v>3985650</v>
          </cell>
          <cell r="CC51">
            <v>0</v>
          </cell>
          <cell r="CD51">
            <v>19928251</v>
          </cell>
        </row>
        <row r="52">
          <cell r="A52">
            <v>45</v>
          </cell>
          <cell r="B52" t="str">
            <v>E3431</v>
          </cell>
          <cell r="C52" t="str">
            <v>SD</v>
          </cell>
          <cell r="D52" t="str">
            <v>WM</v>
          </cell>
          <cell r="E52" t="str">
            <v>Cannock Chase</v>
          </cell>
          <cell r="F52">
            <v>16186825</v>
          </cell>
          <cell r="G52">
            <v>12949459</v>
          </cell>
          <cell r="H52">
            <v>2913628</v>
          </cell>
          <cell r="I52">
            <v>323736</v>
          </cell>
          <cell r="J52">
            <v>32373648</v>
          </cell>
          <cell r="K52">
            <v>0</v>
          </cell>
          <cell r="L52">
            <v>0</v>
          </cell>
          <cell r="M52">
            <v>16186825</v>
          </cell>
          <cell r="N52">
            <v>32373648</v>
          </cell>
          <cell r="O52">
            <v>138250</v>
          </cell>
          <cell r="P52">
            <v>138250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1268796</v>
          </cell>
          <cell r="AC52">
            <v>1015037</v>
          </cell>
          <cell r="AD52">
            <v>228383</v>
          </cell>
          <cell r="AE52">
            <v>25376</v>
          </cell>
          <cell r="AF52">
            <v>2537592</v>
          </cell>
          <cell r="AG52">
            <v>329835</v>
          </cell>
          <cell r="AH52">
            <v>263868</v>
          </cell>
          <cell r="AI52">
            <v>59370</v>
          </cell>
          <cell r="AJ52">
            <v>6597</v>
          </cell>
          <cell r="AK52">
            <v>659670</v>
          </cell>
          <cell r="AL52">
            <v>339841</v>
          </cell>
          <cell r="AM52">
            <v>271873</v>
          </cell>
          <cell r="AN52">
            <v>61171</v>
          </cell>
          <cell r="AO52">
            <v>6797</v>
          </cell>
          <cell r="AP52">
            <v>679682</v>
          </cell>
          <cell r="AQ52">
            <v>507424</v>
          </cell>
          <cell r="AR52">
            <v>405938</v>
          </cell>
          <cell r="AS52">
            <v>91336</v>
          </cell>
          <cell r="AT52">
            <v>10148</v>
          </cell>
          <cell r="AU52">
            <v>1014846</v>
          </cell>
          <cell r="AV52">
            <v>847265</v>
          </cell>
          <cell r="AW52">
            <v>677811</v>
          </cell>
          <cell r="AX52">
            <v>152507</v>
          </cell>
          <cell r="AY52">
            <v>16945</v>
          </cell>
          <cell r="AZ52">
            <v>1694528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205915</v>
          </cell>
          <cell r="BG52">
            <v>164732</v>
          </cell>
          <cell r="BH52">
            <v>37065</v>
          </cell>
          <cell r="BI52">
            <v>4118</v>
          </cell>
          <cell r="BJ52">
            <v>411830</v>
          </cell>
          <cell r="BK52">
            <v>205915</v>
          </cell>
          <cell r="BL52">
            <v>164732</v>
          </cell>
          <cell r="BM52">
            <v>37065</v>
          </cell>
          <cell r="BN52">
            <v>4118</v>
          </cell>
          <cell r="BO52">
            <v>411830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617752</v>
          </cell>
          <cell r="BV52">
            <v>494201</v>
          </cell>
          <cell r="BW52">
            <v>111195</v>
          </cell>
          <cell r="BX52">
            <v>12355</v>
          </cell>
          <cell r="BY52">
            <v>1235503</v>
          </cell>
          <cell r="BZ52">
            <v>617752</v>
          </cell>
          <cell r="CA52">
            <v>494201</v>
          </cell>
          <cell r="CB52">
            <v>111195</v>
          </cell>
          <cell r="CC52">
            <v>12355</v>
          </cell>
          <cell r="CD52">
            <v>1235503</v>
          </cell>
        </row>
        <row r="53">
          <cell r="A53">
            <v>46</v>
          </cell>
          <cell r="B53" t="str">
            <v>E2232</v>
          </cell>
          <cell r="C53" t="str">
            <v>SD</v>
          </cell>
          <cell r="D53" t="str">
            <v>SE</v>
          </cell>
          <cell r="E53" t="str">
            <v>Canterbury</v>
          </cell>
          <cell r="F53">
            <v>24739636</v>
          </cell>
          <cell r="G53">
            <v>19791709</v>
          </cell>
          <cell r="H53">
            <v>4453134</v>
          </cell>
          <cell r="I53">
            <v>494793</v>
          </cell>
          <cell r="J53">
            <v>49479272</v>
          </cell>
          <cell r="K53">
            <v>0</v>
          </cell>
          <cell r="L53">
            <v>0</v>
          </cell>
          <cell r="M53">
            <v>24739636</v>
          </cell>
          <cell r="N53">
            <v>49479272</v>
          </cell>
          <cell r="O53">
            <v>229695</v>
          </cell>
          <cell r="P53">
            <v>229695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713064</v>
          </cell>
          <cell r="AC53">
            <v>570451</v>
          </cell>
          <cell r="AD53">
            <v>128351</v>
          </cell>
          <cell r="AE53">
            <v>14261</v>
          </cell>
          <cell r="AF53">
            <v>1426127</v>
          </cell>
          <cell r="AG53">
            <v>-623378</v>
          </cell>
          <cell r="AH53">
            <v>-498702</v>
          </cell>
          <cell r="AI53">
            <v>-112208</v>
          </cell>
          <cell r="AJ53">
            <v>-12468</v>
          </cell>
          <cell r="AK53">
            <v>-1246756</v>
          </cell>
          <cell r="AL53">
            <v>217716</v>
          </cell>
          <cell r="AM53">
            <v>174173</v>
          </cell>
          <cell r="AN53">
            <v>39189</v>
          </cell>
          <cell r="AO53">
            <v>4354</v>
          </cell>
          <cell r="AP53">
            <v>435432</v>
          </cell>
          <cell r="AQ53">
            <v>110383</v>
          </cell>
          <cell r="AR53">
            <v>88306</v>
          </cell>
          <cell r="AS53">
            <v>19869</v>
          </cell>
          <cell r="AT53">
            <v>2208</v>
          </cell>
          <cell r="AU53">
            <v>220766</v>
          </cell>
          <cell r="AV53">
            <v>328099</v>
          </cell>
          <cell r="AW53">
            <v>262479</v>
          </cell>
          <cell r="AX53">
            <v>59058</v>
          </cell>
          <cell r="AY53">
            <v>6562</v>
          </cell>
          <cell r="AZ53">
            <v>656198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231943</v>
          </cell>
          <cell r="BG53">
            <v>185555</v>
          </cell>
          <cell r="BH53">
            <v>41750</v>
          </cell>
          <cell r="BI53">
            <v>4639</v>
          </cell>
          <cell r="BJ53">
            <v>463887</v>
          </cell>
          <cell r="BK53">
            <v>231943</v>
          </cell>
          <cell r="BL53">
            <v>185555</v>
          </cell>
          <cell r="BM53">
            <v>41750</v>
          </cell>
          <cell r="BN53">
            <v>4639</v>
          </cell>
          <cell r="BO53">
            <v>463887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342387</v>
          </cell>
          <cell r="BV53">
            <v>273910</v>
          </cell>
          <cell r="BW53">
            <v>61630</v>
          </cell>
          <cell r="BX53">
            <v>6848</v>
          </cell>
          <cell r="BY53">
            <v>684775</v>
          </cell>
          <cell r="BZ53">
            <v>342387</v>
          </cell>
          <cell r="CA53">
            <v>273910</v>
          </cell>
          <cell r="CB53">
            <v>61630</v>
          </cell>
          <cell r="CC53">
            <v>6848</v>
          </cell>
          <cell r="CD53">
            <v>684775</v>
          </cell>
        </row>
        <row r="54">
          <cell r="A54">
            <v>47</v>
          </cell>
          <cell r="B54" t="str">
            <v>E0933</v>
          </cell>
          <cell r="C54" t="str">
            <v>SD</v>
          </cell>
          <cell r="D54" t="str">
            <v>NW</v>
          </cell>
          <cell r="E54" t="str">
            <v>Carlisle</v>
          </cell>
          <cell r="F54">
            <v>19252207</v>
          </cell>
          <cell r="G54">
            <v>15401766</v>
          </cell>
          <cell r="H54">
            <v>3850442</v>
          </cell>
          <cell r="I54">
            <v>0</v>
          </cell>
          <cell r="J54">
            <v>38504415</v>
          </cell>
          <cell r="K54">
            <v>0</v>
          </cell>
          <cell r="L54">
            <v>0</v>
          </cell>
          <cell r="M54">
            <v>19252207</v>
          </cell>
          <cell r="N54">
            <v>38504415</v>
          </cell>
          <cell r="O54">
            <v>180543</v>
          </cell>
          <cell r="P54">
            <v>180543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349470</v>
          </cell>
          <cell r="AC54">
            <v>279576</v>
          </cell>
          <cell r="AD54">
            <v>69894</v>
          </cell>
          <cell r="AE54">
            <v>0</v>
          </cell>
          <cell r="AF54">
            <v>698940</v>
          </cell>
          <cell r="AG54">
            <v>279858</v>
          </cell>
          <cell r="AH54">
            <v>223887</v>
          </cell>
          <cell r="AI54">
            <v>55972</v>
          </cell>
          <cell r="AJ54">
            <v>0</v>
          </cell>
          <cell r="AK54">
            <v>559717</v>
          </cell>
          <cell r="AL54">
            <v>106939</v>
          </cell>
          <cell r="AM54">
            <v>85552</v>
          </cell>
          <cell r="AN54">
            <v>21388</v>
          </cell>
          <cell r="AO54">
            <v>0</v>
          </cell>
          <cell r="AP54">
            <v>213879</v>
          </cell>
          <cell r="AQ54">
            <v>29998</v>
          </cell>
          <cell r="AR54">
            <v>23998</v>
          </cell>
          <cell r="AS54">
            <v>6000</v>
          </cell>
          <cell r="AT54">
            <v>0</v>
          </cell>
          <cell r="AU54">
            <v>59996</v>
          </cell>
          <cell r="AV54">
            <v>136937</v>
          </cell>
          <cell r="AW54">
            <v>109550</v>
          </cell>
          <cell r="AX54">
            <v>27388</v>
          </cell>
          <cell r="AY54">
            <v>0</v>
          </cell>
          <cell r="AZ54">
            <v>273875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304658</v>
          </cell>
          <cell r="BG54">
            <v>243727</v>
          </cell>
          <cell r="BH54">
            <v>60932</v>
          </cell>
          <cell r="BI54">
            <v>0</v>
          </cell>
          <cell r="BJ54">
            <v>609317</v>
          </cell>
          <cell r="BK54">
            <v>304658</v>
          </cell>
          <cell r="BL54">
            <v>243727</v>
          </cell>
          <cell r="BM54">
            <v>60932</v>
          </cell>
          <cell r="BN54">
            <v>0</v>
          </cell>
          <cell r="BO54">
            <v>609317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705682</v>
          </cell>
          <cell r="BV54">
            <v>564546</v>
          </cell>
          <cell r="BW54">
            <v>141136</v>
          </cell>
          <cell r="BX54">
            <v>0</v>
          </cell>
          <cell r="BY54">
            <v>1411364</v>
          </cell>
          <cell r="BZ54">
            <v>705682</v>
          </cell>
          <cell r="CA54">
            <v>564546</v>
          </cell>
          <cell r="CB54">
            <v>141136</v>
          </cell>
          <cell r="CC54">
            <v>0</v>
          </cell>
          <cell r="CD54">
            <v>1411364</v>
          </cell>
        </row>
        <row r="55">
          <cell r="A55">
            <v>48</v>
          </cell>
          <cell r="B55" t="str">
            <v>E1534</v>
          </cell>
          <cell r="C55" t="str">
            <v>SD</v>
          </cell>
          <cell r="D55" t="str">
            <v>E</v>
          </cell>
          <cell r="E55" t="str">
            <v>Castle Point</v>
          </cell>
          <cell r="F55">
            <v>7227374</v>
          </cell>
          <cell r="G55">
            <v>5781900</v>
          </cell>
          <cell r="H55">
            <v>1300928</v>
          </cell>
          <cell r="I55">
            <v>144548</v>
          </cell>
          <cell r="J55">
            <v>14454750</v>
          </cell>
          <cell r="K55">
            <v>0</v>
          </cell>
          <cell r="L55">
            <v>0</v>
          </cell>
          <cell r="M55">
            <v>7227374</v>
          </cell>
          <cell r="N55">
            <v>14454750</v>
          </cell>
          <cell r="O55">
            <v>81864</v>
          </cell>
          <cell r="P55">
            <v>81864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125162.45</v>
          </cell>
          <cell r="AC55">
            <v>100130</v>
          </cell>
          <cell r="AD55">
            <v>22529</v>
          </cell>
          <cell r="AE55">
            <v>2503</v>
          </cell>
          <cell r="AF55">
            <v>250324.45</v>
          </cell>
          <cell r="AG55">
            <v>71610.52</v>
          </cell>
          <cell r="AH55">
            <v>57288</v>
          </cell>
          <cell r="AI55">
            <v>12890</v>
          </cell>
          <cell r="AJ55">
            <v>1432</v>
          </cell>
          <cell r="AK55">
            <v>143220.51999999999</v>
          </cell>
          <cell r="AL55">
            <v>22712</v>
          </cell>
          <cell r="AM55">
            <v>18170</v>
          </cell>
          <cell r="AN55">
            <v>4088</v>
          </cell>
          <cell r="AO55">
            <v>454</v>
          </cell>
          <cell r="AP55">
            <v>45424</v>
          </cell>
          <cell r="AQ55">
            <v>55295</v>
          </cell>
          <cell r="AR55">
            <v>44236</v>
          </cell>
          <cell r="AS55">
            <v>9953</v>
          </cell>
          <cell r="AT55">
            <v>1106</v>
          </cell>
          <cell r="AU55">
            <v>110590</v>
          </cell>
          <cell r="AV55">
            <v>78007</v>
          </cell>
          <cell r="AW55">
            <v>62406</v>
          </cell>
          <cell r="AX55">
            <v>14041</v>
          </cell>
          <cell r="AY55">
            <v>1560</v>
          </cell>
          <cell r="AZ55">
            <v>156014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99351</v>
          </cell>
          <cell r="BG55">
            <v>79481</v>
          </cell>
          <cell r="BH55">
            <v>17883</v>
          </cell>
          <cell r="BI55">
            <v>1987</v>
          </cell>
          <cell r="BJ55">
            <v>198702</v>
          </cell>
          <cell r="BK55">
            <v>99351</v>
          </cell>
          <cell r="BL55">
            <v>79481</v>
          </cell>
          <cell r="BM55">
            <v>17883</v>
          </cell>
          <cell r="BN55">
            <v>1987</v>
          </cell>
          <cell r="BO55">
            <v>198702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137199</v>
          </cell>
          <cell r="BV55">
            <v>109759</v>
          </cell>
          <cell r="BW55">
            <v>24696</v>
          </cell>
          <cell r="BX55">
            <v>2744</v>
          </cell>
          <cell r="BY55">
            <v>274398</v>
          </cell>
          <cell r="BZ55">
            <v>137199</v>
          </cell>
          <cell r="CA55">
            <v>109759</v>
          </cell>
          <cell r="CB55">
            <v>24696</v>
          </cell>
          <cell r="CC55">
            <v>2744</v>
          </cell>
          <cell r="CD55">
            <v>274398</v>
          </cell>
        </row>
        <row r="56">
          <cell r="A56">
            <v>49</v>
          </cell>
          <cell r="B56" t="str">
            <v>E0203</v>
          </cell>
          <cell r="C56" t="str">
            <v>UA</v>
          </cell>
          <cell r="D56" t="str">
            <v>E</v>
          </cell>
          <cell r="E56" t="str">
            <v>Central Bedfordshire UA</v>
          </cell>
          <cell r="F56">
            <v>35717876</v>
          </cell>
          <cell r="G56">
            <v>35003519</v>
          </cell>
          <cell r="H56">
            <v>0</v>
          </cell>
          <cell r="I56">
            <v>714358</v>
          </cell>
          <cell r="J56">
            <v>71435753</v>
          </cell>
          <cell r="K56">
            <v>0</v>
          </cell>
          <cell r="L56">
            <v>0</v>
          </cell>
          <cell r="M56">
            <v>35717876</v>
          </cell>
          <cell r="N56">
            <v>71435753</v>
          </cell>
          <cell r="O56">
            <v>315029</v>
          </cell>
          <cell r="P56">
            <v>315029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2585053</v>
          </cell>
          <cell r="AC56">
            <v>2533352</v>
          </cell>
          <cell r="AD56">
            <v>0</v>
          </cell>
          <cell r="AE56">
            <v>51701</v>
          </cell>
          <cell r="AF56">
            <v>5170106</v>
          </cell>
          <cell r="AG56">
            <v>321382</v>
          </cell>
          <cell r="AH56">
            <v>314955</v>
          </cell>
          <cell r="AI56">
            <v>0</v>
          </cell>
          <cell r="AJ56">
            <v>6428</v>
          </cell>
          <cell r="AK56">
            <v>642765</v>
          </cell>
          <cell r="AL56">
            <v>222155</v>
          </cell>
          <cell r="AM56">
            <v>217712</v>
          </cell>
          <cell r="AN56">
            <v>0</v>
          </cell>
          <cell r="AO56">
            <v>4443</v>
          </cell>
          <cell r="AP56">
            <v>444310</v>
          </cell>
          <cell r="AQ56">
            <v>87324</v>
          </cell>
          <cell r="AR56">
            <v>85578</v>
          </cell>
          <cell r="AS56">
            <v>0</v>
          </cell>
          <cell r="AT56">
            <v>1746</v>
          </cell>
          <cell r="AU56">
            <v>174648</v>
          </cell>
          <cell r="AV56">
            <v>309479</v>
          </cell>
          <cell r="AW56">
            <v>303290</v>
          </cell>
          <cell r="AX56">
            <v>0</v>
          </cell>
          <cell r="AY56">
            <v>6189</v>
          </cell>
          <cell r="AZ56">
            <v>618958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537170</v>
          </cell>
          <cell r="BG56">
            <v>526427</v>
          </cell>
          <cell r="BH56">
            <v>0</v>
          </cell>
          <cell r="BI56">
            <v>10743</v>
          </cell>
          <cell r="BJ56">
            <v>1074340</v>
          </cell>
          <cell r="BK56">
            <v>537170</v>
          </cell>
          <cell r="BL56">
            <v>526427</v>
          </cell>
          <cell r="BM56">
            <v>0</v>
          </cell>
          <cell r="BN56">
            <v>10743</v>
          </cell>
          <cell r="BO56">
            <v>1074340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1490809</v>
          </cell>
          <cell r="BV56">
            <v>1460992</v>
          </cell>
          <cell r="BW56">
            <v>0</v>
          </cell>
          <cell r="BX56">
            <v>29816</v>
          </cell>
          <cell r="BY56">
            <v>2981617</v>
          </cell>
          <cell r="BZ56">
            <v>1490809</v>
          </cell>
          <cell r="CA56">
            <v>1460992</v>
          </cell>
          <cell r="CB56">
            <v>0</v>
          </cell>
          <cell r="CC56">
            <v>29816</v>
          </cell>
          <cell r="CD56">
            <v>2981617</v>
          </cell>
        </row>
        <row r="57">
          <cell r="A57">
            <v>50</v>
          </cell>
          <cell r="B57" t="str">
            <v>E2432</v>
          </cell>
          <cell r="C57" t="str">
            <v>SD</v>
          </cell>
          <cell r="D57" t="str">
            <v>EM</v>
          </cell>
          <cell r="E57" t="str">
            <v>Charnwood</v>
          </cell>
          <cell r="F57">
            <v>20074593</v>
          </cell>
          <cell r="G57">
            <v>16059675</v>
          </cell>
          <cell r="H57">
            <v>3613427</v>
          </cell>
          <cell r="I57">
            <v>401492</v>
          </cell>
          <cell r="J57">
            <v>40149187</v>
          </cell>
          <cell r="K57">
            <v>0</v>
          </cell>
          <cell r="L57">
            <v>0</v>
          </cell>
          <cell r="M57">
            <v>20074593</v>
          </cell>
          <cell r="N57">
            <v>40149187</v>
          </cell>
          <cell r="O57">
            <v>194292</v>
          </cell>
          <cell r="P57">
            <v>194292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121606</v>
          </cell>
          <cell r="V57">
            <v>0</v>
          </cell>
          <cell r="W57">
            <v>121606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535972</v>
          </cell>
          <cell r="AC57">
            <v>428778</v>
          </cell>
          <cell r="AD57">
            <v>96475</v>
          </cell>
          <cell r="AE57">
            <v>10719</v>
          </cell>
          <cell r="AF57">
            <v>1071944</v>
          </cell>
          <cell r="AG57">
            <v>311257</v>
          </cell>
          <cell r="AH57">
            <v>249005</v>
          </cell>
          <cell r="AI57">
            <v>56026</v>
          </cell>
          <cell r="AJ57">
            <v>6225</v>
          </cell>
          <cell r="AK57">
            <v>622513</v>
          </cell>
          <cell r="AL57">
            <v>73233</v>
          </cell>
          <cell r="AM57">
            <v>58586</v>
          </cell>
          <cell r="AN57">
            <v>13182</v>
          </cell>
          <cell r="AO57">
            <v>1465</v>
          </cell>
          <cell r="AP57">
            <v>146466</v>
          </cell>
          <cell r="AQ57">
            <v>22533</v>
          </cell>
          <cell r="AR57">
            <v>18027</v>
          </cell>
          <cell r="AS57">
            <v>4056</v>
          </cell>
          <cell r="AT57">
            <v>451</v>
          </cell>
          <cell r="AU57">
            <v>45067</v>
          </cell>
          <cell r="AV57">
            <v>95766</v>
          </cell>
          <cell r="AW57">
            <v>76613</v>
          </cell>
          <cell r="AX57">
            <v>17238</v>
          </cell>
          <cell r="AY57">
            <v>1916</v>
          </cell>
          <cell r="AZ57">
            <v>191533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318411</v>
          </cell>
          <cell r="BG57">
            <v>254729</v>
          </cell>
          <cell r="BH57">
            <v>57314</v>
          </cell>
          <cell r="BI57">
            <v>6368</v>
          </cell>
          <cell r="BJ57">
            <v>636822</v>
          </cell>
          <cell r="BK57">
            <v>318411</v>
          </cell>
          <cell r="BL57">
            <v>254729</v>
          </cell>
          <cell r="BM57">
            <v>57314</v>
          </cell>
          <cell r="BN57">
            <v>6368</v>
          </cell>
          <cell r="BO57">
            <v>636822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505233</v>
          </cell>
          <cell r="BV57">
            <v>404186</v>
          </cell>
          <cell r="BW57">
            <v>90942</v>
          </cell>
          <cell r="BX57">
            <v>10105</v>
          </cell>
          <cell r="BY57">
            <v>1010466</v>
          </cell>
          <cell r="BZ57">
            <v>505233</v>
          </cell>
          <cell r="CA57">
            <v>404186</v>
          </cell>
          <cell r="CB57">
            <v>90942</v>
          </cell>
          <cell r="CC57">
            <v>10105</v>
          </cell>
          <cell r="CD57">
            <v>1010466</v>
          </cell>
        </row>
        <row r="58">
          <cell r="A58">
            <v>51</v>
          </cell>
          <cell r="B58" t="str">
            <v>E1535</v>
          </cell>
          <cell r="C58" t="str">
            <v>SD</v>
          </cell>
          <cell r="D58" t="str">
            <v>E</v>
          </cell>
          <cell r="E58" t="str">
            <v>Chelmsford</v>
          </cell>
          <cell r="F58">
            <v>36020412</v>
          </cell>
          <cell r="G58">
            <v>28816329</v>
          </cell>
          <cell r="H58">
            <v>6483674</v>
          </cell>
          <cell r="I58">
            <v>720408</v>
          </cell>
          <cell r="J58">
            <v>72040823</v>
          </cell>
          <cell r="K58">
            <v>0</v>
          </cell>
          <cell r="L58">
            <v>0</v>
          </cell>
          <cell r="M58">
            <v>36020412</v>
          </cell>
          <cell r="N58">
            <v>72040823</v>
          </cell>
          <cell r="O58">
            <v>224329</v>
          </cell>
          <cell r="P58">
            <v>224329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1349107.07</v>
          </cell>
          <cell r="AC58">
            <v>1079285</v>
          </cell>
          <cell r="AD58">
            <v>242839</v>
          </cell>
          <cell r="AE58">
            <v>26982</v>
          </cell>
          <cell r="AF58">
            <v>2698213.07</v>
          </cell>
          <cell r="AG58">
            <v>875252.94</v>
          </cell>
          <cell r="AH58">
            <v>700203</v>
          </cell>
          <cell r="AI58">
            <v>157546</v>
          </cell>
          <cell r="AJ58">
            <v>17505</v>
          </cell>
          <cell r="AK58">
            <v>1750506.94</v>
          </cell>
          <cell r="AL58">
            <v>600365.55000000005</v>
          </cell>
          <cell r="AM58">
            <v>480293</v>
          </cell>
          <cell r="AN58">
            <v>108066</v>
          </cell>
          <cell r="AO58">
            <v>12007</v>
          </cell>
          <cell r="AP58">
            <v>1200731.55</v>
          </cell>
          <cell r="AQ58">
            <v>-94705.9</v>
          </cell>
          <cell r="AR58">
            <v>-75765</v>
          </cell>
          <cell r="AS58">
            <v>-17047</v>
          </cell>
          <cell r="AT58">
            <v>-1894</v>
          </cell>
          <cell r="AU58">
            <v>-189411.9</v>
          </cell>
          <cell r="AV58">
            <v>505659.65</v>
          </cell>
          <cell r="AW58">
            <v>404528</v>
          </cell>
          <cell r="AX58">
            <v>91019</v>
          </cell>
          <cell r="AY58">
            <v>10113</v>
          </cell>
          <cell r="AZ58">
            <v>1011319.65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423944</v>
          </cell>
          <cell r="BG58">
            <v>339156</v>
          </cell>
          <cell r="BH58">
            <v>76310</v>
          </cell>
          <cell r="BI58">
            <v>8479</v>
          </cell>
          <cell r="BJ58">
            <v>847889</v>
          </cell>
          <cell r="BK58">
            <v>423944</v>
          </cell>
          <cell r="BL58">
            <v>339156</v>
          </cell>
          <cell r="BM58">
            <v>76310</v>
          </cell>
          <cell r="BN58">
            <v>8479</v>
          </cell>
          <cell r="BO58">
            <v>847889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917903</v>
          </cell>
          <cell r="BV58">
            <v>734322</v>
          </cell>
          <cell r="BW58">
            <v>165223</v>
          </cell>
          <cell r="BX58">
            <v>18358</v>
          </cell>
          <cell r="BY58">
            <v>1835806</v>
          </cell>
          <cell r="BZ58">
            <v>917903</v>
          </cell>
          <cell r="CA58">
            <v>734322</v>
          </cell>
          <cell r="CB58">
            <v>165223</v>
          </cell>
          <cell r="CC58">
            <v>18358</v>
          </cell>
          <cell r="CD58">
            <v>1835806</v>
          </cell>
        </row>
        <row r="59">
          <cell r="A59">
            <v>52</v>
          </cell>
          <cell r="B59" t="str">
            <v>E1631</v>
          </cell>
          <cell r="C59" t="str">
            <v>SD</v>
          </cell>
          <cell r="D59" t="str">
            <v>SW</v>
          </cell>
          <cell r="E59" t="str">
            <v>Cheltenham</v>
          </cell>
          <cell r="F59">
            <v>26187697</v>
          </cell>
          <cell r="G59">
            <v>20950158</v>
          </cell>
          <cell r="H59">
            <v>5237539</v>
          </cell>
          <cell r="I59">
            <v>0</v>
          </cell>
          <cell r="J59">
            <v>52375394</v>
          </cell>
          <cell r="K59">
            <v>0</v>
          </cell>
          <cell r="L59">
            <v>0</v>
          </cell>
          <cell r="M59">
            <v>26187697</v>
          </cell>
          <cell r="N59">
            <v>52375394</v>
          </cell>
          <cell r="O59">
            <v>183813</v>
          </cell>
          <cell r="P59">
            <v>183813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635577</v>
          </cell>
          <cell r="AC59">
            <v>508462</v>
          </cell>
          <cell r="AD59">
            <v>127116</v>
          </cell>
          <cell r="AE59">
            <v>0</v>
          </cell>
          <cell r="AF59">
            <v>1271155</v>
          </cell>
          <cell r="AG59">
            <v>2114023</v>
          </cell>
          <cell r="AH59">
            <v>1691218</v>
          </cell>
          <cell r="AI59">
            <v>422805</v>
          </cell>
          <cell r="AJ59">
            <v>0</v>
          </cell>
          <cell r="AK59">
            <v>4228046</v>
          </cell>
          <cell r="AL59">
            <v>247832</v>
          </cell>
          <cell r="AM59">
            <v>198265</v>
          </cell>
          <cell r="AN59">
            <v>49566</v>
          </cell>
          <cell r="AO59">
            <v>0</v>
          </cell>
          <cell r="AP59">
            <v>495663</v>
          </cell>
          <cell r="AQ59">
            <v>14819</v>
          </cell>
          <cell r="AR59">
            <v>11856</v>
          </cell>
          <cell r="AS59">
            <v>2964</v>
          </cell>
          <cell r="AT59">
            <v>0</v>
          </cell>
          <cell r="AU59">
            <v>29639</v>
          </cell>
          <cell r="AV59">
            <v>262651</v>
          </cell>
          <cell r="AW59">
            <v>210121</v>
          </cell>
          <cell r="AX59">
            <v>52530</v>
          </cell>
          <cell r="AY59">
            <v>0</v>
          </cell>
          <cell r="AZ59">
            <v>525302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320000</v>
          </cell>
          <cell r="BG59">
            <v>256000</v>
          </cell>
          <cell r="BH59">
            <v>64000</v>
          </cell>
          <cell r="BI59">
            <v>0</v>
          </cell>
          <cell r="BJ59">
            <v>640000</v>
          </cell>
          <cell r="BK59">
            <v>320000</v>
          </cell>
          <cell r="BL59">
            <v>256000</v>
          </cell>
          <cell r="BM59">
            <v>64000</v>
          </cell>
          <cell r="BN59">
            <v>0</v>
          </cell>
          <cell r="BO59">
            <v>640000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322500</v>
          </cell>
          <cell r="BV59">
            <v>258000</v>
          </cell>
          <cell r="BW59">
            <v>64500</v>
          </cell>
          <cell r="BX59">
            <v>0</v>
          </cell>
          <cell r="BY59">
            <v>645000</v>
          </cell>
          <cell r="BZ59">
            <v>322500</v>
          </cell>
          <cell r="CA59">
            <v>258000</v>
          </cell>
          <cell r="CB59">
            <v>64500</v>
          </cell>
          <cell r="CC59">
            <v>0</v>
          </cell>
          <cell r="CD59">
            <v>645000</v>
          </cell>
        </row>
        <row r="60">
          <cell r="A60">
            <v>53</v>
          </cell>
          <cell r="B60" t="str">
            <v>E3131</v>
          </cell>
          <cell r="C60" t="str">
            <v>SD</v>
          </cell>
          <cell r="D60" t="str">
            <v>SE</v>
          </cell>
          <cell r="E60" t="str">
            <v>Cherwell</v>
          </cell>
          <cell r="F60">
            <v>33145608</v>
          </cell>
          <cell r="G60">
            <v>26516486</v>
          </cell>
          <cell r="H60">
            <v>6629122</v>
          </cell>
          <cell r="I60">
            <v>0</v>
          </cell>
          <cell r="J60">
            <v>66291216</v>
          </cell>
          <cell r="K60">
            <v>0</v>
          </cell>
          <cell r="L60">
            <v>0</v>
          </cell>
          <cell r="M60">
            <v>33145608</v>
          </cell>
          <cell r="N60">
            <v>66291216</v>
          </cell>
          <cell r="O60">
            <v>218671</v>
          </cell>
          <cell r="P60">
            <v>218671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19966</v>
          </cell>
          <cell r="V60">
            <v>0</v>
          </cell>
          <cell r="W60">
            <v>19966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764859</v>
          </cell>
          <cell r="AC60">
            <v>611887</v>
          </cell>
          <cell r="AD60">
            <v>152972</v>
          </cell>
          <cell r="AE60">
            <v>0</v>
          </cell>
          <cell r="AF60">
            <v>1529718</v>
          </cell>
          <cell r="AG60">
            <v>953064</v>
          </cell>
          <cell r="AH60">
            <v>762452</v>
          </cell>
          <cell r="AI60">
            <v>190613</v>
          </cell>
          <cell r="AJ60">
            <v>0</v>
          </cell>
          <cell r="AK60">
            <v>1906129</v>
          </cell>
          <cell r="AL60">
            <v>96682</v>
          </cell>
          <cell r="AM60">
            <v>77346</v>
          </cell>
          <cell r="AN60">
            <v>19337</v>
          </cell>
          <cell r="AO60">
            <v>0</v>
          </cell>
          <cell r="AP60">
            <v>193365</v>
          </cell>
          <cell r="AQ60">
            <v>58236</v>
          </cell>
          <cell r="AR60">
            <v>46589</v>
          </cell>
          <cell r="AS60">
            <v>11647</v>
          </cell>
          <cell r="AT60">
            <v>0</v>
          </cell>
          <cell r="AU60">
            <v>116472</v>
          </cell>
          <cell r="AV60">
            <v>154918</v>
          </cell>
          <cell r="AW60">
            <v>123935</v>
          </cell>
          <cell r="AX60">
            <v>30984</v>
          </cell>
          <cell r="AY60">
            <v>0</v>
          </cell>
          <cell r="AZ60">
            <v>309837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416030</v>
          </cell>
          <cell r="BG60">
            <v>332824</v>
          </cell>
          <cell r="BH60">
            <v>83206</v>
          </cell>
          <cell r="BI60">
            <v>0</v>
          </cell>
          <cell r="BJ60">
            <v>832060</v>
          </cell>
          <cell r="BK60">
            <v>416030</v>
          </cell>
          <cell r="BL60">
            <v>332824</v>
          </cell>
          <cell r="BM60">
            <v>83206</v>
          </cell>
          <cell r="BN60">
            <v>0</v>
          </cell>
          <cell r="BO60">
            <v>832060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1259314</v>
          </cell>
          <cell r="BV60">
            <v>1007451</v>
          </cell>
          <cell r="BW60">
            <v>251863</v>
          </cell>
          <cell r="BX60">
            <v>0</v>
          </cell>
          <cell r="BY60">
            <v>2518628</v>
          </cell>
          <cell r="BZ60">
            <v>1259314</v>
          </cell>
          <cell r="CA60">
            <v>1007451</v>
          </cell>
          <cell r="CB60">
            <v>251863</v>
          </cell>
          <cell r="CC60">
            <v>0</v>
          </cell>
          <cell r="CD60">
            <v>2518628</v>
          </cell>
        </row>
        <row r="61">
          <cell r="A61">
            <v>54</v>
          </cell>
          <cell r="B61" t="str">
            <v>E0603</v>
          </cell>
          <cell r="C61" t="str">
            <v>UA</v>
          </cell>
          <cell r="D61" t="str">
            <v>NW</v>
          </cell>
          <cell r="E61" t="str">
            <v>Cheshire East UA</v>
          </cell>
          <cell r="F61">
            <v>64624690</v>
          </cell>
          <cell r="G61">
            <v>63332197</v>
          </cell>
          <cell r="H61">
            <v>0</v>
          </cell>
          <cell r="I61">
            <v>1292494</v>
          </cell>
          <cell r="J61">
            <v>129249381</v>
          </cell>
          <cell r="K61">
            <v>0</v>
          </cell>
          <cell r="L61">
            <v>0</v>
          </cell>
          <cell r="M61">
            <v>64624690</v>
          </cell>
          <cell r="N61">
            <v>129249381</v>
          </cell>
          <cell r="O61">
            <v>562256</v>
          </cell>
          <cell r="P61">
            <v>562256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3152810</v>
          </cell>
          <cell r="AC61">
            <v>3089753</v>
          </cell>
          <cell r="AD61">
            <v>0</v>
          </cell>
          <cell r="AE61">
            <v>63056</v>
          </cell>
          <cell r="AF61">
            <v>6305619</v>
          </cell>
          <cell r="AG61">
            <v>505102</v>
          </cell>
          <cell r="AH61">
            <v>494999</v>
          </cell>
          <cell r="AI61">
            <v>0</v>
          </cell>
          <cell r="AJ61">
            <v>10102</v>
          </cell>
          <cell r="AK61">
            <v>1010203</v>
          </cell>
          <cell r="AL61">
            <v>1473805</v>
          </cell>
          <cell r="AM61">
            <v>1444329</v>
          </cell>
          <cell r="AN61">
            <v>0</v>
          </cell>
          <cell r="AO61">
            <v>29476</v>
          </cell>
          <cell r="AP61">
            <v>2947610</v>
          </cell>
          <cell r="AQ61">
            <v>-790018</v>
          </cell>
          <cell r="AR61">
            <v>-774217</v>
          </cell>
          <cell r="AS61">
            <v>0</v>
          </cell>
          <cell r="AT61">
            <v>-15800</v>
          </cell>
          <cell r="AU61">
            <v>-1580035</v>
          </cell>
          <cell r="AV61">
            <v>683787</v>
          </cell>
          <cell r="AW61">
            <v>670112</v>
          </cell>
          <cell r="AX61">
            <v>0</v>
          </cell>
          <cell r="AY61">
            <v>13676</v>
          </cell>
          <cell r="AZ61">
            <v>1367575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900723</v>
          </cell>
          <cell r="BG61">
            <v>882709</v>
          </cell>
          <cell r="BH61">
            <v>0</v>
          </cell>
          <cell r="BI61">
            <v>18014</v>
          </cell>
          <cell r="BJ61">
            <v>1801446</v>
          </cell>
          <cell r="BK61">
            <v>900723</v>
          </cell>
          <cell r="BL61">
            <v>882709</v>
          </cell>
          <cell r="BM61">
            <v>0</v>
          </cell>
          <cell r="BN61">
            <v>18014</v>
          </cell>
          <cell r="BO61">
            <v>1801446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2450924</v>
          </cell>
          <cell r="BV61">
            <v>2401906</v>
          </cell>
          <cell r="BW61">
            <v>0</v>
          </cell>
          <cell r="BX61">
            <v>49018</v>
          </cell>
          <cell r="BY61">
            <v>4901848</v>
          </cell>
          <cell r="BZ61">
            <v>2450924</v>
          </cell>
          <cell r="CA61">
            <v>2401906</v>
          </cell>
          <cell r="CB61">
            <v>0</v>
          </cell>
          <cell r="CC61">
            <v>49018</v>
          </cell>
          <cell r="CD61">
            <v>4901848</v>
          </cell>
        </row>
        <row r="62">
          <cell r="A62">
            <v>55</v>
          </cell>
          <cell r="B62" t="str">
            <v>E0604</v>
          </cell>
          <cell r="C62" t="str">
            <v>UA</v>
          </cell>
          <cell r="D62" t="str">
            <v>NW</v>
          </cell>
          <cell r="E62" t="str">
            <v>Cheshire West and Chester UA</v>
          </cell>
          <cell r="F62">
            <v>70034144</v>
          </cell>
          <cell r="G62">
            <v>68633461</v>
          </cell>
          <cell r="H62">
            <v>0</v>
          </cell>
          <cell r="I62">
            <v>1400683</v>
          </cell>
          <cell r="J62">
            <v>140068288</v>
          </cell>
          <cell r="K62">
            <v>0</v>
          </cell>
          <cell r="L62">
            <v>0</v>
          </cell>
          <cell r="M62">
            <v>70034144</v>
          </cell>
          <cell r="N62">
            <v>140068288</v>
          </cell>
          <cell r="O62">
            <v>504181</v>
          </cell>
          <cell r="P62">
            <v>504181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2272485</v>
          </cell>
          <cell r="AC62">
            <v>2227036</v>
          </cell>
          <cell r="AD62">
            <v>0</v>
          </cell>
          <cell r="AE62">
            <v>45450</v>
          </cell>
          <cell r="AF62">
            <v>4544971</v>
          </cell>
          <cell r="AG62">
            <v>2127383</v>
          </cell>
          <cell r="AH62">
            <v>2084835</v>
          </cell>
          <cell r="AI62">
            <v>0</v>
          </cell>
          <cell r="AJ62">
            <v>42548</v>
          </cell>
          <cell r="AK62">
            <v>4254766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189602</v>
          </cell>
          <cell r="AR62">
            <v>185810</v>
          </cell>
          <cell r="AS62">
            <v>0</v>
          </cell>
          <cell r="AT62">
            <v>3792</v>
          </cell>
          <cell r="AU62">
            <v>379204</v>
          </cell>
          <cell r="AV62">
            <v>189602</v>
          </cell>
          <cell r="AW62">
            <v>185810</v>
          </cell>
          <cell r="AX62">
            <v>0</v>
          </cell>
          <cell r="AY62">
            <v>3792</v>
          </cell>
          <cell r="AZ62">
            <v>379204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1006601</v>
          </cell>
          <cell r="BG62">
            <v>986468</v>
          </cell>
          <cell r="BH62">
            <v>0</v>
          </cell>
          <cell r="BI62">
            <v>20132</v>
          </cell>
          <cell r="BJ62">
            <v>2013201</v>
          </cell>
          <cell r="BK62">
            <v>1006601</v>
          </cell>
          <cell r="BL62">
            <v>986468</v>
          </cell>
          <cell r="BM62">
            <v>0</v>
          </cell>
          <cell r="BN62">
            <v>20132</v>
          </cell>
          <cell r="BO62">
            <v>2013201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3244397</v>
          </cell>
          <cell r="BV62">
            <v>3179509</v>
          </cell>
          <cell r="BW62">
            <v>0</v>
          </cell>
          <cell r="BX62">
            <v>64888</v>
          </cell>
          <cell r="BY62">
            <v>6488794</v>
          </cell>
          <cell r="BZ62">
            <v>3244397</v>
          </cell>
          <cell r="CA62">
            <v>3179509</v>
          </cell>
          <cell r="CB62">
            <v>0</v>
          </cell>
          <cell r="CC62">
            <v>64888</v>
          </cell>
          <cell r="CD62">
            <v>6488794</v>
          </cell>
        </row>
        <row r="63">
          <cell r="A63">
            <v>56</v>
          </cell>
          <cell r="B63" t="str">
            <v>E1033</v>
          </cell>
          <cell r="C63" t="str">
            <v>SD</v>
          </cell>
          <cell r="D63" t="str">
            <v>EM</v>
          </cell>
          <cell r="E63" t="str">
            <v>Chesterfield</v>
          </cell>
          <cell r="F63">
            <v>16618410</v>
          </cell>
          <cell r="G63">
            <v>13294728</v>
          </cell>
          <cell r="H63">
            <v>2991314</v>
          </cell>
          <cell r="I63">
            <v>332368</v>
          </cell>
          <cell r="J63">
            <v>33236820</v>
          </cell>
          <cell r="K63">
            <v>0</v>
          </cell>
          <cell r="L63">
            <v>0</v>
          </cell>
          <cell r="M63">
            <v>16618410</v>
          </cell>
          <cell r="N63">
            <v>33236820</v>
          </cell>
          <cell r="O63">
            <v>165425</v>
          </cell>
          <cell r="P63">
            <v>165425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699674</v>
          </cell>
          <cell r="AC63">
            <v>559740</v>
          </cell>
          <cell r="AD63">
            <v>125942</v>
          </cell>
          <cell r="AE63">
            <v>13994</v>
          </cell>
          <cell r="AF63">
            <v>1399350</v>
          </cell>
          <cell r="AG63">
            <v>254631</v>
          </cell>
          <cell r="AH63">
            <v>203704</v>
          </cell>
          <cell r="AI63">
            <v>45833</v>
          </cell>
          <cell r="AJ63">
            <v>5093</v>
          </cell>
          <cell r="AK63">
            <v>509261</v>
          </cell>
          <cell r="AL63">
            <v>341492</v>
          </cell>
          <cell r="AM63">
            <v>273194</v>
          </cell>
          <cell r="AN63">
            <v>61469</v>
          </cell>
          <cell r="AO63">
            <v>6830</v>
          </cell>
          <cell r="AP63">
            <v>682985</v>
          </cell>
          <cell r="AQ63">
            <v>26491</v>
          </cell>
          <cell r="AR63">
            <v>21194</v>
          </cell>
          <cell r="AS63">
            <v>4769</v>
          </cell>
          <cell r="AT63">
            <v>530</v>
          </cell>
          <cell r="AU63">
            <v>52984</v>
          </cell>
          <cell r="AV63">
            <v>367983</v>
          </cell>
          <cell r="AW63">
            <v>294388</v>
          </cell>
          <cell r="AX63">
            <v>66238</v>
          </cell>
          <cell r="AY63">
            <v>7360</v>
          </cell>
          <cell r="AZ63">
            <v>735969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163625</v>
          </cell>
          <cell r="BG63">
            <v>130901</v>
          </cell>
          <cell r="BH63">
            <v>29453</v>
          </cell>
          <cell r="BI63">
            <v>3273</v>
          </cell>
          <cell r="BJ63">
            <v>327252</v>
          </cell>
          <cell r="BK63">
            <v>163625</v>
          </cell>
          <cell r="BL63">
            <v>130901</v>
          </cell>
          <cell r="BM63">
            <v>29453</v>
          </cell>
          <cell r="BN63">
            <v>3273</v>
          </cell>
          <cell r="BO63">
            <v>327252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693786</v>
          </cell>
          <cell r="BV63">
            <v>555028</v>
          </cell>
          <cell r="BW63">
            <v>124881</v>
          </cell>
          <cell r="BX63">
            <v>13876</v>
          </cell>
          <cell r="BY63">
            <v>1387571</v>
          </cell>
          <cell r="BZ63">
            <v>693786</v>
          </cell>
          <cell r="CA63">
            <v>555028</v>
          </cell>
          <cell r="CB63">
            <v>124881</v>
          </cell>
          <cell r="CC63">
            <v>13876</v>
          </cell>
          <cell r="CD63">
            <v>1387571</v>
          </cell>
        </row>
        <row r="64">
          <cell r="A64">
            <v>57</v>
          </cell>
          <cell r="B64" t="str">
            <v>E3833</v>
          </cell>
          <cell r="C64" t="str">
            <v>SD</v>
          </cell>
          <cell r="D64" t="str">
            <v>SE</v>
          </cell>
          <cell r="E64" t="str">
            <v>Chichester</v>
          </cell>
          <cell r="F64">
            <v>20476137</v>
          </cell>
          <cell r="G64">
            <v>16380909</v>
          </cell>
          <cell r="H64">
            <v>4095227</v>
          </cell>
          <cell r="I64">
            <v>0</v>
          </cell>
          <cell r="J64">
            <v>40952273</v>
          </cell>
          <cell r="K64">
            <v>0</v>
          </cell>
          <cell r="L64">
            <v>0</v>
          </cell>
          <cell r="M64">
            <v>20476137</v>
          </cell>
          <cell r="N64">
            <v>40952273</v>
          </cell>
          <cell r="O64">
            <v>191836</v>
          </cell>
          <cell r="P64">
            <v>191836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771511</v>
          </cell>
          <cell r="AC64">
            <v>617208</v>
          </cell>
          <cell r="AD64">
            <v>154302</v>
          </cell>
          <cell r="AE64">
            <v>0</v>
          </cell>
          <cell r="AF64">
            <v>1543021</v>
          </cell>
          <cell r="AG64">
            <v>299780</v>
          </cell>
          <cell r="AH64">
            <v>239824</v>
          </cell>
          <cell r="AI64">
            <v>59956</v>
          </cell>
          <cell r="AJ64">
            <v>0</v>
          </cell>
          <cell r="AK64">
            <v>599560</v>
          </cell>
          <cell r="AL64">
            <v>302846</v>
          </cell>
          <cell r="AM64">
            <v>242277</v>
          </cell>
          <cell r="AN64">
            <v>60569</v>
          </cell>
          <cell r="AO64">
            <v>0</v>
          </cell>
          <cell r="AP64">
            <v>605692</v>
          </cell>
          <cell r="AQ64">
            <v>52608</v>
          </cell>
          <cell r="AR64">
            <v>42087</v>
          </cell>
          <cell r="AS64">
            <v>10522</v>
          </cell>
          <cell r="AT64">
            <v>0</v>
          </cell>
          <cell r="AU64">
            <v>105217</v>
          </cell>
          <cell r="AV64">
            <v>355454</v>
          </cell>
          <cell r="AW64">
            <v>284364</v>
          </cell>
          <cell r="AX64">
            <v>71091</v>
          </cell>
          <cell r="AY64">
            <v>0</v>
          </cell>
          <cell r="AZ64">
            <v>710909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111379</v>
          </cell>
          <cell r="BG64">
            <v>89103</v>
          </cell>
          <cell r="BH64">
            <v>22276</v>
          </cell>
          <cell r="BI64">
            <v>0</v>
          </cell>
          <cell r="BJ64">
            <v>222758</v>
          </cell>
          <cell r="BK64">
            <v>111379</v>
          </cell>
          <cell r="BL64">
            <v>89103</v>
          </cell>
          <cell r="BM64">
            <v>22276</v>
          </cell>
          <cell r="BN64">
            <v>0</v>
          </cell>
          <cell r="BO64">
            <v>222758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929258</v>
          </cell>
          <cell r="BV64">
            <v>743406</v>
          </cell>
          <cell r="BW64">
            <v>185852</v>
          </cell>
          <cell r="BX64">
            <v>0</v>
          </cell>
          <cell r="BY64">
            <v>1858516</v>
          </cell>
          <cell r="BZ64">
            <v>929258</v>
          </cell>
          <cell r="CA64">
            <v>743406</v>
          </cell>
          <cell r="CB64">
            <v>185852</v>
          </cell>
          <cell r="CC64">
            <v>0</v>
          </cell>
          <cell r="CD64">
            <v>1858516</v>
          </cell>
        </row>
        <row r="65">
          <cell r="A65">
            <v>58</v>
          </cell>
          <cell r="B65" t="str">
            <v>E0432</v>
          </cell>
          <cell r="C65" t="str">
            <v>SD</v>
          </cell>
          <cell r="D65" t="str">
            <v>SE</v>
          </cell>
          <cell r="E65" t="str">
            <v>Chiltern</v>
          </cell>
          <cell r="F65">
            <v>9370330</v>
          </cell>
          <cell r="G65">
            <v>7496264</v>
          </cell>
          <cell r="H65">
            <v>1686659</v>
          </cell>
          <cell r="I65">
            <v>187407</v>
          </cell>
          <cell r="J65">
            <v>18740660</v>
          </cell>
          <cell r="K65">
            <v>0</v>
          </cell>
          <cell r="L65">
            <v>0</v>
          </cell>
          <cell r="M65">
            <v>9370330</v>
          </cell>
          <cell r="N65">
            <v>18740660</v>
          </cell>
          <cell r="O65">
            <v>117534</v>
          </cell>
          <cell r="P65">
            <v>117534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334093</v>
          </cell>
          <cell r="AC65">
            <v>267274</v>
          </cell>
          <cell r="AD65">
            <v>60137</v>
          </cell>
          <cell r="AE65">
            <v>6682</v>
          </cell>
          <cell r="AF65">
            <v>668186</v>
          </cell>
          <cell r="AG65">
            <v>146685</v>
          </cell>
          <cell r="AH65">
            <v>117348</v>
          </cell>
          <cell r="AI65">
            <v>26403</v>
          </cell>
          <cell r="AJ65">
            <v>2934</v>
          </cell>
          <cell r="AK65">
            <v>293370</v>
          </cell>
          <cell r="AL65">
            <v>73225</v>
          </cell>
          <cell r="AM65">
            <v>58579</v>
          </cell>
          <cell r="AN65">
            <v>13180</v>
          </cell>
          <cell r="AO65">
            <v>1464</v>
          </cell>
          <cell r="AP65">
            <v>146448</v>
          </cell>
          <cell r="AQ65">
            <v>-3443</v>
          </cell>
          <cell r="AR65">
            <v>-2755</v>
          </cell>
          <cell r="AS65">
            <v>-620</v>
          </cell>
          <cell r="AT65">
            <v>-69</v>
          </cell>
          <cell r="AU65">
            <v>-6887</v>
          </cell>
          <cell r="AV65">
            <v>69782</v>
          </cell>
          <cell r="AW65">
            <v>55824</v>
          </cell>
          <cell r="AX65">
            <v>12560</v>
          </cell>
          <cell r="AY65">
            <v>1395</v>
          </cell>
          <cell r="AZ65">
            <v>139561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193086</v>
          </cell>
          <cell r="BG65">
            <v>154469</v>
          </cell>
          <cell r="BH65">
            <v>34755</v>
          </cell>
          <cell r="BI65">
            <v>3862</v>
          </cell>
          <cell r="BJ65">
            <v>386172</v>
          </cell>
          <cell r="BK65">
            <v>193086</v>
          </cell>
          <cell r="BL65">
            <v>154469</v>
          </cell>
          <cell r="BM65">
            <v>34755</v>
          </cell>
          <cell r="BN65">
            <v>3862</v>
          </cell>
          <cell r="BO65">
            <v>386172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535361</v>
          </cell>
          <cell r="BV65">
            <v>428288</v>
          </cell>
          <cell r="BW65">
            <v>96365</v>
          </cell>
          <cell r="BX65">
            <v>10707</v>
          </cell>
          <cell r="BY65">
            <v>1070721</v>
          </cell>
          <cell r="BZ65">
            <v>535361</v>
          </cell>
          <cell r="CA65">
            <v>428288</v>
          </cell>
          <cell r="CB65">
            <v>96365</v>
          </cell>
          <cell r="CC65">
            <v>10707</v>
          </cell>
          <cell r="CD65">
            <v>1070721</v>
          </cell>
        </row>
        <row r="66">
          <cell r="A66">
            <v>59</v>
          </cell>
          <cell r="B66" t="str">
            <v>E2334</v>
          </cell>
          <cell r="C66" t="str">
            <v>SD</v>
          </cell>
          <cell r="D66" t="str">
            <v>NW</v>
          </cell>
          <cell r="E66" t="str">
            <v>Chorley</v>
          </cell>
          <cell r="F66">
            <v>12378338</v>
          </cell>
          <cell r="G66">
            <v>9902670</v>
          </cell>
          <cell r="H66">
            <v>2228101</v>
          </cell>
          <cell r="I66">
            <v>247567</v>
          </cell>
          <cell r="J66">
            <v>24756676</v>
          </cell>
          <cell r="K66">
            <v>0</v>
          </cell>
          <cell r="L66">
            <v>0</v>
          </cell>
          <cell r="M66">
            <v>12378338</v>
          </cell>
          <cell r="N66">
            <v>24756676</v>
          </cell>
          <cell r="O66">
            <v>133847</v>
          </cell>
          <cell r="P66">
            <v>133847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554250</v>
          </cell>
          <cell r="AC66">
            <v>443400</v>
          </cell>
          <cell r="AD66">
            <v>99765</v>
          </cell>
          <cell r="AE66">
            <v>11085</v>
          </cell>
          <cell r="AF66">
            <v>1108500</v>
          </cell>
          <cell r="AG66">
            <v>164392</v>
          </cell>
          <cell r="AH66">
            <v>131514</v>
          </cell>
          <cell r="AI66">
            <v>29591</v>
          </cell>
          <cell r="AJ66">
            <v>3288</v>
          </cell>
          <cell r="AK66">
            <v>328785</v>
          </cell>
          <cell r="AL66">
            <v>311938</v>
          </cell>
          <cell r="AM66">
            <v>249550</v>
          </cell>
          <cell r="AN66">
            <v>56149</v>
          </cell>
          <cell r="AO66">
            <v>6239</v>
          </cell>
          <cell r="AP66">
            <v>623876</v>
          </cell>
          <cell r="AQ66">
            <v>39326</v>
          </cell>
          <cell r="AR66">
            <v>31462</v>
          </cell>
          <cell r="AS66">
            <v>7079</v>
          </cell>
          <cell r="AT66">
            <v>787</v>
          </cell>
          <cell r="AU66">
            <v>78654</v>
          </cell>
          <cell r="AV66">
            <v>351264</v>
          </cell>
          <cell r="AW66">
            <v>281012</v>
          </cell>
          <cell r="AX66">
            <v>63228</v>
          </cell>
          <cell r="AY66">
            <v>7026</v>
          </cell>
          <cell r="AZ66">
            <v>702530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175000</v>
          </cell>
          <cell r="BG66">
            <v>140000</v>
          </cell>
          <cell r="BH66">
            <v>31500</v>
          </cell>
          <cell r="BI66">
            <v>3500</v>
          </cell>
          <cell r="BJ66">
            <v>350000</v>
          </cell>
          <cell r="BK66">
            <v>175000</v>
          </cell>
          <cell r="BL66">
            <v>140000</v>
          </cell>
          <cell r="BM66">
            <v>31500</v>
          </cell>
          <cell r="BN66">
            <v>3500</v>
          </cell>
          <cell r="BO66">
            <v>350000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450000</v>
          </cell>
          <cell r="BV66">
            <v>360000</v>
          </cell>
          <cell r="BW66">
            <v>81000</v>
          </cell>
          <cell r="BX66">
            <v>9000</v>
          </cell>
          <cell r="BY66">
            <v>900000</v>
          </cell>
          <cell r="BZ66">
            <v>450000</v>
          </cell>
          <cell r="CA66">
            <v>360000</v>
          </cell>
          <cell r="CB66">
            <v>81000</v>
          </cell>
          <cell r="CC66">
            <v>9000</v>
          </cell>
          <cell r="CD66">
            <v>900000</v>
          </cell>
        </row>
        <row r="67">
          <cell r="A67">
            <v>60</v>
          </cell>
          <cell r="B67" t="str">
            <v>E1232</v>
          </cell>
          <cell r="C67" t="str">
            <v>SD</v>
          </cell>
          <cell r="D67" t="str">
            <v>SW</v>
          </cell>
          <cell r="E67" t="str">
            <v>Christchurch</v>
          </cell>
          <cell r="F67">
            <v>7927075</v>
          </cell>
          <cell r="G67">
            <v>6341660</v>
          </cell>
          <cell r="H67">
            <v>1426874</v>
          </cell>
          <cell r="I67">
            <v>158542</v>
          </cell>
          <cell r="J67">
            <v>15854151</v>
          </cell>
          <cell r="K67">
            <v>0</v>
          </cell>
          <cell r="L67">
            <v>0</v>
          </cell>
          <cell r="M67">
            <v>7927075</v>
          </cell>
          <cell r="N67">
            <v>15854151</v>
          </cell>
          <cell r="O67">
            <v>75078</v>
          </cell>
          <cell r="P67">
            <v>75078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350374</v>
          </cell>
          <cell r="AC67">
            <v>280300</v>
          </cell>
          <cell r="AD67">
            <v>63068</v>
          </cell>
          <cell r="AE67">
            <v>7008</v>
          </cell>
          <cell r="AF67">
            <v>700750</v>
          </cell>
          <cell r="AG67">
            <v>-39147</v>
          </cell>
          <cell r="AH67">
            <v>-31318</v>
          </cell>
          <cell r="AI67">
            <v>-7046</v>
          </cell>
          <cell r="AJ67">
            <v>-783</v>
          </cell>
          <cell r="AK67">
            <v>-78294</v>
          </cell>
          <cell r="AL67">
            <v>114704</v>
          </cell>
          <cell r="AM67">
            <v>91764</v>
          </cell>
          <cell r="AN67">
            <v>20647</v>
          </cell>
          <cell r="AO67">
            <v>2294</v>
          </cell>
          <cell r="AP67">
            <v>229409</v>
          </cell>
          <cell r="AQ67">
            <v>54703</v>
          </cell>
          <cell r="AR67">
            <v>43762</v>
          </cell>
          <cell r="AS67">
            <v>9847</v>
          </cell>
          <cell r="AT67">
            <v>1094</v>
          </cell>
          <cell r="AU67">
            <v>109406</v>
          </cell>
          <cell r="AV67">
            <v>169407</v>
          </cell>
          <cell r="AW67">
            <v>135526</v>
          </cell>
          <cell r="AX67">
            <v>30494</v>
          </cell>
          <cell r="AY67">
            <v>3388</v>
          </cell>
          <cell r="AZ67">
            <v>338815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135416</v>
          </cell>
          <cell r="BG67">
            <v>108333</v>
          </cell>
          <cell r="BH67">
            <v>24375</v>
          </cell>
          <cell r="BI67">
            <v>2708</v>
          </cell>
          <cell r="BJ67">
            <v>270832</v>
          </cell>
          <cell r="BK67">
            <v>135416</v>
          </cell>
          <cell r="BL67">
            <v>108333</v>
          </cell>
          <cell r="BM67">
            <v>24375</v>
          </cell>
          <cell r="BN67">
            <v>2708</v>
          </cell>
          <cell r="BO67">
            <v>270832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318110</v>
          </cell>
          <cell r="BV67">
            <v>254488</v>
          </cell>
          <cell r="BW67">
            <v>57260</v>
          </cell>
          <cell r="BX67">
            <v>6362</v>
          </cell>
          <cell r="BY67">
            <v>636220</v>
          </cell>
          <cell r="BZ67">
            <v>318110</v>
          </cell>
          <cell r="CA67">
            <v>254488</v>
          </cell>
          <cell r="CB67">
            <v>57260</v>
          </cell>
          <cell r="CC67">
            <v>6362</v>
          </cell>
          <cell r="CD67">
            <v>636220</v>
          </cell>
        </row>
        <row r="68">
          <cell r="A68">
            <v>61</v>
          </cell>
          <cell r="B68" t="str">
            <v>E5010</v>
          </cell>
          <cell r="C68" t="str">
            <v>ILB</v>
          </cell>
          <cell r="D68" t="str">
            <v>L</v>
          </cell>
          <cell r="E68" t="str">
            <v>City of London</v>
          </cell>
          <cell r="F68">
            <v>332503118</v>
          </cell>
          <cell r="G68">
            <v>199501871</v>
          </cell>
          <cell r="H68">
            <v>133001247</v>
          </cell>
          <cell r="I68">
            <v>0</v>
          </cell>
          <cell r="J68">
            <v>665006236</v>
          </cell>
          <cell r="K68">
            <v>0</v>
          </cell>
          <cell r="L68">
            <v>0</v>
          </cell>
          <cell r="M68">
            <v>332503118</v>
          </cell>
          <cell r="N68">
            <v>665006236</v>
          </cell>
          <cell r="O68">
            <v>1663453</v>
          </cell>
          <cell r="P68">
            <v>1663453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8936541</v>
          </cell>
          <cell r="AC68">
            <v>5361925</v>
          </cell>
          <cell r="AD68">
            <v>3574617</v>
          </cell>
          <cell r="AE68">
            <v>0</v>
          </cell>
          <cell r="AF68">
            <v>17873083</v>
          </cell>
          <cell r="AG68">
            <v>17253922</v>
          </cell>
          <cell r="AH68">
            <v>10352353</v>
          </cell>
          <cell r="AI68">
            <v>6901569</v>
          </cell>
          <cell r="AJ68">
            <v>0</v>
          </cell>
          <cell r="AK68">
            <v>34507844</v>
          </cell>
          <cell r="AL68">
            <v>4652966</v>
          </cell>
          <cell r="AM68">
            <v>2791779</v>
          </cell>
          <cell r="AN68">
            <v>1861186</v>
          </cell>
          <cell r="AO68">
            <v>0</v>
          </cell>
          <cell r="AP68">
            <v>9305931</v>
          </cell>
          <cell r="AQ68">
            <v>401776</v>
          </cell>
          <cell r="AR68">
            <v>241066</v>
          </cell>
          <cell r="AS68">
            <v>160710</v>
          </cell>
          <cell r="AT68">
            <v>0</v>
          </cell>
          <cell r="AU68">
            <v>803552</v>
          </cell>
          <cell r="AV68">
            <v>5054742</v>
          </cell>
          <cell r="AW68">
            <v>3032845</v>
          </cell>
          <cell r="AX68">
            <v>2021896</v>
          </cell>
          <cell r="AY68">
            <v>0</v>
          </cell>
          <cell r="AZ68">
            <v>10109483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16481539</v>
          </cell>
          <cell r="BG68">
            <v>9888923</v>
          </cell>
          <cell r="BH68">
            <v>6592615</v>
          </cell>
          <cell r="BI68">
            <v>0</v>
          </cell>
          <cell r="BJ68">
            <v>32963077</v>
          </cell>
          <cell r="BK68">
            <v>16481539</v>
          </cell>
          <cell r="BL68">
            <v>9888923</v>
          </cell>
          <cell r="BM68">
            <v>6592615</v>
          </cell>
          <cell r="BN68">
            <v>0</v>
          </cell>
          <cell r="BO68">
            <v>32963077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40370551</v>
          </cell>
          <cell r="BV68">
            <v>24222330</v>
          </cell>
          <cell r="BW68">
            <v>16148220</v>
          </cell>
          <cell r="BX68">
            <v>0</v>
          </cell>
          <cell r="BY68">
            <v>80741101</v>
          </cell>
          <cell r="BZ68">
            <v>40370551</v>
          </cell>
          <cell r="CA68">
            <v>24222330</v>
          </cell>
          <cell r="CB68">
            <v>16148220</v>
          </cell>
          <cell r="CC68">
            <v>0</v>
          </cell>
          <cell r="CD68">
            <v>80741101</v>
          </cell>
        </row>
        <row r="69">
          <cell r="A69">
            <v>62</v>
          </cell>
          <cell r="B69" t="str">
            <v>E1536</v>
          </cell>
          <cell r="C69" t="str">
            <v>SD</v>
          </cell>
          <cell r="D69" t="str">
            <v>E</v>
          </cell>
          <cell r="E69" t="str">
            <v>Colchester</v>
          </cell>
          <cell r="F69">
            <v>29104152</v>
          </cell>
          <cell r="G69">
            <v>23283322</v>
          </cell>
          <cell r="H69">
            <v>5238747</v>
          </cell>
          <cell r="I69">
            <v>582083</v>
          </cell>
          <cell r="J69">
            <v>58208304</v>
          </cell>
          <cell r="K69">
            <v>0</v>
          </cell>
          <cell r="L69">
            <v>0</v>
          </cell>
          <cell r="M69">
            <v>29104152</v>
          </cell>
          <cell r="N69">
            <v>58208304</v>
          </cell>
          <cell r="O69">
            <v>240916</v>
          </cell>
          <cell r="P69">
            <v>240916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1163331</v>
          </cell>
          <cell r="AC69">
            <v>930664</v>
          </cell>
          <cell r="AD69">
            <v>209399</v>
          </cell>
          <cell r="AE69">
            <v>23267</v>
          </cell>
          <cell r="AF69">
            <v>2326661</v>
          </cell>
          <cell r="AG69">
            <v>364253</v>
          </cell>
          <cell r="AH69">
            <v>291403</v>
          </cell>
          <cell r="AI69">
            <v>65566</v>
          </cell>
          <cell r="AJ69">
            <v>7285</v>
          </cell>
          <cell r="AK69">
            <v>728507</v>
          </cell>
          <cell r="AL69">
            <v>238290</v>
          </cell>
          <cell r="AM69">
            <v>190632</v>
          </cell>
          <cell r="AN69">
            <v>42892</v>
          </cell>
          <cell r="AO69">
            <v>4766</v>
          </cell>
          <cell r="AP69">
            <v>476580</v>
          </cell>
          <cell r="AQ69">
            <v>138992</v>
          </cell>
          <cell r="AR69">
            <v>111193</v>
          </cell>
          <cell r="AS69">
            <v>25018</v>
          </cell>
          <cell r="AT69">
            <v>2780</v>
          </cell>
          <cell r="AU69">
            <v>277983</v>
          </cell>
          <cell r="AV69">
            <v>377282</v>
          </cell>
          <cell r="AW69">
            <v>301825</v>
          </cell>
          <cell r="AX69">
            <v>67910</v>
          </cell>
          <cell r="AY69">
            <v>7546</v>
          </cell>
          <cell r="AZ69">
            <v>754563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217706</v>
          </cell>
          <cell r="BG69">
            <v>174164</v>
          </cell>
          <cell r="BH69">
            <v>39187</v>
          </cell>
          <cell r="BI69">
            <v>4354</v>
          </cell>
          <cell r="BJ69">
            <v>435411</v>
          </cell>
          <cell r="BK69">
            <v>217706</v>
          </cell>
          <cell r="BL69">
            <v>174164</v>
          </cell>
          <cell r="BM69">
            <v>39187</v>
          </cell>
          <cell r="BN69">
            <v>4354</v>
          </cell>
          <cell r="BO69">
            <v>435411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618215</v>
          </cell>
          <cell r="BV69">
            <v>494572</v>
          </cell>
          <cell r="BW69">
            <v>111279</v>
          </cell>
          <cell r="BX69">
            <v>12364</v>
          </cell>
          <cell r="BY69">
            <v>1236430</v>
          </cell>
          <cell r="BZ69">
            <v>618215</v>
          </cell>
          <cell r="CA69">
            <v>494572</v>
          </cell>
          <cell r="CB69">
            <v>111279</v>
          </cell>
          <cell r="CC69">
            <v>12364</v>
          </cell>
          <cell r="CD69">
            <v>1236430</v>
          </cell>
        </row>
        <row r="70">
          <cell r="A70">
            <v>63</v>
          </cell>
          <cell r="B70" t="str">
            <v>E0934</v>
          </cell>
          <cell r="C70" t="str">
            <v>SD</v>
          </cell>
          <cell r="D70" t="str">
            <v>NW</v>
          </cell>
          <cell r="E70" t="str">
            <v>Copeland</v>
          </cell>
          <cell r="F70">
            <v>10086882</v>
          </cell>
          <cell r="G70">
            <v>8069506</v>
          </cell>
          <cell r="H70">
            <v>2017376</v>
          </cell>
          <cell r="I70">
            <v>0</v>
          </cell>
          <cell r="J70">
            <v>20173764</v>
          </cell>
          <cell r="K70">
            <v>0</v>
          </cell>
          <cell r="L70">
            <v>0</v>
          </cell>
          <cell r="M70">
            <v>10086882</v>
          </cell>
          <cell r="N70">
            <v>20173764</v>
          </cell>
          <cell r="O70">
            <v>113008</v>
          </cell>
          <cell r="P70">
            <v>113008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358</v>
          </cell>
          <cell r="V70">
            <v>0</v>
          </cell>
          <cell r="W70">
            <v>358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399348</v>
          </cell>
          <cell r="AC70">
            <v>319479</v>
          </cell>
          <cell r="AD70">
            <v>79870</v>
          </cell>
          <cell r="AE70">
            <v>0</v>
          </cell>
          <cell r="AF70">
            <v>798697</v>
          </cell>
          <cell r="AG70">
            <v>92107</v>
          </cell>
          <cell r="AH70">
            <v>73686</v>
          </cell>
          <cell r="AI70">
            <v>18422</v>
          </cell>
          <cell r="AJ70">
            <v>0</v>
          </cell>
          <cell r="AK70">
            <v>184215</v>
          </cell>
          <cell r="AL70">
            <v>108203</v>
          </cell>
          <cell r="AM70">
            <v>86562</v>
          </cell>
          <cell r="AN70">
            <v>21641</v>
          </cell>
          <cell r="AO70">
            <v>0</v>
          </cell>
          <cell r="AP70">
            <v>216406</v>
          </cell>
          <cell r="AQ70">
            <v>36358</v>
          </cell>
          <cell r="AR70">
            <v>29087</v>
          </cell>
          <cell r="AS70">
            <v>7272</v>
          </cell>
          <cell r="AT70">
            <v>0</v>
          </cell>
          <cell r="AU70">
            <v>72717</v>
          </cell>
          <cell r="AV70">
            <v>144561</v>
          </cell>
          <cell r="AW70">
            <v>115649</v>
          </cell>
          <cell r="AX70">
            <v>28913</v>
          </cell>
          <cell r="AY70">
            <v>0</v>
          </cell>
          <cell r="AZ70">
            <v>289123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3117157</v>
          </cell>
          <cell r="BG70">
            <v>2493725</v>
          </cell>
          <cell r="BH70">
            <v>623431</v>
          </cell>
          <cell r="BI70">
            <v>0</v>
          </cell>
          <cell r="BJ70">
            <v>6234313</v>
          </cell>
          <cell r="BK70">
            <v>3117157</v>
          </cell>
          <cell r="BL70">
            <v>2493725</v>
          </cell>
          <cell r="BM70">
            <v>623431</v>
          </cell>
          <cell r="BN70">
            <v>0</v>
          </cell>
          <cell r="BO70">
            <v>6234313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7886683</v>
          </cell>
          <cell r="BV70">
            <v>6309347</v>
          </cell>
          <cell r="BW70">
            <v>1577337</v>
          </cell>
          <cell r="BX70">
            <v>0</v>
          </cell>
          <cell r="BY70">
            <v>15773367</v>
          </cell>
          <cell r="BZ70">
            <v>7886683</v>
          </cell>
          <cell r="CA70">
            <v>6309347</v>
          </cell>
          <cell r="CB70">
            <v>1577337</v>
          </cell>
          <cell r="CC70">
            <v>0</v>
          </cell>
          <cell r="CD70">
            <v>15773367</v>
          </cell>
        </row>
        <row r="71">
          <cell r="A71">
            <v>64</v>
          </cell>
          <cell r="B71" t="str">
            <v>E2831</v>
          </cell>
          <cell r="C71" t="str">
            <v>SD</v>
          </cell>
          <cell r="D71" t="str">
            <v>EM</v>
          </cell>
          <cell r="E71" t="str">
            <v>Corby</v>
          </cell>
          <cell r="F71">
            <v>15590479</v>
          </cell>
          <cell r="G71">
            <v>12472383</v>
          </cell>
          <cell r="H71">
            <v>3118096</v>
          </cell>
          <cell r="I71">
            <v>0</v>
          </cell>
          <cell r="J71">
            <v>31180958</v>
          </cell>
          <cell r="K71">
            <v>0</v>
          </cell>
          <cell r="L71">
            <v>0</v>
          </cell>
          <cell r="M71">
            <v>15590479</v>
          </cell>
          <cell r="N71">
            <v>31180958</v>
          </cell>
          <cell r="O71">
            <v>86849</v>
          </cell>
          <cell r="P71">
            <v>86849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1264647</v>
          </cell>
          <cell r="AC71">
            <v>1011718</v>
          </cell>
          <cell r="AD71">
            <v>252929</v>
          </cell>
          <cell r="AE71">
            <v>0</v>
          </cell>
          <cell r="AF71">
            <v>2529294</v>
          </cell>
          <cell r="AG71">
            <v>426334</v>
          </cell>
          <cell r="AH71">
            <v>341068</v>
          </cell>
          <cell r="AI71">
            <v>85267</v>
          </cell>
          <cell r="AJ71">
            <v>0</v>
          </cell>
          <cell r="AK71">
            <v>852669</v>
          </cell>
          <cell r="AL71">
            <v>434741.7</v>
          </cell>
          <cell r="AM71">
            <v>347793</v>
          </cell>
          <cell r="AN71">
            <v>86948</v>
          </cell>
          <cell r="AO71">
            <v>0</v>
          </cell>
          <cell r="AP71">
            <v>869482.7</v>
          </cell>
          <cell r="AQ71">
            <v>78821</v>
          </cell>
          <cell r="AR71">
            <v>63056</v>
          </cell>
          <cell r="AS71">
            <v>15764</v>
          </cell>
          <cell r="AT71">
            <v>0</v>
          </cell>
          <cell r="AU71">
            <v>157641</v>
          </cell>
          <cell r="AV71">
            <v>513562.7</v>
          </cell>
          <cell r="AW71">
            <v>410849</v>
          </cell>
          <cell r="AX71">
            <v>102712</v>
          </cell>
          <cell r="AY71">
            <v>0</v>
          </cell>
          <cell r="AZ71">
            <v>1027123.7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567</v>
          </cell>
          <cell r="BG71">
            <v>454</v>
          </cell>
          <cell r="BH71">
            <v>114</v>
          </cell>
          <cell r="BI71">
            <v>0</v>
          </cell>
          <cell r="BJ71">
            <v>1135</v>
          </cell>
          <cell r="BK71">
            <v>567</v>
          </cell>
          <cell r="BL71">
            <v>454</v>
          </cell>
          <cell r="BM71">
            <v>114</v>
          </cell>
          <cell r="BN71">
            <v>0</v>
          </cell>
          <cell r="BO71">
            <v>1135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578382</v>
          </cell>
          <cell r="BV71">
            <v>462706</v>
          </cell>
          <cell r="BW71">
            <v>115676</v>
          </cell>
          <cell r="BX71">
            <v>0</v>
          </cell>
          <cell r="BY71">
            <v>1156764</v>
          </cell>
          <cell r="BZ71">
            <v>578382</v>
          </cell>
          <cell r="CA71">
            <v>462706</v>
          </cell>
          <cell r="CB71">
            <v>115676</v>
          </cell>
          <cell r="CC71">
            <v>0</v>
          </cell>
          <cell r="CD71">
            <v>1156764</v>
          </cell>
        </row>
        <row r="72">
          <cell r="A72">
            <v>65</v>
          </cell>
          <cell r="B72" t="str">
            <v>E0801</v>
          </cell>
          <cell r="C72" t="str">
            <v>UA</v>
          </cell>
          <cell r="D72" t="str">
            <v>SW</v>
          </cell>
          <cell r="E72" t="str">
            <v>Cornwall UA</v>
          </cell>
          <cell r="F72">
            <v>70622393</v>
          </cell>
          <cell r="G72">
            <v>70622393</v>
          </cell>
          <cell r="H72">
            <v>0</v>
          </cell>
          <cell r="I72">
            <v>0</v>
          </cell>
          <cell r="J72">
            <v>141244786</v>
          </cell>
          <cell r="K72">
            <v>139268</v>
          </cell>
          <cell r="L72">
            <v>139268</v>
          </cell>
          <cell r="M72">
            <v>70483125</v>
          </cell>
          <cell r="N72">
            <v>141105518</v>
          </cell>
          <cell r="O72">
            <v>1101516</v>
          </cell>
          <cell r="P72">
            <v>1101516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136761</v>
          </cell>
          <cell r="V72">
            <v>0</v>
          </cell>
          <cell r="W72">
            <v>136761</v>
          </cell>
          <cell r="X72">
            <v>139268</v>
          </cell>
          <cell r="Y72">
            <v>0</v>
          </cell>
          <cell r="Z72">
            <v>0</v>
          </cell>
          <cell r="AA72">
            <v>139268</v>
          </cell>
          <cell r="AB72">
            <v>4438728</v>
          </cell>
          <cell r="AC72">
            <v>4438728</v>
          </cell>
          <cell r="AD72">
            <v>0</v>
          </cell>
          <cell r="AE72">
            <v>0</v>
          </cell>
          <cell r="AF72">
            <v>8877456</v>
          </cell>
          <cell r="AG72">
            <v>2601794</v>
          </cell>
          <cell r="AH72">
            <v>2601794</v>
          </cell>
          <cell r="AI72">
            <v>0</v>
          </cell>
          <cell r="AJ72">
            <v>0</v>
          </cell>
          <cell r="AK72">
            <v>5203588</v>
          </cell>
          <cell r="AL72">
            <v>1712303</v>
          </cell>
          <cell r="AM72">
            <v>1712304</v>
          </cell>
          <cell r="AN72">
            <v>0</v>
          </cell>
          <cell r="AO72">
            <v>0</v>
          </cell>
          <cell r="AP72">
            <v>3424607</v>
          </cell>
          <cell r="AQ72">
            <v>421670</v>
          </cell>
          <cell r="AR72">
            <v>421670</v>
          </cell>
          <cell r="AS72">
            <v>0</v>
          </cell>
          <cell r="AT72">
            <v>0</v>
          </cell>
          <cell r="AU72">
            <v>843340</v>
          </cell>
          <cell r="AV72">
            <v>2133973</v>
          </cell>
          <cell r="AW72">
            <v>2133974</v>
          </cell>
          <cell r="AX72">
            <v>0</v>
          </cell>
          <cell r="AY72">
            <v>0</v>
          </cell>
          <cell r="AZ72">
            <v>4267947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1042000</v>
          </cell>
          <cell r="BG72">
            <v>1042000</v>
          </cell>
          <cell r="BH72">
            <v>0</v>
          </cell>
          <cell r="BI72">
            <v>0</v>
          </cell>
          <cell r="BJ72">
            <v>2084000</v>
          </cell>
          <cell r="BK72">
            <v>1042000</v>
          </cell>
          <cell r="BL72">
            <v>1042000</v>
          </cell>
          <cell r="BM72">
            <v>0</v>
          </cell>
          <cell r="BN72">
            <v>0</v>
          </cell>
          <cell r="BO72">
            <v>2084000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3127000</v>
          </cell>
          <cell r="BV72">
            <v>3127000</v>
          </cell>
          <cell r="BW72">
            <v>0</v>
          </cell>
          <cell r="BX72">
            <v>0</v>
          </cell>
          <cell r="BY72">
            <v>6254000</v>
          </cell>
          <cell r="BZ72">
            <v>3127000</v>
          </cell>
          <cell r="CA72">
            <v>3127000</v>
          </cell>
          <cell r="CB72">
            <v>0</v>
          </cell>
          <cell r="CC72">
            <v>0</v>
          </cell>
          <cell r="CD72">
            <v>6254000</v>
          </cell>
        </row>
        <row r="73">
          <cell r="A73">
            <v>66</v>
          </cell>
          <cell r="B73" t="str">
            <v>E1632</v>
          </cell>
          <cell r="C73" t="str">
            <v>SD</v>
          </cell>
          <cell r="D73" t="str">
            <v>SW</v>
          </cell>
          <cell r="E73" t="str">
            <v>Cotswold</v>
          </cell>
          <cell r="F73">
            <v>13535962</v>
          </cell>
          <cell r="G73">
            <v>10828769</v>
          </cell>
          <cell r="H73">
            <v>2707192</v>
          </cell>
          <cell r="I73">
            <v>0</v>
          </cell>
          <cell r="J73">
            <v>27071923</v>
          </cell>
          <cell r="K73">
            <v>0</v>
          </cell>
          <cell r="L73">
            <v>0</v>
          </cell>
          <cell r="M73">
            <v>13535962</v>
          </cell>
          <cell r="N73">
            <v>27071923</v>
          </cell>
          <cell r="O73">
            <v>179896</v>
          </cell>
          <cell r="P73">
            <v>179896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362247</v>
          </cell>
          <cell r="AC73">
            <v>289798</v>
          </cell>
          <cell r="AD73">
            <v>72450</v>
          </cell>
          <cell r="AE73">
            <v>0</v>
          </cell>
          <cell r="AF73">
            <v>724495</v>
          </cell>
          <cell r="AG73">
            <v>180490</v>
          </cell>
          <cell r="AH73">
            <v>144392</v>
          </cell>
          <cell r="AI73">
            <v>36098</v>
          </cell>
          <cell r="AJ73">
            <v>0</v>
          </cell>
          <cell r="AK73">
            <v>360980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23972</v>
          </cell>
          <cell r="AR73">
            <v>19177</v>
          </cell>
          <cell r="AS73">
            <v>4794</v>
          </cell>
          <cell r="AT73">
            <v>0</v>
          </cell>
          <cell r="AU73">
            <v>47943</v>
          </cell>
          <cell r="AV73">
            <v>23972</v>
          </cell>
          <cell r="AW73">
            <v>19177</v>
          </cell>
          <cell r="AX73">
            <v>4794</v>
          </cell>
          <cell r="AY73">
            <v>0</v>
          </cell>
          <cell r="AZ73">
            <v>47943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143618</v>
          </cell>
          <cell r="BG73">
            <v>114895</v>
          </cell>
          <cell r="BH73">
            <v>28724</v>
          </cell>
          <cell r="BI73">
            <v>0</v>
          </cell>
          <cell r="BJ73">
            <v>287237</v>
          </cell>
          <cell r="BK73">
            <v>143618</v>
          </cell>
          <cell r="BL73">
            <v>114895</v>
          </cell>
          <cell r="BM73">
            <v>28724</v>
          </cell>
          <cell r="BN73">
            <v>0</v>
          </cell>
          <cell r="BO73">
            <v>287237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440227</v>
          </cell>
          <cell r="BV73">
            <v>352182</v>
          </cell>
          <cell r="BW73">
            <v>88046</v>
          </cell>
          <cell r="BX73">
            <v>0</v>
          </cell>
          <cell r="BY73">
            <v>880455</v>
          </cell>
          <cell r="BZ73">
            <v>440227</v>
          </cell>
          <cell r="CA73">
            <v>352182</v>
          </cell>
          <cell r="CB73">
            <v>88046</v>
          </cell>
          <cell r="CC73">
            <v>0</v>
          </cell>
          <cell r="CD73">
            <v>880455</v>
          </cell>
        </row>
        <row r="74">
          <cell r="A74">
            <v>67</v>
          </cell>
          <cell r="B74" t="str">
            <v>E4602</v>
          </cell>
          <cell r="C74" t="str">
            <v>Met</v>
          </cell>
          <cell r="D74" t="str">
            <v>WM</v>
          </cell>
          <cell r="E74" t="str">
            <v>Coventry</v>
          </cell>
          <cell r="F74">
            <v>52133338</v>
          </cell>
          <cell r="G74">
            <v>51090671</v>
          </cell>
          <cell r="H74">
            <v>0</v>
          </cell>
          <cell r="I74">
            <v>1042667</v>
          </cell>
          <cell r="J74">
            <v>104266676</v>
          </cell>
          <cell r="K74">
            <v>0</v>
          </cell>
          <cell r="L74">
            <v>0</v>
          </cell>
          <cell r="M74">
            <v>52133338</v>
          </cell>
          <cell r="N74">
            <v>104266676</v>
          </cell>
          <cell r="O74">
            <v>379768</v>
          </cell>
          <cell r="P74">
            <v>379768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3234762</v>
          </cell>
          <cell r="AC74">
            <v>3170067</v>
          </cell>
          <cell r="AD74">
            <v>0</v>
          </cell>
          <cell r="AE74">
            <v>64695</v>
          </cell>
          <cell r="AF74">
            <v>6469524</v>
          </cell>
          <cell r="AG74">
            <v>1208416</v>
          </cell>
          <cell r="AH74">
            <v>1184247</v>
          </cell>
          <cell r="AI74">
            <v>0</v>
          </cell>
          <cell r="AJ74">
            <v>24168</v>
          </cell>
          <cell r="AK74">
            <v>2416831</v>
          </cell>
          <cell r="AL74">
            <v>1456511.09</v>
          </cell>
          <cell r="AM74">
            <v>1427380</v>
          </cell>
          <cell r="AN74">
            <v>0</v>
          </cell>
          <cell r="AO74">
            <v>29130</v>
          </cell>
          <cell r="AP74">
            <v>2913021.09</v>
          </cell>
          <cell r="AQ74">
            <v>154423</v>
          </cell>
          <cell r="AR74">
            <v>151334</v>
          </cell>
          <cell r="AS74">
            <v>0</v>
          </cell>
          <cell r="AT74">
            <v>3088</v>
          </cell>
          <cell r="AU74">
            <v>308845</v>
          </cell>
          <cell r="AV74">
            <v>1610934.09</v>
          </cell>
          <cell r="AW74">
            <v>1578714</v>
          </cell>
          <cell r="AX74">
            <v>0</v>
          </cell>
          <cell r="AY74">
            <v>32218</v>
          </cell>
          <cell r="AZ74">
            <v>3221866.09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2830030</v>
          </cell>
          <cell r="BG74">
            <v>2773430</v>
          </cell>
          <cell r="BH74">
            <v>0</v>
          </cell>
          <cell r="BI74">
            <v>56601</v>
          </cell>
          <cell r="BJ74">
            <v>5660061</v>
          </cell>
          <cell r="BK74">
            <v>2830030</v>
          </cell>
          <cell r="BL74">
            <v>2773430</v>
          </cell>
          <cell r="BM74">
            <v>0</v>
          </cell>
          <cell r="BN74">
            <v>56601</v>
          </cell>
          <cell r="BO74">
            <v>5660061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2264120</v>
          </cell>
          <cell r="BV74">
            <v>2218838</v>
          </cell>
          <cell r="BW74">
            <v>0</v>
          </cell>
          <cell r="BX74">
            <v>45282</v>
          </cell>
          <cell r="BY74">
            <v>4528240</v>
          </cell>
          <cell r="BZ74">
            <v>2264120</v>
          </cell>
          <cell r="CA74">
            <v>2218838</v>
          </cell>
          <cell r="CB74">
            <v>0</v>
          </cell>
          <cell r="CC74">
            <v>45282</v>
          </cell>
          <cell r="CD74">
            <v>4528240</v>
          </cell>
        </row>
        <row r="75">
          <cell r="A75">
            <v>68</v>
          </cell>
          <cell r="B75" t="str">
            <v>E2731</v>
          </cell>
          <cell r="C75" t="str">
            <v>SD</v>
          </cell>
          <cell r="D75" t="str">
            <v>YH</v>
          </cell>
          <cell r="E75" t="str">
            <v>Craven</v>
          </cell>
          <cell r="F75">
            <v>8161248</v>
          </cell>
          <cell r="G75">
            <v>6528998</v>
          </cell>
          <cell r="H75">
            <v>1469025</v>
          </cell>
          <cell r="I75">
            <v>163225</v>
          </cell>
          <cell r="J75">
            <v>16322496</v>
          </cell>
          <cell r="K75">
            <v>0</v>
          </cell>
          <cell r="L75">
            <v>0</v>
          </cell>
          <cell r="M75">
            <v>8161248</v>
          </cell>
          <cell r="N75">
            <v>16322496</v>
          </cell>
          <cell r="O75">
            <v>119382</v>
          </cell>
          <cell r="P75">
            <v>119382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311109</v>
          </cell>
          <cell r="AC75">
            <v>248886</v>
          </cell>
          <cell r="AD75">
            <v>55999</v>
          </cell>
          <cell r="AE75">
            <v>6222</v>
          </cell>
          <cell r="AF75">
            <v>622216</v>
          </cell>
          <cell r="AG75">
            <v>50200</v>
          </cell>
          <cell r="AH75">
            <v>40160</v>
          </cell>
          <cell r="AI75">
            <v>9036</v>
          </cell>
          <cell r="AJ75">
            <v>1004</v>
          </cell>
          <cell r="AK75">
            <v>100400</v>
          </cell>
          <cell r="AL75">
            <v>71824</v>
          </cell>
          <cell r="AM75">
            <v>57460</v>
          </cell>
          <cell r="AN75">
            <v>12929</v>
          </cell>
          <cell r="AO75">
            <v>1437</v>
          </cell>
          <cell r="AP75">
            <v>143650</v>
          </cell>
          <cell r="AQ75">
            <v>32274</v>
          </cell>
          <cell r="AR75">
            <v>25820</v>
          </cell>
          <cell r="AS75">
            <v>5810</v>
          </cell>
          <cell r="AT75">
            <v>646</v>
          </cell>
          <cell r="AU75">
            <v>64550</v>
          </cell>
          <cell r="AV75">
            <v>104098</v>
          </cell>
          <cell r="AW75">
            <v>83280</v>
          </cell>
          <cell r="AX75">
            <v>18739</v>
          </cell>
          <cell r="AY75">
            <v>2083</v>
          </cell>
          <cell r="AZ75">
            <v>208200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159000</v>
          </cell>
          <cell r="BG75">
            <v>127200</v>
          </cell>
          <cell r="BH75">
            <v>28620</v>
          </cell>
          <cell r="BI75">
            <v>3180</v>
          </cell>
          <cell r="BJ75">
            <v>318000</v>
          </cell>
          <cell r="BK75">
            <v>159000</v>
          </cell>
          <cell r="BL75">
            <v>127200</v>
          </cell>
          <cell r="BM75">
            <v>28620</v>
          </cell>
          <cell r="BN75">
            <v>3180</v>
          </cell>
          <cell r="BO75">
            <v>318000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440500</v>
          </cell>
          <cell r="BV75">
            <v>352400</v>
          </cell>
          <cell r="BW75">
            <v>79290</v>
          </cell>
          <cell r="BX75">
            <v>8810</v>
          </cell>
          <cell r="BY75">
            <v>881000</v>
          </cell>
          <cell r="BZ75">
            <v>440500</v>
          </cell>
          <cell r="CA75">
            <v>352400</v>
          </cell>
          <cell r="CB75">
            <v>79290</v>
          </cell>
          <cell r="CC75">
            <v>8810</v>
          </cell>
          <cell r="CD75">
            <v>881000</v>
          </cell>
        </row>
        <row r="76">
          <cell r="A76">
            <v>69</v>
          </cell>
          <cell r="B76" t="str">
            <v>E3834</v>
          </cell>
          <cell r="C76" t="str">
            <v>SD</v>
          </cell>
          <cell r="D76" t="str">
            <v>SE</v>
          </cell>
          <cell r="E76" t="str">
            <v>Crawley</v>
          </cell>
          <cell r="F76">
            <v>53076174</v>
          </cell>
          <cell r="G76">
            <v>42460939</v>
          </cell>
          <cell r="H76">
            <v>10615235</v>
          </cell>
          <cell r="I76">
            <v>0</v>
          </cell>
          <cell r="J76">
            <v>106152348</v>
          </cell>
          <cell r="K76">
            <v>0</v>
          </cell>
          <cell r="L76">
            <v>0</v>
          </cell>
          <cell r="M76">
            <v>53076174</v>
          </cell>
          <cell r="N76">
            <v>106152348</v>
          </cell>
          <cell r="O76">
            <v>215934</v>
          </cell>
          <cell r="P76">
            <v>215934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731355</v>
          </cell>
          <cell r="AC76">
            <v>585084</v>
          </cell>
          <cell r="AD76">
            <v>146271</v>
          </cell>
          <cell r="AE76">
            <v>0</v>
          </cell>
          <cell r="AF76">
            <v>1462710</v>
          </cell>
          <cell r="AG76">
            <v>1712972</v>
          </cell>
          <cell r="AH76">
            <v>1370378</v>
          </cell>
          <cell r="AI76">
            <v>342594</v>
          </cell>
          <cell r="AJ76">
            <v>0</v>
          </cell>
          <cell r="AK76">
            <v>3425944</v>
          </cell>
          <cell r="AL76">
            <v>657304</v>
          </cell>
          <cell r="AM76">
            <v>525843</v>
          </cell>
          <cell r="AN76">
            <v>131461</v>
          </cell>
          <cell r="AO76">
            <v>0</v>
          </cell>
          <cell r="AP76">
            <v>1314608</v>
          </cell>
          <cell r="AQ76">
            <v>-223001</v>
          </cell>
          <cell r="AR76">
            <v>-178400</v>
          </cell>
          <cell r="AS76">
            <v>-44600</v>
          </cell>
          <cell r="AT76">
            <v>0</v>
          </cell>
          <cell r="AU76">
            <v>-446001</v>
          </cell>
          <cell r="AV76">
            <v>434303</v>
          </cell>
          <cell r="AW76">
            <v>347443</v>
          </cell>
          <cell r="AX76">
            <v>86861</v>
          </cell>
          <cell r="AY76">
            <v>0</v>
          </cell>
          <cell r="AZ76">
            <v>868607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848646</v>
          </cell>
          <cell r="BG76">
            <v>678916</v>
          </cell>
          <cell r="BH76">
            <v>169729</v>
          </cell>
          <cell r="BI76">
            <v>0</v>
          </cell>
          <cell r="BJ76">
            <v>1697291</v>
          </cell>
          <cell r="BK76">
            <v>848646</v>
          </cell>
          <cell r="BL76">
            <v>678916</v>
          </cell>
          <cell r="BM76">
            <v>169729</v>
          </cell>
          <cell r="BN76">
            <v>0</v>
          </cell>
          <cell r="BO76">
            <v>1697291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1935043</v>
          </cell>
          <cell r="BV76">
            <v>1548034</v>
          </cell>
          <cell r="BW76">
            <v>387009</v>
          </cell>
          <cell r="BX76">
            <v>0</v>
          </cell>
          <cell r="BY76">
            <v>3870086</v>
          </cell>
          <cell r="BZ76">
            <v>1935043</v>
          </cell>
          <cell r="CA76">
            <v>1548034</v>
          </cell>
          <cell r="CB76">
            <v>387009</v>
          </cell>
          <cell r="CC76">
            <v>0</v>
          </cell>
          <cell r="CD76">
            <v>3870086</v>
          </cell>
        </row>
        <row r="77">
          <cell r="A77">
            <v>70</v>
          </cell>
          <cell r="B77" t="str">
            <v>E5035</v>
          </cell>
          <cell r="C77" t="str">
            <v>OLB</v>
          </cell>
          <cell r="D77" t="str">
            <v>L</v>
          </cell>
          <cell r="E77" t="str">
            <v>Croydon</v>
          </cell>
          <cell r="F77">
            <v>51471606</v>
          </cell>
          <cell r="G77">
            <v>30882964</v>
          </cell>
          <cell r="H77">
            <v>20588642</v>
          </cell>
          <cell r="I77">
            <v>0</v>
          </cell>
          <cell r="J77">
            <v>102943212</v>
          </cell>
          <cell r="K77">
            <v>0</v>
          </cell>
          <cell r="L77">
            <v>0</v>
          </cell>
          <cell r="M77">
            <v>51471606</v>
          </cell>
          <cell r="N77">
            <v>102943212</v>
          </cell>
          <cell r="O77">
            <v>435172</v>
          </cell>
          <cell r="P77">
            <v>435172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6942936</v>
          </cell>
          <cell r="AC77">
            <v>4165762</v>
          </cell>
          <cell r="AD77">
            <v>2777175</v>
          </cell>
          <cell r="AE77">
            <v>0</v>
          </cell>
          <cell r="AF77">
            <v>13885873</v>
          </cell>
          <cell r="AG77">
            <v>2674679</v>
          </cell>
          <cell r="AH77">
            <v>1604807</v>
          </cell>
          <cell r="AI77">
            <v>1069871</v>
          </cell>
          <cell r="AJ77">
            <v>0</v>
          </cell>
          <cell r="AK77">
            <v>5349357</v>
          </cell>
          <cell r="AL77">
            <v>4212158</v>
          </cell>
          <cell r="AM77">
            <v>2527295</v>
          </cell>
          <cell r="AN77">
            <v>1684863</v>
          </cell>
          <cell r="AO77">
            <v>0</v>
          </cell>
          <cell r="AP77">
            <v>8424316</v>
          </cell>
          <cell r="AQ77">
            <v>810609</v>
          </cell>
          <cell r="AR77">
            <v>486366</v>
          </cell>
          <cell r="AS77">
            <v>324244</v>
          </cell>
          <cell r="AT77">
            <v>0</v>
          </cell>
          <cell r="AU77">
            <v>1621219</v>
          </cell>
          <cell r="AV77">
            <v>5022767</v>
          </cell>
          <cell r="AW77">
            <v>3013661</v>
          </cell>
          <cell r="AX77">
            <v>2009107</v>
          </cell>
          <cell r="AY77">
            <v>0</v>
          </cell>
          <cell r="AZ77">
            <v>10045535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1141602</v>
          </cell>
          <cell r="BG77">
            <v>684961</v>
          </cell>
          <cell r="BH77">
            <v>456641</v>
          </cell>
          <cell r="BI77">
            <v>0</v>
          </cell>
          <cell r="BJ77">
            <v>2283204</v>
          </cell>
          <cell r="BK77">
            <v>1141602</v>
          </cell>
          <cell r="BL77">
            <v>684961</v>
          </cell>
          <cell r="BM77">
            <v>456641</v>
          </cell>
          <cell r="BN77">
            <v>0</v>
          </cell>
          <cell r="BO77">
            <v>2283204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1756398</v>
          </cell>
          <cell r="BV77">
            <v>1053839</v>
          </cell>
          <cell r="BW77">
            <v>702559</v>
          </cell>
          <cell r="BX77">
            <v>0</v>
          </cell>
          <cell r="BY77">
            <v>3512796</v>
          </cell>
          <cell r="BZ77">
            <v>1756398</v>
          </cell>
          <cell r="CA77">
            <v>1053839</v>
          </cell>
          <cell r="CB77">
            <v>702559</v>
          </cell>
          <cell r="CC77">
            <v>0</v>
          </cell>
          <cell r="CD77">
            <v>3512796</v>
          </cell>
        </row>
        <row r="78">
          <cell r="A78">
            <v>71</v>
          </cell>
          <cell r="B78" t="str">
            <v>E1932</v>
          </cell>
          <cell r="C78" t="str">
            <v>SD</v>
          </cell>
          <cell r="D78" t="str">
            <v>E</v>
          </cell>
          <cell r="E78" t="str">
            <v>Dacorum</v>
          </cell>
          <cell r="F78">
            <v>27854611</v>
          </cell>
          <cell r="G78">
            <v>22283689</v>
          </cell>
          <cell r="H78">
            <v>5570922</v>
          </cell>
          <cell r="I78">
            <v>0</v>
          </cell>
          <cell r="J78">
            <v>55709222</v>
          </cell>
          <cell r="K78">
            <v>0</v>
          </cell>
          <cell r="L78">
            <v>0</v>
          </cell>
          <cell r="M78">
            <v>27854611</v>
          </cell>
          <cell r="N78">
            <v>55709222</v>
          </cell>
          <cell r="O78">
            <v>218506</v>
          </cell>
          <cell r="P78">
            <v>218506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1392242.22</v>
          </cell>
          <cell r="AC78">
            <v>1113793</v>
          </cell>
          <cell r="AD78">
            <v>278448</v>
          </cell>
          <cell r="AE78">
            <v>0</v>
          </cell>
          <cell r="AF78">
            <v>2784483.22</v>
          </cell>
          <cell r="AG78">
            <v>685724</v>
          </cell>
          <cell r="AH78">
            <v>548580</v>
          </cell>
          <cell r="AI78">
            <v>137145</v>
          </cell>
          <cell r="AJ78">
            <v>0</v>
          </cell>
          <cell r="AK78">
            <v>1371449</v>
          </cell>
          <cell r="AL78">
            <v>239109</v>
          </cell>
          <cell r="AM78">
            <v>191287</v>
          </cell>
          <cell r="AN78">
            <v>47822</v>
          </cell>
          <cell r="AO78">
            <v>0</v>
          </cell>
          <cell r="AP78">
            <v>478218</v>
          </cell>
          <cell r="AQ78">
            <v>79172</v>
          </cell>
          <cell r="AR78">
            <v>63338</v>
          </cell>
          <cell r="AS78">
            <v>15834</v>
          </cell>
          <cell r="AT78">
            <v>0</v>
          </cell>
          <cell r="AU78">
            <v>158344</v>
          </cell>
          <cell r="AV78">
            <v>318281</v>
          </cell>
          <cell r="AW78">
            <v>254625</v>
          </cell>
          <cell r="AX78">
            <v>63656</v>
          </cell>
          <cell r="AY78">
            <v>0</v>
          </cell>
          <cell r="AZ78">
            <v>636562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748122.79</v>
          </cell>
          <cell r="BG78">
            <v>598498</v>
          </cell>
          <cell r="BH78">
            <v>149624</v>
          </cell>
          <cell r="BI78">
            <v>0</v>
          </cell>
          <cell r="BJ78">
            <v>1496244.79</v>
          </cell>
          <cell r="BK78">
            <v>748122.79</v>
          </cell>
          <cell r="BL78">
            <v>598498</v>
          </cell>
          <cell r="BM78">
            <v>149624</v>
          </cell>
          <cell r="BN78">
            <v>0</v>
          </cell>
          <cell r="BO78">
            <v>1496244.79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1820275.87</v>
          </cell>
          <cell r="BV78">
            <v>1456220</v>
          </cell>
          <cell r="BW78">
            <v>364055</v>
          </cell>
          <cell r="BX78">
            <v>0</v>
          </cell>
          <cell r="BY78">
            <v>3640550.87</v>
          </cell>
          <cell r="BZ78">
            <v>1820275.87</v>
          </cell>
          <cell r="CA78">
            <v>1456220</v>
          </cell>
          <cell r="CB78">
            <v>364055</v>
          </cell>
          <cell r="CC78">
            <v>0</v>
          </cell>
          <cell r="CD78">
            <v>3640550.87</v>
          </cell>
        </row>
        <row r="79">
          <cell r="A79">
            <v>72</v>
          </cell>
          <cell r="B79" t="str">
            <v>E1301</v>
          </cell>
          <cell r="C79" t="str">
            <v>UA</v>
          </cell>
          <cell r="D79" t="str">
            <v>NE</v>
          </cell>
          <cell r="E79" t="str">
            <v>Darlington UA</v>
          </cell>
          <cell r="F79">
            <v>15207503</v>
          </cell>
          <cell r="G79">
            <v>14903353</v>
          </cell>
          <cell r="H79">
            <v>0</v>
          </cell>
          <cell r="I79">
            <v>304150</v>
          </cell>
          <cell r="J79">
            <v>30415006</v>
          </cell>
          <cell r="K79">
            <v>0</v>
          </cell>
          <cell r="L79">
            <v>0</v>
          </cell>
          <cell r="M79">
            <v>15207503</v>
          </cell>
          <cell r="N79">
            <v>30415006</v>
          </cell>
          <cell r="O79">
            <v>148432</v>
          </cell>
          <cell r="P79">
            <v>148432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1012156</v>
          </cell>
          <cell r="AC79">
            <v>991912</v>
          </cell>
          <cell r="AD79">
            <v>0</v>
          </cell>
          <cell r="AE79">
            <v>20243</v>
          </cell>
          <cell r="AF79">
            <v>2024311</v>
          </cell>
          <cell r="AG79">
            <v>-371621</v>
          </cell>
          <cell r="AH79">
            <v>-364188</v>
          </cell>
          <cell r="AI79">
            <v>0</v>
          </cell>
          <cell r="AJ79">
            <v>-7432</v>
          </cell>
          <cell r="AK79">
            <v>-743241</v>
          </cell>
          <cell r="AL79">
            <v>304500</v>
          </cell>
          <cell r="AM79">
            <v>298410</v>
          </cell>
          <cell r="AN79">
            <v>0</v>
          </cell>
          <cell r="AO79">
            <v>6090</v>
          </cell>
          <cell r="AP79">
            <v>609000</v>
          </cell>
          <cell r="AQ79">
            <v>-51745</v>
          </cell>
          <cell r="AR79">
            <v>-50710</v>
          </cell>
          <cell r="AS79">
            <v>0</v>
          </cell>
          <cell r="AT79">
            <v>-1035</v>
          </cell>
          <cell r="AU79">
            <v>-103490</v>
          </cell>
          <cell r="AV79">
            <v>252755</v>
          </cell>
          <cell r="AW79">
            <v>247700</v>
          </cell>
          <cell r="AX79">
            <v>0</v>
          </cell>
          <cell r="AY79">
            <v>5055</v>
          </cell>
          <cell r="AZ79">
            <v>505510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149045</v>
          </cell>
          <cell r="BG79">
            <v>146064</v>
          </cell>
          <cell r="BH79">
            <v>0</v>
          </cell>
          <cell r="BI79">
            <v>2981</v>
          </cell>
          <cell r="BJ79">
            <v>298090</v>
          </cell>
          <cell r="BK79">
            <v>149045</v>
          </cell>
          <cell r="BL79">
            <v>146064</v>
          </cell>
          <cell r="BM79">
            <v>0</v>
          </cell>
          <cell r="BN79">
            <v>2981</v>
          </cell>
          <cell r="BO79">
            <v>298090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505960</v>
          </cell>
          <cell r="BV79">
            <v>495840</v>
          </cell>
          <cell r="BW79">
            <v>0</v>
          </cell>
          <cell r="BX79">
            <v>10119</v>
          </cell>
          <cell r="BY79">
            <v>1011919</v>
          </cell>
          <cell r="BZ79">
            <v>505960</v>
          </cell>
          <cell r="CA79">
            <v>495840</v>
          </cell>
          <cell r="CB79">
            <v>0</v>
          </cell>
          <cell r="CC79">
            <v>10119</v>
          </cell>
          <cell r="CD79">
            <v>1011919</v>
          </cell>
        </row>
        <row r="80">
          <cell r="A80">
            <v>73</v>
          </cell>
          <cell r="B80" t="str">
            <v>E2233</v>
          </cell>
          <cell r="C80" t="str">
            <v>SD</v>
          </cell>
          <cell r="D80" t="str">
            <v>SE</v>
          </cell>
          <cell r="E80" t="str">
            <v>Dartford</v>
          </cell>
          <cell r="F80">
            <v>36349649</v>
          </cell>
          <cell r="G80">
            <v>29079720</v>
          </cell>
          <cell r="H80">
            <v>6542937</v>
          </cell>
          <cell r="I80">
            <v>726993</v>
          </cell>
          <cell r="J80">
            <v>72699299</v>
          </cell>
          <cell r="K80">
            <v>0</v>
          </cell>
          <cell r="L80">
            <v>0</v>
          </cell>
          <cell r="M80">
            <v>36349649</v>
          </cell>
          <cell r="N80">
            <v>72699299</v>
          </cell>
          <cell r="O80">
            <v>175930</v>
          </cell>
          <cell r="P80">
            <v>175930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992353</v>
          </cell>
          <cell r="AC80">
            <v>793882</v>
          </cell>
          <cell r="AD80">
            <v>178623</v>
          </cell>
          <cell r="AE80">
            <v>19847</v>
          </cell>
          <cell r="AF80">
            <v>1984705</v>
          </cell>
          <cell r="AG80">
            <v>1872864</v>
          </cell>
          <cell r="AH80">
            <v>1498290</v>
          </cell>
          <cell r="AI80">
            <v>337115</v>
          </cell>
          <cell r="AJ80">
            <v>37457</v>
          </cell>
          <cell r="AK80">
            <v>3745726</v>
          </cell>
          <cell r="AL80">
            <v>889249</v>
          </cell>
          <cell r="AM80">
            <v>711400</v>
          </cell>
          <cell r="AN80">
            <v>160065</v>
          </cell>
          <cell r="AO80">
            <v>17785</v>
          </cell>
          <cell r="AP80">
            <v>1778499</v>
          </cell>
          <cell r="AQ80">
            <v>-6420</v>
          </cell>
          <cell r="AR80">
            <v>-5135</v>
          </cell>
          <cell r="AS80">
            <v>-1155</v>
          </cell>
          <cell r="AT80">
            <v>-128</v>
          </cell>
          <cell r="AU80">
            <v>-12838</v>
          </cell>
          <cell r="AV80">
            <v>882829</v>
          </cell>
          <cell r="AW80">
            <v>706265</v>
          </cell>
          <cell r="AX80">
            <v>158910</v>
          </cell>
          <cell r="AY80">
            <v>17657</v>
          </cell>
          <cell r="AZ80">
            <v>1765661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1618363</v>
          </cell>
          <cell r="BG80">
            <v>1294690</v>
          </cell>
          <cell r="BH80">
            <v>291305</v>
          </cell>
          <cell r="BI80">
            <v>32367</v>
          </cell>
          <cell r="BJ80">
            <v>3236725</v>
          </cell>
          <cell r="BK80">
            <v>1618363</v>
          </cell>
          <cell r="BL80">
            <v>1294690</v>
          </cell>
          <cell r="BM80">
            <v>291305</v>
          </cell>
          <cell r="BN80">
            <v>32367</v>
          </cell>
          <cell r="BO80">
            <v>3236725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2392553</v>
          </cell>
          <cell r="BV80">
            <v>1914043</v>
          </cell>
          <cell r="BW80">
            <v>430660</v>
          </cell>
          <cell r="BX80">
            <v>47851</v>
          </cell>
          <cell r="BY80">
            <v>4785107</v>
          </cell>
          <cell r="BZ80">
            <v>2392553</v>
          </cell>
          <cell r="CA80">
            <v>1914043</v>
          </cell>
          <cell r="CB80">
            <v>430660</v>
          </cell>
          <cell r="CC80">
            <v>47851</v>
          </cell>
          <cell r="CD80">
            <v>4785107</v>
          </cell>
        </row>
        <row r="81">
          <cell r="A81">
            <v>74</v>
          </cell>
          <cell r="B81" t="str">
            <v>E2832</v>
          </cell>
          <cell r="C81" t="str">
            <v>SD</v>
          </cell>
          <cell r="D81" t="str">
            <v>EM</v>
          </cell>
          <cell r="E81" t="str">
            <v>Daventry</v>
          </cell>
          <cell r="F81">
            <v>18292318</v>
          </cell>
          <cell r="G81">
            <v>14633854</v>
          </cell>
          <cell r="H81">
            <v>3658464</v>
          </cell>
          <cell r="I81">
            <v>0</v>
          </cell>
          <cell r="J81">
            <v>36584636</v>
          </cell>
          <cell r="K81">
            <v>0</v>
          </cell>
          <cell r="L81">
            <v>0</v>
          </cell>
          <cell r="M81">
            <v>18292318</v>
          </cell>
          <cell r="N81">
            <v>36584636</v>
          </cell>
          <cell r="O81">
            <v>116811</v>
          </cell>
          <cell r="P81">
            <v>116811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155972</v>
          </cell>
          <cell r="V81">
            <v>0</v>
          </cell>
          <cell r="W81">
            <v>155972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306936</v>
          </cell>
          <cell r="AC81">
            <v>245548</v>
          </cell>
          <cell r="AD81">
            <v>61387</v>
          </cell>
          <cell r="AE81">
            <v>0</v>
          </cell>
          <cell r="AF81">
            <v>613871</v>
          </cell>
          <cell r="AG81">
            <v>261211</v>
          </cell>
          <cell r="AH81">
            <v>208968</v>
          </cell>
          <cell r="AI81">
            <v>52242</v>
          </cell>
          <cell r="AJ81">
            <v>0</v>
          </cell>
          <cell r="AK81">
            <v>522421</v>
          </cell>
          <cell r="AL81">
            <v>236407</v>
          </cell>
          <cell r="AM81">
            <v>189126</v>
          </cell>
          <cell r="AN81">
            <v>47282</v>
          </cell>
          <cell r="AO81">
            <v>0</v>
          </cell>
          <cell r="AP81">
            <v>472815</v>
          </cell>
          <cell r="AQ81">
            <v>21219</v>
          </cell>
          <cell r="AR81">
            <v>16976</v>
          </cell>
          <cell r="AS81">
            <v>4244</v>
          </cell>
          <cell r="AT81">
            <v>0</v>
          </cell>
          <cell r="AU81">
            <v>42439</v>
          </cell>
          <cell r="AV81">
            <v>257626</v>
          </cell>
          <cell r="AW81">
            <v>206102</v>
          </cell>
          <cell r="AX81">
            <v>51526</v>
          </cell>
          <cell r="AY81">
            <v>0</v>
          </cell>
          <cell r="AZ81">
            <v>515254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58635</v>
          </cell>
          <cell r="BG81">
            <v>46908</v>
          </cell>
          <cell r="BH81">
            <v>11727</v>
          </cell>
          <cell r="BI81">
            <v>0</v>
          </cell>
          <cell r="BJ81">
            <v>117270</v>
          </cell>
          <cell r="BK81">
            <v>58635</v>
          </cell>
          <cell r="BL81">
            <v>46908</v>
          </cell>
          <cell r="BM81">
            <v>11727</v>
          </cell>
          <cell r="BN81">
            <v>0</v>
          </cell>
          <cell r="BO81">
            <v>117270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564256</v>
          </cell>
          <cell r="BV81">
            <v>451405</v>
          </cell>
          <cell r="BW81">
            <v>112851</v>
          </cell>
          <cell r="BX81">
            <v>0</v>
          </cell>
          <cell r="BY81">
            <v>1128512</v>
          </cell>
          <cell r="BZ81">
            <v>564256</v>
          </cell>
          <cell r="CA81">
            <v>451405</v>
          </cell>
          <cell r="CB81">
            <v>112851</v>
          </cell>
          <cell r="CC81">
            <v>0</v>
          </cell>
          <cell r="CD81">
            <v>1128512</v>
          </cell>
        </row>
        <row r="82">
          <cell r="A82">
            <v>75</v>
          </cell>
          <cell r="B82" t="str">
            <v>E1001</v>
          </cell>
          <cell r="C82" t="str">
            <v>UA</v>
          </cell>
          <cell r="D82" t="str">
            <v>EM</v>
          </cell>
          <cell r="E82" t="str">
            <v>Derby UA</v>
          </cell>
          <cell r="F82">
            <v>36673062</v>
          </cell>
          <cell r="G82">
            <v>35939600</v>
          </cell>
          <cell r="H82">
            <v>0</v>
          </cell>
          <cell r="I82">
            <v>733461</v>
          </cell>
          <cell r="J82">
            <v>73346123</v>
          </cell>
          <cell r="K82">
            <v>0</v>
          </cell>
          <cell r="L82">
            <v>0</v>
          </cell>
          <cell r="M82">
            <v>36673062</v>
          </cell>
          <cell r="N82">
            <v>73346123</v>
          </cell>
          <cell r="O82">
            <v>314703</v>
          </cell>
          <cell r="P82">
            <v>314703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3324591.48</v>
          </cell>
          <cell r="AC82">
            <v>3258099</v>
          </cell>
          <cell r="AD82">
            <v>0</v>
          </cell>
          <cell r="AE82">
            <v>66492</v>
          </cell>
          <cell r="AF82">
            <v>6649182.4800000004</v>
          </cell>
          <cell r="AG82">
            <v>377558.35</v>
          </cell>
          <cell r="AH82">
            <v>370007</v>
          </cell>
          <cell r="AI82">
            <v>0</v>
          </cell>
          <cell r="AJ82">
            <v>7551</v>
          </cell>
          <cell r="AK82">
            <v>755116.35</v>
          </cell>
          <cell r="AL82">
            <v>1234998</v>
          </cell>
          <cell r="AM82">
            <v>1210299</v>
          </cell>
          <cell r="AN82">
            <v>0</v>
          </cell>
          <cell r="AO82">
            <v>24700</v>
          </cell>
          <cell r="AP82">
            <v>2469997</v>
          </cell>
          <cell r="AQ82">
            <v>497504</v>
          </cell>
          <cell r="AR82">
            <v>487554</v>
          </cell>
          <cell r="AS82">
            <v>0</v>
          </cell>
          <cell r="AT82">
            <v>9950</v>
          </cell>
          <cell r="AU82">
            <v>995008</v>
          </cell>
          <cell r="AV82">
            <v>1732502</v>
          </cell>
          <cell r="AW82">
            <v>1697853</v>
          </cell>
          <cell r="AX82">
            <v>0</v>
          </cell>
          <cell r="AY82">
            <v>34650</v>
          </cell>
          <cell r="AZ82">
            <v>3465005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2043702</v>
          </cell>
          <cell r="BG82">
            <v>2002827</v>
          </cell>
          <cell r="BH82">
            <v>0</v>
          </cell>
          <cell r="BI82">
            <v>40874</v>
          </cell>
          <cell r="BJ82">
            <v>4087403</v>
          </cell>
          <cell r="BK82">
            <v>2043702</v>
          </cell>
          <cell r="BL82">
            <v>2002827</v>
          </cell>
          <cell r="BM82">
            <v>0</v>
          </cell>
          <cell r="BN82">
            <v>40874</v>
          </cell>
          <cell r="BO82">
            <v>4087403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2582329</v>
          </cell>
          <cell r="BV82">
            <v>2530682</v>
          </cell>
          <cell r="BW82">
            <v>0</v>
          </cell>
          <cell r="BX82">
            <v>51647</v>
          </cell>
          <cell r="BY82">
            <v>5164658</v>
          </cell>
          <cell r="BZ82">
            <v>2582329</v>
          </cell>
          <cell r="CA82">
            <v>2530682</v>
          </cell>
          <cell r="CB82">
            <v>0</v>
          </cell>
          <cell r="CC82">
            <v>51647</v>
          </cell>
          <cell r="CD82">
            <v>5164658</v>
          </cell>
        </row>
        <row r="83">
          <cell r="A83">
            <v>76</v>
          </cell>
          <cell r="B83" t="str">
            <v>E1035</v>
          </cell>
          <cell r="C83" t="str">
            <v>SD</v>
          </cell>
          <cell r="D83" t="str">
            <v>EM</v>
          </cell>
          <cell r="E83" t="str">
            <v>Derbyshire Dales</v>
          </cell>
          <cell r="F83">
            <v>8164521</v>
          </cell>
          <cell r="G83">
            <v>6531617</v>
          </cell>
          <cell r="H83">
            <v>1469614</v>
          </cell>
          <cell r="I83">
            <v>163290</v>
          </cell>
          <cell r="J83">
            <v>16329042</v>
          </cell>
          <cell r="K83">
            <v>0</v>
          </cell>
          <cell r="L83">
            <v>0</v>
          </cell>
          <cell r="M83">
            <v>8164521</v>
          </cell>
          <cell r="N83">
            <v>16329042</v>
          </cell>
          <cell r="O83">
            <v>146324</v>
          </cell>
          <cell r="P83">
            <v>146324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484654</v>
          </cell>
          <cell r="AC83">
            <v>387723</v>
          </cell>
          <cell r="AD83">
            <v>87238</v>
          </cell>
          <cell r="AE83">
            <v>9693</v>
          </cell>
          <cell r="AF83">
            <v>969308</v>
          </cell>
          <cell r="AG83">
            <v>78185</v>
          </cell>
          <cell r="AH83">
            <v>62548</v>
          </cell>
          <cell r="AI83">
            <v>14073</v>
          </cell>
          <cell r="AJ83">
            <v>1564</v>
          </cell>
          <cell r="AK83">
            <v>156370</v>
          </cell>
          <cell r="AL83">
            <v>58500</v>
          </cell>
          <cell r="AM83">
            <v>46800</v>
          </cell>
          <cell r="AN83">
            <v>10530</v>
          </cell>
          <cell r="AO83">
            <v>1170</v>
          </cell>
          <cell r="AP83">
            <v>117000</v>
          </cell>
          <cell r="AQ83">
            <v>40500</v>
          </cell>
          <cell r="AR83">
            <v>32400</v>
          </cell>
          <cell r="AS83">
            <v>7290</v>
          </cell>
          <cell r="AT83">
            <v>810</v>
          </cell>
          <cell r="AU83">
            <v>81000</v>
          </cell>
          <cell r="AV83">
            <v>99000</v>
          </cell>
          <cell r="AW83">
            <v>79200</v>
          </cell>
          <cell r="AX83">
            <v>17820</v>
          </cell>
          <cell r="AY83">
            <v>1980</v>
          </cell>
          <cell r="AZ83">
            <v>198000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76389</v>
          </cell>
          <cell r="BG83">
            <v>61111</v>
          </cell>
          <cell r="BH83">
            <v>13750</v>
          </cell>
          <cell r="BI83">
            <v>1528</v>
          </cell>
          <cell r="BJ83">
            <v>152778</v>
          </cell>
          <cell r="BK83">
            <v>76389</v>
          </cell>
          <cell r="BL83">
            <v>61111</v>
          </cell>
          <cell r="BM83">
            <v>13750</v>
          </cell>
          <cell r="BN83">
            <v>1528</v>
          </cell>
          <cell r="BO83">
            <v>152778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194777</v>
          </cell>
          <cell r="BV83">
            <v>155822</v>
          </cell>
          <cell r="BW83">
            <v>35060</v>
          </cell>
          <cell r="BX83">
            <v>3896</v>
          </cell>
          <cell r="BY83">
            <v>389555</v>
          </cell>
          <cell r="BZ83">
            <v>194777</v>
          </cell>
          <cell r="CA83">
            <v>155822</v>
          </cell>
          <cell r="CB83">
            <v>35060</v>
          </cell>
          <cell r="CC83">
            <v>3896</v>
          </cell>
          <cell r="CD83">
            <v>389555</v>
          </cell>
        </row>
        <row r="84">
          <cell r="A84">
            <v>77</v>
          </cell>
          <cell r="B84" t="str">
            <v>E4402</v>
          </cell>
          <cell r="C84" t="str">
            <v>Met</v>
          </cell>
          <cell r="D84" t="str">
            <v>YH</v>
          </cell>
          <cell r="E84" t="str">
            <v>Doncaster</v>
          </cell>
          <cell r="F84">
            <v>41331660</v>
          </cell>
          <cell r="G84">
            <v>40505026</v>
          </cell>
          <cell r="H84">
            <v>0</v>
          </cell>
          <cell r="I84">
            <v>826633</v>
          </cell>
          <cell r="J84">
            <v>82663319</v>
          </cell>
          <cell r="K84">
            <v>0</v>
          </cell>
          <cell r="L84">
            <v>0</v>
          </cell>
          <cell r="M84">
            <v>41331660</v>
          </cell>
          <cell r="N84">
            <v>82663319</v>
          </cell>
          <cell r="O84">
            <v>367877</v>
          </cell>
          <cell r="P84">
            <v>367877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4411372</v>
          </cell>
          <cell r="AC84">
            <v>4323145</v>
          </cell>
          <cell r="AD84">
            <v>0</v>
          </cell>
          <cell r="AE84">
            <v>88227</v>
          </cell>
          <cell r="AF84">
            <v>8822744</v>
          </cell>
          <cell r="AG84">
            <v>708396</v>
          </cell>
          <cell r="AH84">
            <v>694229</v>
          </cell>
          <cell r="AI84">
            <v>0</v>
          </cell>
          <cell r="AJ84">
            <v>14168</v>
          </cell>
          <cell r="AK84">
            <v>1416793</v>
          </cell>
          <cell r="AL84">
            <v>2327912</v>
          </cell>
          <cell r="AM84">
            <v>2281353</v>
          </cell>
          <cell r="AN84">
            <v>0</v>
          </cell>
          <cell r="AO84">
            <v>46558</v>
          </cell>
          <cell r="AP84">
            <v>4655823</v>
          </cell>
          <cell r="AQ84">
            <v>94236</v>
          </cell>
          <cell r="AR84">
            <v>92352</v>
          </cell>
          <cell r="AS84">
            <v>0</v>
          </cell>
          <cell r="AT84">
            <v>1885</v>
          </cell>
          <cell r="AU84">
            <v>188473</v>
          </cell>
          <cell r="AV84">
            <v>2422148</v>
          </cell>
          <cell r="AW84">
            <v>2373705</v>
          </cell>
          <cell r="AX84">
            <v>0</v>
          </cell>
          <cell r="AY84">
            <v>48443</v>
          </cell>
          <cell r="AZ84">
            <v>4844296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770479</v>
          </cell>
          <cell r="BG84">
            <v>755070</v>
          </cell>
          <cell r="BH84">
            <v>0</v>
          </cell>
          <cell r="BI84">
            <v>15410</v>
          </cell>
          <cell r="BJ84">
            <v>1540959</v>
          </cell>
          <cell r="BK84">
            <v>770479</v>
          </cell>
          <cell r="BL84">
            <v>755070</v>
          </cell>
          <cell r="BM84">
            <v>0</v>
          </cell>
          <cell r="BN84">
            <v>15410</v>
          </cell>
          <cell r="BO84">
            <v>1540959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2350135</v>
          </cell>
          <cell r="BV84">
            <v>2303133</v>
          </cell>
          <cell r="BW84">
            <v>0</v>
          </cell>
          <cell r="BX84">
            <v>47003</v>
          </cell>
          <cell r="BY84">
            <v>4700271</v>
          </cell>
          <cell r="BZ84">
            <v>2350135</v>
          </cell>
          <cell r="CA84">
            <v>2303133</v>
          </cell>
          <cell r="CB84">
            <v>0</v>
          </cell>
          <cell r="CC84">
            <v>47003</v>
          </cell>
          <cell r="CD84">
            <v>4700271</v>
          </cell>
        </row>
        <row r="85">
          <cell r="A85">
            <v>78</v>
          </cell>
          <cell r="B85" t="str">
            <v>E2234</v>
          </cell>
          <cell r="C85" t="str">
            <v>SD</v>
          </cell>
          <cell r="D85" t="str">
            <v>SE</v>
          </cell>
          <cell r="E85" t="str">
            <v>Dover</v>
          </cell>
          <cell r="F85">
            <v>14787614</v>
          </cell>
          <cell r="G85">
            <v>11830091</v>
          </cell>
          <cell r="H85">
            <v>2661771</v>
          </cell>
          <cell r="I85">
            <v>295752</v>
          </cell>
          <cell r="J85">
            <v>29575228</v>
          </cell>
          <cell r="K85">
            <v>870740</v>
          </cell>
          <cell r="L85">
            <v>870740</v>
          </cell>
          <cell r="M85">
            <v>13916874</v>
          </cell>
          <cell r="N85">
            <v>28704488</v>
          </cell>
          <cell r="O85">
            <v>151686</v>
          </cell>
          <cell r="P85">
            <v>151686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696592</v>
          </cell>
          <cell r="Y85">
            <v>156733</v>
          </cell>
          <cell r="Z85">
            <v>17415</v>
          </cell>
          <cell r="AA85">
            <v>870740</v>
          </cell>
          <cell r="AB85">
            <v>1296483</v>
          </cell>
          <cell r="AC85">
            <v>1037186</v>
          </cell>
          <cell r="AD85">
            <v>233367</v>
          </cell>
          <cell r="AE85">
            <v>25930</v>
          </cell>
          <cell r="AF85">
            <v>2592966</v>
          </cell>
          <cell r="AG85">
            <v>408060</v>
          </cell>
          <cell r="AH85">
            <v>326448</v>
          </cell>
          <cell r="AI85">
            <v>73451</v>
          </cell>
          <cell r="AJ85">
            <v>8161</v>
          </cell>
          <cell r="AK85">
            <v>816120</v>
          </cell>
          <cell r="AL85">
            <v>924335</v>
          </cell>
          <cell r="AM85">
            <v>739468</v>
          </cell>
          <cell r="AN85">
            <v>166380</v>
          </cell>
          <cell r="AO85">
            <v>18487</v>
          </cell>
          <cell r="AP85">
            <v>1848670</v>
          </cell>
          <cell r="AQ85">
            <v>-2852</v>
          </cell>
          <cell r="AR85">
            <v>-2281</v>
          </cell>
          <cell r="AS85">
            <v>-513</v>
          </cell>
          <cell r="AT85">
            <v>-57</v>
          </cell>
          <cell r="AU85">
            <v>-5703</v>
          </cell>
          <cell r="AV85">
            <v>921483</v>
          </cell>
          <cell r="AW85">
            <v>737187</v>
          </cell>
          <cell r="AX85">
            <v>165867</v>
          </cell>
          <cell r="AY85">
            <v>18430</v>
          </cell>
          <cell r="AZ85">
            <v>1842967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366500</v>
          </cell>
          <cell r="BG85">
            <v>293200</v>
          </cell>
          <cell r="BH85">
            <v>65970</v>
          </cell>
          <cell r="BI85">
            <v>7330</v>
          </cell>
          <cell r="BJ85">
            <v>733000</v>
          </cell>
          <cell r="BK85">
            <v>366500</v>
          </cell>
          <cell r="BL85">
            <v>293200</v>
          </cell>
          <cell r="BM85">
            <v>65970</v>
          </cell>
          <cell r="BN85">
            <v>7330</v>
          </cell>
          <cell r="BO85">
            <v>733000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1102500</v>
          </cell>
          <cell r="BV85">
            <v>882000</v>
          </cell>
          <cell r="BW85">
            <v>198450</v>
          </cell>
          <cell r="BX85">
            <v>22050</v>
          </cell>
          <cell r="BY85">
            <v>2205000</v>
          </cell>
          <cell r="BZ85">
            <v>1102500</v>
          </cell>
          <cell r="CA85">
            <v>882000</v>
          </cell>
          <cell r="CB85">
            <v>198450</v>
          </cell>
          <cell r="CC85">
            <v>22050</v>
          </cell>
          <cell r="CD85">
            <v>2205000</v>
          </cell>
        </row>
        <row r="86">
          <cell r="A86">
            <v>79</v>
          </cell>
          <cell r="B86" t="str">
            <v>E4603</v>
          </cell>
          <cell r="C86" t="str">
            <v>Met</v>
          </cell>
          <cell r="D86" t="str">
            <v>WM</v>
          </cell>
          <cell r="E86" t="str">
            <v>Dudley</v>
          </cell>
          <cell r="F86">
            <v>41824628</v>
          </cell>
          <cell r="G86">
            <v>40988135</v>
          </cell>
          <cell r="H86">
            <v>0</v>
          </cell>
          <cell r="I86">
            <v>836493</v>
          </cell>
          <cell r="J86">
            <v>83649256</v>
          </cell>
          <cell r="K86">
            <v>0</v>
          </cell>
          <cell r="L86">
            <v>0</v>
          </cell>
          <cell r="M86">
            <v>41824628</v>
          </cell>
          <cell r="N86">
            <v>83649256</v>
          </cell>
          <cell r="O86">
            <v>439101</v>
          </cell>
          <cell r="P86">
            <v>439101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2835667</v>
          </cell>
          <cell r="AC86">
            <v>2778953</v>
          </cell>
          <cell r="AD86">
            <v>0</v>
          </cell>
          <cell r="AE86">
            <v>56713</v>
          </cell>
          <cell r="AF86">
            <v>5671333</v>
          </cell>
          <cell r="AG86">
            <v>780574</v>
          </cell>
          <cell r="AH86">
            <v>764962</v>
          </cell>
          <cell r="AI86">
            <v>0</v>
          </cell>
          <cell r="AJ86">
            <v>15611</v>
          </cell>
          <cell r="AK86">
            <v>1561147</v>
          </cell>
          <cell r="AL86">
            <v>1167500</v>
          </cell>
          <cell r="AM86">
            <v>1144150</v>
          </cell>
          <cell r="AN86">
            <v>0</v>
          </cell>
          <cell r="AO86">
            <v>23350</v>
          </cell>
          <cell r="AP86">
            <v>2335000</v>
          </cell>
          <cell r="AQ86">
            <v>302500</v>
          </cell>
          <cell r="AR86">
            <v>296450</v>
          </cell>
          <cell r="AS86">
            <v>0</v>
          </cell>
          <cell r="AT86">
            <v>6050</v>
          </cell>
          <cell r="AU86">
            <v>605000</v>
          </cell>
          <cell r="AV86">
            <v>1470000</v>
          </cell>
          <cell r="AW86">
            <v>1440600</v>
          </cell>
          <cell r="AX86">
            <v>0</v>
          </cell>
          <cell r="AY86">
            <v>29400</v>
          </cell>
          <cell r="AZ86">
            <v>2940000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850000</v>
          </cell>
          <cell r="BG86">
            <v>833000</v>
          </cell>
          <cell r="BH86">
            <v>0</v>
          </cell>
          <cell r="BI86">
            <v>17000</v>
          </cell>
          <cell r="BJ86">
            <v>1700000</v>
          </cell>
          <cell r="BK86">
            <v>850000</v>
          </cell>
          <cell r="BL86">
            <v>833000</v>
          </cell>
          <cell r="BM86">
            <v>0</v>
          </cell>
          <cell r="BN86">
            <v>17000</v>
          </cell>
          <cell r="BO86">
            <v>1700000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2500000</v>
          </cell>
          <cell r="BV86">
            <v>2450000</v>
          </cell>
          <cell r="BW86">
            <v>0</v>
          </cell>
          <cell r="BX86">
            <v>50000</v>
          </cell>
          <cell r="BY86">
            <v>5000000</v>
          </cell>
          <cell r="BZ86">
            <v>2500000</v>
          </cell>
          <cell r="CA86">
            <v>2450000</v>
          </cell>
          <cell r="CB86">
            <v>0</v>
          </cell>
          <cell r="CC86">
            <v>50000</v>
          </cell>
          <cell r="CD86">
            <v>5000000</v>
          </cell>
        </row>
        <row r="87">
          <cell r="A87">
            <v>80</v>
          </cell>
          <cell r="B87" t="str">
            <v>E1302</v>
          </cell>
          <cell r="C87" t="str">
            <v>UA</v>
          </cell>
          <cell r="D87" t="str">
            <v>NE</v>
          </cell>
          <cell r="E87" t="str">
            <v>Durham UA</v>
          </cell>
          <cell r="F87">
            <v>52396377</v>
          </cell>
          <cell r="G87">
            <v>51348450</v>
          </cell>
          <cell r="H87">
            <v>0</v>
          </cell>
          <cell r="I87">
            <v>1047928</v>
          </cell>
          <cell r="J87">
            <v>104792755</v>
          </cell>
          <cell r="K87">
            <v>0</v>
          </cell>
          <cell r="L87">
            <v>0</v>
          </cell>
          <cell r="M87">
            <v>52396377</v>
          </cell>
          <cell r="N87">
            <v>104792755</v>
          </cell>
          <cell r="O87">
            <v>603811</v>
          </cell>
          <cell r="P87">
            <v>603811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7579</v>
          </cell>
          <cell r="V87">
            <v>0</v>
          </cell>
          <cell r="W87">
            <v>7579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3996330</v>
          </cell>
          <cell r="AC87">
            <v>3916404</v>
          </cell>
          <cell r="AD87">
            <v>0</v>
          </cell>
          <cell r="AE87">
            <v>79927</v>
          </cell>
          <cell r="AF87">
            <v>7992661</v>
          </cell>
          <cell r="AG87">
            <v>505673</v>
          </cell>
          <cell r="AH87">
            <v>495559</v>
          </cell>
          <cell r="AI87">
            <v>0</v>
          </cell>
          <cell r="AJ87">
            <v>10113</v>
          </cell>
          <cell r="AK87">
            <v>1011345</v>
          </cell>
          <cell r="AL87">
            <v>2101372</v>
          </cell>
          <cell r="AM87">
            <v>2059345</v>
          </cell>
          <cell r="AN87">
            <v>0</v>
          </cell>
          <cell r="AO87">
            <v>42027</v>
          </cell>
          <cell r="AP87">
            <v>4202744</v>
          </cell>
          <cell r="AQ87">
            <v>174374</v>
          </cell>
          <cell r="AR87">
            <v>170886</v>
          </cell>
          <cell r="AS87">
            <v>0</v>
          </cell>
          <cell r="AT87">
            <v>3487</v>
          </cell>
          <cell r="AU87">
            <v>348747</v>
          </cell>
          <cell r="AV87">
            <v>2275746</v>
          </cell>
          <cell r="AW87">
            <v>2230231</v>
          </cell>
          <cell r="AX87">
            <v>0</v>
          </cell>
          <cell r="AY87">
            <v>45514</v>
          </cell>
          <cell r="AZ87">
            <v>4551491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812122</v>
          </cell>
          <cell r="BG87">
            <v>795879</v>
          </cell>
          <cell r="BH87">
            <v>0</v>
          </cell>
          <cell r="BI87">
            <v>16242</v>
          </cell>
          <cell r="BJ87">
            <v>1624243</v>
          </cell>
          <cell r="BK87">
            <v>812122</v>
          </cell>
          <cell r="BL87">
            <v>795879</v>
          </cell>
          <cell r="BM87">
            <v>0</v>
          </cell>
          <cell r="BN87">
            <v>16242</v>
          </cell>
          <cell r="BO87">
            <v>1624243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1783709</v>
          </cell>
          <cell r="BV87">
            <v>1748035</v>
          </cell>
          <cell r="BW87">
            <v>0</v>
          </cell>
          <cell r="BX87">
            <v>35674</v>
          </cell>
          <cell r="BY87">
            <v>3567418</v>
          </cell>
          <cell r="BZ87">
            <v>1783709</v>
          </cell>
          <cell r="CA87">
            <v>1748035</v>
          </cell>
          <cell r="CB87">
            <v>0</v>
          </cell>
          <cell r="CC87">
            <v>35674</v>
          </cell>
          <cell r="CD87">
            <v>3567418</v>
          </cell>
        </row>
        <row r="88">
          <cell r="A88">
            <v>81</v>
          </cell>
          <cell r="B88" t="str">
            <v>E5036</v>
          </cell>
          <cell r="C88" t="str">
            <v>OLB</v>
          </cell>
          <cell r="D88" t="str">
            <v>L</v>
          </cell>
          <cell r="E88" t="str">
            <v>Ealing</v>
          </cell>
          <cell r="F88">
            <v>59646777</v>
          </cell>
          <cell r="G88">
            <v>35788066</v>
          </cell>
          <cell r="H88">
            <v>23858711</v>
          </cell>
          <cell r="I88">
            <v>0</v>
          </cell>
          <cell r="J88">
            <v>119293554</v>
          </cell>
          <cell r="K88">
            <v>0</v>
          </cell>
          <cell r="L88">
            <v>0</v>
          </cell>
          <cell r="M88">
            <v>59646777</v>
          </cell>
          <cell r="N88">
            <v>119293554</v>
          </cell>
          <cell r="O88">
            <v>556870</v>
          </cell>
          <cell r="P88">
            <v>556870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11909958</v>
          </cell>
          <cell r="AC88">
            <v>7145975</v>
          </cell>
          <cell r="AD88">
            <v>4763983</v>
          </cell>
          <cell r="AE88">
            <v>0</v>
          </cell>
          <cell r="AF88">
            <v>23819916</v>
          </cell>
          <cell r="AG88">
            <v>3775212</v>
          </cell>
          <cell r="AH88">
            <v>2265128</v>
          </cell>
          <cell r="AI88">
            <v>1510085</v>
          </cell>
          <cell r="AJ88">
            <v>0</v>
          </cell>
          <cell r="AK88">
            <v>7550425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2161102</v>
          </cell>
          <cell r="AR88">
            <v>1296661</v>
          </cell>
          <cell r="AS88">
            <v>864441</v>
          </cell>
          <cell r="AT88">
            <v>0</v>
          </cell>
          <cell r="AU88">
            <v>4322204</v>
          </cell>
          <cell r="AV88">
            <v>2161102</v>
          </cell>
          <cell r="AW88">
            <v>1296661</v>
          </cell>
          <cell r="AX88">
            <v>864441</v>
          </cell>
          <cell r="AY88">
            <v>0</v>
          </cell>
          <cell r="AZ88">
            <v>4322204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1418285</v>
          </cell>
          <cell r="BG88">
            <v>850971</v>
          </cell>
          <cell r="BH88">
            <v>567314</v>
          </cell>
          <cell r="BI88">
            <v>0</v>
          </cell>
          <cell r="BJ88">
            <v>2836570</v>
          </cell>
          <cell r="BK88">
            <v>1418285</v>
          </cell>
          <cell r="BL88">
            <v>850971</v>
          </cell>
          <cell r="BM88">
            <v>567314</v>
          </cell>
          <cell r="BN88">
            <v>0</v>
          </cell>
          <cell r="BO88">
            <v>2836570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8866514</v>
          </cell>
          <cell r="BV88">
            <v>5319908</v>
          </cell>
          <cell r="BW88">
            <v>3546606</v>
          </cell>
          <cell r="BX88">
            <v>0</v>
          </cell>
          <cell r="BY88">
            <v>17733028</v>
          </cell>
          <cell r="BZ88">
            <v>8866514</v>
          </cell>
          <cell r="CA88">
            <v>5319908</v>
          </cell>
          <cell r="CB88">
            <v>3546606</v>
          </cell>
          <cell r="CC88">
            <v>0</v>
          </cell>
          <cell r="CD88">
            <v>17733028</v>
          </cell>
        </row>
        <row r="89">
          <cell r="A89">
            <v>82</v>
          </cell>
          <cell r="B89" t="str">
            <v>E0532</v>
          </cell>
          <cell r="C89" t="str">
            <v>SD</v>
          </cell>
          <cell r="D89" t="str">
            <v>E</v>
          </cell>
          <cell r="E89" t="str">
            <v>East Cambridgeshire</v>
          </cell>
          <cell r="F89">
            <v>7990869</v>
          </cell>
          <cell r="G89">
            <v>6392694</v>
          </cell>
          <cell r="H89">
            <v>1438356</v>
          </cell>
          <cell r="I89">
            <v>159817</v>
          </cell>
          <cell r="J89">
            <v>15981736</v>
          </cell>
          <cell r="K89">
            <v>0</v>
          </cell>
          <cell r="L89">
            <v>0</v>
          </cell>
          <cell r="M89">
            <v>7990869</v>
          </cell>
          <cell r="N89">
            <v>15981736</v>
          </cell>
          <cell r="O89">
            <v>92008</v>
          </cell>
          <cell r="P89">
            <v>92008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144843.92000000001</v>
          </cell>
          <cell r="AC89">
            <v>115875</v>
          </cell>
          <cell r="AD89">
            <v>26072</v>
          </cell>
          <cell r="AE89">
            <v>2897</v>
          </cell>
          <cell r="AF89">
            <v>289687.92</v>
          </cell>
          <cell r="AG89">
            <v>45264.85</v>
          </cell>
          <cell r="AH89">
            <v>36212</v>
          </cell>
          <cell r="AI89">
            <v>8148</v>
          </cell>
          <cell r="AJ89">
            <v>905</v>
          </cell>
          <cell r="AK89">
            <v>90529.85</v>
          </cell>
          <cell r="AL89">
            <v>74574.899999999994</v>
          </cell>
          <cell r="AM89">
            <v>59660</v>
          </cell>
          <cell r="AN89">
            <v>13424</v>
          </cell>
          <cell r="AO89">
            <v>1492</v>
          </cell>
          <cell r="AP89">
            <v>149150.9</v>
          </cell>
          <cell r="AQ89">
            <v>682.57</v>
          </cell>
          <cell r="AR89">
            <v>547</v>
          </cell>
          <cell r="AS89">
            <v>123</v>
          </cell>
          <cell r="AT89">
            <v>14</v>
          </cell>
          <cell r="AU89">
            <v>1366.57</v>
          </cell>
          <cell r="AV89">
            <v>75257.47</v>
          </cell>
          <cell r="AW89">
            <v>60207</v>
          </cell>
          <cell r="AX89">
            <v>13547</v>
          </cell>
          <cell r="AY89">
            <v>1506</v>
          </cell>
          <cell r="AZ89">
            <v>150517.47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124186</v>
          </cell>
          <cell r="BG89">
            <v>99348</v>
          </cell>
          <cell r="BH89">
            <v>22353</v>
          </cell>
          <cell r="BI89">
            <v>2484</v>
          </cell>
          <cell r="BJ89">
            <v>248371</v>
          </cell>
          <cell r="BK89">
            <v>124186</v>
          </cell>
          <cell r="BL89">
            <v>99348</v>
          </cell>
          <cell r="BM89">
            <v>22353</v>
          </cell>
          <cell r="BN89">
            <v>2484</v>
          </cell>
          <cell r="BO89">
            <v>248371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351234</v>
          </cell>
          <cell r="BV89">
            <v>280987</v>
          </cell>
          <cell r="BW89">
            <v>63222</v>
          </cell>
          <cell r="BX89">
            <v>7025</v>
          </cell>
          <cell r="BY89">
            <v>702468</v>
          </cell>
          <cell r="BZ89">
            <v>351234</v>
          </cell>
          <cell r="CA89">
            <v>280987</v>
          </cell>
          <cell r="CB89">
            <v>63222</v>
          </cell>
          <cell r="CC89">
            <v>7025</v>
          </cell>
          <cell r="CD89">
            <v>702468</v>
          </cell>
        </row>
        <row r="90">
          <cell r="A90">
            <v>83</v>
          </cell>
          <cell r="B90" t="str">
            <v>E1131</v>
          </cell>
          <cell r="C90" t="str">
            <v>SD</v>
          </cell>
          <cell r="D90" t="str">
            <v>SW</v>
          </cell>
          <cell r="E90" t="str">
            <v>East Devon</v>
          </cell>
          <cell r="F90">
            <v>14895152</v>
          </cell>
          <cell r="G90">
            <v>11916122</v>
          </cell>
          <cell r="H90">
            <v>2681127</v>
          </cell>
          <cell r="I90">
            <v>297903</v>
          </cell>
          <cell r="J90">
            <v>29790304</v>
          </cell>
          <cell r="K90">
            <v>0</v>
          </cell>
          <cell r="L90">
            <v>0</v>
          </cell>
          <cell r="M90">
            <v>14895152</v>
          </cell>
          <cell r="N90">
            <v>29790304</v>
          </cell>
          <cell r="O90">
            <v>227639</v>
          </cell>
          <cell r="P90">
            <v>227639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379737.85</v>
          </cell>
          <cell r="AC90">
            <v>303790</v>
          </cell>
          <cell r="AD90">
            <v>68353</v>
          </cell>
          <cell r="AE90">
            <v>7595</v>
          </cell>
          <cell r="AF90">
            <v>759475.85</v>
          </cell>
          <cell r="AG90">
            <v>338092.61</v>
          </cell>
          <cell r="AH90">
            <v>270474</v>
          </cell>
          <cell r="AI90">
            <v>60857</v>
          </cell>
          <cell r="AJ90">
            <v>6762</v>
          </cell>
          <cell r="AK90">
            <v>676185.61</v>
          </cell>
          <cell r="AL90">
            <v>63000</v>
          </cell>
          <cell r="AM90">
            <v>50400</v>
          </cell>
          <cell r="AN90">
            <v>11340</v>
          </cell>
          <cell r="AO90">
            <v>1260</v>
          </cell>
          <cell r="AP90">
            <v>126000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63000</v>
          </cell>
          <cell r="AW90">
            <v>50400</v>
          </cell>
          <cell r="AX90">
            <v>11340</v>
          </cell>
          <cell r="AY90">
            <v>1260</v>
          </cell>
          <cell r="AZ90">
            <v>126000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196419</v>
          </cell>
          <cell r="BG90">
            <v>157134</v>
          </cell>
          <cell r="BH90">
            <v>35355</v>
          </cell>
          <cell r="BI90">
            <v>3928</v>
          </cell>
          <cell r="BJ90">
            <v>392836</v>
          </cell>
          <cell r="BK90">
            <v>196419</v>
          </cell>
          <cell r="BL90">
            <v>157134</v>
          </cell>
          <cell r="BM90">
            <v>35355</v>
          </cell>
          <cell r="BN90">
            <v>3928</v>
          </cell>
          <cell r="BO90">
            <v>392836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589254</v>
          </cell>
          <cell r="BV90">
            <v>471403</v>
          </cell>
          <cell r="BW90">
            <v>106066</v>
          </cell>
          <cell r="BX90">
            <v>11785</v>
          </cell>
          <cell r="BY90">
            <v>1178508</v>
          </cell>
          <cell r="BZ90">
            <v>589254</v>
          </cell>
          <cell r="CA90">
            <v>471403</v>
          </cell>
          <cell r="CB90">
            <v>106066</v>
          </cell>
          <cell r="CC90">
            <v>11785</v>
          </cell>
          <cell r="CD90">
            <v>1178508</v>
          </cell>
        </row>
        <row r="91">
          <cell r="A91">
            <v>84</v>
          </cell>
          <cell r="B91" t="str">
            <v>E1233</v>
          </cell>
          <cell r="C91" t="str">
            <v>SD</v>
          </cell>
          <cell r="D91" t="str">
            <v>SW</v>
          </cell>
          <cell r="E91" t="str">
            <v>East Dorset</v>
          </cell>
          <cell r="F91">
            <v>9793214</v>
          </cell>
          <cell r="G91">
            <v>7834571</v>
          </cell>
          <cell r="H91">
            <v>1762779</v>
          </cell>
          <cell r="I91">
            <v>195864</v>
          </cell>
          <cell r="J91">
            <v>19586428</v>
          </cell>
          <cell r="K91">
            <v>0</v>
          </cell>
          <cell r="L91">
            <v>0</v>
          </cell>
          <cell r="M91">
            <v>9793214</v>
          </cell>
          <cell r="N91">
            <v>19586428</v>
          </cell>
          <cell r="O91">
            <v>108712</v>
          </cell>
          <cell r="P91">
            <v>108712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313139.21000000002</v>
          </cell>
          <cell r="AC91">
            <v>250511</v>
          </cell>
          <cell r="AD91">
            <v>56365</v>
          </cell>
          <cell r="AE91">
            <v>6263</v>
          </cell>
          <cell r="AF91">
            <v>626278.21</v>
          </cell>
          <cell r="AG91">
            <v>-87644</v>
          </cell>
          <cell r="AH91">
            <v>-70115</v>
          </cell>
          <cell r="AI91">
            <v>-15776</v>
          </cell>
          <cell r="AJ91">
            <v>-1753</v>
          </cell>
          <cell r="AK91">
            <v>-175288</v>
          </cell>
          <cell r="AL91">
            <v>102830</v>
          </cell>
          <cell r="AM91">
            <v>82265</v>
          </cell>
          <cell r="AN91">
            <v>18510</v>
          </cell>
          <cell r="AO91">
            <v>2057</v>
          </cell>
          <cell r="AP91">
            <v>205662</v>
          </cell>
          <cell r="AQ91">
            <v>30172</v>
          </cell>
          <cell r="AR91">
            <v>24138</v>
          </cell>
          <cell r="AS91">
            <v>5431</v>
          </cell>
          <cell r="AT91">
            <v>603</v>
          </cell>
          <cell r="AU91">
            <v>60344</v>
          </cell>
          <cell r="AV91">
            <v>133002</v>
          </cell>
          <cell r="AW91">
            <v>106403</v>
          </cell>
          <cell r="AX91">
            <v>23941</v>
          </cell>
          <cell r="AY91">
            <v>2660</v>
          </cell>
          <cell r="AZ91">
            <v>266006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160808</v>
          </cell>
          <cell r="BG91">
            <v>128646</v>
          </cell>
          <cell r="BH91">
            <v>28945</v>
          </cell>
          <cell r="BI91">
            <v>3216</v>
          </cell>
          <cell r="BJ91">
            <v>321615</v>
          </cell>
          <cell r="BK91">
            <v>160808</v>
          </cell>
          <cell r="BL91">
            <v>128646</v>
          </cell>
          <cell r="BM91">
            <v>28945</v>
          </cell>
          <cell r="BN91">
            <v>3216</v>
          </cell>
          <cell r="BO91">
            <v>321615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425386</v>
          </cell>
          <cell r="BV91">
            <v>340310</v>
          </cell>
          <cell r="BW91">
            <v>76570</v>
          </cell>
          <cell r="BX91">
            <v>8508</v>
          </cell>
          <cell r="BY91">
            <v>850774</v>
          </cell>
          <cell r="BZ91">
            <v>425386</v>
          </cell>
          <cell r="CA91">
            <v>340310</v>
          </cell>
          <cell r="CB91">
            <v>76570</v>
          </cell>
          <cell r="CC91">
            <v>8508</v>
          </cell>
          <cell r="CD91">
            <v>850774</v>
          </cell>
        </row>
        <row r="92">
          <cell r="A92">
            <v>85</v>
          </cell>
          <cell r="B92" t="str">
            <v>E1732</v>
          </cell>
          <cell r="C92" t="str">
            <v>SD</v>
          </cell>
          <cell r="D92" t="str">
            <v>SE</v>
          </cell>
          <cell r="E92" t="str">
            <v>East Hampshire</v>
          </cell>
          <cell r="F92">
            <v>13394966</v>
          </cell>
          <cell r="G92">
            <v>10715973</v>
          </cell>
          <cell r="H92">
            <v>2411094</v>
          </cell>
          <cell r="I92">
            <v>267899</v>
          </cell>
          <cell r="J92">
            <v>26789932</v>
          </cell>
          <cell r="K92">
            <v>0</v>
          </cell>
          <cell r="L92">
            <v>0</v>
          </cell>
          <cell r="M92">
            <v>13394966</v>
          </cell>
          <cell r="N92">
            <v>26789932</v>
          </cell>
          <cell r="O92">
            <v>151002</v>
          </cell>
          <cell r="P92">
            <v>151002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261088</v>
          </cell>
          <cell r="AC92">
            <v>208871</v>
          </cell>
          <cell r="AD92">
            <v>46996</v>
          </cell>
          <cell r="AE92">
            <v>5222</v>
          </cell>
          <cell r="AF92">
            <v>522177</v>
          </cell>
          <cell r="AG92">
            <v>131783</v>
          </cell>
          <cell r="AH92">
            <v>105426</v>
          </cell>
          <cell r="AI92">
            <v>23721</v>
          </cell>
          <cell r="AJ92">
            <v>2636</v>
          </cell>
          <cell r="AK92">
            <v>263566</v>
          </cell>
          <cell r="AL92">
            <v>63828</v>
          </cell>
          <cell r="AM92">
            <v>51062</v>
          </cell>
          <cell r="AN92">
            <v>11489</v>
          </cell>
          <cell r="AO92">
            <v>1277</v>
          </cell>
          <cell r="AP92">
            <v>127656</v>
          </cell>
          <cell r="AQ92">
            <v>70236</v>
          </cell>
          <cell r="AR92">
            <v>56188</v>
          </cell>
          <cell r="AS92">
            <v>12642</v>
          </cell>
          <cell r="AT92">
            <v>1405</v>
          </cell>
          <cell r="AU92">
            <v>140471</v>
          </cell>
          <cell r="AV92">
            <v>134064</v>
          </cell>
          <cell r="AW92">
            <v>107250</v>
          </cell>
          <cell r="AX92">
            <v>24131</v>
          </cell>
          <cell r="AY92">
            <v>2682</v>
          </cell>
          <cell r="AZ92">
            <v>268127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279167</v>
          </cell>
          <cell r="BG92">
            <v>223333</v>
          </cell>
          <cell r="BH92">
            <v>50250</v>
          </cell>
          <cell r="BI92">
            <v>5583</v>
          </cell>
          <cell r="BJ92">
            <v>558333</v>
          </cell>
          <cell r="BK92">
            <v>279167</v>
          </cell>
          <cell r="BL92">
            <v>223333</v>
          </cell>
          <cell r="BM92">
            <v>50250</v>
          </cell>
          <cell r="BN92">
            <v>5583</v>
          </cell>
          <cell r="BO92">
            <v>558333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513492</v>
          </cell>
          <cell r="BV92">
            <v>410794</v>
          </cell>
          <cell r="BW92">
            <v>92429</v>
          </cell>
          <cell r="BX92">
            <v>10270</v>
          </cell>
          <cell r="BY92">
            <v>1026985</v>
          </cell>
          <cell r="BZ92">
            <v>513492</v>
          </cell>
          <cell r="CA92">
            <v>410794</v>
          </cell>
          <cell r="CB92">
            <v>92429</v>
          </cell>
          <cell r="CC92">
            <v>10270</v>
          </cell>
          <cell r="CD92">
            <v>1026985</v>
          </cell>
        </row>
        <row r="93">
          <cell r="A93">
            <v>86</v>
          </cell>
          <cell r="B93" t="str">
            <v>E1933</v>
          </cell>
          <cell r="C93" t="str">
            <v>SD</v>
          </cell>
          <cell r="D93" t="str">
            <v>E</v>
          </cell>
          <cell r="E93" t="str">
            <v>East Hertfordshire</v>
          </cell>
          <cell r="F93">
            <v>19777684</v>
          </cell>
          <cell r="G93">
            <v>15822147</v>
          </cell>
          <cell r="H93">
            <v>3955537</v>
          </cell>
          <cell r="I93">
            <v>0</v>
          </cell>
          <cell r="J93">
            <v>39555368</v>
          </cell>
          <cell r="K93">
            <v>0</v>
          </cell>
          <cell r="L93">
            <v>0</v>
          </cell>
          <cell r="M93">
            <v>19777684</v>
          </cell>
          <cell r="N93">
            <v>39555368</v>
          </cell>
          <cell r="O93">
            <v>196026</v>
          </cell>
          <cell r="P93">
            <v>196026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1193474</v>
          </cell>
          <cell r="AC93">
            <v>954779</v>
          </cell>
          <cell r="AD93">
            <v>238695</v>
          </cell>
          <cell r="AE93">
            <v>0</v>
          </cell>
          <cell r="AF93">
            <v>2386948</v>
          </cell>
          <cell r="AG93">
            <v>-263146</v>
          </cell>
          <cell r="AH93">
            <v>-210516</v>
          </cell>
          <cell r="AI93">
            <v>-52629</v>
          </cell>
          <cell r="AJ93">
            <v>0</v>
          </cell>
          <cell r="AK93">
            <v>-526291</v>
          </cell>
          <cell r="AL93">
            <v>468500</v>
          </cell>
          <cell r="AM93">
            <v>374800</v>
          </cell>
          <cell r="AN93">
            <v>93700</v>
          </cell>
          <cell r="AO93">
            <v>0</v>
          </cell>
          <cell r="AP93">
            <v>937000</v>
          </cell>
          <cell r="AQ93">
            <v>229668</v>
          </cell>
          <cell r="AR93">
            <v>183734</v>
          </cell>
          <cell r="AS93">
            <v>45934</v>
          </cell>
          <cell r="AT93">
            <v>0</v>
          </cell>
          <cell r="AU93">
            <v>459336</v>
          </cell>
          <cell r="AV93">
            <v>698168</v>
          </cell>
          <cell r="AW93">
            <v>558534</v>
          </cell>
          <cell r="AX93">
            <v>139634</v>
          </cell>
          <cell r="AY93">
            <v>0</v>
          </cell>
          <cell r="AZ93">
            <v>1396336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350508</v>
          </cell>
          <cell r="BG93">
            <v>280406</v>
          </cell>
          <cell r="BH93">
            <v>70102</v>
          </cell>
          <cell r="BI93">
            <v>0</v>
          </cell>
          <cell r="BJ93">
            <v>701016</v>
          </cell>
          <cell r="BK93">
            <v>350508</v>
          </cell>
          <cell r="BL93">
            <v>280406</v>
          </cell>
          <cell r="BM93">
            <v>70102</v>
          </cell>
          <cell r="BN93">
            <v>0</v>
          </cell>
          <cell r="BO93">
            <v>701016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929632</v>
          </cell>
          <cell r="BV93">
            <v>743706</v>
          </cell>
          <cell r="BW93">
            <v>185926</v>
          </cell>
          <cell r="BX93">
            <v>0</v>
          </cell>
          <cell r="BY93">
            <v>1859264</v>
          </cell>
          <cell r="BZ93">
            <v>929632</v>
          </cell>
          <cell r="CA93">
            <v>743706</v>
          </cell>
          <cell r="CB93">
            <v>185926</v>
          </cell>
          <cell r="CC93">
            <v>0</v>
          </cell>
          <cell r="CD93">
            <v>1859264</v>
          </cell>
        </row>
        <row r="94">
          <cell r="A94">
            <v>87</v>
          </cell>
          <cell r="B94" t="str">
            <v>E2532</v>
          </cell>
          <cell r="C94" t="str">
            <v>SD</v>
          </cell>
          <cell r="D94" t="str">
            <v>EM</v>
          </cell>
          <cell r="E94" t="str">
            <v>East Lindsey</v>
          </cell>
          <cell r="F94">
            <v>15360172</v>
          </cell>
          <cell r="G94">
            <v>12288137</v>
          </cell>
          <cell r="H94">
            <v>3072034</v>
          </cell>
          <cell r="I94">
            <v>0</v>
          </cell>
          <cell r="J94">
            <v>30720343</v>
          </cell>
          <cell r="K94">
            <v>0</v>
          </cell>
          <cell r="L94">
            <v>0</v>
          </cell>
          <cell r="M94">
            <v>15360172</v>
          </cell>
          <cell r="N94">
            <v>30720343</v>
          </cell>
          <cell r="O94">
            <v>270768</v>
          </cell>
          <cell r="P94">
            <v>270768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1050289</v>
          </cell>
          <cell r="AC94">
            <v>840232</v>
          </cell>
          <cell r="AD94">
            <v>210058</v>
          </cell>
          <cell r="AE94">
            <v>0</v>
          </cell>
          <cell r="AF94">
            <v>2100579</v>
          </cell>
          <cell r="AG94">
            <v>326067</v>
          </cell>
          <cell r="AH94">
            <v>260854</v>
          </cell>
          <cell r="AI94">
            <v>65214</v>
          </cell>
          <cell r="AJ94">
            <v>0</v>
          </cell>
          <cell r="AK94">
            <v>652135</v>
          </cell>
          <cell r="AL94">
            <v>180000</v>
          </cell>
          <cell r="AM94">
            <v>144000</v>
          </cell>
          <cell r="AN94">
            <v>36000</v>
          </cell>
          <cell r="AO94">
            <v>0</v>
          </cell>
          <cell r="AP94">
            <v>360000</v>
          </cell>
          <cell r="AQ94">
            <v>178000</v>
          </cell>
          <cell r="AR94">
            <v>142400</v>
          </cell>
          <cell r="AS94">
            <v>35600</v>
          </cell>
          <cell r="AT94">
            <v>0</v>
          </cell>
          <cell r="AU94">
            <v>356000</v>
          </cell>
          <cell r="AV94">
            <v>358000</v>
          </cell>
          <cell r="AW94">
            <v>286400</v>
          </cell>
          <cell r="AX94">
            <v>71600</v>
          </cell>
          <cell r="AY94">
            <v>0</v>
          </cell>
          <cell r="AZ94">
            <v>716000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213627</v>
          </cell>
          <cell r="BG94">
            <v>170902</v>
          </cell>
          <cell r="BH94">
            <v>42725</v>
          </cell>
          <cell r="BI94">
            <v>0</v>
          </cell>
          <cell r="BJ94">
            <v>427254</v>
          </cell>
          <cell r="BK94">
            <v>213627</v>
          </cell>
          <cell r="BL94">
            <v>170902</v>
          </cell>
          <cell r="BM94">
            <v>42725</v>
          </cell>
          <cell r="BN94">
            <v>0</v>
          </cell>
          <cell r="BO94">
            <v>427254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541779</v>
          </cell>
          <cell r="BV94">
            <v>433424</v>
          </cell>
          <cell r="BW94">
            <v>108356</v>
          </cell>
          <cell r="BX94">
            <v>0</v>
          </cell>
          <cell r="BY94">
            <v>1083559</v>
          </cell>
          <cell r="BZ94">
            <v>541779</v>
          </cell>
          <cell r="CA94">
            <v>433424</v>
          </cell>
          <cell r="CB94">
            <v>108356</v>
          </cell>
          <cell r="CC94">
            <v>0</v>
          </cell>
          <cell r="CD94">
            <v>1083559</v>
          </cell>
        </row>
        <row r="95">
          <cell r="A95">
            <v>88</v>
          </cell>
          <cell r="B95" t="str">
            <v>E2833</v>
          </cell>
          <cell r="C95" t="str">
            <v>SD</v>
          </cell>
          <cell r="D95" t="str">
            <v>EM</v>
          </cell>
          <cell r="E95" t="str">
            <v>East Northamptonshire</v>
          </cell>
          <cell r="F95">
            <v>10107317</v>
          </cell>
          <cell r="G95">
            <v>8085854</v>
          </cell>
          <cell r="H95">
            <v>2021463</v>
          </cell>
          <cell r="I95">
            <v>0</v>
          </cell>
          <cell r="J95">
            <v>20214634</v>
          </cell>
          <cell r="K95">
            <v>0</v>
          </cell>
          <cell r="L95">
            <v>0</v>
          </cell>
          <cell r="M95">
            <v>10107317</v>
          </cell>
          <cell r="N95">
            <v>20214634</v>
          </cell>
          <cell r="O95">
            <v>99141</v>
          </cell>
          <cell r="P95">
            <v>99141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203693</v>
          </cell>
          <cell r="AC95">
            <v>162954</v>
          </cell>
          <cell r="AD95">
            <v>40739</v>
          </cell>
          <cell r="AE95">
            <v>0</v>
          </cell>
          <cell r="AF95">
            <v>407386</v>
          </cell>
          <cell r="AG95">
            <v>24482</v>
          </cell>
          <cell r="AH95">
            <v>19585</v>
          </cell>
          <cell r="AI95">
            <v>4896</v>
          </cell>
          <cell r="AJ95">
            <v>0</v>
          </cell>
          <cell r="AK95">
            <v>48963</v>
          </cell>
          <cell r="AL95">
            <v>35216</v>
          </cell>
          <cell r="AM95">
            <v>28172</v>
          </cell>
          <cell r="AN95">
            <v>7043</v>
          </cell>
          <cell r="AO95">
            <v>0</v>
          </cell>
          <cell r="AP95">
            <v>70431</v>
          </cell>
          <cell r="AQ95">
            <v>10312</v>
          </cell>
          <cell r="AR95">
            <v>8249</v>
          </cell>
          <cell r="AS95">
            <v>2062</v>
          </cell>
          <cell r="AT95">
            <v>0</v>
          </cell>
          <cell r="AU95">
            <v>20623</v>
          </cell>
          <cell r="AV95">
            <v>45528</v>
          </cell>
          <cell r="AW95">
            <v>36421</v>
          </cell>
          <cell r="AX95">
            <v>9105</v>
          </cell>
          <cell r="AY95">
            <v>0</v>
          </cell>
          <cell r="AZ95">
            <v>91054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1870</v>
          </cell>
          <cell r="BG95">
            <v>1496</v>
          </cell>
          <cell r="BH95">
            <v>374</v>
          </cell>
          <cell r="BI95">
            <v>0</v>
          </cell>
          <cell r="BJ95">
            <v>3740</v>
          </cell>
          <cell r="BK95">
            <v>1870</v>
          </cell>
          <cell r="BL95">
            <v>1496</v>
          </cell>
          <cell r="BM95">
            <v>374</v>
          </cell>
          <cell r="BN95">
            <v>0</v>
          </cell>
          <cell r="BO95">
            <v>3740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204863</v>
          </cell>
          <cell r="BV95">
            <v>163891</v>
          </cell>
          <cell r="BW95">
            <v>40973</v>
          </cell>
          <cell r="BX95">
            <v>0</v>
          </cell>
          <cell r="BY95">
            <v>409727</v>
          </cell>
          <cell r="BZ95">
            <v>204863</v>
          </cell>
          <cell r="CA95">
            <v>163891</v>
          </cell>
          <cell r="CB95">
            <v>40973</v>
          </cell>
          <cell r="CC95">
            <v>0</v>
          </cell>
          <cell r="CD95">
            <v>409727</v>
          </cell>
        </row>
        <row r="96">
          <cell r="A96">
            <v>89</v>
          </cell>
          <cell r="B96" t="str">
            <v>E2001</v>
          </cell>
          <cell r="C96" t="str">
            <v>UA</v>
          </cell>
          <cell r="D96" t="str">
            <v>YH</v>
          </cell>
          <cell r="E96" t="str">
            <v>East Riding of Yorkshire UA</v>
          </cell>
          <cell r="F96">
            <v>44302485</v>
          </cell>
          <cell r="G96">
            <v>43416436</v>
          </cell>
          <cell r="H96">
            <v>0</v>
          </cell>
          <cell r="I96">
            <v>886050</v>
          </cell>
          <cell r="J96">
            <v>88604971</v>
          </cell>
          <cell r="K96">
            <v>179013</v>
          </cell>
          <cell r="L96">
            <v>179013</v>
          </cell>
          <cell r="M96">
            <v>44123472</v>
          </cell>
          <cell r="N96">
            <v>88425958</v>
          </cell>
          <cell r="O96">
            <v>434464</v>
          </cell>
          <cell r="P96">
            <v>434464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879893</v>
          </cell>
          <cell r="V96">
            <v>0</v>
          </cell>
          <cell r="W96">
            <v>879893</v>
          </cell>
          <cell r="X96">
            <v>177516</v>
          </cell>
          <cell r="Y96">
            <v>0</v>
          </cell>
          <cell r="Z96">
            <v>1497</v>
          </cell>
          <cell r="AA96">
            <v>179013</v>
          </cell>
          <cell r="AB96">
            <v>1715947</v>
          </cell>
          <cell r="AC96">
            <v>1681629</v>
          </cell>
          <cell r="AD96">
            <v>0</v>
          </cell>
          <cell r="AE96">
            <v>34319</v>
          </cell>
          <cell r="AF96">
            <v>3431895</v>
          </cell>
          <cell r="AG96">
            <v>592032</v>
          </cell>
          <cell r="AH96">
            <v>580191</v>
          </cell>
          <cell r="AI96">
            <v>0</v>
          </cell>
          <cell r="AJ96">
            <v>11841</v>
          </cell>
          <cell r="AK96">
            <v>1184064</v>
          </cell>
          <cell r="AL96">
            <v>641330</v>
          </cell>
          <cell r="AM96">
            <v>628504</v>
          </cell>
          <cell r="AN96">
            <v>0</v>
          </cell>
          <cell r="AO96">
            <v>12827</v>
          </cell>
          <cell r="AP96">
            <v>1282661</v>
          </cell>
          <cell r="AQ96">
            <v>125822</v>
          </cell>
          <cell r="AR96">
            <v>123305</v>
          </cell>
          <cell r="AS96">
            <v>0</v>
          </cell>
          <cell r="AT96">
            <v>2516</v>
          </cell>
          <cell r="AU96">
            <v>251643</v>
          </cell>
          <cell r="AV96">
            <v>767152</v>
          </cell>
          <cell r="AW96">
            <v>751809</v>
          </cell>
          <cell r="AX96">
            <v>0</v>
          </cell>
          <cell r="AY96">
            <v>15343</v>
          </cell>
          <cell r="AZ96">
            <v>1534304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226256</v>
          </cell>
          <cell r="BG96">
            <v>221730</v>
          </cell>
          <cell r="BH96">
            <v>0</v>
          </cell>
          <cell r="BI96">
            <v>4525</v>
          </cell>
          <cell r="BJ96">
            <v>452511</v>
          </cell>
          <cell r="BK96">
            <v>226256</v>
          </cell>
          <cell r="BL96">
            <v>221730</v>
          </cell>
          <cell r="BM96">
            <v>0</v>
          </cell>
          <cell r="BN96">
            <v>4525</v>
          </cell>
          <cell r="BO96">
            <v>452511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856519</v>
          </cell>
          <cell r="BV96">
            <v>839388</v>
          </cell>
          <cell r="BW96">
            <v>0</v>
          </cell>
          <cell r="BX96">
            <v>17130</v>
          </cell>
          <cell r="BY96">
            <v>1713037</v>
          </cell>
          <cell r="BZ96">
            <v>856519</v>
          </cell>
          <cell r="CA96">
            <v>839388</v>
          </cell>
          <cell r="CB96">
            <v>0</v>
          </cell>
          <cell r="CC96">
            <v>17130</v>
          </cell>
          <cell r="CD96">
            <v>1713037</v>
          </cell>
        </row>
        <row r="97">
          <cell r="A97">
            <v>90</v>
          </cell>
          <cell r="B97" t="str">
            <v>E3432</v>
          </cell>
          <cell r="C97" t="str">
            <v>SD</v>
          </cell>
          <cell r="D97" t="str">
            <v>WM</v>
          </cell>
          <cell r="E97" t="str">
            <v>East Staffordshire</v>
          </cell>
          <cell r="F97">
            <v>24259681</v>
          </cell>
          <cell r="G97">
            <v>19407744</v>
          </cell>
          <cell r="H97">
            <v>4366742</v>
          </cell>
          <cell r="I97">
            <v>485194</v>
          </cell>
          <cell r="J97">
            <v>48519361</v>
          </cell>
          <cell r="K97">
            <v>0</v>
          </cell>
          <cell r="L97">
            <v>0</v>
          </cell>
          <cell r="M97">
            <v>24259681</v>
          </cell>
          <cell r="N97">
            <v>48519361</v>
          </cell>
          <cell r="O97">
            <v>181017</v>
          </cell>
          <cell r="P97">
            <v>181017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910910.82</v>
          </cell>
          <cell r="AC97">
            <v>728728</v>
          </cell>
          <cell r="AD97">
            <v>163964</v>
          </cell>
          <cell r="AE97">
            <v>18218</v>
          </cell>
          <cell r="AF97">
            <v>1821820.82</v>
          </cell>
          <cell r="AG97">
            <v>152964.66</v>
          </cell>
          <cell r="AH97">
            <v>122372</v>
          </cell>
          <cell r="AI97">
            <v>27534</v>
          </cell>
          <cell r="AJ97">
            <v>3059</v>
          </cell>
          <cell r="AK97">
            <v>305929.65999999997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69287</v>
          </cell>
          <cell r="AR97">
            <v>55430</v>
          </cell>
          <cell r="AS97">
            <v>12472</v>
          </cell>
          <cell r="AT97">
            <v>1386</v>
          </cell>
          <cell r="AU97">
            <v>138575</v>
          </cell>
          <cell r="AV97">
            <v>69287</v>
          </cell>
          <cell r="AW97">
            <v>55430</v>
          </cell>
          <cell r="AX97">
            <v>12472</v>
          </cell>
          <cell r="AY97">
            <v>1386</v>
          </cell>
          <cell r="AZ97">
            <v>138575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593298</v>
          </cell>
          <cell r="BG97">
            <v>474638</v>
          </cell>
          <cell r="BH97">
            <v>106794</v>
          </cell>
          <cell r="BI97">
            <v>11866</v>
          </cell>
          <cell r="BJ97">
            <v>1186596</v>
          </cell>
          <cell r="BK97">
            <v>593298</v>
          </cell>
          <cell r="BL97">
            <v>474638</v>
          </cell>
          <cell r="BM97">
            <v>106794</v>
          </cell>
          <cell r="BN97">
            <v>11866</v>
          </cell>
          <cell r="BO97">
            <v>1186596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1252882</v>
          </cell>
          <cell r="BV97">
            <v>1002306</v>
          </cell>
          <cell r="BW97">
            <v>225519</v>
          </cell>
          <cell r="BX97">
            <v>25058</v>
          </cell>
          <cell r="BY97">
            <v>2505765</v>
          </cell>
          <cell r="BZ97">
            <v>1252882</v>
          </cell>
          <cell r="CA97">
            <v>1002306</v>
          </cell>
          <cell r="CB97">
            <v>225519</v>
          </cell>
          <cell r="CC97">
            <v>25058</v>
          </cell>
          <cell r="CD97">
            <v>2505765</v>
          </cell>
        </row>
        <row r="98">
          <cell r="A98">
            <v>91</v>
          </cell>
          <cell r="B98" t="str">
            <v>E1432</v>
          </cell>
          <cell r="C98" t="str">
            <v>SD</v>
          </cell>
          <cell r="D98" t="str">
            <v>SE</v>
          </cell>
          <cell r="E98" t="str">
            <v>Eastbourne</v>
          </cell>
          <cell r="F98">
            <v>15325266</v>
          </cell>
          <cell r="G98">
            <v>12260212</v>
          </cell>
          <cell r="H98">
            <v>2758548</v>
          </cell>
          <cell r="I98">
            <v>306505</v>
          </cell>
          <cell r="J98">
            <v>30650531</v>
          </cell>
          <cell r="K98">
            <v>0</v>
          </cell>
          <cell r="L98">
            <v>0</v>
          </cell>
          <cell r="M98">
            <v>15325266</v>
          </cell>
          <cell r="N98">
            <v>30650531</v>
          </cell>
          <cell r="O98">
            <v>127360</v>
          </cell>
          <cell r="P98">
            <v>127360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848396</v>
          </cell>
          <cell r="AC98">
            <v>678716</v>
          </cell>
          <cell r="AD98">
            <v>152711</v>
          </cell>
          <cell r="AE98">
            <v>16968</v>
          </cell>
          <cell r="AF98">
            <v>1696791</v>
          </cell>
          <cell r="AG98">
            <v>284522</v>
          </cell>
          <cell r="AH98">
            <v>227618</v>
          </cell>
          <cell r="AI98">
            <v>51214</v>
          </cell>
          <cell r="AJ98">
            <v>5690</v>
          </cell>
          <cell r="AK98">
            <v>569044</v>
          </cell>
          <cell r="AL98">
            <v>163124</v>
          </cell>
          <cell r="AM98">
            <v>130500</v>
          </cell>
          <cell r="AN98">
            <v>29363</v>
          </cell>
          <cell r="AO98">
            <v>3263</v>
          </cell>
          <cell r="AP98">
            <v>326250</v>
          </cell>
          <cell r="AQ98">
            <v>108272</v>
          </cell>
          <cell r="AR98">
            <v>86618</v>
          </cell>
          <cell r="AS98">
            <v>19489</v>
          </cell>
          <cell r="AT98">
            <v>2165</v>
          </cell>
          <cell r="AU98">
            <v>216544</v>
          </cell>
          <cell r="AV98">
            <v>271396</v>
          </cell>
          <cell r="AW98">
            <v>217118</v>
          </cell>
          <cell r="AX98">
            <v>48852</v>
          </cell>
          <cell r="AY98">
            <v>5428</v>
          </cell>
          <cell r="AZ98">
            <v>542794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238796</v>
          </cell>
          <cell r="BG98">
            <v>191037</v>
          </cell>
          <cell r="BH98">
            <v>42983</v>
          </cell>
          <cell r="BI98">
            <v>4776</v>
          </cell>
          <cell r="BJ98">
            <v>477592</v>
          </cell>
          <cell r="BK98">
            <v>238796</v>
          </cell>
          <cell r="BL98">
            <v>191037</v>
          </cell>
          <cell r="BM98">
            <v>42983</v>
          </cell>
          <cell r="BN98">
            <v>4776</v>
          </cell>
          <cell r="BO98">
            <v>477592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579233</v>
          </cell>
          <cell r="BV98">
            <v>463387</v>
          </cell>
          <cell r="BW98">
            <v>104262</v>
          </cell>
          <cell r="BX98">
            <v>11585</v>
          </cell>
          <cell r="BY98">
            <v>1158467</v>
          </cell>
          <cell r="BZ98">
            <v>579233</v>
          </cell>
          <cell r="CA98">
            <v>463387</v>
          </cell>
          <cell r="CB98">
            <v>104262</v>
          </cell>
          <cell r="CC98">
            <v>11585</v>
          </cell>
          <cell r="CD98">
            <v>1158467</v>
          </cell>
        </row>
        <row r="99">
          <cell r="A99">
            <v>92</v>
          </cell>
          <cell r="B99" t="str">
            <v>E1733</v>
          </cell>
          <cell r="C99" t="str">
            <v>SD</v>
          </cell>
          <cell r="D99" t="str">
            <v>SE</v>
          </cell>
          <cell r="E99" t="str">
            <v>Eastleigh</v>
          </cell>
          <cell r="F99">
            <v>25336793</v>
          </cell>
          <cell r="G99">
            <v>20269434</v>
          </cell>
          <cell r="H99">
            <v>4560623</v>
          </cell>
          <cell r="I99">
            <v>506736</v>
          </cell>
          <cell r="J99">
            <v>50673586</v>
          </cell>
          <cell r="K99">
            <v>0</v>
          </cell>
          <cell r="L99">
            <v>0</v>
          </cell>
          <cell r="M99">
            <v>25336793</v>
          </cell>
          <cell r="N99">
            <v>50673586</v>
          </cell>
          <cell r="O99">
            <v>151492</v>
          </cell>
          <cell r="P99">
            <v>151492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646983</v>
          </cell>
          <cell r="AC99">
            <v>517587</v>
          </cell>
          <cell r="AD99">
            <v>116457</v>
          </cell>
          <cell r="AE99">
            <v>12940</v>
          </cell>
          <cell r="AF99">
            <v>1293967</v>
          </cell>
          <cell r="AG99">
            <v>101120</v>
          </cell>
          <cell r="AH99">
            <v>80896</v>
          </cell>
          <cell r="AI99">
            <v>18202</v>
          </cell>
          <cell r="AJ99">
            <v>2022</v>
          </cell>
          <cell r="AK99">
            <v>202240</v>
          </cell>
          <cell r="AL99">
            <v>173814</v>
          </cell>
          <cell r="AM99">
            <v>139051</v>
          </cell>
          <cell r="AN99">
            <v>31286</v>
          </cell>
          <cell r="AO99">
            <v>3476</v>
          </cell>
          <cell r="AP99">
            <v>347627</v>
          </cell>
          <cell r="AQ99">
            <v>72043</v>
          </cell>
          <cell r="AR99">
            <v>57635</v>
          </cell>
          <cell r="AS99">
            <v>12968</v>
          </cell>
          <cell r="AT99">
            <v>1441</v>
          </cell>
          <cell r="AU99">
            <v>144087</v>
          </cell>
          <cell r="AV99">
            <v>245857</v>
          </cell>
          <cell r="AW99">
            <v>196686</v>
          </cell>
          <cell r="AX99">
            <v>44254</v>
          </cell>
          <cell r="AY99">
            <v>4917</v>
          </cell>
          <cell r="AZ99">
            <v>491714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508000</v>
          </cell>
          <cell r="BG99">
            <v>406400</v>
          </cell>
          <cell r="BH99">
            <v>91440</v>
          </cell>
          <cell r="BI99">
            <v>10160</v>
          </cell>
          <cell r="BJ99">
            <v>1016000</v>
          </cell>
          <cell r="BK99">
            <v>508000</v>
          </cell>
          <cell r="BL99">
            <v>406400</v>
          </cell>
          <cell r="BM99">
            <v>91440</v>
          </cell>
          <cell r="BN99">
            <v>10160</v>
          </cell>
          <cell r="BO99">
            <v>1016000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1058500</v>
          </cell>
          <cell r="BV99">
            <v>846800</v>
          </cell>
          <cell r="BW99">
            <v>190530</v>
          </cell>
          <cell r="BX99">
            <v>21170</v>
          </cell>
          <cell r="BY99">
            <v>2117000</v>
          </cell>
          <cell r="BZ99">
            <v>1058500</v>
          </cell>
          <cell r="CA99">
            <v>846800</v>
          </cell>
          <cell r="CB99">
            <v>190530</v>
          </cell>
          <cell r="CC99">
            <v>21170</v>
          </cell>
          <cell r="CD99">
            <v>2117000</v>
          </cell>
        </row>
        <row r="100">
          <cell r="A100">
            <v>93</v>
          </cell>
          <cell r="B100" t="str">
            <v>E0935</v>
          </cell>
          <cell r="C100" t="str">
            <v>SD</v>
          </cell>
          <cell r="D100" t="str">
            <v>NW</v>
          </cell>
          <cell r="E100" t="str">
            <v>Eden</v>
          </cell>
          <cell r="F100">
            <v>9997607</v>
          </cell>
          <cell r="G100">
            <v>7998086</v>
          </cell>
          <cell r="H100">
            <v>1999521</v>
          </cell>
          <cell r="I100">
            <v>0</v>
          </cell>
          <cell r="J100">
            <v>19995214</v>
          </cell>
          <cell r="K100">
            <v>0</v>
          </cell>
          <cell r="L100">
            <v>0</v>
          </cell>
          <cell r="M100">
            <v>9997607</v>
          </cell>
          <cell r="N100">
            <v>19995214</v>
          </cell>
          <cell r="O100">
            <v>127959</v>
          </cell>
          <cell r="P100">
            <v>127959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277614</v>
          </cell>
          <cell r="AC100">
            <v>222091</v>
          </cell>
          <cell r="AD100">
            <v>55523</v>
          </cell>
          <cell r="AE100">
            <v>0</v>
          </cell>
          <cell r="AF100">
            <v>555228</v>
          </cell>
          <cell r="AG100">
            <v>35987</v>
          </cell>
          <cell r="AH100">
            <v>28789</v>
          </cell>
          <cell r="AI100">
            <v>7197</v>
          </cell>
          <cell r="AJ100">
            <v>0</v>
          </cell>
          <cell r="AK100">
            <v>71973</v>
          </cell>
          <cell r="AL100">
            <v>15162</v>
          </cell>
          <cell r="AM100">
            <v>12130</v>
          </cell>
          <cell r="AN100">
            <v>3033</v>
          </cell>
          <cell r="AO100">
            <v>0</v>
          </cell>
          <cell r="AP100">
            <v>30325</v>
          </cell>
          <cell r="AQ100">
            <v>10562</v>
          </cell>
          <cell r="AR100">
            <v>8449</v>
          </cell>
          <cell r="AS100">
            <v>2112</v>
          </cell>
          <cell r="AT100">
            <v>0</v>
          </cell>
          <cell r="AU100">
            <v>21123</v>
          </cell>
          <cell r="AV100">
            <v>25724</v>
          </cell>
          <cell r="AW100">
            <v>20579</v>
          </cell>
          <cell r="AX100">
            <v>5145</v>
          </cell>
          <cell r="AY100">
            <v>0</v>
          </cell>
          <cell r="AZ100">
            <v>51448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60191.040000000001</v>
          </cell>
          <cell r="BG100">
            <v>48153</v>
          </cell>
          <cell r="BH100">
            <v>12038</v>
          </cell>
          <cell r="BI100">
            <v>0</v>
          </cell>
          <cell r="BJ100">
            <v>120382.04</v>
          </cell>
          <cell r="BK100">
            <v>60191.040000000001</v>
          </cell>
          <cell r="BL100">
            <v>48153</v>
          </cell>
          <cell r="BM100">
            <v>12038</v>
          </cell>
          <cell r="BN100">
            <v>0</v>
          </cell>
          <cell r="BO100">
            <v>120382.04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143008</v>
          </cell>
          <cell r="BV100">
            <v>114407</v>
          </cell>
          <cell r="BW100">
            <v>28602</v>
          </cell>
          <cell r="BX100">
            <v>0</v>
          </cell>
          <cell r="BY100">
            <v>286017</v>
          </cell>
          <cell r="BZ100">
            <v>143008</v>
          </cell>
          <cell r="CA100">
            <v>114407</v>
          </cell>
          <cell r="CB100">
            <v>28602</v>
          </cell>
          <cell r="CC100">
            <v>0</v>
          </cell>
          <cell r="CD100">
            <v>286017</v>
          </cell>
        </row>
        <row r="101">
          <cell r="A101">
            <v>94</v>
          </cell>
          <cell r="B101" t="str">
            <v>E3631</v>
          </cell>
          <cell r="C101" t="str">
            <v>SD</v>
          </cell>
          <cell r="D101" t="str">
            <v>SE</v>
          </cell>
          <cell r="E101" t="str">
            <v>Elmbridge</v>
          </cell>
          <cell r="F101">
            <v>25979426</v>
          </cell>
          <cell r="G101">
            <v>20783541</v>
          </cell>
          <cell r="H101">
            <v>5195885</v>
          </cell>
          <cell r="I101">
            <v>0</v>
          </cell>
          <cell r="J101">
            <v>51958852</v>
          </cell>
          <cell r="K101">
            <v>0</v>
          </cell>
          <cell r="L101">
            <v>0</v>
          </cell>
          <cell r="M101">
            <v>25979426</v>
          </cell>
          <cell r="N101">
            <v>51958852</v>
          </cell>
          <cell r="O101">
            <v>183258</v>
          </cell>
          <cell r="P101">
            <v>183258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513512</v>
          </cell>
          <cell r="AC101">
            <v>410810</v>
          </cell>
          <cell r="AD101">
            <v>102703</v>
          </cell>
          <cell r="AE101">
            <v>0</v>
          </cell>
          <cell r="AF101">
            <v>1027025</v>
          </cell>
          <cell r="AG101">
            <v>303297</v>
          </cell>
          <cell r="AH101">
            <v>242637</v>
          </cell>
          <cell r="AI101">
            <v>60659</v>
          </cell>
          <cell r="AJ101">
            <v>0</v>
          </cell>
          <cell r="AK101">
            <v>606593</v>
          </cell>
          <cell r="AL101">
            <v>204000</v>
          </cell>
          <cell r="AM101">
            <v>163200</v>
          </cell>
          <cell r="AN101">
            <v>40800</v>
          </cell>
          <cell r="AO101">
            <v>0</v>
          </cell>
          <cell r="AP101">
            <v>408000</v>
          </cell>
          <cell r="AQ101">
            <v>49500</v>
          </cell>
          <cell r="AR101">
            <v>39600</v>
          </cell>
          <cell r="AS101">
            <v>9900</v>
          </cell>
          <cell r="AT101">
            <v>0</v>
          </cell>
          <cell r="AU101">
            <v>99000</v>
          </cell>
          <cell r="AV101">
            <v>253500</v>
          </cell>
          <cell r="AW101">
            <v>202800</v>
          </cell>
          <cell r="AX101">
            <v>50700</v>
          </cell>
          <cell r="AY101">
            <v>0</v>
          </cell>
          <cell r="AZ101">
            <v>507000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124010</v>
          </cell>
          <cell r="BG101">
            <v>99208</v>
          </cell>
          <cell r="BH101">
            <v>24802</v>
          </cell>
          <cell r="BI101">
            <v>0</v>
          </cell>
          <cell r="BJ101">
            <v>248020</v>
          </cell>
          <cell r="BK101">
            <v>124010</v>
          </cell>
          <cell r="BL101">
            <v>99208</v>
          </cell>
          <cell r="BM101">
            <v>24802</v>
          </cell>
          <cell r="BN101">
            <v>0</v>
          </cell>
          <cell r="BO101">
            <v>248020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410078</v>
          </cell>
          <cell r="BV101">
            <v>328062</v>
          </cell>
          <cell r="BW101">
            <v>82016</v>
          </cell>
          <cell r="BX101">
            <v>0</v>
          </cell>
          <cell r="BY101">
            <v>820156</v>
          </cell>
          <cell r="BZ101">
            <v>410078</v>
          </cell>
          <cell r="CA101">
            <v>328062</v>
          </cell>
          <cell r="CB101">
            <v>82016</v>
          </cell>
          <cell r="CC101">
            <v>0</v>
          </cell>
          <cell r="CD101">
            <v>820156</v>
          </cell>
        </row>
        <row r="102">
          <cell r="A102">
            <v>95</v>
          </cell>
          <cell r="B102" t="str">
            <v>E5037</v>
          </cell>
          <cell r="C102" t="str">
            <v>OLB</v>
          </cell>
          <cell r="D102" t="str">
            <v>L</v>
          </cell>
          <cell r="E102" t="str">
            <v>Enfield</v>
          </cell>
          <cell r="F102">
            <v>51544309</v>
          </cell>
          <cell r="G102">
            <v>30926586</v>
          </cell>
          <cell r="H102">
            <v>20617724</v>
          </cell>
          <cell r="I102">
            <v>0</v>
          </cell>
          <cell r="J102">
            <v>103088619</v>
          </cell>
          <cell r="K102">
            <v>0</v>
          </cell>
          <cell r="L102">
            <v>0</v>
          </cell>
          <cell r="M102">
            <v>51544309</v>
          </cell>
          <cell r="N102">
            <v>103088619</v>
          </cell>
          <cell r="O102">
            <v>350511</v>
          </cell>
          <cell r="P102">
            <v>350511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5175677.4000000004</v>
          </cell>
          <cell r="AC102">
            <v>3105407</v>
          </cell>
          <cell r="AD102">
            <v>2070271</v>
          </cell>
          <cell r="AE102">
            <v>0</v>
          </cell>
          <cell r="AF102">
            <v>10351355.4</v>
          </cell>
          <cell r="AG102">
            <v>791585.61</v>
          </cell>
          <cell r="AH102">
            <v>474952</v>
          </cell>
          <cell r="AI102">
            <v>316635</v>
          </cell>
          <cell r="AJ102">
            <v>0</v>
          </cell>
          <cell r="AK102">
            <v>1583172.61</v>
          </cell>
          <cell r="AL102">
            <v>2904584</v>
          </cell>
          <cell r="AM102">
            <v>1742750</v>
          </cell>
          <cell r="AN102">
            <v>1161834</v>
          </cell>
          <cell r="AO102">
            <v>0</v>
          </cell>
          <cell r="AP102">
            <v>5809168</v>
          </cell>
          <cell r="AQ102">
            <v>549932</v>
          </cell>
          <cell r="AR102">
            <v>329959</v>
          </cell>
          <cell r="AS102">
            <v>219973</v>
          </cell>
          <cell r="AT102">
            <v>0</v>
          </cell>
          <cell r="AU102">
            <v>1099864</v>
          </cell>
          <cell r="AV102">
            <v>3454516</v>
          </cell>
          <cell r="AW102">
            <v>2072709</v>
          </cell>
          <cell r="AX102">
            <v>1381807</v>
          </cell>
          <cell r="AY102">
            <v>0</v>
          </cell>
          <cell r="AZ102">
            <v>6909032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202234.25</v>
          </cell>
          <cell r="BG102">
            <v>121340</v>
          </cell>
          <cell r="BH102">
            <v>80894</v>
          </cell>
          <cell r="BI102">
            <v>0</v>
          </cell>
          <cell r="BJ102">
            <v>404468.25</v>
          </cell>
          <cell r="BK102">
            <v>202234.25</v>
          </cell>
          <cell r="BL102">
            <v>121340</v>
          </cell>
          <cell r="BM102">
            <v>80894</v>
          </cell>
          <cell r="BN102">
            <v>0</v>
          </cell>
          <cell r="BO102">
            <v>404468.25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1006378.29</v>
          </cell>
          <cell r="BV102">
            <v>603827</v>
          </cell>
          <cell r="BW102">
            <v>402551</v>
          </cell>
          <cell r="BX102">
            <v>0</v>
          </cell>
          <cell r="BY102">
            <v>2012756.29</v>
          </cell>
          <cell r="BZ102">
            <v>1006378.29</v>
          </cell>
          <cell r="CA102">
            <v>603827</v>
          </cell>
          <cell r="CB102">
            <v>402551</v>
          </cell>
          <cell r="CC102">
            <v>0</v>
          </cell>
          <cell r="CD102">
            <v>2012756.29</v>
          </cell>
        </row>
        <row r="103">
          <cell r="A103">
            <v>96</v>
          </cell>
          <cell r="B103" t="str">
            <v>E1537</v>
          </cell>
          <cell r="C103" t="str">
            <v>SD</v>
          </cell>
          <cell r="D103" t="str">
            <v>E</v>
          </cell>
          <cell r="E103" t="str">
            <v>Epping Forest</v>
          </cell>
          <cell r="F103">
            <v>15456179</v>
          </cell>
          <cell r="G103">
            <v>12364944</v>
          </cell>
          <cell r="H103">
            <v>2782112</v>
          </cell>
          <cell r="I103">
            <v>309124</v>
          </cell>
          <cell r="J103">
            <v>30912359</v>
          </cell>
          <cell r="K103">
            <v>0</v>
          </cell>
          <cell r="L103">
            <v>0</v>
          </cell>
          <cell r="M103">
            <v>15456179</v>
          </cell>
          <cell r="N103">
            <v>30912359</v>
          </cell>
          <cell r="O103">
            <v>171117</v>
          </cell>
          <cell r="P103">
            <v>171117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556230.39</v>
          </cell>
          <cell r="AC103">
            <v>444985</v>
          </cell>
          <cell r="AD103">
            <v>100122</v>
          </cell>
          <cell r="AE103">
            <v>11125</v>
          </cell>
          <cell r="AF103">
            <v>1112462.3899999999</v>
          </cell>
          <cell r="AG103">
            <v>170212.19</v>
          </cell>
          <cell r="AH103">
            <v>136169</v>
          </cell>
          <cell r="AI103">
            <v>30638</v>
          </cell>
          <cell r="AJ103">
            <v>3404</v>
          </cell>
          <cell r="AK103">
            <v>340423.19</v>
          </cell>
          <cell r="AL103">
            <v>267739</v>
          </cell>
          <cell r="AM103">
            <v>214192</v>
          </cell>
          <cell r="AN103">
            <v>48193</v>
          </cell>
          <cell r="AO103">
            <v>5355</v>
          </cell>
          <cell r="AP103">
            <v>535479</v>
          </cell>
          <cell r="AQ103">
            <v>-15080</v>
          </cell>
          <cell r="AR103">
            <v>-12064</v>
          </cell>
          <cell r="AS103">
            <v>-2714</v>
          </cell>
          <cell r="AT103">
            <v>-302</v>
          </cell>
          <cell r="AU103">
            <v>-30160</v>
          </cell>
          <cell r="AV103">
            <v>252659</v>
          </cell>
          <cell r="AW103">
            <v>202128</v>
          </cell>
          <cell r="AX103">
            <v>45479</v>
          </cell>
          <cell r="AY103">
            <v>5053</v>
          </cell>
          <cell r="AZ103">
            <v>505319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200717</v>
          </cell>
          <cell r="BG103">
            <v>160574</v>
          </cell>
          <cell r="BH103">
            <v>36129</v>
          </cell>
          <cell r="BI103">
            <v>4014</v>
          </cell>
          <cell r="BJ103">
            <v>401434</v>
          </cell>
          <cell r="BK103">
            <v>200717</v>
          </cell>
          <cell r="BL103">
            <v>160574</v>
          </cell>
          <cell r="BM103">
            <v>36129</v>
          </cell>
          <cell r="BN103">
            <v>4014</v>
          </cell>
          <cell r="BO103">
            <v>401434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542316</v>
          </cell>
          <cell r="BV103">
            <v>433853</v>
          </cell>
          <cell r="BW103">
            <v>97617</v>
          </cell>
          <cell r="BX103">
            <v>10846</v>
          </cell>
          <cell r="BY103">
            <v>1084632</v>
          </cell>
          <cell r="BZ103">
            <v>542316</v>
          </cell>
          <cell r="CA103">
            <v>433853</v>
          </cell>
          <cell r="CB103">
            <v>97617</v>
          </cell>
          <cell r="CC103">
            <v>10846</v>
          </cell>
          <cell r="CD103">
            <v>1084632</v>
          </cell>
        </row>
        <row r="104">
          <cell r="A104">
            <v>97</v>
          </cell>
          <cell r="B104" t="str">
            <v>E3632</v>
          </cell>
          <cell r="C104" t="str">
            <v>SD</v>
          </cell>
          <cell r="D104" t="str">
            <v>SE</v>
          </cell>
          <cell r="E104" t="str">
            <v>Epsom and Ewell</v>
          </cell>
          <cell r="F104">
            <v>10661206</v>
          </cell>
          <cell r="G104">
            <v>8528965</v>
          </cell>
          <cell r="H104">
            <v>2132241</v>
          </cell>
          <cell r="I104">
            <v>0</v>
          </cell>
          <cell r="J104">
            <v>21322412</v>
          </cell>
          <cell r="K104">
            <v>0</v>
          </cell>
          <cell r="L104">
            <v>0</v>
          </cell>
          <cell r="M104">
            <v>10661206</v>
          </cell>
          <cell r="N104">
            <v>21322412</v>
          </cell>
          <cell r="O104">
            <v>87849</v>
          </cell>
          <cell r="P104">
            <v>87849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175469</v>
          </cell>
          <cell r="AC104">
            <v>140375</v>
          </cell>
          <cell r="AD104">
            <v>35094</v>
          </cell>
          <cell r="AE104">
            <v>0</v>
          </cell>
          <cell r="AF104">
            <v>350938</v>
          </cell>
          <cell r="AG104">
            <v>49318</v>
          </cell>
          <cell r="AH104">
            <v>39455</v>
          </cell>
          <cell r="AI104">
            <v>9864</v>
          </cell>
          <cell r="AJ104">
            <v>0</v>
          </cell>
          <cell r="AK104">
            <v>98637</v>
          </cell>
          <cell r="AL104">
            <v>90265</v>
          </cell>
          <cell r="AM104">
            <v>72212</v>
          </cell>
          <cell r="AN104">
            <v>18053</v>
          </cell>
          <cell r="AO104">
            <v>0</v>
          </cell>
          <cell r="AP104">
            <v>180530</v>
          </cell>
          <cell r="AQ104">
            <v>-45882</v>
          </cell>
          <cell r="AR104">
            <v>-36705</v>
          </cell>
          <cell r="AS104">
            <v>-9176</v>
          </cell>
          <cell r="AT104">
            <v>0</v>
          </cell>
          <cell r="AU104">
            <v>-91763</v>
          </cell>
          <cell r="AV104">
            <v>44383</v>
          </cell>
          <cell r="AW104">
            <v>35507</v>
          </cell>
          <cell r="AX104">
            <v>8877</v>
          </cell>
          <cell r="AY104">
            <v>0</v>
          </cell>
          <cell r="AZ104">
            <v>88767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131656</v>
          </cell>
          <cell r="BG104">
            <v>105324</v>
          </cell>
          <cell r="BH104">
            <v>26331</v>
          </cell>
          <cell r="BI104">
            <v>0</v>
          </cell>
          <cell r="BJ104">
            <v>263311</v>
          </cell>
          <cell r="BK104">
            <v>131656</v>
          </cell>
          <cell r="BL104">
            <v>105324</v>
          </cell>
          <cell r="BM104">
            <v>26331</v>
          </cell>
          <cell r="BN104">
            <v>0</v>
          </cell>
          <cell r="BO104">
            <v>263311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526622</v>
          </cell>
          <cell r="BV104">
            <v>421298</v>
          </cell>
          <cell r="BW104">
            <v>105325</v>
          </cell>
          <cell r="BX104">
            <v>0</v>
          </cell>
          <cell r="BY104">
            <v>1053245</v>
          </cell>
          <cell r="BZ104">
            <v>526622</v>
          </cell>
          <cell r="CA104">
            <v>421298</v>
          </cell>
          <cell r="CB104">
            <v>105325</v>
          </cell>
          <cell r="CC104">
            <v>0</v>
          </cell>
          <cell r="CD104">
            <v>1053245</v>
          </cell>
        </row>
        <row r="105">
          <cell r="A105">
            <v>98</v>
          </cell>
          <cell r="B105" t="str">
            <v>E1036</v>
          </cell>
          <cell r="C105" t="str">
            <v>SD</v>
          </cell>
          <cell r="D105" t="str">
            <v>EM</v>
          </cell>
          <cell r="E105" t="str">
            <v>Erewash</v>
          </cell>
          <cell r="F105">
            <v>11734589</v>
          </cell>
          <cell r="G105">
            <v>9387671</v>
          </cell>
          <cell r="H105">
            <v>2112226</v>
          </cell>
          <cell r="I105">
            <v>234692</v>
          </cell>
          <cell r="J105">
            <v>23469178</v>
          </cell>
          <cell r="K105">
            <v>0</v>
          </cell>
          <cell r="L105">
            <v>0</v>
          </cell>
          <cell r="M105">
            <v>11734589</v>
          </cell>
          <cell r="N105">
            <v>23469178</v>
          </cell>
          <cell r="O105">
            <v>143569</v>
          </cell>
          <cell r="P105">
            <v>143569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599667.91</v>
          </cell>
          <cell r="AC105">
            <v>479734</v>
          </cell>
          <cell r="AD105">
            <v>107940</v>
          </cell>
          <cell r="AE105">
            <v>11993</v>
          </cell>
          <cell r="AF105">
            <v>1199334.9099999999</v>
          </cell>
          <cell r="AG105">
            <v>507405.64</v>
          </cell>
          <cell r="AH105">
            <v>405925</v>
          </cell>
          <cell r="AI105">
            <v>91333</v>
          </cell>
          <cell r="AJ105">
            <v>10148</v>
          </cell>
          <cell r="AK105">
            <v>1014811.64</v>
          </cell>
          <cell r="AL105">
            <v>235000</v>
          </cell>
          <cell r="AM105">
            <v>188000</v>
          </cell>
          <cell r="AN105">
            <v>42300</v>
          </cell>
          <cell r="AO105">
            <v>4700</v>
          </cell>
          <cell r="AP105">
            <v>470000</v>
          </cell>
          <cell r="AQ105">
            <v>27000</v>
          </cell>
          <cell r="AR105">
            <v>21600</v>
          </cell>
          <cell r="AS105">
            <v>4860</v>
          </cell>
          <cell r="AT105">
            <v>540</v>
          </cell>
          <cell r="AU105">
            <v>54000</v>
          </cell>
          <cell r="AV105">
            <v>262000</v>
          </cell>
          <cell r="AW105">
            <v>209600</v>
          </cell>
          <cell r="AX105">
            <v>47160</v>
          </cell>
          <cell r="AY105">
            <v>5240</v>
          </cell>
          <cell r="AZ105">
            <v>524000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55000</v>
          </cell>
          <cell r="BG105">
            <v>44000</v>
          </cell>
          <cell r="BH105">
            <v>9900</v>
          </cell>
          <cell r="BI105">
            <v>1100</v>
          </cell>
          <cell r="BJ105">
            <v>110000</v>
          </cell>
          <cell r="BK105">
            <v>55000</v>
          </cell>
          <cell r="BL105">
            <v>44000</v>
          </cell>
          <cell r="BM105">
            <v>9900</v>
          </cell>
          <cell r="BN105">
            <v>1100</v>
          </cell>
          <cell r="BO105">
            <v>110000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152500</v>
          </cell>
          <cell r="BV105">
            <v>122000</v>
          </cell>
          <cell r="BW105">
            <v>27450</v>
          </cell>
          <cell r="BX105">
            <v>3050</v>
          </cell>
          <cell r="BY105">
            <v>305000</v>
          </cell>
          <cell r="BZ105">
            <v>152500</v>
          </cell>
          <cell r="CA105">
            <v>122000</v>
          </cell>
          <cell r="CB105">
            <v>27450</v>
          </cell>
          <cell r="CC105">
            <v>3050</v>
          </cell>
          <cell r="CD105">
            <v>305000</v>
          </cell>
        </row>
        <row r="106">
          <cell r="A106">
            <v>99</v>
          </cell>
          <cell r="B106" t="str">
            <v>E1132</v>
          </cell>
          <cell r="C106" t="str">
            <v>SD</v>
          </cell>
          <cell r="D106" t="str">
            <v>SW</v>
          </cell>
          <cell r="E106" t="str">
            <v>Exeter</v>
          </cell>
          <cell r="F106">
            <v>35643320</v>
          </cell>
          <cell r="G106">
            <v>28514656</v>
          </cell>
          <cell r="H106">
            <v>6415798</v>
          </cell>
          <cell r="I106">
            <v>712866</v>
          </cell>
          <cell r="J106">
            <v>71286640</v>
          </cell>
          <cell r="K106">
            <v>0</v>
          </cell>
          <cell r="L106">
            <v>0</v>
          </cell>
          <cell r="M106">
            <v>35643320</v>
          </cell>
          <cell r="N106">
            <v>71286640</v>
          </cell>
          <cell r="O106">
            <v>224450</v>
          </cell>
          <cell r="P106">
            <v>224450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725601</v>
          </cell>
          <cell r="AC106">
            <v>580480</v>
          </cell>
          <cell r="AD106">
            <v>130608</v>
          </cell>
          <cell r="AE106">
            <v>14512</v>
          </cell>
          <cell r="AF106">
            <v>1451201</v>
          </cell>
          <cell r="AG106">
            <v>587436.91</v>
          </cell>
          <cell r="AH106">
            <v>469950</v>
          </cell>
          <cell r="AI106">
            <v>105739</v>
          </cell>
          <cell r="AJ106">
            <v>11749</v>
          </cell>
          <cell r="AK106">
            <v>1174874.9099999999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15000</v>
          </cell>
          <cell r="AR106">
            <v>12000</v>
          </cell>
          <cell r="AS106">
            <v>2700</v>
          </cell>
          <cell r="AT106">
            <v>300</v>
          </cell>
          <cell r="AU106">
            <v>30000</v>
          </cell>
          <cell r="AV106">
            <v>15000</v>
          </cell>
          <cell r="AW106">
            <v>12000</v>
          </cell>
          <cell r="AX106">
            <v>2700</v>
          </cell>
          <cell r="AY106">
            <v>300</v>
          </cell>
          <cell r="AZ106">
            <v>30000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431938</v>
          </cell>
          <cell r="BG106">
            <v>345550</v>
          </cell>
          <cell r="BH106">
            <v>77749</v>
          </cell>
          <cell r="BI106">
            <v>8639</v>
          </cell>
          <cell r="BJ106">
            <v>863876</v>
          </cell>
          <cell r="BK106">
            <v>431938</v>
          </cell>
          <cell r="BL106">
            <v>345550</v>
          </cell>
          <cell r="BM106">
            <v>77749</v>
          </cell>
          <cell r="BN106">
            <v>8639</v>
          </cell>
          <cell r="BO106">
            <v>863876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1407721</v>
          </cell>
          <cell r="BV106">
            <v>1126176</v>
          </cell>
          <cell r="BW106">
            <v>253390</v>
          </cell>
          <cell r="BX106">
            <v>28154</v>
          </cell>
          <cell r="BY106">
            <v>2815441</v>
          </cell>
          <cell r="BZ106">
            <v>1407721</v>
          </cell>
          <cell r="CA106">
            <v>1126176</v>
          </cell>
          <cell r="CB106">
            <v>253390</v>
          </cell>
          <cell r="CC106">
            <v>28154</v>
          </cell>
          <cell r="CD106">
            <v>2815441</v>
          </cell>
        </row>
        <row r="107">
          <cell r="A107">
            <v>100</v>
          </cell>
          <cell r="B107" t="str">
            <v>E1734</v>
          </cell>
          <cell r="C107" t="str">
            <v>SD</v>
          </cell>
          <cell r="D107" t="str">
            <v>SE</v>
          </cell>
          <cell r="E107" t="str">
            <v>Fareham</v>
          </cell>
          <cell r="F107">
            <v>18157464</v>
          </cell>
          <cell r="G107">
            <v>14525970</v>
          </cell>
          <cell r="H107">
            <v>3268343</v>
          </cell>
          <cell r="I107">
            <v>363149</v>
          </cell>
          <cell r="J107">
            <v>36314926</v>
          </cell>
          <cell r="K107">
            <v>86293</v>
          </cell>
          <cell r="L107">
            <v>86293</v>
          </cell>
          <cell r="M107">
            <v>18071171</v>
          </cell>
          <cell r="N107">
            <v>36228633</v>
          </cell>
          <cell r="O107">
            <v>142973</v>
          </cell>
          <cell r="P107">
            <v>142973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86293</v>
          </cell>
          <cell r="Y107">
            <v>0</v>
          </cell>
          <cell r="Z107">
            <v>0</v>
          </cell>
          <cell r="AA107">
            <v>86293</v>
          </cell>
          <cell r="AB107">
            <v>395461.1</v>
          </cell>
          <cell r="AC107">
            <v>316369</v>
          </cell>
          <cell r="AD107">
            <v>71183</v>
          </cell>
          <cell r="AE107">
            <v>7909</v>
          </cell>
          <cell r="AF107">
            <v>790922.1</v>
          </cell>
          <cell r="AG107">
            <v>184352</v>
          </cell>
          <cell r="AH107">
            <v>147482</v>
          </cell>
          <cell r="AI107">
            <v>33183</v>
          </cell>
          <cell r="AJ107">
            <v>3687</v>
          </cell>
          <cell r="AK107">
            <v>368704</v>
          </cell>
          <cell r="AL107">
            <v>239119.15</v>
          </cell>
          <cell r="AM107">
            <v>191294</v>
          </cell>
          <cell r="AN107">
            <v>43041</v>
          </cell>
          <cell r="AO107">
            <v>4782</v>
          </cell>
          <cell r="AP107">
            <v>478236.15</v>
          </cell>
          <cell r="AQ107">
            <v>-28555.66</v>
          </cell>
          <cell r="AR107">
            <v>-22844</v>
          </cell>
          <cell r="AS107">
            <v>-5140</v>
          </cell>
          <cell r="AT107">
            <v>-571</v>
          </cell>
          <cell r="AU107">
            <v>-57110.66</v>
          </cell>
          <cell r="AV107">
            <v>210563.49</v>
          </cell>
          <cell r="AW107">
            <v>168450</v>
          </cell>
          <cell r="AX107">
            <v>37901</v>
          </cell>
          <cell r="AY107">
            <v>4211</v>
          </cell>
          <cell r="AZ107">
            <v>421125.49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439624.94</v>
          </cell>
          <cell r="BG107">
            <v>351699</v>
          </cell>
          <cell r="BH107">
            <v>79132</v>
          </cell>
          <cell r="BI107">
            <v>8792</v>
          </cell>
          <cell r="BJ107">
            <v>879247.94</v>
          </cell>
          <cell r="BK107">
            <v>439624.94</v>
          </cell>
          <cell r="BL107">
            <v>351699</v>
          </cell>
          <cell r="BM107">
            <v>79132</v>
          </cell>
          <cell r="BN107">
            <v>8792</v>
          </cell>
          <cell r="BO107">
            <v>879247.94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1249085.08</v>
          </cell>
          <cell r="BV107">
            <v>999268</v>
          </cell>
          <cell r="BW107">
            <v>224835</v>
          </cell>
          <cell r="BX107">
            <v>24982</v>
          </cell>
          <cell r="BY107">
            <v>2498170.08</v>
          </cell>
          <cell r="BZ107">
            <v>1249085.08</v>
          </cell>
          <cell r="CA107">
            <v>999268</v>
          </cell>
          <cell r="CB107">
            <v>224835</v>
          </cell>
          <cell r="CC107">
            <v>24982</v>
          </cell>
          <cell r="CD107">
            <v>2498170.08</v>
          </cell>
        </row>
        <row r="108">
          <cell r="A108">
            <v>101</v>
          </cell>
          <cell r="B108" t="str">
            <v>E0533</v>
          </cell>
          <cell r="C108" t="str">
            <v>SD</v>
          </cell>
          <cell r="D108" t="str">
            <v>E</v>
          </cell>
          <cell r="E108" t="str">
            <v>Fenland</v>
          </cell>
          <cell r="F108">
            <v>11661907</v>
          </cell>
          <cell r="G108">
            <v>9329525</v>
          </cell>
          <cell r="H108">
            <v>2099143</v>
          </cell>
          <cell r="I108">
            <v>233238</v>
          </cell>
          <cell r="J108">
            <v>23323813</v>
          </cell>
          <cell r="K108">
            <v>0</v>
          </cell>
          <cell r="L108">
            <v>0</v>
          </cell>
          <cell r="M108">
            <v>11661907</v>
          </cell>
          <cell r="N108">
            <v>23323813</v>
          </cell>
          <cell r="O108">
            <v>126613</v>
          </cell>
          <cell r="P108">
            <v>126613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328561.53000000003</v>
          </cell>
          <cell r="AC108">
            <v>262849</v>
          </cell>
          <cell r="AD108">
            <v>59141</v>
          </cell>
          <cell r="AE108">
            <v>6571</v>
          </cell>
          <cell r="AF108">
            <v>657122.53</v>
          </cell>
          <cell r="AG108">
            <v>74016.3</v>
          </cell>
          <cell r="AH108">
            <v>59213</v>
          </cell>
          <cell r="AI108">
            <v>13323</v>
          </cell>
          <cell r="AJ108">
            <v>1480</v>
          </cell>
          <cell r="AK108">
            <v>148032.29999999999</v>
          </cell>
          <cell r="AL108">
            <v>153161</v>
          </cell>
          <cell r="AM108">
            <v>122529</v>
          </cell>
          <cell r="AN108">
            <v>27569</v>
          </cell>
          <cell r="AO108">
            <v>3063</v>
          </cell>
          <cell r="AP108">
            <v>306322</v>
          </cell>
          <cell r="AQ108">
            <v>7385.53</v>
          </cell>
          <cell r="AR108">
            <v>5909</v>
          </cell>
          <cell r="AS108">
            <v>1330</v>
          </cell>
          <cell r="AT108">
            <v>148</v>
          </cell>
          <cell r="AU108">
            <v>14772.53</v>
          </cell>
          <cell r="AV108">
            <v>160546.53</v>
          </cell>
          <cell r="AW108">
            <v>128438</v>
          </cell>
          <cell r="AX108">
            <v>28899</v>
          </cell>
          <cell r="AY108">
            <v>3211</v>
          </cell>
          <cell r="AZ108">
            <v>321094.53000000003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148533</v>
          </cell>
          <cell r="BG108">
            <v>118826</v>
          </cell>
          <cell r="BH108">
            <v>26736</v>
          </cell>
          <cell r="BI108">
            <v>2971</v>
          </cell>
          <cell r="BJ108">
            <v>297066</v>
          </cell>
          <cell r="BK108">
            <v>148533</v>
          </cell>
          <cell r="BL108">
            <v>118826</v>
          </cell>
          <cell r="BM108">
            <v>26736</v>
          </cell>
          <cell r="BN108">
            <v>2971</v>
          </cell>
          <cell r="BO108">
            <v>297066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359336</v>
          </cell>
          <cell r="BV108">
            <v>287469</v>
          </cell>
          <cell r="BW108">
            <v>64680</v>
          </cell>
          <cell r="BX108">
            <v>7187</v>
          </cell>
          <cell r="BY108">
            <v>718672</v>
          </cell>
          <cell r="BZ108">
            <v>359336</v>
          </cell>
          <cell r="CA108">
            <v>287469</v>
          </cell>
          <cell r="CB108">
            <v>64680</v>
          </cell>
          <cell r="CC108">
            <v>7187</v>
          </cell>
          <cell r="CD108">
            <v>718672</v>
          </cell>
        </row>
        <row r="109">
          <cell r="A109">
            <v>102</v>
          </cell>
          <cell r="B109" t="str">
            <v>E3532</v>
          </cell>
          <cell r="C109" t="str">
            <v>SD</v>
          </cell>
          <cell r="D109" t="str">
            <v>E</v>
          </cell>
          <cell r="E109" t="str">
            <v>Forest Heath</v>
          </cell>
          <cell r="F109">
            <v>10335351</v>
          </cell>
          <cell r="G109">
            <v>8268280</v>
          </cell>
          <cell r="H109">
            <v>2067070</v>
          </cell>
          <cell r="I109">
            <v>0</v>
          </cell>
          <cell r="J109">
            <v>20670701</v>
          </cell>
          <cell r="K109">
            <v>0</v>
          </cell>
          <cell r="L109">
            <v>0</v>
          </cell>
          <cell r="M109">
            <v>10335351</v>
          </cell>
          <cell r="N109">
            <v>20670701</v>
          </cell>
          <cell r="O109">
            <v>90531</v>
          </cell>
          <cell r="P109">
            <v>90531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301252.46999999997</v>
          </cell>
          <cell r="AC109">
            <v>241002</v>
          </cell>
          <cell r="AD109">
            <v>60250</v>
          </cell>
          <cell r="AE109">
            <v>0</v>
          </cell>
          <cell r="AF109">
            <v>602504.47</v>
          </cell>
          <cell r="AG109">
            <v>187648.2</v>
          </cell>
          <cell r="AH109">
            <v>150118</v>
          </cell>
          <cell r="AI109">
            <v>37530</v>
          </cell>
          <cell r="AJ109">
            <v>0</v>
          </cell>
          <cell r="AK109">
            <v>375296.2</v>
          </cell>
          <cell r="AL109">
            <v>64641.279999999999</v>
          </cell>
          <cell r="AM109">
            <v>51713</v>
          </cell>
          <cell r="AN109">
            <v>12928</v>
          </cell>
          <cell r="AO109">
            <v>0</v>
          </cell>
          <cell r="AP109">
            <v>129282.28</v>
          </cell>
          <cell r="AQ109">
            <v>26984.32</v>
          </cell>
          <cell r="AR109">
            <v>21587</v>
          </cell>
          <cell r="AS109">
            <v>5397</v>
          </cell>
          <cell r="AT109">
            <v>0</v>
          </cell>
          <cell r="AU109">
            <v>53968.32</v>
          </cell>
          <cell r="AV109">
            <v>91625.600000000006</v>
          </cell>
          <cell r="AW109">
            <v>73300</v>
          </cell>
          <cell r="AX109">
            <v>18325</v>
          </cell>
          <cell r="AY109">
            <v>0</v>
          </cell>
          <cell r="AZ109">
            <v>183250.6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95084</v>
          </cell>
          <cell r="BG109">
            <v>76068</v>
          </cell>
          <cell r="BH109">
            <v>19017</v>
          </cell>
          <cell r="BI109">
            <v>0</v>
          </cell>
          <cell r="BJ109">
            <v>190169</v>
          </cell>
          <cell r="BK109">
            <v>95084</v>
          </cell>
          <cell r="BL109">
            <v>76068</v>
          </cell>
          <cell r="BM109">
            <v>19017</v>
          </cell>
          <cell r="BN109">
            <v>0</v>
          </cell>
          <cell r="BO109">
            <v>190169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105327</v>
          </cell>
          <cell r="BV109">
            <v>84262</v>
          </cell>
          <cell r="BW109">
            <v>21065</v>
          </cell>
          <cell r="BX109">
            <v>0</v>
          </cell>
          <cell r="BY109">
            <v>210654</v>
          </cell>
          <cell r="BZ109">
            <v>105327</v>
          </cell>
          <cell r="CA109">
            <v>84262</v>
          </cell>
          <cell r="CB109">
            <v>21065</v>
          </cell>
          <cell r="CC109">
            <v>0</v>
          </cell>
          <cell r="CD109">
            <v>210654</v>
          </cell>
        </row>
        <row r="110">
          <cell r="A110">
            <v>103</v>
          </cell>
          <cell r="B110" t="str">
            <v>E1633</v>
          </cell>
          <cell r="C110" t="str">
            <v>SD</v>
          </cell>
          <cell r="D110" t="str">
            <v>SW</v>
          </cell>
          <cell r="E110" t="str">
            <v>Forest of Dean</v>
          </cell>
          <cell r="F110">
            <v>5676501</v>
          </cell>
          <cell r="G110">
            <v>4541201</v>
          </cell>
          <cell r="H110">
            <v>1135300</v>
          </cell>
          <cell r="I110">
            <v>0</v>
          </cell>
          <cell r="J110">
            <v>11353002</v>
          </cell>
          <cell r="K110">
            <v>0</v>
          </cell>
          <cell r="L110">
            <v>0</v>
          </cell>
          <cell r="M110">
            <v>5676501</v>
          </cell>
          <cell r="N110">
            <v>11353002</v>
          </cell>
          <cell r="O110">
            <v>119683</v>
          </cell>
          <cell r="P110">
            <v>119683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371172</v>
          </cell>
          <cell r="AC110">
            <v>296937</v>
          </cell>
          <cell r="AD110">
            <v>74234</v>
          </cell>
          <cell r="AE110">
            <v>0</v>
          </cell>
          <cell r="AF110">
            <v>742343</v>
          </cell>
          <cell r="AG110">
            <v>27218</v>
          </cell>
          <cell r="AH110">
            <v>21774</v>
          </cell>
          <cell r="AI110">
            <v>5444</v>
          </cell>
          <cell r="AJ110">
            <v>0</v>
          </cell>
          <cell r="AK110">
            <v>54436</v>
          </cell>
          <cell r="AL110">
            <v>119704</v>
          </cell>
          <cell r="AM110">
            <v>95763</v>
          </cell>
          <cell r="AN110">
            <v>23941</v>
          </cell>
          <cell r="AO110">
            <v>0</v>
          </cell>
          <cell r="AP110">
            <v>239408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119704</v>
          </cell>
          <cell r="AW110">
            <v>95763</v>
          </cell>
          <cell r="AX110">
            <v>23941</v>
          </cell>
          <cell r="AY110">
            <v>0</v>
          </cell>
          <cell r="AZ110">
            <v>239408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62219</v>
          </cell>
          <cell r="BG110">
            <v>49776</v>
          </cell>
          <cell r="BH110">
            <v>12444</v>
          </cell>
          <cell r="BI110">
            <v>0</v>
          </cell>
          <cell r="BJ110">
            <v>124439</v>
          </cell>
          <cell r="BK110">
            <v>62219</v>
          </cell>
          <cell r="BL110">
            <v>49776</v>
          </cell>
          <cell r="BM110">
            <v>12444</v>
          </cell>
          <cell r="BN110">
            <v>0</v>
          </cell>
          <cell r="BO110">
            <v>124439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63372</v>
          </cell>
          <cell r="BV110">
            <v>50698</v>
          </cell>
          <cell r="BW110">
            <v>12675</v>
          </cell>
          <cell r="BX110">
            <v>0</v>
          </cell>
          <cell r="BY110">
            <v>126745</v>
          </cell>
          <cell r="BZ110">
            <v>63372</v>
          </cell>
          <cell r="CA110">
            <v>50698</v>
          </cell>
          <cell r="CB110">
            <v>12675</v>
          </cell>
          <cell r="CC110">
            <v>0</v>
          </cell>
          <cell r="CD110">
            <v>126745</v>
          </cell>
        </row>
        <row r="111">
          <cell r="A111">
            <v>104</v>
          </cell>
          <cell r="B111" t="str">
            <v>E2335</v>
          </cell>
          <cell r="C111" t="str">
            <v>SD</v>
          </cell>
          <cell r="D111" t="str">
            <v>NW</v>
          </cell>
          <cell r="E111" t="str">
            <v>Fylde</v>
          </cell>
          <cell r="F111">
            <v>11552774</v>
          </cell>
          <cell r="G111">
            <v>9242219</v>
          </cell>
          <cell r="H111">
            <v>2079499</v>
          </cell>
          <cell r="I111">
            <v>231055</v>
          </cell>
          <cell r="J111">
            <v>23105547</v>
          </cell>
          <cell r="K111">
            <v>0</v>
          </cell>
          <cell r="L111">
            <v>0</v>
          </cell>
          <cell r="M111">
            <v>11552774</v>
          </cell>
          <cell r="N111">
            <v>23105547</v>
          </cell>
          <cell r="O111">
            <v>110662</v>
          </cell>
          <cell r="P111">
            <v>110662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638164</v>
          </cell>
          <cell r="AC111">
            <v>510530</v>
          </cell>
          <cell r="AD111">
            <v>114869</v>
          </cell>
          <cell r="AE111">
            <v>12763</v>
          </cell>
          <cell r="AF111">
            <v>1276326</v>
          </cell>
          <cell r="AG111">
            <v>154673</v>
          </cell>
          <cell r="AH111">
            <v>123738</v>
          </cell>
          <cell r="AI111">
            <v>27841</v>
          </cell>
          <cell r="AJ111">
            <v>3093</v>
          </cell>
          <cell r="AK111">
            <v>309345</v>
          </cell>
          <cell r="AL111">
            <v>223202</v>
          </cell>
          <cell r="AM111">
            <v>178561</v>
          </cell>
          <cell r="AN111">
            <v>40176</v>
          </cell>
          <cell r="AO111">
            <v>4464</v>
          </cell>
          <cell r="AP111">
            <v>446403</v>
          </cell>
          <cell r="AQ111">
            <v>94943</v>
          </cell>
          <cell r="AR111">
            <v>75955</v>
          </cell>
          <cell r="AS111">
            <v>17090</v>
          </cell>
          <cell r="AT111">
            <v>1899</v>
          </cell>
          <cell r="AU111">
            <v>189887</v>
          </cell>
          <cell r="AV111">
            <v>318145</v>
          </cell>
          <cell r="AW111">
            <v>254516</v>
          </cell>
          <cell r="AX111">
            <v>57266</v>
          </cell>
          <cell r="AY111">
            <v>6363</v>
          </cell>
          <cell r="AZ111">
            <v>636290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165068</v>
          </cell>
          <cell r="BG111">
            <v>132054</v>
          </cell>
          <cell r="BH111">
            <v>29712</v>
          </cell>
          <cell r="BI111">
            <v>3301</v>
          </cell>
          <cell r="BJ111">
            <v>330135</v>
          </cell>
          <cell r="BK111">
            <v>165068</v>
          </cell>
          <cell r="BL111">
            <v>132054</v>
          </cell>
          <cell r="BM111">
            <v>29712</v>
          </cell>
          <cell r="BN111">
            <v>3301</v>
          </cell>
          <cell r="BO111">
            <v>330135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442828</v>
          </cell>
          <cell r="BV111">
            <v>354262</v>
          </cell>
          <cell r="BW111">
            <v>79709</v>
          </cell>
          <cell r="BX111">
            <v>8857</v>
          </cell>
          <cell r="BY111">
            <v>885656</v>
          </cell>
          <cell r="BZ111">
            <v>442828</v>
          </cell>
          <cell r="CA111">
            <v>354262</v>
          </cell>
          <cell r="CB111">
            <v>79709</v>
          </cell>
          <cell r="CC111">
            <v>8857</v>
          </cell>
          <cell r="CD111">
            <v>885656</v>
          </cell>
        </row>
        <row r="112">
          <cell r="A112">
            <v>105</v>
          </cell>
          <cell r="B112" t="str">
            <v>E4501</v>
          </cell>
          <cell r="C112" t="str">
            <v>Met</v>
          </cell>
          <cell r="D112" t="str">
            <v>NE</v>
          </cell>
          <cell r="E112" t="str">
            <v>Gateshead</v>
          </cell>
          <cell r="F112">
            <v>41197933</v>
          </cell>
          <cell r="G112">
            <v>40373974</v>
          </cell>
          <cell r="H112">
            <v>0</v>
          </cell>
          <cell r="I112">
            <v>823959</v>
          </cell>
          <cell r="J112">
            <v>82395866</v>
          </cell>
          <cell r="K112">
            <v>0</v>
          </cell>
          <cell r="L112">
            <v>0</v>
          </cell>
          <cell r="M112">
            <v>41197933</v>
          </cell>
          <cell r="N112">
            <v>82395866</v>
          </cell>
          <cell r="O112">
            <v>294393</v>
          </cell>
          <cell r="P112">
            <v>294393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3327151</v>
          </cell>
          <cell r="AC112">
            <v>3260608</v>
          </cell>
          <cell r="AD112">
            <v>0</v>
          </cell>
          <cell r="AE112">
            <v>66543</v>
          </cell>
          <cell r="AF112">
            <v>6654302</v>
          </cell>
          <cell r="AG112">
            <v>1037216</v>
          </cell>
          <cell r="AH112">
            <v>1016471</v>
          </cell>
          <cell r="AI112">
            <v>0</v>
          </cell>
          <cell r="AJ112">
            <v>20744</v>
          </cell>
          <cell r="AK112">
            <v>2074431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322000</v>
          </cell>
          <cell r="BG112">
            <v>315560</v>
          </cell>
          <cell r="BH112">
            <v>0</v>
          </cell>
          <cell r="BI112">
            <v>6440</v>
          </cell>
          <cell r="BJ112">
            <v>644000</v>
          </cell>
          <cell r="BK112">
            <v>322000</v>
          </cell>
          <cell r="BL112">
            <v>315560</v>
          </cell>
          <cell r="BM112">
            <v>0</v>
          </cell>
          <cell r="BN112">
            <v>6440</v>
          </cell>
          <cell r="BO112">
            <v>644000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1367937</v>
          </cell>
          <cell r="BV112">
            <v>1340579</v>
          </cell>
          <cell r="BW112">
            <v>0</v>
          </cell>
          <cell r="BX112">
            <v>27359</v>
          </cell>
          <cell r="BY112">
            <v>2735875</v>
          </cell>
          <cell r="BZ112">
            <v>1367937</v>
          </cell>
          <cell r="CA112">
            <v>1340579</v>
          </cell>
          <cell r="CB112">
            <v>0</v>
          </cell>
          <cell r="CC112">
            <v>27359</v>
          </cell>
          <cell r="CD112">
            <v>2735875</v>
          </cell>
        </row>
        <row r="113">
          <cell r="A113">
            <v>106</v>
          </cell>
          <cell r="B113" t="str">
            <v>E3034</v>
          </cell>
          <cell r="C113" t="str">
            <v>SD</v>
          </cell>
          <cell r="D113" t="str">
            <v>EM</v>
          </cell>
          <cell r="E113" t="str">
            <v>Gedling</v>
          </cell>
          <cell r="F113">
            <v>9900806</v>
          </cell>
          <cell r="G113">
            <v>7920644</v>
          </cell>
          <cell r="H113">
            <v>1782145</v>
          </cell>
          <cell r="I113">
            <v>198016</v>
          </cell>
          <cell r="J113">
            <v>19801611</v>
          </cell>
          <cell r="K113">
            <v>0</v>
          </cell>
          <cell r="L113">
            <v>0</v>
          </cell>
          <cell r="M113">
            <v>9900806</v>
          </cell>
          <cell r="N113">
            <v>19801611</v>
          </cell>
          <cell r="O113">
            <v>102089</v>
          </cell>
          <cell r="P113">
            <v>102089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247888.45</v>
          </cell>
          <cell r="AC113">
            <v>198311</v>
          </cell>
          <cell r="AD113">
            <v>44620</v>
          </cell>
          <cell r="AE113">
            <v>4958</v>
          </cell>
          <cell r="AF113">
            <v>495777.45</v>
          </cell>
          <cell r="AG113">
            <v>-29153.8</v>
          </cell>
          <cell r="AH113">
            <v>-23323</v>
          </cell>
          <cell r="AI113">
            <v>-5248</v>
          </cell>
          <cell r="AJ113">
            <v>-583</v>
          </cell>
          <cell r="AK113">
            <v>-58307.8</v>
          </cell>
          <cell r="AL113">
            <v>46953</v>
          </cell>
          <cell r="AM113">
            <v>37563</v>
          </cell>
          <cell r="AN113">
            <v>8452</v>
          </cell>
          <cell r="AO113">
            <v>939</v>
          </cell>
          <cell r="AP113">
            <v>93907</v>
          </cell>
          <cell r="AQ113">
            <v>57390</v>
          </cell>
          <cell r="AR113">
            <v>45912</v>
          </cell>
          <cell r="AS113">
            <v>10330</v>
          </cell>
          <cell r="AT113">
            <v>1148</v>
          </cell>
          <cell r="AU113">
            <v>114780</v>
          </cell>
          <cell r="AV113">
            <v>104343</v>
          </cell>
          <cell r="AW113">
            <v>83475</v>
          </cell>
          <cell r="AX113">
            <v>18782</v>
          </cell>
          <cell r="AY113">
            <v>2087</v>
          </cell>
          <cell r="AZ113">
            <v>208687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73742</v>
          </cell>
          <cell r="BG113">
            <v>58994</v>
          </cell>
          <cell r="BH113">
            <v>13274</v>
          </cell>
          <cell r="BI113">
            <v>1475</v>
          </cell>
          <cell r="BJ113">
            <v>147485</v>
          </cell>
          <cell r="BK113">
            <v>73742</v>
          </cell>
          <cell r="BL113">
            <v>58994</v>
          </cell>
          <cell r="BM113">
            <v>13274</v>
          </cell>
          <cell r="BN113">
            <v>1475</v>
          </cell>
          <cell r="BO113">
            <v>147485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204319</v>
          </cell>
          <cell r="BV113">
            <v>163454</v>
          </cell>
          <cell r="BW113">
            <v>36777</v>
          </cell>
          <cell r="BX113">
            <v>4086</v>
          </cell>
          <cell r="BY113">
            <v>408636</v>
          </cell>
          <cell r="BZ113">
            <v>204319</v>
          </cell>
          <cell r="CA113">
            <v>163454</v>
          </cell>
          <cell r="CB113">
            <v>36777</v>
          </cell>
          <cell r="CC113">
            <v>4086</v>
          </cell>
          <cell r="CD113">
            <v>408636</v>
          </cell>
        </row>
        <row r="114">
          <cell r="A114">
            <v>107</v>
          </cell>
          <cell r="B114" t="str">
            <v>E1634</v>
          </cell>
          <cell r="C114" t="str">
            <v>SD</v>
          </cell>
          <cell r="D114" t="str">
            <v>SW</v>
          </cell>
          <cell r="E114" t="str">
            <v>Gloucester</v>
          </cell>
          <cell r="F114">
            <v>24612047</v>
          </cell>
          <cell r="G114">
            <v>19689637</v>
          </cell>
          <cell r="H114">
            <v>4922409</v>
          </cell>
          <cell r="I114">
            <v>0</v>
          </cell>
          <cell r="J114">
            <v>49224093</v>
          </cell>
          <cell r="K114">
            <v>0</v>
          </cell>
          <cell r="L114">
            <v>0</v>
          </cell>
          <cell r="M114">
            <v>24612047</v>
          </cell>
          <cell r="N114">
            <v>49224093</v>
          </cell>
          <cell r="O114">
            <v>179973</v>
          </cell>
          <cell r="P114">
            <v>179973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2103589.44</v>
          </cell>
          <cell r="AC114">
            <v>1682871</v>
          </cell>
          <cell r="AD114">
            <v>420718</v>
          </cell>
          <cell r="AE114">
            <v>0</v>
          </cell>
          <cell r="AF114">
            <v>4207178.4400000004</v>
          </cell>
          <cell r="AG114">
            <v>484833.83</v>
          </cell>
          <cell r="AH114">
            <v>387867</v>
          </cell>
          <cell r="AI114">
            <v>96967</v>
          </cell>
          <cell r="AJ114">
            <v>0</v>
          </cell>
          <cell r="AK114">
            <v>969667.83</v>
          </cell>
          <cell r="AL114">
            <v>1295100.3600000001</v>
          </cell>
          <cell r="AM114">
            <v>1036081</v>
          </cell>
          <cell r="AN114">
            <v>259020</v>
          </cell>
          <cell r="AO114">
            <v>0</v>
          </cell>
          <cell r="AP114">
            <v>2590201.36</v>
          </cell>
          <cell r="AQ114">
            <v>150109</v>
          </cell>
          <cell r="AR114">
            <v>120088</v>
          </cell>
          <cell r="AS114">
            <v>30022</v>
          </cell>
          <cell r="AT114">
            <v>0</v>
          </cell>
          <cell r="AU114">
            <v>300219</v>
          </cell>
          <cell r="AV114">
            <v>1445209.36</v>
          </cell>
          <cell r="AW114">
            <v>1156169</v>
          </cell>
          <cell r="AX114">
            <v>289042</v>
          </cell>
          <cell r="AY114">
            <v>0</v>
          </cell>
          <cell r="AZ114">
            <v>2890420.36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278126</v>
          </cell>
          <cell r="BG114">
            <v>222501</v>
          </cell>
          <cell r="BH114">
            <v>55625</v>
          </cell>
          <cell r="BI114">
            <v>0</v>
          </cell>
          <cell r="BJ114">
            <v>556252</v>
          </cell>
          <cell r="BK114">
            <v>278126</v>
          </cell>
          <cell r="BL114">
            <v>222501</v>
          </cell>
          <cell r="BM114">
            <v>55625</v>
          </cell>
          <cell r="BN114">
            <v>0</v>
          </cell>
          <cell r="BO114">
            <v>556252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263407</v>
          </cell>
          <cell r="BV114">
            <v>210726</v>
          </cell>
          <cell r="BW114">
            <v>52681</v>
          </cell>
          <cell r="BX114">
            <v>0</v>
          </cell>
          <cell r="BY114">
            <v>526814</v>
          </cell>
          <cell r="BZ114">
            <v>263407</v>
          </cell>
          <cell r="CA114">
            <v>210726</v>
          </cell>
          <cell r="CB114">
            <v>52681</v>
          </cell>
          <cell r="CC114">
            <v>0</v>
          </cell>
          <cell r="CD114">
            <v>526814</v>
          </cell>
        </row>
        <row r="115">
          <cell r="A115">
            <v>108</v>
          </cell>
          <cell r="B115" t="str">
            <v>E1735</v>
          </cell>
          <cell r="C115" t="str">
            <v>SD</v>
          </cell>
          <cell r="D115" t="str">
            <v>SE</v>
          </cell>
          <cell r="E115" t="str">
            <v>Gosport</v>
          </cell>
          <cell r="F115">
            <v>5673070</v>
          </cell>
          <cell r="G115">
            <v>4538456</v>
          </cell>
          <cell r="H115">
            <v>1021153</v>
          </cell>
          <cell r="I115">
            <v>113461</v>
          </cell>
          <cell r="J115">
            <v>11346140</v>
          </cell>
          <cell r="K115">
            <v>110415</v>
          </cell>
          <cell r="L115">
            <v>110415</v>
          </cell>
          <cell r="M115">
            <v>5562655</v>
          </cell>
          <cell r="N115">
            <v>11235725</v>
          </cell>
          <cell r="O115">
            <v>81989</v>
          </cell>
          <cell r="P115">
            <v>81989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110415</v>
          </cell>
          <cell r="Y115">
            <v>0</v>
          </cell>
          <cell r="Z115">
            <v>0</v>
          </cell>
          <cell r="AA115">
            <v>110415</v>
          </cell>
          <cell r="AB115">
            <v>442321</v>
          </cell>
          <cell r="AC115">
            <v>353857</v>
          </cell>
          <cell r="AD115">
            <v>79618</v>
          </cell>
          <cell r="AE115">
            <v>8846</v>
          </cell>
          <cell r="AF115">
            <v>884642</v>
          </cell>
          <cell r="AG115">
            <v>161038</v>
          </cell>
          <cell r="AH115">
            <v>128831</v>
          </cell>
          <cell r="AI115">
            <v>28987</v>
          </cell>
          <cell r="AJ115">
            <v>3221</v>
          </cell>
          <cell r="AK115">
            <v>322077</v>
          </cell>
          <cell r="AL115">
            <v>242100</v>
          </cell>
          <cell r="AM115">
            <v>193680</v>
          </cell>
          <cell r="AN115">
            <v>43578</v>
          </cell>
          <cell r="AO115">
            <v>4842</v>
          </cell>
          <cell r="AP115">
            <v>484200</v>
          </cell>
          <cell r="AQ115">
            <v>24150</v>
          </cell>
          <cell r="AR115">
            <v>19320</v>
          </cell>
          <cell r="AS115">
            <v>4347</v>
          </cell>
          <cell r="AT115">
            <v>483</v>
          </cell>
          <cell r="AU115">
            <v>48300</v>
          </cell>
          <cell r="AV115">
            <v>266250</v>
          </cell>
          <cell r="AW115">
            <v>213000</v>
          </cell>
          <cell r="AX115">
            <v>47925</v>
          </cell>
          <cell r="AY115">
            <v>5325</v>
          </cell>
          <cell r="AZ115">
            <v>532500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353142</v>
          </cell>
          <cell r="BG115">
            <v>282513</v>
          </cell>
          <cell r="BH115">
            <v>63565</v>
          </cell>
          <cell r="BI115">
            <v>7063</v>
          </cell>
          <cell r="BJ115">
            <v>706283</v>
          </cell>
          <cell r="BK115">
            <v>353142</v>
          </cell>
          <cell r="BL115">
            <v>282513</v>
          </cell>
          <cell r="BM115">
            <v>63565</v>
          </cell>
          <cell r="BN115">
            <v>7063</v>
          </cell>
          <cell r="BO115">
            <v>706283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1278449</v>
          </cell>
          <cell r="BV115">
            <v>1022760</v>
          </cell>
          <cell r="BW115">
            <v>230121</v>
          </cell>
          <cell r="BX115">
            <v>25569</v>
          </cell>
          <cell r="BY115">
            <v>2556899</v>
          </cell>
          <cell r="BZ115">
            <v>1278449</v>
          </cell>
          <cell r="CA115">
            <v>1022760</v>
          </cell>
          <cell r="CB115">
            <v>230121</v>
          </cell>
          <cell r="CC115">
            <v>25569</v>
          </cell>
          <cell r="CD115">
            <v>2556899</v>
          </cell>
        </row>
        <row r="116">
          <cell r="A116">
            <v>109</v>
          </cell>
          <cell r="B116" t="str">
            <v>E2236</v>
          </cell>
          <cell r="C116" t="str">
            <v>SD</v>
          </cell>
          <cell r="D116" t="str">
            <v>SE</v>
          </cell>
          <cell r="E116" t="str">
            <v>Gravesham</v>
          </cell>
          <cell r="F116">
            <v>10347591</v>
          </cell>
          <cell r="G116">
            <v>8278072</v>
          </cell>
          <cell r="H116">
            <v>1862566</v>
          </cell>
          <cell r="I116">
            <v>206952</v>
          </cell>
          <cell r="J116">
            <v>20695181</v>
          </cell>
          <cell r="K116">
            <v>0</v>
          </cell>
          <cell r="L116">
            <v>0</v>
          </cell>
          <cell r="M116">
            <v>10347591</v>
          </cell>
          <cell r="N116">
            <v>20695181</v>
          </cell>
          <cell r="O116">
            <v>98428</v>
          </cell>
          <cell r="P116">
            <v>98428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905690.63</v>
          </cell>
          <cell r="AC116">
            <v>724553</v>
          </cell>
          <cell r="AD116">
            <v>163024</v>
          </cell>
          <cell r="AE116">
            <v>18114</v>
          </cell>
          <cell r="AF116">
            <v>1811381.63</v>
          </cell>
          <cell r="AG116">
            <v>115428.91</v>
          </cell>
          <cell r="AH116">
            <v>92343</v>
          </cell>
          <cell r="AI116">
            <v>20777</v>
          </cell>
          <cell r="AJ116">
            <v>2309</v>
          </cell>
          <cell r="AK116">
            <v>230857.91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99621.15</v>
          </cell>
          <cell r="AR116">
            <v>79696</v>
          </cell>
          <cell r="AS116">
            <v>17932</v>
          </cell>
          <cell r="AT116">
            <v>1992</v>
          </cell>
          <cell r="AU116">
            <v>199241.15</v>
          </cell>
          <cell r="AV116">
            <v>99621.15</v>
          </cell>
          <cell r="AW116">
            <v>79696</v>
          </cell>
          <cell r="AX116">
            <v>17932</v>
          </cell>
          <cell r="AY116">
            <v>1992</v>
          </cell>
          <cell r="AZ116">
            <v>199241.15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62608</v>
          </cell>
          <cell r="BG116">
            <v>50086</v>
          </cell>
          <cell r="BH116">
            <v>11269</v>
          </cell>
          <cell r="BI116">
            <v>1252</v>
          </cell>
          <cell r="BJ116">
            <v>125215</v>
          </cell>
          <cell r="BK116">
            <v>62608</v>
          </cell>
          <cell r="BL116">
            <v>50086</v>
          </cell>
          <cell r="BM116">
            <v>11269</v>
          </cell>
          <cell r="BN116">
            <v>1252</v>
          </cell>
          <cell r="BO116">
            <v>125215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209599</v>
          </cell>
          <cell r="BV116">
            <v>167680</v>
          </cell>
          <cell r="BW116">
            <v>37728</v>
          </cell>
          <cell r="BX116">
            <v>4192</v>
          </cell>
          <cell r="BY116">
            <v>419199</v>
          </cell>
          <cell r="BZ116">
            <v>209599</v>
          </cell>
          <cell r="CA116">
            <v>167680</v>
          </cell>
          <cell r="CB116">
            <v>37728</v>
          </cell>
          <cell r="CC116">
            <v>4192</v>
          </cell>
          <cell r="CD116">
            <v>419199</v>
          </cell>
        </row>
        <row r="117">
          <cell r="A117">
            <v>110</v>
          </cell>
          <cell r="B117" t="str">
            <v>E2633</v>
          </cell>
          <cell r="C117" t="str">
            <v>SD</v>
          </cell>
          <cell r="D117" t="str">
            <v>E</v>
          </cell>
          <cell r="E117" t="str">
            <v>Great Yarmouth</v>
          </cell>
          <cell r="F117">
            <v>9292442</v>
          </cell>
          <cell r="G117">
            <v>7433954</v>
          </cell>
          <cell r="H117">
            <v>1858489</v>
          </cell>
          <cell r="I117">
            <v>0</v>
          </cell>
          <cell r="J117">
            <v>18584885</v>
          </cell>
          <cell r="K117">
            <v>349878</v>
          </cell>
          <cell r="L117">
            <v>349878</v>
          </cell>
          <cell r="M117">
            <v>8942564</v>
          </cell>
          <cell r="N117">
            <v>18235007</v>
          </cell>
          <cell r="O117">
            <v>185992</v>
          </cell>
          <cell r="P117">
            <v>185992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349878</v>
          </cell>
          <cell r="Y117">
            <v>0</v>
          </cell>
          <cell r="Z117">
            <v>0</v>
          </cell>
          <cell r="AA117">
            <v>349878</v>
          </cell>
          <cell r="AB117">
            <v>472594</v>
          </cell>
          <cell r="AC117">
            <v>378076</v>
          </cell>
          <cell r="AD117">
            <v>94519</v>
          </cell>
          <cell r="AE117">
            <v>0</v>
          </cell>
          <cell r="AF117">
            <v>945189</v>
          </cell>
          <cell r="AG117">
            <v>179779</v>
          </cell>
          <cell r="AH117">
            <v>143823</v>
          </cell>
          <cell r="AI117">
            <v>35956</v>
          </cell>
          <cell r="AJ117">
            <v>0</v>
          </cell>
          <cell r="AK117">
            <v>359558</v>
          </cell>
          <cell r="AL117">
            <v>145795.68</v>
          </cell>
          <cell r="AM117">
            <v>116636</v>
          </cell>
          <cell r="AN117">
            <v>29159</v>
          </cell>
          <cell r="AO117">
            <v>0</v>
          </cell>
          <cell r="AP117">
            <v>291590.68</v>
          </cell>
          <cell r="AQ117">
            <v>14282</v>
          </cell>
          <cell r="AR117">
            <v>11426</v>
          </cell>
          <cell r="AS117">
            <v>2857</v>
          </cell>
          <cell r="AT117">
            <v>0</v>
          </cell>
          <cell r="AU117">
            <v>28565</v>
          </cell>
          <cell r="AV117">
            <v>160077.68</v>
          </cell>
          <cell r="AW117">
            <v>128062</v>
          </cell>
          <cell r="AX117">
            <v>32016</v>
          </cell>
          <cell r="AY117">
            <v>0</v>
          </cell>
          <cell r="AZ117">
            <v>320155.68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649063</v>
          </cell>
          <cell r="BG117">
            <v>519251</v>
          </cell>
          <cell r="BH117">
            <v>129813</v>
          </cell>
          <cell r="BI117">
            <v>0</v>
          </cell>
          <cell r="BJ117">
            <v>1298127</v>
          </cell>
          <cell r="BK117">
            <v>649063</v>
          </cell>
          <cell r="BL117">
            <v>519251</v>
          </cell>
          <cell r="BM117">
            <v>129813</v>
          </cell>
          <cell r="BN117">
            <v>0</v>
          </cell>
          <cell r="BO117">
            <v>1298127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4731461</v>
          </cell>
          <cell r="BV117">
            <v>3785168</v>
          </cell>
          <cell r="BW117">
            <v>946292</v>
          </cell>
          <cell r="BX117">
            <v>0</v>
          </cell>
          <cell r="BY117">
            <v>9462921</v>
          </cell>
          <cell r="BZ117">
            <v>4731461</v>
          </cell>
          <cell r="CA117">
            <v>3785168</v>
          </cell>
          <cell r="CB117">
            <v>946292</v>
          </cell>
          <cell r="CC117">
            <v>0</v>
          </cell>
          <cell r="CD117">
            <v>9462921</v>
          </cell>
        </row>
        <row r="118">
          <cell r="A118">
            <v>111</v>
          </cell>
          <cell r="B118" t="str">
            <v>E5012</v>
          </cell>
          <cell r="C118" t="str">
            <v>ILB</v>
          </cell>
          <cell r="D118" t="str">
            <v>L</v>
          </cell>
          <cell r="E118" t="str">
            <v>Greenwich</v>
          </cell>
          <cell r="F118">
            <v>31728389</v>
          </cell>
          <cell r="G118">
            <v>19037033</v>
          </cell>
          <cell r="H118">
            <v>12691355</v>
          </cell>
          <cell r="I118">
            <v>0</v>
          </cell>
          <cell r="J118">
            <v>63456777</v>
          </cell>
          <cell r="K118">
            <v>0</v>
          </cell>
          <cell r="L118">
            <v>0</v>
          </cell>
          <cell r="M118">
            <v>31728389</v>
          </cell>
          <cell r="N118">
            <v>63456777</v>
          </cell>
          <cell r="O118">
            <v>275906</v>
          </cell>
          <cell r="P118">
            <v>275906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1065194</v>
          </cell>
          <cell r="AC118">
            <v>639116</v>
          </cell>
          <cell r="AD118">
            <v>426078</v>
          </cell>
          <cell r="AE118">
            <v>0</v>
          </cell>
          <cell r="AF118">
            <v>2130388</v>
          </cell>
          <cell r="AG118">
            <v>814826</v>
          </cell>
          <cell r="AH118">
            <v>488896</v>
          </cell>
          <cell r="AI118">
            <v>325931</v>
          </cell>
          <cell r="AJ118">
            <v>0</v>
          </cell>
          <cell r="AK118">
            <v>1629653</v>
          </cell>
          <cell r="AL118">
            <v>658245</v>
          </cell>
          <cell r="AM118">
            <v>394947</v>
          </cell>
          <cell r="AN118">
            <v>263298</v>
          </cell>
          <cell r="AO118">
            <v>0</v>
          </cell>
          <cell r="AP118">
            <v>1316490</v>
          </cell>
          <cell r="AQ118">
            <v>422768</v>
          </cell>
          <cell r="AR118">
            <v>253661</v>
          </cell>
          <cell r="AS118">
            <v>169107</v>
          </cell>
          <cell r="AT118">
            <v>0</v>
          </cell>
          <cell r="AU118">
            <v>845536</v>
          </cell>
          <cell r="AV118">
            <v>1081013</v>
          </cell>
          <cell r="AW118">
            <v>648608</v>
          </cell>
          <cell r="AX118">
            <v>432405</v>
          </cell>
          <cell r="AY118">
            <v>0</v>
          </cell>
          <cell r="AZ118">
            <v>2162026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717000</v>
          </cell>
          <cell r="BG118">
            <v>430200</v>
          </cell>
          <cell r="BH118">
            <v>286800</v>
          </cell>
          <cell r="BI118">
            <v>0</v>
          </cell>
          <cell r="BJ118">
            <v>1434000</v>
          </cell>
          <cell r="BK118">
            <v>717000</v>
          </cell>
          <cell r="BL118">
            <v>430200</v>
          </cell>
          <cell r="BM118">
            <v>286800</v>
          </cell>
          <cell r="BN118">
            <v>0</v>
          </cell>
          <cell r="BO118">
            <v>1434000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1379000</v>
          </cell>
          <cell r="BV118">
            <v>827400</v>
          </cell>
          <cell r="BW118">
            <v>551600</v>
          </cell>
          <cell r="BX118">
            <v>0</v>
          </cell>
          <cell r="BY118">
            <v>2758000</v>
          </cell>
          <cell r="BZ118">
            <v>1379000</v>
          </cell>
          <cell r="CA118">
            <v>827400</v>
          </cell>
          <cell r="CB118">
            <v>551600</v>
          </cell>
          <cell r="CC118">
            <v>0</v>
          </cell>
          <cell r="CD118">
            <v>2758000</v>
          </cell>
        </row>
        <row r="119">
          <cell r="A119">
            <v>112</v>
          </cell>
          <cell r="B119" t="str">
            <v>E3633</v>
          </cell>
          <cell r="C119" t="str">
            <v>SD</v>
          </cell>
          <cell r="D119" t="str">
            <v>SE</v>
          </cell>
          <cell r="E119" t="str">
            <v>Guildford</v>
          </cell>
          <cell r="F119">
            <v>36762037</v>
          </cell>
          <cell r="G119">
            <v>29409630</v>
          </cell>
          <cell r="H119">
            <v>7352407</v>
          </cell>
          <cell r="I119">
            <v>0</v>
          </cell>
          <cell r="J119">
            <v>73524074</v>
          </cell>
          <cell r="K119">
            <v>0</v>
          </cell>
          <cell r="L119">
            <v>0</v>
          </cell>
          <cell r="M119">
            <v>36762037</v>
          </cell>
          <cell r="N119">
            <v>73524074</v>
          </cell>
          <cell r="O119">
            <v>237981</v>
          </cell>
          <cell r="P119">
            <v>237981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556901</v>
          </cell>
          <cell r="AC119">
            <v>445521</v>
          </cell>
          <cell r="AD119">
            <v>111380</v>
          </cell>
          <cell r="AE119">
            <v>0</v>
          </cell>
          <cell r="AF119">
            <v>1113802</v>
          </cell>
          <cell r="AG119">
            <v>1118163</v>
          </cell>
          <cell r="AH119">
            <v>894530</v>
          </cell>
          <cell r="AI119">
            <v>223633</v>
          </cell>
          <cell r="AJ119">
            <v>0</v>
          </cell>
          <cell r="AK119">
            <v>2236326</v>
          </cell>
          <cell r="AL119">
            <v>334840</v>
          </cell>
          <cell r="AM119">
            <v>267872</v>
          </cell>
          <cell r="AN119">
            <v>66968</v>
          </cell>
          <cell r="AO119">
            <v>0</v>
          </cell>
          <cell r="AP119">
            <v>669680</v>
          </cell>
          <cell r="AQ119">
            <v>23414</v>
          </cell>
          <cell r="AR119">
            <v>18732</v>
          </cell>
          <cell r="AS119">
            <v>4683</v>
          </cell>
          <cell r="AT119">
            <v>0</v>
          </cell>
          <cell r="AU119">
            <v>46829</v>
          </cell>
          <cell r="AV119">
            <v>358254</v>
          </cell>
          <cell r="AW119">
            <v>286604</v>
          </cell>
          <cell r="AX119">
            <v>71651</v>
          </cell>
          <cell r="AY119">
            <v>0</v>
          </cell>
          <cell r="AZ119">
            <v>716509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550000</v>
          </cell>
          <cell r="BG119">
            <v>440000</v>
          </cell>
          <cell r="BH119">
            <v>110000</v>
          </cell>
          <cell r="BI119">
            <v>0</v>
          </cell>
          <cell r="BJ119">
            <v>1100000</v>
          </cell>
          <cell r="BK119">
            <v>550000</v>
          </cell>
          <cell r="BL119">
            <v>440000</v>
          </cell>
          <cell r="BM119">
            <v>110000</v>
          </cell>
          <cell r="BN119">
            <v>0</v>
          </cell>
          <cell r="BO119">
            <v>1100000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1400000</v>
          </cell>
          <cell r="BV119">
            <v>1120000</v>
          </cell>
          <cell r="BW119">
            <v>280000</v>
          </cell>
          <cell r="BX119">
            <v>0</v>
          </cell>
          <cell r="BY119">
            <v>2800000</v>
          </cell>
          <cell r="BZ119">
            <v>1400000</v>
          </cell>
          <cell r="CA119">
            <v>1120000</v>
          </cell>
          <cell r="CB119">
            <v>280000</v>
          </cell>
          <cell r="CC119">
            <v>0</v>
          </cell>
          <cell r="CD119">
            <v>2800000</v>
          </cell>
        </row>
        <row r="120">
          <cell r="A120">
            <v>113</v>
          </cell>
          <cell r="B120" t="str">
            <v>E5013</v>
          </cell>
          <cell r="C120" t="str">
            <v>ILB</v>
          </cell>
          <cell r="D120" t="str">
            <v>L</v>
          </cell>
          <cell r="E120" t="str">
            <v>Hackney</v>
          </cell>
          <cell r="F120">
            <v>41334910</v>
          </cell>
          <cell r="G120">
            <v>24800946</v>
          </cell>
          <cell r="H120">
            <v>16533964</v>
          </cell>
          <cell r="I120">
            <v>0</v>
          </cell>
          <cell r="J120">
            <v>82669820</v>
          </cell>
          <cell r="K120">
            <v>0</v>
          </cell>
          <cell r="L120">
            <v>0</v>
          </cell>
          <cell r="M120">
            <v>41334910</v>
          </cell>
          <cell r="N120">
            <v>82669820</v>
          </cell>
          <cell r="O120">
            <v>506812</v>
          </cell>
          <cell r="P120">
            <v>506812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9228829</v>
          </cell>
          <cell r="AC120">
            <v>5537298</v>
          </cell>
          <cell r="AD120">
            <v>3691532</v>
          </cell>
          <cell r="AE120">
            <v>0</v>
          </cell>
          <cell r="AF120">
            <v>18457659</v>
          </cell>
          <cell r="AG120">
            <v>3177522</v>
          </cell>
          <cell r="AH120">
            <v>1906513</v>
          </cell>
          <cell r="AI120">
            <v>1271009</v>
          </cell>
          <cell r="AJ120">
            <v>0</v>
          </cell>
          <cell r="AK120">
            <v>6355044</v>
          </cell>
          <cell r="AL120">
            <v>4165820</v>
          </cell>
          <cell r="AM120">
            <v>2499492</v>
          </cell>
          <cell r="AN120">
            <v>1666328</v>
          </cell>
          <cell r="AO120">
            <v>0</v>
          </cell>
          <cell r="AP120">
            <v>8331640</v>
          </cell>
          <cell r="AQ120">
            <v>1187701</v>
          </cell>
          <cell r="AR120">
            <v>712621</v>
          </cell>
          <cell r="AS120">
            <v>475080</v>
          </cell>
          <cell r="AT120">
            <v>0</v>
          </cell>
          <cell r="AU120">
            <v>2375402</v>
          </cell>
          <cell r="AV120">
            <v>5353521</v>
          </cell>
          <cell r="AW120">
            <v>3212113</v>
          </cell>
          <cell r="AX120">
            <v>2141408</v>
          </cell>
          <cell r="AY120">
            <v>0</v>
          </cell>
          <cell r="AZ120">
            <v>10707042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278672</v>
          </cell>
          <cell r="BG120">
            <v>167204</v>
          </cell>
          <cell r="BH120">
            <v>111469</v>
          </cell>
          <cell r="BI120">
            <v>0</v>
          </cell>
          <cell r="BJ120">
            <v>557345</v>
          </cell>
          <cell r="BK120">
            <v>278672</v>
          </cell>
          <cell r="BL120">
            <v>167204</v>
          </cell>
          <cell r="BM120">
            <v>111469</v>
          </cell>
          <cell r="BN120">
            <v>0</v>
          </cell>
          <cell r="BO120">
            <v>557345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1018766</v>
          </cell>
          <cell r="BV120">
            <v>611259</v>
          </cell>
          <cell r="BW120">
            <v>407506</v>
          </cell>
          <cell r="BX120">
            <v>0</v>
          </cell>
          <cell r="BY120">
            <v>2037531</v>
          </cell>
          <cell r="BZ120">
            <v>1018766</v>
          </cell>
          <cell r="CA120">
            <v>611259</v>
          </cell>
          <cell r="CB120">
            <v>407506</v>
          </cell>
          <cell r="CC120">
            <v>0</v>
          </cell>
          <cell r="CD120">
            <v>2037531</v>
          </cell>
        </row>
        <row r="121">
          <cell r="A121">
            <v>114</v>
          </cell>
          <cell r="B121" t="str">
            <v>E0601</v>
          </cell>
          <cell r="C121" t="str">
            <v>UA</v>
          </cell>
          <cell r="D121" t="str">
            <v>NW</v>
          </cell>
          <cell r="E121" t="str">
            <v>Halton UA</v>
          </cell>
          <cell r="F121">
            <v>25073686</v>
          </cell>
          <cell r="G121">
            <v>24572213</v>
          </cell>
          <cell r="H121">
            <v>0</v>
          </cell>
          <cell r="I121">
            <v>501474</v>
          </cell>
          <cell r="J121">
            <v>50147373</v>
          </cell>
          <cell r="K121">
            <v>148633</v>
          </cell>
          <cell r="L121">
            <v>148633</v>
          </cell>
          <cell r="M121">
            <v>24925053</v>
          </cell>
          <cell r="N121">
            <v>49998740</v>
          </cell>
          <cell r="O121">
            <v>166596</v>
          </cell>
          <cell r="P121">
            <v>166596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148321</v>
          </cell>
          <cell r="Y121">
            <v>0</v>
          </cell>
          <cell r="Z121">
            <v>312</v>
          </cell>
          <cell r="AA121">
            <v>148633</v>
          </cell>
          <cell r="AB121">
            <v>1853867</v>
          </cell>
          <cell r="AC121">
            <v>1816789</v>
          </cell>
          <cell r="AD121">
            <v>0</v>
          </cell>
          <cell r="AE121">
            <v>37077</v>
          </cell>
          <cell r="AF121">
            <v>3707733</v>
          </cell>
          <cell r="AG121">
            <v>585999</v>
          </cell>
          <cell r="AH121">
            <v>574280</v>
          </cell>
          <cell r="AI121">
            <v>0</v>
          </cell>
          <cell r="AJ121">
            <v>11720</v>
          </cell>
          <cell r="AK121">
            <v>1171999</v>
          </cell>
          <cell r="AL121">
            <v>621868</v>
          </cell>
          <cell r="AM121">
            <v>609430</v>
          </cell>
          <cell r="AN121">
            <v>0</v>
          </cell>
          <cell r="AO121">
            <v>12437</v>
          </cell>
          <cell r="AP121">
            <v>1243735</v>
          </cell>
          <cell r="AQ121">
            <v>733658</v>
          </cell>
          <cell r="AR121">
            <v>718984</v>
          </cell>
          <cell r="AS121">
            <v>0</v>
          </cell>
          <cell r="AT121">
            <v>14673</v>
          </cell>
          <cell r="AU121">
            <v>1467315</v>
          </cell>
          <cell r="AV121">
            <v>1355526</v>
          </cell>
          <cell r="AW121">
            <v>1328414</v>
          </cell>
          <cell r="AX121">
            <v>0</v>
          </cell>
          <cell r="AY121">
            <v>27110</v>
          </cell>
          <cell r="AZ121">
            <v>2711050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590532</v>
          </cell>
          <cell r="BG121">
            <v>578722</v>
          </cell>
          <cell r="BH121">
            <v>0</v>
          </cell>
          <cell r="BI121">
            <v>11811</v>
          </cell>
          <cell r="BJ121">
            <v>1181065</v>
          </cell>
          <cell r="BK121">
            <v>590532</v>
          </cell>
          <cell r="BL121">
            <v>578722</v>
          </cell>
          <cell r="BM121">
            <v>0</v>
          </cell>
          <cell r="BN121">
            <v>11811</v>
          </cell>
          <cell r="BO121">
            <v>1181065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1809902</v>
          </cell>
          <cell r="BV121">
            <v>1773704</v>
          </cell>
          <cell r="BW121">
            <v>0</v>
          </cell>
          <cell r="BX121">
            <v>36198</v>
          </cell>
          <cell r="BY121">
            <v>3619804</v>
          </cell>
          <cell r="BZ121">
            <v>1809902</v>
          </cell>
          <cell r="CA121">
            <v>1773704</v>
          </cell>
          <cell r="CB121">
            <v>0</v>
          </cell>
          <cell r="CC121">
            <v>36198</v>
          </cell>
          <cell r="CD121">
            <v>3619804</v>
          </cell>
        </row>
        <row r="122">
          <cell r="A122">
            <v>115</v>
          </cell>
          <cell r="B122" t="str">
            <v>E2732</v>
          </cell>
          <cell r="C122" t="str">
            <v>SD</v>
          </cell>
          <cell r="D122" t="str">
            <v>YH</v>
          </cell>
          <cell r="E122" t="str">
            <v>Hambleton</v>
          </cell>
          <cell r="F122">
            <v>12651259</v>
          </cell>
          <cell r="G122">
            <v>10121008</v>
          </cell>
          <cell r="H122">
            <v>2277227</v>
          </cell>
          <cell r="I122">
            <v>253025</v>
          </cell>
          <cell r="J122">
            <v>25302519</v>
          </cell>
          <cell r="K122">
            <v>0</v>
          </cell>
          <cell r="L122">
            <v>0</v>
          </cell>
          <cell r="M122">
            <v>12651259</v>
          </cell>
          <cell r="N122">
            <v>25302519</v>
          </cell>
          <cell r="O122">
            <v>154279</v>
          </cell>
          <cell r="P122">
            <v>154279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319736</v>
          </cell>
          <cell r="AC122">
            <v>255789</v>
          </cell>
          <cell r="AD122">
            <v>57552</v>
          </cell>
          <cell r="AE122">
            <v>6395</v>
          </cell>
          <cell r="AF122">
            <v>639472</v>
          </cell>
          <cell r="AG122">
            <v>188031</v>
          </cell>
          <cell r="AH122">
            <v>150424</v>
          </cell>
          <cell r="AI122">
            <v>33845</v>
          </cell>
          <cell r="AJ122">
            <v>3761</v>
          </cell>
          <cell r="AK122">
            <v>376061</v>
          </cell>
          <cell r="AL122">
            <v>83753</v>
          </cell>
          <cell r="AM122">
            <v>67002</v>
          </cell>
          <cell r="AN122">
            <v>15076</v>
          </cell>
          <cell r="AO122">
            <v>1675</v>
          </cell>
          <cell r="AP122">
            <v>167506</v>
          </cell>
          <cell r="AQ122">
            <v>56324</v>
          </cell>
          <cell r="AR122">
            <v>45060</v>
          </cell>
          <cell r="AS122">
            <v>10139</v>
          </cell>
          <cell r="AT122">
            <v>1127</v>
          </cell>
          <cell r="AU122">
            <v>112650</v>
          </cell>
          <cell r="AV122">
            <v>140077</v>
          </cell>
          <cell r="AW122">
            <v>112062</v>
          </cell>
          <cell r="AX122">
            <v>25215</v>
          </cell>
          <cell r="AY122">
            <v>2802</v>
          </cell>
          <cell r="AZ122">
            <v>280156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72475</v>
          </cell>
          <cell r="BG122">
            <v>57979</v>
          </cell>
          <cell r="BH122">
            <v>13045</v>
          </cell>
          <cell r="BI122">
            <v>1449</v>
          </cell>
          <cell r="BJ122">
            <v>144948</v>
          </cell>
          <cell r="BK122">
            <v>72475</v>
          </cell>
          <cell r="BL122">
            <v>57979</v>
          </cell>
          <cell r="BM122">
            <v>13045</v>
          </cell>
          <cell r="BN122">
            <v>1449</v>
          </cell>
          <cell r="BO122">
            <v>144948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268507</v>
          </cell>
          <cell r="BV122">
            <v>214806</v>
          </cell>
          <cell r="BW122">
            <v>48331</v>
          </cell>
          <cell r="BX122">
            <v>5370</v>
          </cell>
          <cell r="BY122">
            <v>537014</v>
          </cell>
          <cell r="BZ122">
            <v>268507</v>
          </cell>
          <cell r="CA122">
            <v>214806</v>
          </cell>
          <cell r="CB122">
            <v>48331</v>
          </cell>
          <cell r="CC122">
            <v>5370</v>
          </cell>
          <cell r="CD122">
            <v>537014</v>
          </cell>
        </row>
        <row r="123">
          <cell r="A123">
            <v>116</v>
          </cell>
          <cell r="B123" t="str">
            <v>E5014</v>
          </cell>
          <cell r="C123" t="str">
            <v>ILB</v>
          </cell>
          <cell r="D123" t="str">
            <v>L</v>
          </cell>
          <cell r="E123" t="str">
            <v>Hammersmith &amp; Fulham</v>
          </cell>
          <cell r="F123">
            <v>72065701</v>
          </cell>
          <cell r="G123">
            <v>43239420</v>
          </cell>
          <cell r="H123">
            <v>28826280</v>
          </cell>
          <cell r="I123">
            <v>0</v>
          </cell>
          <cell r="J123">
            <v>144131401</v>
          </cell>
          <cell r="K123">
            <v>0</v>
          </cell>
          <cell r="L123">
            <v>0</v>
          </cell>
          <cell r="M123">
            <v>72065701</v>
          </cell>
          <cell r="N123">
            <v>144131401</v>
          </cell>
          <cell r="O123">
            <v>574203</v>
          </cell>
          <cell r="P123">
            <v>574203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13794320</v>
          </cell>
          <cell r="AC123">
            <v>8276592</v>
          </cell>
          <cell r="AD123">
            <v>5517728</v>
          </cell>
          <cell r="AE123">
            <v>0</v>
          </cell>
          <cell r="AF123">
            <v>27588640</v>
          </cell>
          <cell r="AG123">
            <v>7076689</v>
          </cell>
          <cell r="AH123">
            <v>4246014</v>
          </cell>
          <cell r="AI123">
            <v>2830676</v>
          </cell>
          <cell r="AJ123">
            <v>0</v>
          </cell>
          <cell r="AK123">
            <v>14153379</v>
          </cell>
          <cell r="AL123">
            <v>9200579</v>
          </cell>
          <cell r="AM123">
            <v>5520348</v>
          </cell>
          <cell r="AN123">
            <v>3680232</v>
          </cell>
          <cell r="AO123">
            <v>0</v>
          </cell>
          <cell r="AP123">
            <v>18401159</v>
          </cell>
          <cell r="AQ123">
            <v>967554.43</v>
          </cell>
          <cell r="AR123">
            <v>580533</v>
          </cell>
          <cell r="AS123">
            <v>387022</v>
          </cell>
          <cell r="AT123">
            <v>0</v>
          </cell>
          <cell r="AU123">
            <v>1935109.43</v>
          </cell>
          <cell r="AV123">
            <v>10168133.4</v>
          </cell>
          <cell r="AW123">
            <v>6100881</v>
          </cell>
          <cell r="AX123">
            <v>4067254</v>
          </cell>
          <cell r="AY123">
            <v>0</v>
          </cell>
          <cell r="AZ123">
            <v>20336268.399999999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4854101</v>
          </cell>
          <cell r="BG123">
            <v>2912461</v>
          </cell>
          <cell r="BH123">
            <v>1941641</v>
          </cell>
          <cell r="BI123">
            <v>0</v>
          </cell>
          <cell r="BJ123">
            <v>9708203</v>
          </cell>
          <cell r="BK123">
            <v>4854101</v>
          </cell>
          <cell r="BL123">
            <v>2912461</v>
          </cell>
          <cell r="BM123">
            <v>1941641</v>
          </cell>
          <cell r="BN123">
            <v>0</v>
          </cell>
          <cell r="BO123">
            <v>9708203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14687601</v>
          </cell>
          <cell r="BV123">
            <v>8812561</v>
          </cell>
          <cell r="BW123">
            <v>5875041</v>
          </cell>
          <cell r="BX123">
            <v>0</v>
          </cell>
          <cell r="BY123">
            <v>29375203</v>
          </cell>
          <cell r="BZ123">
            <v>14687601</v>
          </cell>
          <cell r="CA123">
            <v>8812561</v>
          </cell>
          <cell r="CB123">
            <v>5875041</v>
          </cell>
          <cell r="CC123">
            <v>0</v>
          </cell>
          <cell r="CD123">
            <v>29375203</v>
          </cell>
        </row>
        <row r="124">
          <cell r="A124">
            <v>117</v>
          </cell>
          <cell r="B124" t="str">
            <v>E2433</v>
          </cell>
          <cell r="C124" t="str">
            <v>SD</v>
          </cell>
          <cell r="D124" t="str">
            <v>EM</v>
          </cell>
          <cell r="E124" t="str">
            <v>Harborough</v>
          </cell>
          <cell r="F124">
            <v>18135601</v>
          </cell>
          <cell r="G124">
            <v>14508480</v>
          </cell>
          <cell r="H124">
            <v>3264408</v>
          </cell>
          <cell r="I124">
            <v>362712</v>
          </cell>
          <cell r="J124">
            <v>36271201</v>
          </cell>
          <cell r="K124">
            <v>0</v>
          </cell>
          <cell r="L124">
            <v>0</v>
          </cell>
          <cell r="M124">
            <v>18135601</v>
          </cell>
          <cell r="N124">
            <v>36271201</v>
          </cell>
          <cell r="O124">
            <v>123350</v>
          </cell>
          <cell r="P124">
            <v>123350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289856</v>
          </cell>
          <cell r="AC124">
            <v>231884</v>
          </cell>
          <cell r="AD124">
            <v>52174</v>
          </cell>
          <cell r="AE124">
            <v>5797</v>
          </cell>
          <cell r="AF124">
            <v>579711</v>
          </cell>
          <cell r="AG124">
            <v>232102.66</v>
          </cell>
          <cell r="AH124">
            <v>185682</v>
          </cell>
          <cell r="AI124">
            <v>41779</v>
          </cell>
          <cell r="AJ124">
            <v>4642</v>
          </cell>
          <cell r="AK124">
            <v>464205.66</v>
          </cell>
          <cell r="AL124">
            <v>275457</v>
          </cell>
          <cell r="AM124">
            <v>220365</v>
          </cell>
          <cell r="AN124">
            <v>49582</v>
          </cell>
          <cell r="AO124">
            <v>5509</v>
          </cell>
          <cell r="AP124">
            <v>550913</v>
          </cell>
          <cell r="AQ124">
            <v>-246681</v>
          </cell>
          <cell r="AR124">
            <v>-197346</v>
          </cell>
          <cell r="AS124">
            <v>-44403</v>
          </cell>
          <cell r="AT124">
            <v>-4934</v>
          </cell>
          <cell r="AU124">
            <v>-493364</v>
          </cell>
          <cell r="AV124">
            <v>28776</v>
          </cell>
          <cell r="AW124">
            <v>23019</v>
          </cell>
          <cell r="AX124">
            <v>5179</v>
          </cell>
          <cell r="AY124">
            <v>575</v>
          </cell>
          <cell r="AZ124">
            <v>57549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83972</v>
          </cell>
          <cell r="BG124">
            <v>67177</v>
          </cell>
          <cell r="BH124">
            <v>15115</v>
          </cell>
          <cell r="BI124">
            <v>1679</v>
          </cell>
          <cell r="BJ124">
            <v>167943</v>
          </cell>
          <cell r="BK124">
            <v>83972</v>
          </cell>
          <cell r="BL124">
            <v>67177</v>
          </cell>
          <cell r="BM124">
            <v>15115</v>
          </cell>
          <cell r="BN124">
            <v>1679</v>
          </cell>
          <cell r="BO124">
            <v>167943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182881</v>
          </cell>
          <cell r="BV124">
            <v>146306</v>
          </cell>
          <cell r="BW124">
            <v>32919</v>
          </cell>
          <cell r="BX124">
            <v>3658</v>
          </cell>
          <cell r="BY124">
            <v>365764</v>
          </cell>
          <cell r="BZ124">
            <v>182881</v>
          </cell>
          <cell r="CA124">
            <v>146306</v>
          </cell>
          <cell r="CB124">
            <v>32919</v>
          </cell>
          <cell r="CC124">
            <v>3658</v>
          </cell>
          <cell r="CD124">
            <v>365764</v>
          </cell>
        </row>
        <row r="125">
          <cell r="A125">
            <v>118</v>
          </cell>
          <cell r="B125" t="str">
            <v>E5038</v>
          </cell>
          <cell r="C125" t="str">
            <v>OLB</v>
          </cell>
          <cell r="D125" t="str">
            <v>L</v>
          </cell>
          <cell r="E125" t="str">
            <v>Haringey</v>
          </cell>
          <cell r="F125">
            <v>30717341</v>
          </cell>
          <cell r="G125">
            <v>18430405</v>
          </cell>
          <cell r="H125">
            <v>12286937</v>
          </cell>
          <cell r="I125">
            <v>0</v>
          </cell>
          <cell r="J125">
            <v>61434683</v>
          </cell>
          <cell r="K125">
            <v>0</v>
          </cell>
          <cell r="L125">
            <v>0</v>
          </cell>
          <cell r="M125">
            <v>30717341</v>
          </cell>
          <cell r="N125">
            <v>61434683</v>
          </cell>
          <cell r="O125">
            <v>309107</v>
          </cell>
          <cell r="P125">
            <v>309107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5446873</v>
          </cell>
          <cell r="AC125">
            <v>3268124</v>
          </cell>
          <cell r="AD125">
            <v>2178749</v>
          </cell>
          <cell r="AE125">
            <v>0</v>
          </cell>
          <cell r="AF125">
            <v>10893746</v>
          </cell>
          <cell r="AG125">
            <v>3470674</v>
          </cell>
          <cell r="AH125">
            <v>2082404</v>
          </cell>
          <cell r="AI125">
            <v>1388269</v>
          </cell>
          <cell r="AJ125">
            <v>0</v>
          </cell>
          <cell r="AK125">
            <v>6941347</v>
          </cell>
          <cell r="AL125">
            <v>1032657.34</v>
          </cell>
          <cell r="AM125">
            <v>619595</v>
          </cell>
          <cell r="AN125">
            <v>413063</v>
          </cell>
          <cell r="AO125">
            <v>0</v>
          </cell>
          <cell r="AP125">
            <v>2065315.34</v>
          </cell>
          <cell r="AQ125">
            <v>2342</v>
          </cell>
          <cell r="AR125">
            <v>1406</v>
          </cell>
          <cell r="AS125">
            <v>937</v>
          </cell>
          <cell r="AT125">
            <v>0</v>
          </cell>
          <cell r="AU125">
            <v>4685</v>
          </cell>
          <cell r="AV125">
            <v>1034999.34</v>
          </cell>
          <cell r="AW125">
            <v>621001</v>
          </cell>
          <cell r="AX125">
            <v>414000</v>
          </cell>
          <cell r="AY125">
            <v>0</v>
          </cell>
          <cell r="AZ125">
            <v>2070000.34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363127</v>
          </cell>
          <cell r="BG125">
            <v>217876</v>
          </cell>
          <cell r="BH125">
            <v>145251</v>
          </cell>
          <cell r="BI125">
            <v>0</v>
          </cell>
          <cell r="BJ125">
            <v>726254</v>
          </cell>
          <cell r="BK125">
            <v>363127</v>
          </cell>
          <cell r="BL125">
            <v>217876</v>
          </cell>
          <cell r="BM125">
            <v>145251</v>
          </cell>
          <cell r="BN125">
            <v>0</v>
          </cell>
          <cell r="BO125">
            <v>726254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501461</v>
          </cell>
          <cell r="BV125">
            <v>300876</v>
          </cell>
          <cell r="BW125">
            <v>200584</v>
          </cell>
          <cell r="BX125">
            <v>0</v>
          </cell>
          <cell r="BY125">
            <v>1002921</v>
          </cell>
          <cell r="BZ125">
            <v>501461</v>
          </cell>
          <cell r="CA125">
            <v>300876</v>
          </cell>
          <cell r="CB125">
            <v>200584</v>
          </cell>
          <cell r="CC125">
            <v>0</v>
          </cell>
          <cell r="CD125">
            <v>1002921</v>
          </cell>
        </row>
        <row r="126">
          <cell r="A126">
            <v>119</v>
          </cell>
          <cell r="B126" t="str">
            <v>E1538</v>
          </cell>
          <cell r="C126" t="str">
            <v>SD</v>
          </cell>
          <cell r="D126" t="str">
            <v>E</v>
          </cell>
          <cell r="E126" t="str">
            <v>Harlow</v>
          </cell>
          <cell r="F126">
            <v>18960597</v>
          </cell>
          <cell r="G126">
            <v>15168477</v>
          </cell>
          <cell r="H126">
            <v>3412907</v>
          </cell>
          <cell r="I126">
            <v>379212</v>
          </cell>
          <cell r="J126">
            <v>37921193</v>
          </cell>
          <cell r="K126">
            <v>0</v>
          </cell>
          <cell r="L126">
            <v>0</v>
          </cell>
          <cell r="M126">
            <v>18960597</v>
          </cell>
          <cell r="N126">
            <v>37921193</v>
          </cell>
          <cell r="O126">
            <v>124428</v>
          </cell>
          <cell r="P126">
            <v>124428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1147358</v>
          </cell>
          <cell r="AC126">
            <v>917887</v>
          </cell>
          <cell r="AD126">
            <v>206525</v>
          </cell>
          <cell r="AE126">
            <v>22947</v>
          </cell>
          <cell r="AF126">
            <v>2294717</v>
          </cell>
          <cell r="AG126">
            <v>143330</v>
          </cell>
          <cell r="AH126">
            <v>114665</v>
          </cell>
          <cell r="AI126">
            <v>25800</v>
          </cell>
          <cell r="AJ126">
            <v>2867</v>
          </cell>
          <cell r="AK126">
            <v>286662</v>
          </cell>
          <cell r="AL126">
            <v>623500</v>
          </cell>
          <cell r="AM126">
            <v>498800</v>
          </cell>
          <cell r="AN126">
            <v>112230</v>
          </cell>
          <cell r="AO126">
            <v>12470</v>
          </cell>
          <cell r="AP126">
            <v>1247000</v>
          </cell>
          <cell r="AQ126">
            <v>395250</v>
          </cell>
          <cell r="AR126">
            <v>316200</v>
          </cell>
          <cell r="AS126">
            <v>71145</v>
          </cell>
          <cell r="AT126">
            <v>7905</v>
          </cell>
          <cell r="AU126">
            <v>790500</v>
          </cell>
          <cell r="AV126">
            <v>1018750</v>
          </cell>
          <cell r="AW126">
            <v>815000</v>
          </cell>
          <cell r="AX126">
            <v>183375</v>
          </cell>
          <cell r="AY126">
            <v>20375</v>
          </cell>
          <cell r="AZ126">
            <v>2037500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931162</v>
          </cell>
          <cell r="BG126">
            <v>744930</v>
          </cell>
          <cell r="BH126">
            <v>167609</v>
          </cell>
          <cell r="BI126">
            <v>18623</v>
          </cell>
          <cell r="BJ126">
            <v>1862324</v>
          </cell>
          <cell r="BK126">
            <v>931162</v>
          </cell>
          <cell r="BL126">
            <v>744930</v>
          </cell>
          <cell r="BM126">
            <v>167609</v>
          </cell>
          <cell r="BN126">
            <v>18623</v>
          </cell>
          <cell r="BO126">
            <v>1862324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1228065</v>
          </cell>
          <cell r="BV126">
            <v>982452</v>
          </cell>
          <cell r="BW126">
            <v>221052</v>
          </cell>
          <cell r="BX126">
            <v>24561</v>
          </cell>
          <cell r="BY126">
            <v>2456130</v>
          </cell>
          <cell r="BZ126">
            <v>1228065</v>
          </cell>
          <cell r="CA126">
            <v>982452</v>
          </cell>
          <cell r="CB126">
            <v>221052</v>
          </cell>
          <cell r="CC126">
            <v>24561</v>
          </cell>
          <cell r="CD126">
            <v>2456130</v>
          </cell>
        </row>
        <row r="127">
          <cell r="A127">
            <v>120</v>
          </cell>
          <cell r="B127" t="str">
            <v>E2753</v>
          </cell>
          <cell r="C127" t="str">
            <v>SD</v>
          </cell>
          <cell r="D127" t="str">
            <v>YH</v>
          </cell>
          <cell r="E127" t="str">
            <v>Harrogate</v>
          </cell>
          <cell r="F127">
            <v>28853074</v>
          </cell>
          <cell r="G127">
            <v>23082458</v>
          </cell>
          <cell r="H127">
            <v>5193553</v>
          </cell>
          <cell r="I127">
            <v>577061</v>
          </cell>
          <cell r="J127">
            <v>57706146</v>
          </cell>
          <cell r="K127">
            <v>0</v>
          </cell>
          <cell r="L127">
            <v>0</v>
          </cell>
          <cell r="M127">
            <v>28853074</v>
          </cell>
          <cell r="N127">
            <v>57706146</v>
          </cell>
          <cell r="O127">
            <v>284541</v>
          </cell>
          <cell r="P127">
            <v>284541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948734</v>
          </cell>
          <cell r="AC127">
            <v>758988</v>
          </cell>
          <cell r="AD127">
            <v>170772</v>
          </cell>
          <cell r="AE127">
            <v>18975</v>
          </cell>
          <cell r="AF127">
            <v>1897469</v>
          </cell>
          <cell r="AG127">
            <v>371469</v>
          </cell>
          <cell r="AH127">
            <v>297176</v>
          </cell>
          <cell r="AI127">
            <v>66865</v>
          </cell>
          <cell r="AJ127">
            <v>7429</v>
          </cell>
          <cell r="AK127">
            <v>742939</v>
          </cell>
          <cell r="AL127">
            <v>407958</v>
          </cell>
          <cell r="AM127">
            <v>326366</v>
          </cell>
          <cell r="AN127">
            <v>73432</v>
          </cell>
          <cell r="AO127">
            <v>8159</v>
          </cell>
          <cell r="AP127">
            <v>815915</v>
          </cell>
          <cell r="AQ127">
            <v>174747</v>
          </cell>
          <cell r="AR127">
            <v>139798</v>
          </cell>
          <cell r="AS127">
            <v>31454</v>
          </cell>
          <cell r="AT127">
            <v>3495</v>
          </cell>
          <cell r="AU127">
            <v>349494</v>
          </cell>
          <cell r="AV127">
            <v>582705</v>
          </cell>
          <cell r="AW127">
            <v>466164</v>
          </cell>
          <cell r="AX127">
            <v>104886</v>
          </cell>
          <cell r="AY127">
            <v>11654</v>
          </cell>
          <cell r="AZ127">
            <v>1165409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371062</v>
          </cell>
          <cell r="BG127">
            <v>296850</v>
          </cell>
          <cell r="BH127">
            <v>66791</v>
          </cell>
          <cell r="BI127">
            <v>7421</v>
          </cell>
          <cell r="BJ127">
            <v>742124</v>
          </cell>
          <cell r="BK127">
            <v>371062</v>
          </cell>
          <cell r="BL127">
            <v>296850</v>
          </cell>
          <cell r="BM127">
            <v>66791</v>
          </cell>
          <cell r="BN127">
            <v>7421</v>
          </cell>
          <cell r="BO127">
            <v>742124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497664</v>
          </cell>
          <cell r="BV127">
            <v>398130</v>
          </cell>
          <cell r="BW127">
            <v>89579</v>
          </cell>
          <cell r="BX127">
            <v>9953</v>
          </cell>
          <cell r="BY127">
            <v>995326</v>
          </cell>
          <cell r="BZ127">
            <v>497664</v>
          </cell>
          <cell r="CA127">
            <v>398130</v>
          </cell>
          <cell r="CB127">
            <v>89579</v>
          </cell>
          <cell r="CC127">
            <v>9953</v>
          </cell>
          <cell r="CD127">
            <v>995326</v>
          </cell>
        </row>
        <row r="128">
          <cell r="A128">
            <v>121</v>
          </cell>
          <cell r="B128" t="str">
            <v>E5039</v>
          </cell>
          <cell r="C128" t="str">
            <v>OLB</v>
          </cell>
          <cell r="D128" t="str">
            <v>L</v>
          </cell>
          <cell r="E128" t="str">
            <v>Harrow</v>
          </cell>
          <cell r="F128">
            <v>24054697</v>
          </cell>
          <cell r="G128">
            <v>14432819</v>
          </cell>
          <cell r="H128">
            <v>9621879</v>
          </cell>
          <cell r="I128">
            <v>0</v>
          </cell>
          <cell r="J128">
            <v>48109395</v>
          </cell>
          <cell r="K128">
            <v>0</v>
          </cell>
          <cell r="L128">
            <v>0</v>
          </cell>
          <cell r="M128">
            <v>24054697</v>
          </cell>
          <cell r="N128">
            <v>48109395</v>
          </cell>
          <cell r="O128">
            <v>255455</v>
          </cell>
          <cell r="P128">
            <v>255455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1922757</v>
          </cell>
          <cell r="AC128">
            <v>1153654</v>
          </cell>
          <cell r="AD128">
            <v>769103</v>
          </cell>
          <cell r="AE128">
            <v>0</v>
          </cell>
          <cell r="AF128">
            <v>3845514</v>
          </cell>
          <cell r="AG128">
            <v>91963</v>
          </cell>
          <cell r="AH128">
            <v>55178</v>
          </cell>
          <cell r="AI128">
            <v>36785</v>
          </cell>
          <cell r="AJ128">
            <v>0</v>
          </cell>
          <cell r="AK128">
            <v>183926</v>
          </cell>
          <cell r="AL128">
            <v>1105677</v>
          </cell>
          <cell r="AM128">
            <v>663407</v>
          </cell>
          <cell r="AN128">
            <v>442271</v>
          </cell>
          <cell r="AO128">
            <v>0</v>
          </cell>
          <cell r="AP128">
            <v>2211355</v>
          </cell>
          <cell r="AQ128">
            <v>142596</v>
          </cell>
          <cell r="AR128">
            <v>85557</v>
          </cell>
          <cell r="AS128">
            <v>57038</v>
          </cell>
          <cell r="AT128">
            <v>0</v>
          </cell>
          <cell r="AU128">
            <v>285191</v>
          </cell>
          <cell r="AV128">
            <v>1248273</v>
          </cell>
          <cell r="AW128">
            <v>748964</v>
          </cell>
          <cell r="AX128">
            <v>499309</v>
          </cell>
          <cell r="AY128">
            <v>0</v>
          </cell>
          <cell r="AZ128">
            <v>2496546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700000</v>
          </cell>
          <cell r="BG128">
            <v>420000</v>
          </cell>
          <cell r="BH128">
            <v>280000</v>
          </cell>
          <cell r="BI128">
            <v>0</v>
          </cell>
          <cell r="BJ128">
            <v>1400000</v>
          </cell>
          <cell r="BK128">
            <v>700000</v>
          </cell>
          <cell r="BL128">
            <v>420000</v>
          </cell>
          <cell r="BM128">
            <v>280000</v>
          </cell>
          <cell r="BN128">
            <v>0</v>
          </cell>
          <cell r="BO128">
            <v>1400000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</row>
        <row r="129">
          <cell r="A129">
            <v>122</v>
          </cell>
          <cell r="B129" t="str">
            <v>E1736</v>
          </cell>
          <cell r="C129" t="str">
            <v>SD</v>
          </cell>
          <cell r="D129" t="str">
            <v>SE</v>
          </cell>
          <cell r="E129" t="str">
            <v>Hart</v>
          </cell>
          <cell r="F129">
            <v>13174526</v>
          </cell>
          <cell r="G129">
            <v>10539621</v>
          </cell>
          <cell r="H129">
            <v>2371415</v>
          </cell>
          <cell r="I129">
            <v>263491</v>
          </cell>
          <cell r="J129">
            <v>26349053</v>
          </cell>
          <cell r="K129">
            <v>0</v>
          </cell>
          <cell r="L129">
            <v>0</v>
          </cell>
          <cell r="M129">
            <v>13174526</v>
          </cell>
          <cell r="N129">
            <v>26349053</v>
          </cell>
          <cell r="O129">
            <v>100079</v>
          </cell>
          <cell r="P129">
            <v>100079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895087.08</v>
          </cell>
          <cell r="AC129">
            <v>716070</v>
          </cell>
          <cell r="AD129">
            <v>161116</v>
          </cell>
          <cell r="AE129">
            <v>17902</v>
          </cell>
          <cell r="AF129">
            <v>1790175.08</v>
          </cell>
          <cell r="AG129">
            <v>254475.35</v>
          </cell>
          <cell r="AH129">
            <v>203580</v>
          </cell>
          <cell r="AI129">
            <v>45805</v>
          </cell>
          <cell r="AJ129">
            <v>5089</v>
          </cell>
          <cell r="AK129">
            <v>508949.35</v>
          </cell>
          <cell r="AL129">
            <v>33175149</v>
          </cell>
          <cell r="AM129">
            <v>26540120</v>
          </cell>
          <cell r="AN129">
            <v>5971527</v>
          </cell>
          <cell r="AO129">
            <v>663503</v>
          </cell>
          <cell r="AP129">
            <v>66350299</v>
          </cell>
          <cell r="AQ129">
            <v>4175.41</v>
          </cell>
          <cell r="AR129">
            <v>3341</v>
          </cell>
          <cell r="AS129">
            <v>752</v>
          </cell>
          <cell r="AT129">
            <v>84</v>
          </cell>
          <cell r="AU129">
            <v>8352.41</v>
          </cell>
          <cell r="AV129">
            <v>33179324.399999999</v>
          </cell>
          <cell r="AW129">
            <v>26543461</v>
          </cell>
          <cell r="AX129">
            <v>5972279</v>
          </cell>
          <cell r="AY129">
            <v>663587</v>
          </cell>
          <cell r="AZ129">
            <v>66358651.399999999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229026.77</v>
          </cell>
          <cell r="BG129">
            <v>183222</v>
          </cell>
          <cell r="BH129">
            <v>41225</v>
          </cell>
          <cell r="BI129">
            <v>4581</v>
          </cell>
          <cell r="BJ129">
            <v>458054.77</v>
          </cell>
          <cell r="BK129">
            <v>229026.77</v>
          </cell>
          <cell r="BL129">
            <v>183222</v>
          </cell>
          <cell r="BM129">
            <v>41225</v>
          </cell>
          <cell r="BN129">
            <v>4581</v>
          </cell>
          <cell r="BO129">
            <v>458054.77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719326.58</v>
          </cell>
          <cell r="BV129">
            <v>575462</v>
          </cell>
          <cell r="BW129">
            <v>129479</v>
          </cell>
          <cell r="BX129">
            <v>14387</v>
          </cell>
          <cell r="BY129">
            <v>1438654.58</v>
          </cell>
          <cell r="BZ129">
            <v>719326.58</v>
          </cell>
          <cell r="CA129">
            <v>575462</v>
          </cell>
          <cell r="CB129">
            <v>129479</v>
          </cell>
          <cell r="CC129">
            <v>14387</v>
          </cell>
          <cell r="CD129">
            <v>1438654.58</v>
          </cell>
        </row>
        <row r="130">
          <cell r="A130">
            <v>123</v>
          </cell>
          <cell r="B130" t="str">
            <v>E0701</v>
          </cell>
          <cell r="C130" t="str">
            <v>UA</v>
          </cell>
          <cell r="D130" t="str">
            <v>NE</v>
          </cell>
          <cell r="E130" t="str">
            <v>Hartlepool UA</v>
          </cell>
          <cell r="F130">
            <v>17420224</v>
          </cell>
          <cell r="G130">
            <v>17071819</v>
          </cell>
          <cell r="H130">
            <v>0</v>
          </cell>
          <cell r="I130">
            <v>348404</v>
          </cell>
          <cell r="J130">
            <v>34840447</v>
          </cell>
          <cell r="K130">
            <v>67812</v>
          </cell>
          <cell r="L130">
            <v>67812</v>
          </cell>
          <cell r="M130">
            <v>17352412</v>
          </cell>
          <cell r="N130">
            <v>34772635</v>
          </cell>
          <cell r="O130">
            <v>124827</v>
          </cell>
          <cell r="P130">
            <v>124827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67812</v>
          </cell>
          <cell r="Y130">
            <v>0</v>
          </cell>
          <cell r="Z130">
            <v>0</v>
          </cell>
          <cell r="AA130">
            <v>67812</v>
          </cell>
          <cell r="AB130">
            <v>707344</v>
          </cell>
          <cell r="AC130">
            <v>693198</v>
          </cell>
          <cell r="AD130">
            <v>0</v>
          </cell>
          <cell r="AE130">
            <v>14147</v>
          </cell>
          <cell r="AF130">
            <v>1414689</v>
          </cell>
          <cell r="AG130">
            <v>269431</v>
          </cell>
          <cell r="AH130">
            <v>264043</v>
          </cell>
          <cell r="AI130">
            <v>0</v>
          </cell>
          <cell r="AJ130">
            <v>5389</v>
          </cell>
          <cell r="AK130">
            <v>538863</v>
          </cell>
          <cell r="AL130">
            <v>338411</v>
          </cell>
          <cell r="AM130">
            <v>331642</v>
          </cell>
          <cell r="AN130">
            <v>0</v>
          </cell>
          <cell r="AO130">
            <v>6768</v>
          </cell>
          <cell r="AP130">
            <v>676821</v>
          </cell>
          <cell r="AQ130">
            <v>48429</v>
          </cell>
          <cell r="AR130">
            <v>47461</v>
          </cell>
          <cell r="AS130">
            <v>0</v>
          </cell>
          <cell r="AT130">
            <v>969</v>
          </cell>
          <cell r="AU130">
            <v>96859</v>
          </cell>
          <cell r="AV130">
            <v>386840</v>
          </cell>
          <cell r="AW130">
            <v>379103</v>
          </cell>
          <cell r="AX130">
            <v>0</v>
          </cell>
          <cell r="AY130">
            <v>7737</v>
          </cell>
          <cell r="AZ130">
            <v>773680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520369</v>
          </cell>
          <cell r="BG130">
            <v>509962</v>
          </cell>
          <cell r="BH130">
            <v>0</v>
          </cell>
          <cell r="BI130">
            <v>10407</v>
          </cell>
          <cell r="BJ130">
            <v>1040738</v>
          </cell>
          <cell r="BK130">
            <v>520369</v>
          </cell>
          <cell r="BL130">
            <v>509962</v>
          </cell>
          <cell r="BM130">
            <v>0</v>
          </cell>
          <cell r="BN130">
            <v>10407</v>
          </cell>
          <cell r="BO130">
            <v>1040738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1461530</v>
          </cell>
          <cell r="BV130">
            <v>1432300</v>
          </cell>
          <cell r="BW130">
            <v>0</v>
          </cell>
          <cell r="BX130">
            <v>29231</v>
          </cell>
          <cell r="BY130">
            <v>2923061</v>
          </cell>
          <cell r="BZ130">
            <v>1461530</v>
          </cell>
          <cell r="CA130">
            <v>1432300</v>
          </cell>
          <cell r="CB130">
            <v>0</v>
          </cell>
          <cell r="CC130">
            <v>29231</v>
          </cell>
          <cell r="CD130">
            <v>2923061</v>
          </cell>
        </row>
        <row r="131">
          <cell r="A131">
            <v>124</v>
          </cell>
          <cell r="B131" t="str">
            <v>E1433</v>
          </cell>
          <cell r="C131" t="str">
            <v>SD</v>
          </cell>
          <cell r="D131" t="str">
            <v>SE</v>
          </cell>
          <cell r="E131" t="str">
            <v>Hastings</v>
          </cell>
          <cell r="F131">
            <v>9894886</v>
          </cell>
          <cell r="G131">
            <v>7915909</v>
          </cell>
          <cell r="H131">
            <v>1781080</v>
          </cell>
          <cell r="I131">
            <v>197898</v>
          </cell>
          <cell r="J131">
            <v>19789773</v>
          </cell>
          <cell r="K131">
            <v>0</v>
          </cell>
          <cell r="L131">
            <v>0</v>
          </cell>
          <cell r="M131">
            <v>9894886</v>
          </cell>
          <cell r="N131">
            <v>19789773</v>
          </cell>
          <cell r="O131">
            <v>123130</v>
          </cell>
          <cell r="P131">
            <v>123130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611409</v>
          </cell>
          <cell r="AC131">
            <v>489126</v>
          </cell>
          <cell r="AD131">
            <v>110053</v>
          </cell>
          <cell r="AE131">
            <v>12228</v>
          </cell>
          <cell r="AF131">
            <v>1222816</v>
          </cell>
          <cell r="AG131">
            <v>132542</v>
          </cell>
          <cell r="AH131">
            <v>106034</v>
          </cell>
          <cell r="AI131">
            <v>23858</v>
          </cell>
          <cell r="AJ131">
            <v>2651</v>
          </cell>
          <cell r="AK131">
            <v>265085</v>
          </cell>
          <cell r="AL131">
            <v>369720</v>
          </cell>
          <cell r="AM131">
            <v>295776</v>
          </cell>
          <cell r="AN131">
            <v>66550</v>
          </cell>
          <cell r="AO131">
            <v>7394</v>
          </cell>
          <cell r="AP131">
            <v>739440</v>
          </cell>
          <cell r="AQ131">
            <v>-3378</v>
          </cell>
          <cell r="AR131">
            <v>-2702</v>
          </cell>
          <cell r="AS131">
            <v>-608</v>
          </cell>
          <cell r="AT131">
            <v>-68</v>
          </cell>
          <cell r="AU131">
            <v>-6756</v>
          </cell>
          <cell r="AV131">
            <v>366342</v>
          </cell>
          <cell r="AW131">
            <v>293074</v>
          </cell>
          <cell r="AX131">
            <v>65942</v>
          </cell>
          <cell r="AY131">
            <v>7326</v>
          </cell>
          <cell r="AZ131">
            <v>732684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257238</v>
          </cell>
          <cell r="BG131">
            <v>205790</v>
          </cell>
          <cell r="BH131">
            <v>46303</v>
          </cell>
          <cell r="BI131">
            <v>5145</v>
          </cell>
          <cell r="BJ131">
            <v>514476</v>
          </cell>
          <cell r="BK131">
            <v>257238</v>
          </cell>
          <cell r="BL131">
            <v>205790</v>
          </cell>
          <cell r="BM131">
            <v>46303</v>
          </cell>
          <cell r="BN131">
            <v>5145</v>
          </cell>
          <cell r="BO131">
            <v>514476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642594</v>
          </cell>
          <cell r="BV131">
            <v>514075</v>
          </cell>
          <cell r="BW131">
            <v>115667</v>
          </cell>
          <cell r="BX131">
            <v>12852</v>
          </cell>
          <cell r="BY131">
            <v>1285188</v>
          </cell>
          <cell r="BZ131">
            <v>642594</v>
          </cell>
          <cell r="CA131">
            <v>514075</v>
          </cell>
          <cell r="CB131">
            <v>115667</v>
          </cell>
          <cell r="CC131">
            <v>12852</v>
          </cell>
          <cell r="CD131">
            <v>1285188</v>
          </cell>
        </row>
        <row r="132">
          <cell r="A132">
            <v>125</v>
          </cell>
          <cell r="B132" t="str">
            <v>E1737</v>
          </cell>
          <cell r="C132" t="str">
            <v>SD</v>
          </cell>
          <cell r="D132" t="str">
            <v>SE</v>
          </cell>
          <cell r="E132" t="str">
            <v>Havant</v>
          </cell>
          <cell r="F132">
            <v>15270409</v>
          </cell>
          <cell r="G132">
            <v>12216326</v>
          </cell>
          <cell r="H132">
            <v>2748673</v>
          </cell>
          <cell r="I132">
            <v>305408</v>
          </cell>
          <cell r="J132">
            <v>30540816</v>
          </cell>
          <cell r="K132">
            <v>0</v>
          </cell>
          <cell r="L132">
            <v>0</v>
          </cell>
          <cell r="M132">
            <v>15270409</v>
          </cell>
          <cell r="N132">
            <v>30540816</v>
          </cell>
          <cell r="O132">
            <v>140839</v>
          </cell>
          <cell r="P132">
            <v>140839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279820</v>
          </cell>
          <cell r="AC132">
            <v>223856</v>
          </cell>
          <cell r="AD132">
            <v>50368</v>
          </cell>
          <cell r="AE132">
            <v>5596</v>
          </cell>
          <cell r="AF132">
            <v>559640</v>
          </cell>
          <cell r="AG132">
            <v>281802</v>
          </cell>
          <cell r="AH132">
            <v>225441</v>
          </cell>
          <cell r="AI132">
            <v>50724</v>
          </cell>
          <cell r="AJ132">
            <v>5636</v>
          </cell>
          <cell r="AK132">
            <v>563603</v>
          </cell>
          <cell r="AL132">
            <v>134331</v>
          </cell>
          <cell r="AM132">
            <v>107464</v>
          </cell>
          <cell r="AN132">
            <v>24179</v>
          </cell>
          <cell r="AO132">
            <v>2687</v>
          </cell>
          <cell r="AP132">
            <v>268661</v>
          </cell>
          <cell r="AQ132">
            <v>-38098</v>
          </cell>
          <cell r="AR132">
            <v>-30478</v>
          </cell>
          <cell r="AS132">
            <v>-6858</v>
          </cell>
          <cell r="AT132">
            <v>-762</v>
          </cell>
          <cell r="AU132">
            <v>-76196</v>
          </cell>
          <cell r="AV132">
            <v>96233</v>
          </cell>
          <cell r="AW132">
            <v>76986</v>
          </cell>
          <cell r="AX132">
            <v>17321</v>
          </cell>
          <cell r="AY132">
            <v>1925</v>
          </cell>
          <cell r="AZ132">
            <v>192465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229825</v>
          </cell>
          <cell r="BG132">
            <v>183859</v>
          </cell>
          <cell r="BH132">
            <v>41368</v>
          </cell>
          <cell r="BI132">
            <v>4596</v>
          </cell>
          <cell r="BJ132">
            <v>459648</v>
          </cell>
          <cell r="BK132">
            <v>229825</v>
          </cell>
          <cell r="BL132">
            <v>183859</v>
          </cell>
          <cell r="BM132">
            <v>41368</v>
          </cell>
          <cell r="BN132">
            <v>4596</v>
          </cell>
          <cell r="BO132">
            <v>459648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330731</v>
          </cell>
          <cell r="BV132">
            <v>264584</v>
          </cell>
          <cell r="BW132">
            <v>59531</v>
          </cell>
          <cell r="BX132">
            <v>6615</v>
          </cell>
          <cell r="BY132">
            <v>661461</v>
          </cell>
          <cell r="BZ132">
            <v>330731</v>
          </cell>
          <cell r="CA132">
            <v>264584</v>
          </cell>
          <cell r="CB132">
            <v>59531</v>
          </cell>
          <cell r="CC132">
            <v>6615</v>
          </cell>
          <cell r="CD132">
            <v>661461</v>
          </cell>
        </row>
        <row r="133">
          <cell r="A133">
            <v>126</v>
          </cell>
          <cell r="B133" t="str">
            <v>E5040</v>
          </cell>
          <cell r="C133" t="str">
            <v>OLB</v>
          </cell>
          <cell r="D133" t="str">
            <v>L</v>
          </cell>
          <cell r="E133" t="str">
            <v>Havering</v>
          </cell>
          <cell r="F133">
            <v>32482782</v>
          </cell>
          <cell r="G133">
            <v>19489670</v>
          </cell>
          <cell r="H133">
            <v>12993113</v>
          </cell>
          <cell r="I133">
            <v>0</v>
          </cell>
          <cell r="J133">
            <v>64965565</v>
          </cell>
          <cell r="K133">
            <v>0</v>
          </cell>
          <cell r="L133">
            <v>0</v>
          </cell>
          <cell r="M133">
            <v>32482782</v>
          </cell>
          <cell r="N133">
            <v>64965565</v>
          </cell>
          <cell r="O133">
            <v>274180</v>
          </cell>
          <cell r="P133">
            <v>274180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3087347.85</v>
          </cell>
          <cell r="AC133">
            <v>1852408</v>
          </cell>
          <cell r="AD133">
            <v>1234939</v>
          </cell>
          <cell r="AE133">
            <v>0</v>
          </cell>
          <cell r="AF133">
            <v>6174694.8499999996</v>
          </cell>
          <cell r="AG133">
            <v>2953639.12</v>
          </cell>
          <cell r="AH133">
            <v>1772183</v>
          </cell>
          <cell r="AI133">
            <v>1181455</v>
          </cell>
          <cell r="AJ133">
            <v>0</v>
          </cell>
          <cell r="AK133">
            <v>5907277.1200000001</v>
          </cell>
          <cell r="AL133">
            <v>1824242.08</v>
          </cell>
          <cell r="AM133">
            <v>1094545</v>
          </cell>
          <cell r="AN133">
            <v>729697</v>
          </cell>
          <cell r="AO133">
            <v>0</v>
          </cell>
          <cell r="AP133">
            <v>3648484.08</v>
          </cell>
          <cell r="AQ133">
            <v>-45958.66</v>
          </cell>
          <cell r="AR133">
            <v>-27576</v>
          </cell>
          <cell r="AS133">
            <v>-18384</v>
          </cell>
          <cell r="AT133">
            <v>0</v>
          </cell>
          <cell r="AU133">
            <v>-91918.66</v>
          </cell>
          <cell r="AV133">
            <v>1778283.42</v>
          </cell>
          <cell r="AW133">
            <v>1066969</v>
          </cell>
          <cell r="AX133">
            <v>711313</v>
          </cell>
          <cell r="AY133">
            <v>0</v>
          </cell>
          <cell r="AZ133">
            <v>3556565.42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628852.41</v>
          </cell>
          <cell r="BG133">
            <v>377312</v>
          </cell>
          <cell r="BH133">
            <v>251541</v>
          </cell>
          <cell r="BI133">
            <v>0</v>
          </cell>
          <cell r="BJ133">
            <v>1257705.4099999999</v>
          </cell>
          <cell r="BK133">
            <v>628852.41</v>
          </cell>
          <cell r="BL133">
            <v>377312</v>
          </cell>
          <cell r="BM133">
            <v>251541</v>
          </cell>
          <cell r="BN133">
            <v>0</v>
          </cell>
          <cell r="BO133">
            <v>1257705.4099999999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2313592.0699999998</v>
          </cell>
          <cell r="BV133">
            <v>1388155</v>
          </cell>
          <cell r="BW133">
            <v>925437</v>
          </cell>
          <cell r="BX133">
            <v>0</v>
          </cell>
          <cell r="BY133">
            <v>4627184.07</v>
          </cell>
          <cell r="BZ133">
            <v>2313592.0699999998</v>
          </cell>
          <cell r="CA133">
            <v>1388155</v>
          </cell>
          <cell r="CB133">
            <v>925437</v>
          </cell>
          <cell r="CC133">
            <v>0</v>
          </cell>
          <cell r="CD133">
            <v>4627184.07</v>
          </cell>
        </row>
        <row r="134">
          <cell r="A134">
            <v>127</v>
          </cell>
          <cell r="B134" t="str">
            <v>E1801</v>
          </cell>
          <cell r="C134" t="str">
            <v>UA</v>
          </cell>
          <cell r="D134" t="str">
            <v>WM</v>
          </cell>
          <cell r="E134" t="str">
            <v>Herefordshire UA</v>
          </cell>
          <cell r="F134">
            <v>20937540</v>
          </cell>
          <cell r="G134">
            <v>20518790</v>
          </cell>
          <cell r="H134">
            <v>0</v>
          </cell>
          <cell r="I134">
            <v>418751</v>
          </cell>
          <cell r="J134">
            <v>41875081</v>
          </cell>
          <cell r="K134">
            <v>60548</v>
          </cell>
          <cell r="L134">
            <v>60548</v>
          </cell>
          <cell r="M134">
            <v>20876992</v>
          </cell>
          <cell r="N134">
            <v>41814533</v>
          </cell>
          <cell r="O134">
            <v>298886</v>
          </cell>
          <cell r="P134">
            <v>298886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42597</v>
          </cell>
          <cell r="V134">
            <v>0</v>
          </cell>
          <cell r="W134">
            <v>42597</v>
          </cell>
          <cell r="X134">
            <v>60548</v>
          </cell>
          <cell r="Y134">
            <v>0</v>
          </cell>
          <cell r="Z134">
            <v>0</v>
          </cell>
          <cell r="AA134">
            <v>60548</v>
          </cell>
          <cell r="AB134">
            <v>549993</v>
          </cell>
          <cell r="AC134">
            <v>538993</v>
          </cell>
          <cell r="AD134">
            <v>0</v>
          </cell>
          <cell r="AE134">
            <v>11000</v>
          </cell>
          <cell r="AF134">
            <v>1099986</v>
          </cell>
          <cell r="AG134">
            <v>353314</v>
          </cell>
          <cell r="AH134">
            <v>346247</v>
          </cell>
          <cell r="AI134">
            <v>0</v>
          </cell>
          <cell r="AJ134">
            <v>7066</v>
          </cell>
          <cell r="AK134">
            <v>706627</v>
          </cell>
          <cell r="AL134">
            <v>102704</v>
          </cell>
          <cell r="AM134">
            <v>100649</v>
          </cell>
          <cell r="AN134">
            <v>0</v>
          </cell>
          <cell r="AO134">
            <v>2054</v>
          </cell>
          <cell r="AP134">
            <v>205407</v>
          </cell>
          <cell r="AQ134">
            <v>40026.42</v>
          </cell>
          <cell r="AR134">
            <v>39226</v>
          </cell>
          <cell r="AS134">
            <v>0</v>
          </cell>
          <cell r="AT134">
            <v>801</v>
          </cell>
          <cell r="AU134">
            <v>80053.42</v>
          </cell>
          <cell r="AV134">
            <v>142730.42000000001</v>
          </cell>
          <cell r="AW134">
            <v>139875</v>
          </cell>
          <cell r="AX134">
            <v>0</v>
          </cell>
          <cell r="AY134">
            <v>2855</v>
          </cell>
          <cell r="AZ134">
            <v>285460.42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261797</v>
          </cell>
          <cell r="BG134">
            <v>256561</v>
          </cell>
          <cell r="BH134">
            <v>0</v>
          </cell>
          <cell r="BI134">
            <v>5236</v>
          </cell>
          <cell r="BJ134">
            <v>523594</v>
          </cell>
          <cell r="BK134">
            <v>261797</v>
          </cell>
          <cell r="BL134">
            <v>256561</v>
          </cell>
          <cell r="BM134">
            <v>0</v>
          </cell>
          <cell r="BN134">
            <v>5236</v>
          </cell>
          <cell r="BO134">
            <v>523594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801597</v>
          </cell>
          <cell r="BV134">
            <v>785566</v>
          </cell>
          <cell r="BW134">
            <v>0</v>
          </cell>
          <cell r="BX134">
            <v>16032</v>
          </cell>
          <cell r="BY134">
            <v>1603195</v>
          </cell>
          <cell r="BZ134">
            <v>801597</v>
          </cell>
          <cell r="CA134">
            <v>785566</v>
          </cell>
          <cell r="CB134">
            <v>0</v>
          </cell>
          <cell r="CC134">
            <v>16032</v>
          </cell>
          <cell r="CD134">
            <v>1603195</v>
          </cell>
        </row>
        <row r="135">
          <cell r="A135">
            <v>128</v>
          </cell>
          <cell r="B135" t="str">
            <v>E1934</v>
          </cell>
          <cell r="C135" t="str">
            <v>SD</v>
          </cell>
          <cell r="D135" t="str">
            <v>E</v>
          </cell>
          <cell r="E135" t="str">
            <v>Hertsmere</v>
          </cell>
          <cell r="F135">
            <v>18907041</v>
          </cell>
          <cell r="G135">
            <v>15125632</v>
          </cell>
          <cell r="H135">
            <v>3781408</v>
          </cell>
          <cell r="I135">
            <v>0</v>
          </cell>
          <cell r="J135">
            <v>37814081</v>
          </cell>
          <cell r="K135">
            <v>0</v>
          </cell>
          <cell r="L135">
            <v>0</v>
          </cell>
          <cell r="M135">
            <v>18907041</v>
          </cell>
          <cell r="N135">
            <v>37814081</v>
          </cell>
          <cell r="O135">
            <v>146387</v>
          </cell>
          <cell r="P135">
            <v>146387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815494.17</v>
          </cell>
          <cell r="AC135">
            <v>652396</v>
          </cell>
          <cell r="AD135">
            <v>163099</v>
          </cell>
          <cell r="AE135">
            <v>0</v>
          </cell>
          <cell r="AF135">
            <v>1630989.17</v>
          </cell>
          <cell r="AG135">
            <v>662033.1</v>
          </cell>
          <cell r="AH135">
            <v>529626</v>
          </cell>
          <cell r="AI135">
            <v>132407</v>
          </cell>
          <cell r="AJ135">
            <v>0</v>
          </cell>
          <cell r="AK135">
            <v>1324066.1000000001</v>
          </cell>
          <cell r="AL135">
            <v>198919.53</v>
          </cell>
          <cell r="AM135">
            <v>159136</v>
          </cell>
          <cell r="AN135">
            <v>39784</v>
          </cell>
          <cell r="AO135">
            <v>0</v>
          </cell>
          <cell r="AP135">
            <v>397839.53</v>
          </cell>
          <cell r="AQ135">
            <v>104272.38</v>
          </cell>
          <cell r="AR135">
            <v>83417</v>
          </cell>
          <cell r="AS135">
            <v>20854</v>
          </cell>
          <cell r="AT135">
            <v>0</v>
          </cell>
          <cell r="AU135">
            <v>208543.38</v>
          </cell>
          <cell r="AV135">
            <v>303191.90999999997</v>
          </cell>
          <cell r="AW135">
            <v>242553</v>
          </cell>
          <cell r="AX135">
            <v>60638</v>
          </cell>
          <cell r="AY135">
            <v>0</v>
          </cell>
          <cell r="AZ135">
            <v>606382.91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778502.6</v>
          </cell>
          <cell r="BG135">
            <v>622801</v>
          </cell>
          <cell r="BH135">
            <v>155700</v>
          </cell>
          <cell r="BI135">
            <v>0</v>
          </cell>
          <cell r="BJ135">
            <v>1557003.6</v>
          </cell>
          <cell r="BK135">
            <v>778502.6</v>
          </cell>
          <cell r="BL135">
            <v>622801</v>
          </cell>
          <cell r="BM135">
            <v>155700</v>
          </cell>
          <cell r="BN135">
            <v>0</v>
          </cell>
          <cell r="BO135">
            <v>1557003.6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2105312.4</v>
          </cell>
          <cell r="BV135">
            <v>1684250</v>
          </cell>
          <cell r="BW135">
            <v>421062</v>
          </cell>
          <cell r="BX135">
            <v>0</v>
          </cell>
          <cell r="BY135">
            <v>4210624.4000000004</v>
          </cell>
          <cell r="BZ135">
            <v>2105312.4</v>
          </cell>
          <cell r="CA135">
            <v>1684250</v>
          </cell>
          <cell r="CB135">
            <v>421062</v>
          </cell>
          <cell r="CC135">
            <v>0</v>
          </cell>
          <cell r="CD135">
            <v>4210624.4000000004</v>
          </cell>
        </row>
        <row r="136">
          <cell r="A136">
            <v>129</v>
          </cell>
          <cell r="B136" t="str">
            <v>E1037</v>
          </cell>
          <cell r="C136" t="str">
            <v>SD</v>
          </cell>
          <cell r="D136" t="str">
            <v>EM</v>
          </cell>
          <cell r="E136" t="str">
            <v>High Peak</v>
          </cell>
          <cell r="F136">
            <v>11338662</v>
          </cell>
          <cell r="G136">
            <v>9070929</v>
          </cell>
          <cell r="H136">
            <v>2040959</v>
          </cell>
          <cell r="I136">
            <v>226773</v>
          </cell>
          <cell r="J136">
            <v>22677323</v>
          </cell>
          <cell r="K136">
            <v>0</v>
          </cell>
          <cell r="L136">
            <v>0</v>
          </cell>
          <cell r="M136">
            <v>11338662</v>
          </cell>
          <cell r="N136">
            <v>22677323</v>
          </cell>
          <cell r="O136">
            <v>135442</v>
          </cell>
          <cell r="P136">
            <v>135442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496184</v>
          </cell>
          <cell r="AC136">
            <v>396947</v>
          </cell>
          <cell r="AD136">
            <v>89313</v>
          </cell>
          <cell r="AE136">
            <v>9924</v>
          </cell>
          <cell r="AF136">
            <v>992368</v>
          </cell>
          <cell r="AG136">
            <v>113467</v>
          </cell>
          <cell r="AH136">
            <v>90774</v>
          </cell>
          <cell r="AI136">
            <v>20424</v>
          </cell>
          <cell r="AJ136">
            <v>2269</v>
          </cell>
          <cell r="AK136">
            <v>226934</v>
          </cell>
          <cell r="AL136">
            <v>285891</v>
          </cell>
          <cell r="AM136">
            <v>228714</v>
          </cell>
          <cell r="AN136">
            <v>51461</v>
          </cell>
          <cell r="AO136">
            <v>5718</v>
          </cell>
          <cell r="AP136">
            <v>571784</v>
          </cell>
          <cell r="AQ136">
            <v>29276</v>
          </cell>
          <cell r="AR136">
            <v>23421</v>
          </cell>
          <cell r="AS136">
            <v>5270</v>
          </cell>
          <cell r="AT136">
            <v>586</v>
          </cell>
          <cell r="AU136">
            <v>58553</v>
          </cell>
          <cell r="AV136">
            <v>315167</v>
          </cell>
          <cell r="AW136">
            <v>252135</v>
          </cell>
          <cell r="AX136">
            <v>56731</v>
          </cell>
          <cell r="AY136">
            <v>6304</v>
          </cell>
          <cell r="AZ136">
            <v>630337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41890</v>
          </cell>
          <cell r="BG136">
            <v>33512</v>
          </cell>
          <cell r="BH136">
            <v>7540</v>
          </cell>
          <cell r="BI136">
            <v>838</v>
          </cell>
          <cell r="BJ136">
            <v>83780</v>
          </cell>
          <cell r="BK136">
            <v>41890</v>
          </cell>
          <cell r="BL136">
            <v>33512</v>
          </cell>
          <cell r="BM136">
            <v>7540</v>
          </cell>
          <cell r="BN136">
            <v>838</v>
          </cell>
          <cell r="BO136">
            <v>83780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103528</v>
          </cell>
          <cell r="BV136">
            <v>82822</v>
          </cell>
          <cell r="BW136">
            <v>18635</v>
          </cell>
          <cell r="BX136">
            <v>2071</v>
          </cell>
          <cell r="BY136">
            <v>207056</v>
          </cell>
          <cell r="BZ136">
            <v>103528</v>
          </cell>
          <cell r="CA136">
            <v>82822</v>
          </cell>
          <cell r="CB136">
            <v>18635</v>
          </cell>
          <cell r="CC136">
            <v>2071</v>
          </cell>
          <cell r="CD136">
            <v>207056</v>
          </cell>
        </row>
        <row r="137">
          <cell r="A137">
            <v>130</v>
          </cell>
          <cell r="B137" t="str">
            <v>E5041</v>
          </cell>
          <cell r="C137" t="str">
            <v>OLB</v>
          </cell>
          <cell r="D137" t="str">
            <v>L</v>
          </cell>
          <cell r="E137" t="str">
            <v>Hillingdon</v>
          </cell>
          <cell r="F137">
            <v>165003295</v>
          </cell>
          <cell r="G137">
            <v>99001977</v>
          </cell>
          <cell r="H137">
            <v>66001318</v>
          </cell>
          <cell r="I137">
            <v>0</v>
          </cell>
          <cell r="J137">
            <v>330006590</v>
          </cell>
          <cell r="K137">
            <v>0</v>
          </cell>
          <cell r="L137">
            <v>0</v>
          </cell>
          <cell r="M137">
            <v>165003295</v>
          </cell>
          <cell r="N137">
            <v>330006590</v>
          </cell>
          <cell r="O137">
            <v>598040</v>
          </cell>
          <cell r="P137">
            <v>598040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2969533</v>
          </cell>
          <cell r="AC137">
            <v>1781720</v>
          </cell>
          <cell r="AD137">
            <v>1187813</v>
          </cell>
          <cell r="AE137">
            <v>0</v>
          </cell>
          <cell r="AF137">
            <v>5939066</v>
          </cell>
          <cell r="AG137">
            <v>7461781</v>
          </cell>
          <cell r="AH137">
            <v>4477069</v>
          </cell>
          <cell r="AI137">
            <v>2984712</v>
          </cell>
          <cell r="AJ137">
            <v>0</v>
          </cell>
          <cell r="AK137">
            <v>14923562</v>
          </cell>
          <cell r="AL137">
            <v>1777979</v>
          </cell>
          <cell r="AM137">
            <v>1066787</v>
          </cell>
          <cell r="AN137">
            <v>711191</v>
          </cell>
          <cell r="AO137">
            <v>0</v>
          </cell>
          <cell r="AP137">
            <v>3555957</v>
          </cell>
          <cell r="AQ137">
            <v>-196385</v>
          </cell>
          <cell r="AR137">
            <v>-117831</v>
          </cell>
          <cell r="AS137">
            <v>-78554</v>
          </cell>
          <cell r="AT137">
            <v>0</v>
          </cell>
          <cell r="AU137">
            <v>-392770</v>
          </cell>
          <cell r="AV137">
            <v>1581594</v>
          </cell>
          <cell r="AW137">
            <v>948956</v>
          </cell>
          <cell r="AX137">
            <v>632637</v>
          </cell>
          <cell r="AY137">
            <v>0</v>
          </cell>
          <cell r="AZ137">
            <v>3163187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1457114</v>
          </cell>
          <cell r="BG137">
            <v>874268</v>
          </cell>
          <cell r="BH137">
            <v>582845</v>
          </cell>
          <cell r="BI137">
            <v>0</v>
          </cell>
          <cell r="BJ137">
            <v>2914227</v>
          </cell>
          <cell r="BK137">
            <v>1457114</v>
          </cell>
          <cell r="BL137">
            <v>874268</v>
          </cell>
          <cell r="BM137">
            <v>582845</v>
          </cell>
          <cell r="BN137">
            <v>0</v>
          </cell>
          <cell r="BO137">
            <v>2914227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690412</v>
          </cell>
          <cell r="BV137">
            <v>414248</v>
          </cell>
          <cell r="BW137">
            <v>276165</v>
          </cell>
          <cell r="BX137">
            <v>0</v>
          </cell>
          <cell r="BY137">
            <v>1380825</v>
          </cell>
          <cell r="BZ137">
            <v>690412</v>
          </cell>
          <cell r="CA137">
            <v>414248</v>
          </cell>
          <cell r="CB137">
            <v>276165</v>
          </cell>
          <cell r="CC137">
            <v>0</v>
          </cell>
          <cell r="CD137">
            <v>1380825</v>
          </cell>
        </row>
        <row r="138">
          <cell r="A138">
            <v>131</v>
          </cell>
          <cell r="B138" t="str">
            <v>E2434</v>
          </cell>
          <cell r="C138" t="str">
            <v>SD</v>
          </cell>
          <cell r="D138" t="str">
            <v>EM</v>
          </cell>
          <cell r="E138" t="str">
            <v>Hinckley &amp; Bosworth</v>
          </cell>
          <cell r="F138">
            <v>13564004</v>
          </cell>
          <cell r="G138">
            <v>10851203</v>
          </cell>
          <cell r="H138">
            <v>2441521</v>
          </cell>
          <cell r="I138">
            <v>271280</v>
          </cell>
          <cell r="J138">
            <v>27128008</v>
          </cell>
          <cell r="K138">
            <v>0</v>
          </cell>
          <cell r="L138">
            <v>0</v>
          </cell>
          <cell r="M138">
            <v>13564004</v>
          </cell>
          <cell r="N138">
            <v>27128008</v>
          </cell>
          <cell r="O138">
            <v>123176</v>
          </cell>
          <cell r="P138">
            <v>123176</v>
          </cell>
          <cell r="Q138">
            <v>76823</v>
          </cell>
          <cell r="R138">
            <v>76823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375131</v>
          </cell>
          <cell r="AC138">
            <v>300104</v>
          </cell>
          <cell r="AD138">
            <v>67523</v>
          </cell>
          <cell r="AE138">
            <v>7503</v>
          </cell>
          <cell r="AF138">
            <v>750261</v>
          </cell>
          <cell r="AG138">
            <v>264392</v>
          </cell>
          <cell r="AH138">
            <v>211513</v>
          </cell>
          <cell r="AI138">
            <v>47590</v>
          </cell>
          <cell r="AJ138">
            <v>5288</v>
          </cell>
          <cell r="AK138">
            <v>528783</v>
          </cell>
          <cell r="AL138">
            <v>18404</v>
          </cell>
          <cell r="AM138">
            <v>14724</v>
          </cell>
          <cell r="AN138">
            <v>3313</v>
          </cell>
          <cell r="AO138">
            <v>368</v>
          </cell>
          <cell r="AP138">
            <v>36809</v>
          </cell>
          <cell r="AQ138">
            <v>-1975</v>
          </cell>
          <cell r="AR138">
            <v>-1579</v>
          </cell>
          <cell r="AS138">
            <v>-355</v>
          </cell>
          <cell r="AT138">
            <v>-39</v>
          </cell>
          <cell r="AU138">
            <v>-3948</v>
          </cell>
          <cell r="AV138">
            <v>16429</v>
          </cell>
          <cell r="AW138">
            <v>13145</v>
          </cell>
          <cell r="AX138">
            <v>2958</v>
          </cell>
          <cell r="AY138">
            <v>329</v>
          </cell>
          <cell r="AZ138">
            <v>32861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55893</v>
          </cell>
          <cell r="BG138">
            <v>44715</v>
          </cell>
          <cell r="BH138">
            <v>10061</v>
          </cell>
          <cell r="BI138">
            <v>1118</v>
          </cell>
          <cell r="BJ138">
            <v>111787</v>
          </cell>
          <cell r="BK138">
            <v>55893</v>
          </cell>
          <cell r="BL138">
            <v>44715</v>
          </cell>
          <cell r="BM138">
            <v>10061</v>
          </cell>
          <cell r="BN138">
            <v>1118</v>
          </cell>
          <cell r="BO138">
            <v>111787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213153</v>
          </cell>
          <cell r="BV138">
            <v>170523</v>
          </cell>
          <cell r="BW138">
            <v>38368</v>
          </cell>
          <cell r="BX138">
            <v>4263</v>
          </cell>
          <cell r="BY138">
            <v>426307</v>
          </cell>
          <cell r="BZ138">
            <v>213153</v>
          </cell>
          <cell r="CA138">
            <v>170523</v>
          </cell>
          <cell r="CB138">
            <v>38368</v>
          </cell>
          <cell r="CC138">
            <v>4263</v>
          </cell>
          <cell r="CD138">
            <v>426307</v>
          </cell>
        </row>
        <row r="139">
          <cell r="A139">
            <v>132</v>
          </cell>
          <cell r="B139" t="str">
            <v>E3835</v>
          </cell>
          <cell r="C139" t="str">
            <v>SD</v>
          </cell>
          <cell r="D139" t="str">
            <v>SE</v>
          </cell>
          <cell r="E139" t="str">
            <v>Horsham</v>
          </cell>
          <cell r="F139">
            <v>18606052</v>
          </cell>
          <cell r="G139">
            <v>14884841</v>
          </cell>
          <cell r="H139">
            <v>3721210</v>
          </cell>
          <cell r="I139">
            <v>0</v>
          </cell>
          <cell r="J139">
            <v>37212103</v>
          </cell>
          <cell r="K139">
            <v>0</v>
          </cell>
          <cell r="L139">
            <v>0</v>
          </cell>
          <cell r="M139">
            <v>18606052</v>
          </cell>
          <cell r="N139">
            <v>37212103</v>
          </cell>
          <cell r="O139">
            <v>177362</v>
          </cell>
          <cell r="P139">
            <v>177362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1224887</v>
          </cell>
          <cell r="AC139">
            <v>979909</v>
          </cell>
          <cell r="AD139">
            <v>244977</v>
          </cell>
          <cell r="AE139">
            <v>0</v>
          </cell>
          <cell r="AF139">
            <v>2449773</v>
          </cell>
          <cell r="AG139">
            <v>458432</v>
          </cell>
          <cell r="AH139">
            <v>366746</v>
          </cell>
          <cell r="AI139">
            <v>91686</v>
          </cell>
          <cell r="AJ139">
            <v>0</v>
          </cell>
          <cell r="AK139">
            <v>916864</v>
          </cell>
          <cell r="AL139">
            <v>346278</v>
          </cell>
          <cell r="AM139">
            <v>277022</v>
          </cell>
          <cell r="AN139">
            <v>69256</v>
          </cell>
          <cell r="AO139">
            <v>0</v>
          </cell>
          <cell r="AP139">
            <v>692556</v>
          </cell>
          <cell r="AQ139">
            <v>140097</v>
          </cell>
          <cell r="AR139">
            <v>112078</v>
          </cell>
          <cell r="AS139">
            <v>28019</v>
          </cell>
          <cell r="AT139">
            <v>0</v>
          </cell>
          <cell r="AU139">
            <v>280194</v>
          </cell>
          <cell r="AV139">
            <v>486375</v>
          </cell>
          <cell r="AW139">
            <v>389100</v>
          </cell>
          <cell r="AX139">
            <v>97275</v>
          </cell>
          <cell r="AY139">
            <v>0</v>
          </cell>
          <cell r="AZ139">
            <v>972750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325652</v>
          </cell>
          <cell r="BG139">
            <v>260522</v>
          </cell>
          <cell r="BH139">
            <v>65130</v>
          </cell>
          <cell r="BI139">
            <v>0</v>
          </cell>
          <cell r="BJ139">
            <v>651304</v>
          </cell>
          <cell r="BK139">
            <v>325652</v>
          </cell>
          <cell r="BL139">
            <v>260522</v>
          </cell>
          <cell r="BM139">
            <v>65130</v>
          </cell>
          <cell r="BN139">
            <v>0</v>
          </cell>
          <cell r="BO139">
            <v>651304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1011456</v>
          </cell>
          <cell r="BV139">
            <v>809164</v>
          </cell>
          <cell r="BW139">
            <v>202291</v>
          </cell>
          <cell r="BX139">
            <v>0</v>
          </cell>
          <cell r="BY139">
            <v>2022911</v>
          </cell>
          <cell r="BZ139">
            <v>1011456</v>
          </cell>
          <cell r="CA139">
            <v>809164</v>
          </cell>
          <cell r="CB139">
            <v>202291</v>
          </cell>
          <cell r="CC139">
            <v>0</v>
          </cell>
          <cell r="CD139">
            <v>2022911</v>
          </cell>
        </row>
        <row r="140">
          <cell r="A140">
            <v>133</v>
          </cell>
          <cell r="B140" t="str">
            <v>E5042</v>
          </cell>
          <cell r="C140" t="str">
            <v>OLB</v>
          </cell>
          <cell r="D140" t="str">
            <v>L</v>
          </cell>
          <cell r="E140" t="str">
            <v>Hounslow</v>
          </cell>
          <cell r="F140">
            <v>66666599</v>
          </cell>
          <cell r="G140">
            <v>39999959</v>
          </cell>
          <cell r="H140">
            <v>26666640</v>
          </cell>
          <cell r="I140">
            <v>0</v>
          </cell>
          <cell r="J140">
            <v>133333198</v>
          </cell>
          <cell r="K140">
            <v>0</v>
          </cell>
          <cell r="L140">
            <v>0</v>
          </cell>
          <cell r="M140">
            <v>66666599</v>
          </cell>
          <cell r="N140">
            <v>133333198</v>
          </cell>
          <cell r="O140">
            <v>401106</v>
          </cell>
          <cell r="P140">
            <v>401106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4655982.2699999996</v>
          </cell>
          <cell r="AC140">
            <v>2793589</v>
          </cell>
          <cell r="AD140">
            <v>1862393</v>
          </cell>
          <cell r="AE140">
            <v>0</v>
          </cell>
          <cell r="AF140">
            <v>9311964.2699999996</v>
          </cell>
          <cell r="AG140">
            <v>5522496.3200000003</v>
          </cell>
          <cell r="AH140">
            <v>3313498</v>
          </cell>
          <cell r="AI140">
            <v>2208999</v>
          </cell>
          <cell r="AJ140">
            <v>0</v>
          </cell>
          <cell r="AK140">
            <v>11044993.300000001</v>
          </cell>
          <cell r="AL140">
            <v>1100000</v>
          </cell>
          <cell r="AM140">
            <v>660000</v>
          </cell>
          <cell r="AN140">
            <v>440000</v>
          </cell>
          <cell r="AO140">
            <v>0</v>
          </cell>
          <cell r="AP140">
            <v>2200000</v>
          </cell>
          <cell r="AQ140">
            <v>50000</v>
          </cell>
          <cell r="AR140">
            <v>30000</v>
          </cell>
          <cell r="AS140">
            <v>20000</v>
          </cell>
          <cell r="AT140">
            <v>0</v>
          </cell>
          <cell r="AU140">
            <v>100000</v>
          </cell>
          <cell r="AV140">
            <v>1150000</v>
          </cell>
          <cell r="AW140">
            <v>690000</v>
          </cell>
          <cell r="AX140">
            <v>460000</v>
          </cell>
          <cell r="AY140">
            <v>0</v>
          </cell>
          <cell r="AZ140">
            <v>2300000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1750000</v>
          </cell>
          <cell r="BG140">
            <v>1050000</v>
          </cell>
          <cell r="BH140">
            <v>700000</v>
          </cell>
          <cell r="BI140">
            <v>0</v>
          </cell>
          <cell r="BJ140">
            <v>3500000</v>
          </cell>
          <cell r="BK140">
            <v>1750000</v>
          </cell>
          <cell r="BL140">
            <v>1050000</v>
          </cell>
          <cell r="BM140">
            <v>700000</v>
          </cell>
          <cell r="BN140">
            <v>0</v>
          </cell>
          <cell r="BO140">
            <v>3500000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4750000</v>
          </cell>
          <cell r="BV140">
            <v>2850000</v>
          </cell>
          <cell r="BW140">
            <v>1900000</v>
          </cell>
          <cell r="BX140">
            <v>0</v>
          </cell>
          <cell r="BY140">
            <v>9500000</v>
          </cell>
          <cell r="BZ140">
            <v>4750000</v>
          </cell>
          <cell r="CA140">
            <v>2850000</v>
          </cell>
          <cell r="CB140">
            <v>1900000</v>
          </cell>
          <cell r="CC140">
            <v>0</v>
          </cell>
          <cell r="CD140">
            <v>9500000</v>
          </cell>
        </row>
        <row r="141">
          <cell r="A141">
            <v>134</v>
          </cell>
          <cell r="B141" t="str">
            <v>E0551</v>
          </cell>
          <cell r="C141" t="str">
            <v>SD</v>
          </cell>
          <cell r="D141" t="str">
            <v>E</v>
          </cell>
          <cell r="E141" t="str">
            <v>Huntingdonshire (new)</v>
          </cell>
          <cell r="F141">
            <v>25012429</v>
          </cell>
          <cell r="G141">
            <v>20009944</v>
          </cell>
          <cell r="H141">
            <v>4502237</v>
          </cell>
          <cell r="I141">
            <v>500249</v>
          </cell>
          <cell r="J141">
            <v>50024859</v>
          </cell>
          <cell r="K141">
            <v>512193</v>
          </cell>
          <cell r="L141">
            <v>512193</v>
          </cell>
          <cell r="M141">
            <v>24500236</v>
          </cell>
          <cell r="N141">
            <v>49512666</v>
          </cell>
          <cell r="O141">
            <v>221475</v>
          </cell>
          <cell r="P141">
            <v>221475</v>
          </cell>
          <cell r="Q141">
            <v>79342</v>
          </cell>
          <cell r="R141">
            <v>79342</v>
          </cell>
          <cell r="S141">
            <v>0</v>
          </cell>
          <cell r="T141">
            <v>0</v>
          </cell>
          <cell r="U141">
            <v>190755</v>
          </cell>
          <cell r="V141">
            <v>0</v>
          </cell>
          <cell r="W141">
            <v>190755</v>
          </cell>
          <cell r="X141">
            <v>512193</v>
          </cell>
          <cell r="Y141">
            <v>0</v>
          </cell>
          <cell r="Z141">
            <v>0</v>
          </cell>
          <cell r="AA141">
            <v>512193</v>
          </cell>
          <cell r="AB141">
            <v>482994</v>
          </cell>
          <cell r="AC141">
            <v>386396</v>
          </cell>
          <cell r="AD141">
            <v>86939</v>
          </cell>
          <cell r="AE141">
            <v>9660</v>
          </cell>
          <cell r="AF141">
            <v>965989</v>
          </cell>
          <cell r="AG141">
            <v>82273</v>
          </cell>
          <cell r="AH141">
            <v>65818</v>
          </cell>
          <cell r="AI141">
            <v>14809</v>
          </cell>
          <cell r="AJ141">
            <v>1645</v>
          </cell>
          <cell r="AK141">
            <v>164545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-34500</v>
          </cell>
          <cell r="AR141">
            <v>-27600</v>
          </cell>
          <cell r="AS141">
            <v>-6210</v>
          </cell>
          <cell r="AT141">
            <v>-690</v>
          </cell>
          <cell r="AU141">
            <v>-69000</v>
          </cell>
          <cell r="AV141">
            <v>-34500</v>
          </cell>
          <cell r="AW141">
            <v>-27600</v>
          </cell>
          <cell r="AX141">
            <v>-6210</v>
          </cell>
          <cell r="AY141">
            <v>-690</v>
          </cell>
          <cell r="AZ141">
            <v>-69000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791500</v>
          </cell>
          <cell r="BG141">
            <v>633200</v>
          </cell>
          <cell r="BH141">
            <v>142470</v>
          </cell>
          <cell r="BI141">
            <v>15830</v>
          </cell>
          <cell r="BJ141">
            <v>1583000</v>
          </cell>
          <cell r="BK141">
            <v>791500</v>
          </cell>
          <cell r="BL141">
            <v>633200</v>
          </cell>
          <cell r="BM141">
            <v>142470</v>
          </cell>
          <cell r="BN141">
            <v>15830</v>
          </cell>
          <cell r="BO141">
            <v>1583000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1776000</v>
          </cell>
          <cell r="BV141">
            <v>1420800</v>
          </cell>
          <cell r="BW141">
            <v>319680</v>
          </cell>
          <cell r="BX141">
            <v>35520</v>
          </cell>
          <cell r="BY141">
            <v>3552000</v>
          </cell>
          <cell r="BZ141">
            <v>1776000</v>
          </cell>
          <cell r="CA141">
            <v>1420800</v>
          </cell>
          <cell r="CB141">
            <v>319680</v>
          </cell>
          <cell r="CC141">
            <v>35520</v>
          </cell>
          <cell r="CD141">
            <v>3552000</v>
          </cell>
        </row>
        <row r="142">
          <cell r="A142">
            <v>135</v>
          </cell>
          <cell r="B142" t="str">
            <v>E2336</v>
          </cell>
          <cell r="C142" t="str">
            <v>SD</v>
          </cell>
          <cell r="D142" t="str">
            <v>NW</v>
          </cell>
          <cell r="E142" t="str">
            <v>Hyndburn</v>
          </cell>
          <cell r="F142">
            <v>9641014</v>
          </cell>
          <cell r="G142">
            <v>7712811</v>
          </cell>
          <cell r="H142">
            <v>1735383</v>
          </cell>
          <cell r="I142">
            <v>192820</v>
          </cell>
          <cell r="J142">
            <v>19282028</v>
          </cell>
          <cell r="K142">
            <v>0</v>
          </cell>
          <cell r="L142">
            <v>0</v>
          </cell>
          <cell r="M142">
            <v>9641014</v>
          </cell>
          <cell r="N142">
            <v>19282028</v>
          </cell>
          <cell r="O142">
            <v>133530</v>
          </cell>
          <cell r="P142">
            <v>133530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1915744</v>
          </cell>
          <cell r="AC142">
            <v>1532595</v>
          </cell>
          <cell r="AD142">
            <v>344834</v>
          </cell>
          <cell r="AE142">
            <v>38315</v>
          </cell>
          <cell r="AF142">
            <v>3831488</v>
          </cell>
          <cell r="AG142">
            <v>479688.25</v>
          </cell>
          <cell r="AH142">
            <v>383751</v>
          </cell>
          <cell r="AI142">
            <v>86344</v>
          </cell>
          <cell r="AJ142">
            <v>9594</v>
          </cell>
          <cell r="AK142">
            <v>959377.25</v>
          </cell>
          <cell r="AL142">
            <v>1080014</v>
          </cell>
          <cell r="AM142">
            <v>864011</v>
          </cell>
          <cell r="AN142">
            <v>194402</v>
          </cell>
          <cell r="AO142">
            <v>21600</v>
          </cell>
          <cell r="AP142">
            <v>2160027</v>
          </cell>
          <cell r="AQ142">
            <v>85932</v>
          </cell>
          <cell r="AR142">
            <v>68746</v>
          </cell>
          <cell r="AS142">
            <v>15468</v>
          </cell>
          <cell r="AT142">
            <v>1719</v>
          </cell>
          <cell r="AU142">
            <v>171865</v>
          </cell>
          <cell r="AV142">
            <v>1165946</v>
          </cell>
          <cell r="AW142">
            <v>932757</v>
          </cell>
          <cell r="AX142">
            <v>209870</v>
          </cell>
          <cell r="AY142">
            <v>23319</v>
          </cell>
          <cell r="AZ142">
            <v>2331892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123266</v>
          </cell>
          <cell r="BG142">
            <v>98612</v>
          </cell>
          <cell r="BH142">
            <v>22188</v>
          </cell>
          <cell r="BI142">
            <v>2465</v>
          </cell>
          <cell r="BJ142">
            <v>246531</v>
          </cell>
          <cell r="BK142">
            <v>123266</v>
          </cell>
          <cell r="BL142">
            <v>98612</v>
          </cell>
          <cell r="BM142">
            <v>22188</v>
          </cell>
          <cell r="BN142">
            <v>2465</v>
          </cell>
          <cell r="BO142">
            <v>246531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370630.26</v>
          </cell>
          <cell r="BV142">
            <v>296505</v>
          </cell>
          <cell r="BW142">
            <v>66714</v>
          </cell>
          <cell r="BX142">
            <v>7413</v>
          </cell>
          <cell r="BY142">
            <v>741262.26</v>
          </cell>
          <cell r="BZ142">
            <v>370630.26</v>
          </cell>
          <cell r="CA142">
            <v>296505</v>
          </cell>
          <cell r="CB142">
            <v>66714</v>
          </cell>
          <cell r="CC142">
            <v>7413</v>
          </cell>
          <cell r="CD142">
            <v>741262.26</v>
          </cell>
        </row>
        <row r="143">
          <cell r="A143">
            <v>136</v>
          </cell>
          <cell r="B143" t="str">
            <v>E3533</v>
          </cell>
          <cell r="C143" t="str">
            <v>SD</v>
          </cell>
          <cell r="D143" t="str">
            <v>E</v>
          </cell>
          <cell r="E143" t="str">
            <v>Ipswich</v>
          </cell>
          <cell r="F143">
            <v>26245208</v>
          </cell>
          <cell r="G143">
            <v>20996166</v>
          </cell>
          <cell r="H143">
            <v>5249042</v>
          </cell>
          <cell r="I143">
            <v>0</v>
          </cell>
          <cell r="J143">
            <v>52490416</v>
          </cell>
          <cell r="K143">
            <v>0</v>
          </cell>
          <cell r="L143">
            <v>0</v>
          </cell>
          <cell r="M143">
            <v>26245208</v>
          </cell>
          <cell r="N143">
            <v>52490416</v>
          </cell>
          <cell r="O143">
            <v>192368</v>
          </cell>
          <cell r="P143">
            <v>192368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1058579.1299999999</v>
          </cell>
          <cell r="AC143">
            <v>846863</v>
          </cell>
          <cell r="AD143">
            <v>211716</v>
          </cell>
          <cell r="AE143">
            <v>0</v>
          </cell>
          <cell r="AF143">
            <v>2117158.13</v>
          </cell>
          <cell r="AG143">
            <v>21897.88</v>
          </cell>
          <cell r="AH143">
            <v>17518</v>
          </cell>
          <cell r="AI143">
            <v>4380</v>
          </cell>
          <cell r="AJ143">
            <v>0</v>
          </cell>
          <cell r="AK143">
            <v>43795.88</v>
          </cell>
          <cell r="AL143">
            <v>497107</v>
          </cell>
          <cell r="AM143">
            <v>397686</v>
          </cell>
          <cell r="AN143">
            <v>99422</v>
          </cell>
          <cell r="AO143">
            <v>0</v>
          </cell>
          <cell r="AP143">
            <v>994215</v>
          </cell>
          <cell r="AQ143">
            <v>17943</v>
          </cell>
          <cell r="AR143">
            <v>14354</v>
          </cell>
          <cell r="AS143">
            <v>3589</v>
          </cell>
          <cell r="AT143">
            <v>0</v>
          </cell>
          <cell r="AU143">
            <v>35886</v>
          </cell>
          <cell r="AV143">
            <v>515050</v>
          </cell>
          <cell r="AW143">
            <v>412040</v>
          </cell>
          <cell r="AX143">
            <v>103011</v>
          </cell>
          <cell r="AY143">
            <v>0</v>
          </cell>
          <cell r="AZ143">
            <v>1030101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273549</v>
          </cell>
          <cell r="BG143">
            <v>218839</v>
          </cell>
          <cell r="BH143">
            <v>54710</v>
          </cell>
          <cell r="BI143">
            <v>0</v>
          </cell>
          <cell r="BJ143">
            <v>547098</v>
          </cell>
          <cell r="BK143">
            <v>273549</v>
          </cell>
          <cell r="BL143">
            <v>218839</v>
          </cell>
          <cell r="BM143">
            <v>54710</v>
          </cell>
          <cell r="BN143">
            <v>0</v>
          </cell>
          <cell r="BO143">
            <v>547098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707224</v>
          </cell>
          <cell r="BV143">
            <v>565779</v>
          </cell>
          <cell r="BW143">
            <v>141445</v>
          </cell>
          <cell r="BX143">
            <v>0</v>
          </cell>
          <cell r="BY143">
            <v>1414448</v>
          </cell>
          <cell r="BZ143">
            <v>707224</v>
          </cell>
          <cell r="CA143">
            <v>565779</v>
          </cell>
          <cell r="CB143">
            <v>141445</v>
          </cell>
          <cell r="CC143">
            <v>0</v>
          </cell>
          <cell r="CD143">
            <v>1414448</v>
          </cell>
        </row>
        <row r="144">
          <cell r="A144">
            <v>137</v>
          </cell>
          <cell r="B144" t="str">
            <v>E2101</v>
          </cell>
          <cell r="C144" t="str">
            <v>UA</v>
          </cell>
          <cell r="D144" t="str">
            <v>SE</v>
          </cell>
          <cell r="E144" t="str">
            <v>Isle of Wight UA</v>
          </cell>
          <cell r="F144">
            <v>15249748</v>
          </cell>
          <cell r="G144">
            <v>15249749</v>
          </cell>
          <cell r="H144">
            <v>0</v>
          </cell>
          <cell r="I144">
            <v>0</v>
          </cell>
          <cell r="J144">
            <v>30499497</v>
          </cell>
          <cell r="K144">
            <v>0</v>
          </cell>
          <cell r="L144">
            <v>0</v>
          </cell>
          <cell r="M144">
            <v>15249748</v>
          </cell>
          <cell r="N144">
            <v>30499497</v>
          </cell>
          <cell r="O144">
            <v>250493</v>
          </cell>
          <cell r="P144">
            <v>250493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79257</v>
          </cell>
          <cell r="V144">
            <v>0</v>
          </cell>
          <cell r="W144">
            <v>79257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755008</v>
          </cell>
          <cell r="AC144">
            <v>755009</v>
          </cell>
          <cell r="AD144">
            <v>0</v>
          </cell>
          <cell r="AE144">
            <v>0</v>
          </cell>
          <cell r="AF144">
            <v>1510017</v>
          </cell>
          <cell r="AG144">
            <v>256846</v>
          </cell>
          <cell r="AH144">
            <v>256847</v>
          </cell>
          <cell r="AI144">
            <v>0</v>
          </cell>
          <cell r="AJ144">
            <v>0</v>
          </cell>
          <cell r="AK144">
            <v>513693</v>
          </cell>
          <cell r="AL144">
            <v>221175</v>
          </cell>
          <cell r="AM144">
            <v>221176</v>
          </cell>
          <cell r="AN144">
            <v>0</v>
          </cell>
          <cell r="AO144">
            <v>0</v>
          </cell>
          <cell r="AP144">
            <v>442351</v>
          </cell>
          <cell r="AQ144">
            <v>7117</v>
          </cell>
          <cell r="AR144">
            <v>7118</v>
          </cell>
          <cell r="AS144">
            <v>0</v>
          </cell>
          <cell r="AT144">
            <v>0</v>
          </cell>
          <cell r="AU144">
            <v>14235</v>
          </cell>
          <cell r="AV144">
            <v>228292</v>
          </cell>
          <cell r="AW144">
            <v>228294</v>
          </cell>
          <cell r="AX144">
            <v>0</v>
          </cell>
          <cell r="AY144">
            <v>0</v>
          </cell>
          <cell r="AZ144">
            <v>456586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12349</v>
          </cell>
          <cell r="BG144">
            <v>12350</v>
          </cell>
          <cell r="BH144">
            <v>0</v>
          </cell>
          <cell r="BI144">
            <v>0</v>
          </cell>
          <cell r="BJ144">
            <v>24699</v>
          </cell>
          <cell r="BK144">
            <v>12349</v>
          </cell>
          <cell r="BL144">
            <v>12350</v>
          </cell>
          <cell r="BM144">
            <v>0</v>
          </cell>
          <cell r="BN144">
            <v>0</v>
          </cell>
          <cell r="BO144">
            <v>24699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1565872</v>
          </cell>
          <cell r="BV144">
            <v>1565873</v>
          </cell>
          <cell r="BW144">
            <v>0</v>
          </cell>
          <cell r="BX144">
            <v>0</v>
          </cell>
          <cell r="BY144">
            <v>3131745</v>
          </cell>
          <cell r="BZ144">
            <v>1565872</v>
          </cell>
          <cell r="CA144">
            <v>1565873</v>
          </cell>
          <cell r="CB144">
            <v>0</v>
          </cell>
          <cell r="CC144">
            <v>0</v>
          </cell>
          <cell r="CD144">
            <v>3131745</v>
          </cell>
        </row>
        <row r="145">
          <cell r="A145">
            <v>138</v>
          </cell>
          <cell r="B145" t="str">
            <v>E4001</v>
          </cell>
          <cell r="C145" t="str">
            <v>UA</v>
          </cell>
          <cell r="D145" t="str">
            <v>SW</v>
          </cell>
          <cell r="E145" t="str">
            <v>Isles of Scilly</v>
          </cell>
          <cell r="F145">
            <v>710178</v>
          </cell>
          <cell r="G145">
            <v>710179</v>
          </cell>
          <cell r="H145">
            <v>0</v>
          </cell>
          <cell r="I145">
            <v>0</v>
          </cell>
          <cell r="J145">
            <v>1420357</v>
          </cell>
          <cell r="K145">
            <v>0</v>
          </cell>
          <cell r="L145">
            <v>0</v>
          </cell>
          <cell r="M145">
            <v>710178</v>
          </cell>
          <cell r="N145">
            <v>1420357</v>
          </cell>
          <cell r="O145">
            <v>24797</v>
          </cell>
          <cell r="P145">
            <v>24797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116218</v>
          </cell>
          <cell r="AC145">
            <v>116219</v>
          </cell>
          <cell r="AD145">
            <v>0</v>
          </cell>
          <cell r="AE145">
            <v>0</v>
          </cell>
          <cell r="AF145">
            <v>232437</v>
          </cell>
          <cell r="AG145">
            <v>15548</v>
          </cell>
          <cell r="AH145">
            <v>15548</v>
          </cell>
          <cell r="AI145">
            <v>0</v>
          </cell>
          <cell r="AJ145">
            <v>0</v>
          </cell>
          <cell r="AK145">
            <v>31096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20402</v>
          </cell>
          <cell r="AR145">
            <v>20402</v>
          </cell>
          <cell r="AS145">
            <v>0</v>
          </cell>
          <cell r="AT145">
            <v>0</v>
          </cell>
          <cell r="AU145">
            <v>40804</v>
          </cell>
          <cell r="AV145">
            <v>20402</v>
          </cell>
          <cell r="AW145">
            <v>20402</v>
          </cell>
          <cell r="AX145">
            <v>0</v>
          </cell>
          <cell r="AY145">
            <v>0</v>
          </cell>
          <cell r="AZ145">
            <v>40804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27500</v>
          </cell>
          <cell r="BG145">
            <v>27500</v>
          </cell>
          <cell r="BH145">
            <v>0</v>
          </cell>
          <cell r="BI145">
            <v>0</v>
          </cell>
          <cell r="BJ145">
            <v>55000</v>
          </cell>
          <cell r="BK145">
            <v>27500</v>
          </cell>
          <cell r="BL145">
            <v>27500</v>
          </cell>
          <cell r="BM145">
            <v>0</v>
          </cell>
          <cell r="BN145">
            <v>0</v>
          </cell>
          <cell r="BO145">
            <v>55000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</row>
        <row r="146">
          <cell r="A146">
            <v>139</v>
          </cell>
          <cell r="B146" t="str">
            <v>E5015</v>
          </cell>
          <cell r="C146" t="str">
            <v>ILB</v>
          </cell>
          <cell r="D146" t="str">
            <v>L</v>
          </cell>
          <cell r="E146" t="str">
            <v>Islington</v>
          </cell>
          <cell r="F146">
            <v>88836201</v>
          </cell>
          <cell r="G146">
            <v>53301721</v>
          </cell>
          <cell r="H146">
            <v>35534480</v>
          </cell>
          <cell r="I146">
            <v>0</v>
          </cell>
          <cell r="J146">
            <v>177672402</v>
          </cell>
          <cell r="K146">
            <v>0</v>
          </cell>
          <cell r="L146">
            <v>0</v>
          </cell>
          <cell r="M146">
            <v>88836201</v>
          </cell>
          <cell r="N146">
            <v>177672402</v>
          </cell>
          <cell r="O146">
            <v>656470</v>
          </cell>
          <cell r="P146">
            <v>656470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60284</v>
          </cell>
          <cell r="V146">
            <v>0</v>
          </cell>
          <cell r="W146">
            <v>60284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11511358.9</v>
          </cell>
          <cell r="AC146">
            <v>6906815</v>
          </cell>
          <cell r="AD146">
            <v>4604544</v>
          </cell>
          <cell r="AE146">
            <v>0</v>
          </cell>
          <cell r="AF146">
            <v>23022717.899999999</v>
          </cell>
          <cell r="AG146">
            <v>-8255612.0999999996</v>
          </cell>
          <cell r="AH146">
            <v>-4953368</v>
          </cell>
          <cell r="AI146">
            <v>-3302245</v>
          </cell>
          <cell r="AJ146">
            <v>0</v>
          </cell>
          <cell r="AK146">
            <v>-16511225</v>
          </cell>
          <cell r="AL146">
            <v>8634449.0299999993</v>
          </cell>
          <cell r="AM146">
            <v>5180669</v>
          </cell>
          <cell r="AN146">
            <v>3453779</v>
          </cell>
          <cell r="AO146">
            <v>0</v>
          </cell>
          <cell r="AP146">
            <v>17268897</v>
          </cell>
          <cell r="AQ146">
            <v>-92385.43</v>
          </cell>
          <cell r="AR146">
            <v>-55431</v>
          </cell>
          <cell r="AS146">
            <v>-36954</v>
          </cell>
          <cell r="AT146">
            <v>0</v>
          </cell>
          <cell r="AU146">
            <v>-184770.43</v>
          </cell>
          <cell r="AV146">
            <v>8542063.5999999996</v>
          </cell>
          <cell r="AW146">
            <v>5125238</v>
          </cell>
          <cell r="AX146">
            <v>3416825</v>
          </cell>
          <cell r="AY146">
            <v>0</v>
          </cell>
          <cell r="AZ146">
            <v>17084126.600000001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997283.8</v>
          </cell>
          <cell r="BG146">
            <v>598370</v>
          </cell>
          <cell r="BH146">
            <v>398913</v>
          </cell>
          <cell r="BI146">
            <v>0</v>
          </cell>
          <cell r="BJ146">
            <v>1994566.8</v>
          </cell>
          <cell r="BK146">
            <v>997283.8</v>
          </cell>
          <cell r="BL146">
            <v>598370</v>
          </cell>
          <cell r="BM146">
            <v>398913</v>
          </cell>
          <cell r="BN146">
            <v>0</v>
          </cell>
          <cell r="BO146">
            <v>1994566.8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2769512.25</v>
          </cell>
          <cell r="BV146">
            <v>1661707</v>
          </cell>
          <cell r="BW146">
            <v>1107805</v>
          </cell>
          <cell r="BX146">
            <v>0</v>
          </cell>
          <cell r="BY146">
            <v>5539024.25</v>
          </cell>
          <cell r="BZ146">
            <v>2769512.25</v>
          </cell>
          <cell r="CA146">
            <v>1661707</v>
          </cell>
          <cell r="CB146">
            <v>1107805</v>
          </cell>
          <cell r="CC146">
            <v>0</v>
          </cell>
          <cell r="CD146">
            <v>5539024.25</v>
          </cell>
        </row>
        <row r="147">
          <cell r="A147">
            <v>140</v>
          </cell>
          <cell r="B147" t="str">
            <v>E5016</v>
          </cell>
          <cell r="C147" t="str">
            <v>ILB</v>
          </cell>
          <cell r="D147" t="str">
            <v>L</v>
          </cell>
          <cell r="E147" t="str">
            <v>Kensington &amp; Chelsea</v>
          </cell>
          <cell r="F147">
            <v>130911141</v>
          </cell>
          <cell r="G147">
            <v>78546685</v>
          </cell>
          <cell r="H147">
            <v>52364456</v>
          </cell>
          <cell r="I147">
            <v>0</v>
          </cell>
          <cell r="J147">
            <v>261822282</v>
          </cell>
          <cell r="K147">
            <v>0</v>
          </cell>
          <cell r="L147">
            <v>0</v>
          </cell>
          <cell r="M147">
            <v>130911141</v>
          </cell>
          <cell r="N147">
            <v>261822282</v>
          </cell>
          <cell r="O147">
            <v>619513</v>
          </cell>
          <cell r="P147">
            <v>619513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4605316</v>
          </cell>
          <cell r="AC147">
            <v>2763190</v>
          </cell>
          <cell r="AD147">
            <v>1842127</v>
          </cell>
          <cell r="AE147">
            <v>0</v>
          </cell>
          <cell r="AF147">
            <v>9210633</v>
          </cell>
          <cell r="AG147">
            <v>3872298</v>
          </cell>
          <cell r="AH147">
            <v>2323379</v>
          </cell>
          <cell r="AI147">
            <v>1548919</v>
          </cell>
          <cell r="AJ147">
            <v>0</v>
          </cell>
          <cell r="AK147">
            <v>7744596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474406</v>
          </cell>
          <cell r="AR147">
            <v>284644</v>
          </cell>
          <cell r="AS147">
            <v>189762</v>
          </cell>
          <cell r="AT147">
            <v>0</v>
          </cell>
          <cell r="AU147">
            <v>948812</v>
          </cell>
          <cell r="AV147">
            <v>474406</v>
          </cell>
          <cell r="AW147">
            <v>284644</v>
          </cell>
          <cell r="AX147">
            <v>189762</v>
          </cell>
          <cell r="AY147">
            <v>0</v>
          </cell>
          <cell r="AZ147">
            <v>948812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1235971</v>
          </cell>
          <cell r="BG147">
            <v>741582</v>
          </cell>
          <cell r="BH147">
            <v>494388</v>
          </cell>
          <cell r="BI147">
            <v>0</v>
          </cell>
          <cell r="BJ147">
            <v>2471941</v>
          </cell>
          <cell r="BK147">
            <v>1235971</v>
          </cell>
          <cell r="BL147">
            <v>741582</v>
          </cell>
          <cell r="BM147">
            <v>494388</v>
          </cell>
          <cell r="BN147">
            <v>0</v>
          </cell>
          <cell r="BO147">
            <v>2471941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4943882</v>
          </cell>
          <cell r="BV147">
            <v>2966330</v>
          </cell>
          <cell r="BW147">
            <v>1977553</v>
          </cell>
          <cell r="BX147">
            <v>0</v>
          </cell>
          <cell r="BY147">
            <v>9887765</v>
          </cell>
          <cell r="BZ147">
            <v>4943882</v>
          </cell>
          <cell r="CA147">
            <v>2966330</v>
          </cell>
          <cell r="CB147">
            <v>1977553</v>
          </cell>
          <cell r="CC147">
            <v>0</v>
          </cell>
          <cell r="CD147">
            <v>9887765</v>
          </cell>
        </row>
        <row r="148">
          <cell r="A148">
            <v>141</v>
          </cell>
          <cell r="B148" t="str">
            <v>E2834</v>
          </cell>
          <cell r="C148" t="str">
            <v>SD</v>
          </cell>
          <cell r="D148" t="str">
            <v>EM</v>
          </cell>
          <cell r="E148" t="str">
            <v>Kettering</v>
          </cell>
          <cell r="F148">
            <v>14698943</v>
          </cell>
          <cell r="G148">
            <v>11759155</v>
          </cell>
          <cell r="H148">
            <v>2939789</v>
          </cell>
          <cell r="I148">
            <v>0</v>
          </cell>
          <cell r="J148">
            <v>29397887</v>
          </cell>
          <cell r="K148">
            <v>0</v>
          </cell>
          <cell r="L148">
            <v>0</v>
          </cell>
          <cell r="M148">
            <v>14698943</v>
          </cell>
          <cell r="N148">
            <v>29397887</v>
          </cell>
          <cell r="O148">
            <v>110894</v>
          </cell>
          <cell r="P148">
            <v>110894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278727</v>
          </cell>
          <cell r="AC148">
            <v>222982</v>
          </cell>
          <cell r="AD148">
            <v>55746</v>
          </cell>
          <cell r="AE148">
            <v>0</v>
          </cell>
          <cell r="AF148">
            <v>557455</v>
          </cell>
          <cell r="AG148">
            <v>190313</v>
          </cell>
          <cell r="AH148">
            <v>152250</v>
          </cell>
          <cell r="AI148">
            <v>38063</v>
          </cell>
          <cell r="AJ148">
            <v>0</v>
          </cell>
          <cell r="AK148">
            <v>380626</v>
          </cell>
          <cell r="AL148">
            <v>110552</v>
          </cell>
          <cell r="AM148">
            <v>88441</v>
          </cell>
          <cell r="AN148">
            <v>22110</v>
          </cell>
          <cell r="AO148">
            <v>0</v>
          </cell>
          <cell r="AP148">
            <v>221103</v>
          </cell>
          <cell r="AQ148">
            <v>-3804</v>
          </cell>
          <cell r="AR148">
            <v>-3043</v>
          </cell>
          <cell r="AS148">
            <v>-761</v>
          </cell>
          <cell r="AT148">
            <v>0</v>
          </cell>
          <cell r="AU148">
            <v>-7608</v>
          </cell>
          <cell r="AV148">
            <v>106748</v>
          </cell>
          <cell r="AW148">
            <v>85398</v>
          </cell>
          <cell r="AX148">
            <v>21349</v>
          </cell>
          <cell r="AY148">
            <v>0</v>
          </cell>
          <cell r="AZ148">
            <v>213495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32270</v>
          </cell>
          <cell r="BG148">
            <v>25816</v>
          </cell>
          <cell r="BH148">
            <v>6454</v>
          </cell>
          <cell r="BI148">
            <v>0</v>
          </cell>
          <cell r="BJ148">
            <v>64540</v>
          </cell>
          <cell r="BK148">
            <v>32270</v>
          </cell>
          <cell r="BL148">
            <v>25816</v>
          </cell>
          <cell r="BM148">
            <v>6454</v>
          </cell>
          <cell r="BN148">
            <v>0</v>
          </cell>
          <cell r="BO148">
            <v>64540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541941</v>
          </cell>
          <cell r="BV148">
            <v>433552</v>
          </cell>
          <cell r="BW148">
            <v>108388</v>
          </cell>
          <cell r="BX148">
            <v>0</v>
          </cell>
          <cell r="BY148">
            <v>1083881</v>
          </cell>
          <cell r="BZ148">
            <v>541941</v>
          </cell>
          <cell r="CA148">
            <v>433552</v>
          </cell>
          <cell r="CB148">
            <v>108388</v>
          </cell>
          <cell r="CC148">
            <v>0</v>
          </cell>
          <cell r="CD148">
            <v>1083881</v>
          </cell>
        </row>
        <row r="149">
          <cell r="A149">
            <v>142</v>
          </cell>
          <cell r="B149" t="str">
            <v>E2634</v>
          </cell>
          <cell r="C149" t="str">
            <v>SD</v>
          </cell>
          <cell r="D149" t="str">
            <v>E</v>
          </cell>
          <cell r="E149" t="str">
            <v>Kings Lynn &amp; West Norfolk</v>
          </cell>
          <cell r="F149">
            <v>17240193</v>
          </cell>
          <cell r="G149">
            <v>13792155</v>
          </cell>
          <cell r="H149">
            <v>3448039</v>
          </cell>
          <cell r="I149">
            <v>0</v>
          </cell>
          <cell r="J149">
            <v>34480387</v>
          </cell>
          <cell r="K149">
            <v>0</v>
          </cell>
          <cell r="L149">
            <v>0</v>
          </cell>
          <cell r="M149">
            <v>17240193</v>
          </cell>
          <cell r="N149">
            <v>34480387</v>
          </cell>
          <cell r="O149">
            <v>217154</v>
          </cell>
          <cell r="P149">
            <v>217154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329248</v>
          </cell>
          <cell r="V149">
            <v>0</v>
          </cell>
          <cell r="W149">
            <v>329248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588077</v>
          </cell>
          <cell r="AC149">
            <v>470462</v>
          </cell>
          <cell r="AD149">
            <v>117616</v>
          </cell>
          <cell r="AE149">
            <v>0</v>
          </cell>
          <cell r="AF149">
            <v>1176155</v>
          </cell>
          <cell r="AG149">
            <v>182478</v>
          </cell>
          <cell r="AH149">
            <v>145982</v>
          </cell>
          <cell r="AI149">
            <v>36496</v>
          </cell>
          <cell r="AJ149">
            <v>0</v>
          </cell>
          <cell r="AK149">
            <v>364956</v>
          </cell>
          <cell r="AL149">
            <v>293398</v>
          </cell>
          <cell r="AM149">
            <v>234719</v>
          </cell>
          <cell r="AN149">
            <v>58680</v>
          </cell>
          <cell r="AO149">
            <v>0</v>
          </cell>
          <cell r="AP149">
            <v>586797</v>
          </cell>
          <cell r="AQ149">
            <v>-66274</v>
          </cell>
          <cell r="AR149">
            <v>-53020</v>
          </cell>
          <cell r="AS149">
            <v>-13255</v>
          </cell>
          <cell r="AT149">
            <v>0</v>
          </cell>
          <cell r="AU149">
            <v>-132549</v>
          </cell>
          <cell r="AV149">
            <v>227124</v>
          </cell>
          <cell r="AW149">
            <v>181699</v>
          </cell>
          <cell r="AX149">
            <v>45425</v>
          </cell>
          <cell r="AY149">
            <v>0</v>
          </cell>
          <cell r="AZ149">
            <v>454248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1434143.37</v>
          </cell>
          <cell r="BG149">
            <v>1147315</v>
          </cell>
          <cell r="BH149">
            <v>286829</v>
          </cell>
          <cell r="BI149">
            <v>0</v>
          </cell>
          <cell r="BJ149">
            <v>2868287.37</v>
          </cell>
          <cell r="BK149">
            <v>1434143.37</v>
          </cell>
          <cell r="BL149">
            <v>1147315</v>
          </cell>
          <cell r="BM149">
            <v>286829</v>
          </cell>
          <cell r="BN149">
            <v>0</v>
          </cell>
          <cell r="BO149">
            <v>2868287.37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2868134.29</v>
          </cell>
          <cell r="BV149">
            <v>2294507</v>
          </cell>
          <cell r="BW149">
            <v>573627</v>
          </cell>
          <cell r="BX149">
            <v>0</v>
          </cell>
          <cell r="BY149">
            <v>5736268.29</v>
          </cell>
          <cell r="BZ149">
            <v>2868134.29</v>
          </cell>
          <cell r="CA149">
            <v>2294507</v>
          </cell>
          <cell r="CB149">
            <v>573627</v>
          </cell>
          <cell r="CC149">
            <v>0</v>
          </cell>
          <cell r="CD149">
            <v>5736268.29</v>
          </cell>
        </row>
        <row r="150">
          <cell r="A150">
            <v>143</v>
          </cell>
          <cell r="B150" t="str">
            <v>E2002</v>
          </cell>
          <cell r="C150" t="str">
            <v>UA</v>
          </cell>
          <cell r="D150" t="str">
            <v>YH</v>
          </cell>
          <cell r="E150" t="str">
            <v>Kingston upon Hull UA</v>
          </cell>
          <cell r="F150">
            <v>40748910</v>
          </cell>
          <cell r="G150">
            <v>39933932</v>
          </cell>
          <cell r="H150">
            <v>0</v>
          </cell>
          <cell r="I150">
            <v>814978</v>
          </cell>
          <cell r="J150">
            <v>81497820</v>
          </cell>
          <cell r="K150">
            <v>0</v>
          </cell>
          <cell r="L150">
            <v>0</v>
          </cell>
          <cell r="M150">
            <v>40748910</v>
          </cell>
          <cell r="N150">
            <v>81497820</v>
          </cell>
          <cell r="O150">
            <v>391992</v>
          </cell>
          <cell r="P150">
            <v>391992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3243788</v>
          </cell>
          <cell r="AC150">
            <v>3178912</v>
          </cell>
          <cell r="AD150">
            <v>0</v>
          </cell>
          <cell r="AE150">
            <v>64876</v>
          </cell>
          <cell r="AF150">
            <v>6487576</v>
          </cell>
          <cell r="AG150">
            <v>339208</v>
          </cell>
          <cell r="AH150">
            <v>332423</v>
          </cell>
          <cell r="AI150">
            <v>0</v>
          </cell>
          <cell r="AJ150">
            <v>6784</v>
          </cell>
          <cell r="AK150">
            <v>678415</v>
          </cell>
          <cell r="AL150">
            <v>615168</v>
          </cell>
          <cell r="AM150">
            <v>602864</v>
          </cell>
          <cell r="AN150">
            <v>0</v>
          </cell>
          <cell r="AO150">
            <v>12303</v>
          </cell>
          <cell r="AP150">
            <v>1230335</v>
          </cell>
          <cell r="AQ150">
            <v>48360</v>
          </cell>
          <cell r="AR150">
            <v>47393</v>
          </cell>
          <cell r="AS150">
            <v>0</v>
          </cell>
          <cell r="AT150">
            <v>967</v>
          </cell>
          <cell r="AU150">
            <v>96720</v>
          </cell>
          <cell r="AV150">
            <v>663528</v>
          </cell>
          <cell r="AW150">
            <v>650257</v>
          </cell>
          <cell r="AX150">
            <v>0</v>
          </cell>
          <cell r="AY150">
            <v>13270</v>
          </cell>
          <cell r="AZ150">
            <v>1327055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491000</v>
          </cell>
          <cell r="BG150">
            <v>481180</v>
          </cell>
          <cell r="BH150">
            <v>0</v>
          </cell>
          <cell r="BI150">
            <v>9820</v>
          </cell>
          <cell r="BJ150">
            <v>982000</v>
          </cell>
          <cell r="BK150">
            <v>491000</v>
          </cell>
          <cell r="BL150">
            <v>481180</v>
          </cell>
          <cell r="BM150">
            <v>0</v>
          </cell>
          <cell r="BN150">
            <v>9820</v>
          </cell>
          <cell r="BO150">
            <v>982000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2009000</v>
          </cell>
          <cell r="BV150">
            <v>1968820</v>
          </cell>
          <cell r="BW150">
            <v>0</v>
          </cell>
          <cell r="BX150">
            <v>40180</v>
          </cell>
          <cell r="BY150">
            <v>4018000</v>
          </cell>
          <cell r="BZ150">
            <v>2009000</v>
          </cell>
          <cell r="CA150">
            <v>1968820</v>
          </cell>
          <cell r="CB150">
            <v>0</v>
          </cell>
          <cell r="CC150">
            <v>40180</v>
          </cell>
          <cell r="CD150">
            <v>4018000</v>
          </cell>
        </row>
        <row r="151">
          <cell r="A151">
            <v>144</v>
          </cell>
          <cell r="B151" t="str">
            <v>E5043</v>
          </cell>
          <cell r="C151" t="str">
            <v>OLB</v>
          </cell>
          <cell r="D151" t="str">
            <v>L</v>
          </cell>
          <cell r="E151" t="str">
            <v>Kingston upon Thames</v>
          </cell>
          <cell r="F151">
            <v>38048957</v>
          </cell>
          <cell r="G151">
            <v>22829374</v>
          </cell>
          <cell r="H151">
            <v>15219583</v>
          </cell>
          <cell r="I151">
            <v>0</v>
          </cell>
          <cell r="J151">
            <v>76097914</v>
          </cell>
          <cell r="K151">
            <v>0</v>
          </cell>
          <cell r="L151">
            <v>0</v>
          </cell>
          <cell r="M151">
            <v>38048957</v>
          </cell>
          <cell r="N151">
            <v>76097914</v>
          </cell>
          <cell r="O151">
            <v>257892</v>
          </cell>
          <cell r="P151">
            <v>257892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1974601</v>
          </cell>
          <cell r="AC151">
            <v>1184761</v>
          </cell>
          <cell r="AD151">
            <v>789841</v>
          </cell>
          <cell r="AE151">
            <v>0</v>
          </cell>
          <cell r="AF151">
            <v>3949203</v>
          </cell>
          <cell r="AG151">
            <v>396500</v>
          </cell>
          <cell r="AH151">
            <v>237900</v>
          </cell>
          <cell r="AI151">
            <v>158600</v>
          </cell>
          <cell r="AJ151">
            <v>0</v>
          </cell>
          <cell r="AK151">
            <v>793000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549861</v>
          </cell>
          <cell r="AR151">
            <v>329917</v>
          </cell>
          <cell r="AS151">
            <v>219945</v>
          </cell>
          <cell r="AT151">
            <v>0</v>
          </cell>
          <cell r="AU151">
            <v>1099723</v>
          </cell>
          <cell r="AV151">
            <v>549861</v>
          </cell>
          <cell r="AW151">
            <v>329917</v>
          </cell>
          <cell r="AX151">
            <v>219945</v>
          </cell>
          <cell r="AY151">
            <v>0</v>
          </cell>
          <cell r="AZ151">
            <v>1099723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428821</v>
          </cell>
          <cell r="BG151">
            <v>257293</v>
          </cell>
          <cell r="BH151">
            <v>171529</v>
          </cell>
          <cell r="BI151">
            <v>0</v>
          </cell>
          <cell r="BJ151">
            <v>857643</v>
          </cell>
          <cell r="BK151">
            <v>428821</v>
          </cell>
          <cell r="BL151">
            <v>257293</v>
          </cell>
          <cell r="BM151">
            <v>171529</v>
          </cell>
          <cell r="BN151">
            <v>0</v>
          </cell>
          <cell r="BO151">
            <v>857643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1457779</v>
          </cell>
          <cell r="BV151">
            <v>874668</v>
          </cell>
          <cell r="BW151">
            <v>583112</v>
          </cell>
          <cell r="BX151">
            <v>0</v>
          </cell>
          <cell r="BY151">
            <v>2915559</v>
          </cell>
          <cell r="BZ151">
            <v>1457779</v>
          </cell>
          <cell r="CA151">
            <v>874668</v>
          </cell>
          <cell r="CB151">
            <v>583112</v>
          </cell>
          <cell r="CC151">
            <v>0</v>
          </cell>
          <cell r="CD151">
            <v>2915559</v>
          </cell>
        </row>
        <row r="152">
          <cell r="A152">
            <v>145</v>
          </cell>
          <cell r="B152" t="str">
            <v>E4703</v>
          </cell>
          <cell r="C152" t="str">
            <v>Met</v>
          </cell>
          <cell r="D152" t="str">
            <v>YH</v>
          </cell>
          <cell r="E152" t="str">
            <v>Kirklees</v>
          </cell>
          <cell r="F152">
            <v>47180390</v>
          </cell>
          <cell r="G152">
            <v>46236783</v>
          </cell>
          <cell r="H152">
            <v>0</v>
          </cell>
          <cell r="I152">
            <v>943608</v>
          </cell>
          <cell r="J152">
            <v>94360781</v>
          </cell>
          <cell r="K152">
            <v>0</v>
          </cell>
          <cell r="L152">
            <v>0</v>
          </cell>
          <cell r="M152">
            <v>47180390</v>
          </cell>
          <cell r="N152">
            <v>94360781</v>
          </cell>
          <cell r="O152">
            <v>614074</v>
          </cell>
          <cell r="P152">
            <v>614074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2964060</v>
          </cell>
          <cell r="AC152">
            <v>2904778</v>
          </cell>
          <cell r="AD152">
            <v>0</v>
          </cell>
          <cell r="AE152">
            <v>59281</v>
          </cell>
          <cell r="AF152">
            <v>5928119</v>
          </cell>
          <cell r="AG152">
            <v>1105499</v>
          </cell>
          <cell r="AH152">
            <v>1083389</v>
          </cell>
          <cell r="AI152">
            <v>0</v>
          </cell>
          <cell r="AJ152">
            <v>22110</v>
          </cell>
          <cell r="AK152">
            <v>2210998</v>
          </cell>
          <cell r="AL152">
            <v>1284737</v>
          </cell>
          <cell r="AM152">
            <v>1259043</v>
          </cell>
          <cell r="AN152">
            <v>0</v>
          </cell>
          <cell r="AO152">
            <v>25695</v>
          </cell>
          <cell r="AP152">
            <v>2569475</v>
          </cell>
          <cell r="AQ152">
            <v>439371</v>
          </cell>
          <cell r="AR152">
            <v>430583</v>
          </cell>
          <cell r="AS152">
            <v>0</v>
          </cell>
          <cell r="AT152">
            <v>8787</v>
          </cell>
          <cell r="AU152">
            <v>878741</v>
          </cell>
          <cell r="AV152">
            <v>1724108</v>
          </cell>
          <cell r="AW152">
            <v>1689626</v>
          </cell>
          <cell r="AX152">
            <v>0</v>
          </cell>
          <cell r="AY152">
            <v>34482</v>
          </cell>
          <cell r="AZ152">
            <v>3448216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924962</v>
          </cell>
          <cell r="BG152">
            <v>906463</v>
          </cell>
          <cell r="BH152">
            <v>0</v>
          </cell>
          <cell r="BI152">
            <v>18499</v>
          </cell>
          <cell r="BJ152">
            <v>1849924</v>
          </cell>
          <cell r="BK152">
            <v>924962</v>
          </cell>
          <cell r="BL152">
            <v>906463</v>
          </cell>
          <cell r="BM152">
            <v>0</v>
          </cell>
          <cell r="BN152">
            <v>18499</v>
          </cell>
          <cell r="BO152">
            <v>1849924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2737105</v>
          </cell>
          <cell r="BV152">
            <v>2682362</v>
          </cell>
          <cell r="BW152">
            <v>0</v>
          </cell>
          <cell r="BX152">
            <v>54742</v>
          </cell>
          <cell r="BY152">
            <v>5474209</v>
          </cell>
          <cell r="BZ152">
            <v>2737105</v>
          </cell>
          <cell r="CA152">
            <v>2682362</v>
          </cell>
          <cell r="CB152">
            <v>0</v>
          </cell>
          <cell r="CC152">
            <v>54742</v>
          </cell>
          <cell r="CD152">
            <v>5474209</v>
          </cell>
        </row>
        <row r="153">
          <cell r="A153">
            <v>146</v>
          </cell>
          <cell r="B153" t="str">
            <v>E4301</v>
          </cell>
          <cell r="C153" t="str">
            <v>Met</v>
          </cell>
          <cell r="D153" t="str">
            <v>NW</v>
          </cell>
          <cell r="E153" t="str">
            <v>Knowsley</v>
          </cell>
          <cell r="F153">
            <v>12858744</v>
          </cell>
          <cell r="G153">
            <v>12601569</v>
          </cell>
          <cell r="H153">
            <v>0</v>
          </cell>
          <cell r="I153">
            <v>257175</v>
          </cell>
          <cell r="J153">
            <v>25717488</v>
          </cell>
          <cell r="K153">
            <v>0</v>
          </cell>
          <cell r="L153">
            <v>0</v>
          </cell>
          <cell r="M153">
            <v>12858744</v>
          </cell>
          <cell r="N153">
            <v>25717488</v>
          </cell>
          <cell r="O153">
            <v>135691</v>
          </cell>
          <cell r="P153">
            <v>135691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1745075</v>
          </cell>
          <cell r="AC153">
            <v>1710174</v>
          </cell>
          <cell r="AD153">
            <v>0</v>
          </cell>
          <cell r="AE153">
            <v>34902</v>
          </cell>
          <cell r="AF153">
            <v>3490151</v>
          </cell>
          <cell r="AG153">
            <v>932180</v>
          </cell>
          <cell r="AH153">
            <v>913537</v>
          </cell>
          <cell r="AI153">
            <v>0</v>
          </cell>
          <cell r="AJ153">
            <v>18644</v>
          </cell>
          <cell r="AK153">
            <v>1864361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479286</v>
          </cell>
          <cell r="AR153">
            <v>469700</v>
          </cell>
          <cell r="AS153">
            <v>0</v>
          </cell>
          <cell r="AT153">
            <v>9586</v>
          </cell>
          <cell r="AU153">
            <v>958572</v>
          </cell>
          <cell r="AV153">
            <v>479286</v>
          </cell>
          <cell r="AW153">
            <v>469700</v>
          </cell>
          <cell r="AX153">
            <v>0</v>
          </cell>
          <cell r="AY153">
            <v>9586</v>
          </cell>
          <cell r="AZ153">
            <v>958572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1364164.72</v>
          </cell>
          <cell r="BG153">
            <v>1336881</v>
          </cell>
          <cell r="BH153">
            <v>0</v>
          </cell>
          <cell r="BI153">
            <v>27283</v>
          </cell>
          <cell r="BJ153">
            <v>2728328.72</v>
          </cell>
          <cell r="BK153">
            <v>1364164.72</v>
          </cell>
          <cell r="BL153">
            <v>1336881</v>
          </cell>
          <cell r="BM153">
            <v>0</v>
          </cell>
          <cell r="BN153">
            <v>27283</v>
          </cell>
          <cell r="BO153">
            <v>2728328.72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5157783.78</v>
          </cell>
          <cell r="BV153">
            <v>5054629</v>
          </cell>
          <cell r="BW153">
            <v>0</v>
          </cell>
          <cell r="BX153">
            <v>103156</v>
          </cell>
          <cell r="BY153">
            <v>10315568.699999999</v>
          </cell>
          <cell r="BZ153">
            <v>5157783.78</v>
          </cell>
          <cell r="CA153">
            <v>5054629</v>
          </cell>
          <cell r="CB153">
            <v>0</v>
          </cell>
          <cell r="CC153">
            <v>103156</v>
          </cell>
          <cell r="CD153">
            <v>10315568.699999999</v>
          </cell>
        </row>
        <row r="154">
          <cell r="A154">
            <v>147</v>
          </cell>
          <cell r="B154" t="str">
            <v>E5017</v>
          </cell>
          <cell r="C154" t="str">
            <v>ILB</v>
          </cell>
          <cell r="D154" t="str">
            <v>L</v>
          </cell>
          <cell r="E154" t="str">
            <v>Lambeth</v>
          </cell>
          <cell r="F154">
            <v>54258617</v>
          </cell>
          <cell r="G154">
            <v>32555170</v>
          </cell>
          <cell r="H154">
            <v>21703447</v>
          </cell>
          <cell r="I154">
            <v>0</v>
          </cell>
          <cell r="J154">
            <v>108517234</v>
          </cell>
          <cell r="K154">
            <v>0</v>
          </cell>
          <cell r="L154">
            <v>0</v>
          </cell>
          <cell r="M154">
            <v>54258617</v>
          </cell>
          <cell r="N154">
            <v>108517234</v>
          </cell>
          <cell r="O154">
            <v>480534</v>
          </cell>
          <cell r="P154">
            <v>480534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3213231</v>
          </cell>
          <cell r="AC154">
            <v>1927939</v>
          </cell>
          <cell r="AD154">
            <v>1285292</v>
          </cell>
          <cell r="AE154">
            <v>0</v>
          </cell>
          <cell r="AF154">
            <v>6426462</v>
          </cell>
          <cell r="AG154">
            <v>3297911</v>
          </cell>
          <cell r="AH154">
            <v>1978747</v>
          </cell>
          <cell r="AI154">
            <v>1319165</v>
          </cell>
          <cell r="AJ154">
            <v>0</v>
          </cell>
          <cell r="AK154">
            <v>6595823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1663164</v>
          </cell>
          <cell r="BG154">
            <v>997898</v>
          </cell>
          <cell r="BH154">
            <v>665265</v>
          </cell>
          <cell r="BI154">
            <v>0</v>
          </cell>
          <cell r="BJ154">
            <v>3326327</v>
          </cell>
          <cell r="BK154">
            <v>1663164</v>
          </cell>
          <cell r="BL154">
            <v>997898</v>
          </cell>
          <cell r="BM154">
            <v>665265</v>
          </cell>
          <cell r="BN154">
            <v>0</v>
          </cell>
          <cell r="BO154">
            <v>3326327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4765573</v>
          </cell>
          <cell r="BV154">
            <v>2859344</v>
          </cell>
          <cell r="BW154">
            <v>1906229</v>
          </cell>
          <cell r="BX154">
            <v>0</v>
          </cell>
          <cell r="BY154">
            <v>9531146</v>
          </cell>
          <cell r="BZ154">
            <v>4765573</v>
          </cell>
          <cell r="CA154">
            <v>2859344</v>
          </cell>
          <cell r="CB154">
            <v>1906229</v>
          </cell>
          <cell r="CC154">
            <v>0</v>
          </cell>
          <cell r="CD154">
            <v>9531146</v>
          </cell>
        </row>
        <row r="155">
          <cell r="A155">
            <v>148</v>
          </cell>
          <cell r="B155" t="str">
            <v>E2337</v>
          </cell>
          <cell r="C155" t="str">
            <v>SD</v>
          </cell>
          <cell r="D155" t="str">
            <v>NW</v>
          </cell>
          <cell r="E155" t="str">
            <v>Lancaster</v>
          </cell>
          <cell r="F155">
            <v>29283854</v>
          </cell>
          <cell r="G155">
            <v>23427083</v>
          </cell>
          <cell r="H155">
            <v>5271094</v>
          </cell>
          <cell r="I155">
            <v>585677</v>
          </cell>
          <cell r="J155">
            <v>58567708</v>
          </cell>
          <cell r="K155">
            <v>0</v>
          </cell>
          <cell r="L155">
            <v>0</v>
          </cell>
          <cell r="M155">
            <v>29283854</v>
          </cell>
          <cell r="N155">
            <v>58567708</v>
          </cell>
          <cell r="O155">
            <v>233004</v>
          </cell>
          <cell r="P155">
            <v>233004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685313.28</v>
          </cell>
          <cell r="AC155">
            <v>548251</v>
          </cell>
          <cell r="AD155">
            <v>123356</v>
          </cell>
          <cell r="AE155">
            <v>13706</v>
          </cell>
          <cell r="AF155">
            <v>1370626.28</v>
          </cell>
          <cell r="AG155">
            <v>-322314</v>
          </cell>
          <cell r="AH155">
            <v>-257851</v>
          </cell>
          <cell r="AI155">
            <v>-58016</v>
          </cell>
          <cell r="AJ155">
            <v>-6446</v>
          </cell>
          <cell r="AK155">
            <v>-644627</v>
          </cell>
          <cell r="AL155">
            <v>43336</v>
          </cell>
          <cell r="AM155">
            <v>34668</v>
          </cell>
          <cell r="AN155">
            <v>7800</v>
          </cell>
          <cell r="AO155">
            <v>867</v>
          </cell>
          <cell r="AP155">
            <v>86671</v>
          </cell>
          <cell r="AQ155">
            <v>85899</v>
          </cell>
          <cell r="AR155">
            <v>68720</v>
          </cell>
          <cell r="AS155">
            <v>15462</v>
          </cell>
          <cell r="AT155">
            <v>1718</v>
          </cell>
          <cell r="AU155">
            <v>171799</v>
          </cell>
          <cell r="AV155">
            <v>129235</v>
          </cell>
          <cell r="AW155">
            <v>103388</v>
          </cell>
          <cell r="AX155">
            <v>23262</v>
          </cell>
          <cell r="AY155">
            <v>2585</v>
          </cell>
          <cell r="AZ155">
            <v>258470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4521151</v>
          </cell>
          <cell r="BV155">
            <v>3616920</v>
          </cell>
          <cell r="BW155">
            <v>813807</v>
          </cell>
          <cell r="BX155">
            <v>90423</v>
          </cell>
          <cell r="BY155">
            <v>9042301</v>
          </cell>
          <cell r="BZ155">
            <v>4521151</v>
          </cell>
          <cell r="CA155">
            <v>3616920</v>
          </cell>
          <cell r="CB155">
            <v>813807</v>
          </cell>
          <cell r="CC155">
            <v>90423</v>
          </cell>
          <cell r="CD155">
            <v>9042301</v>
          </cell>
        </row>
        <row r="156">
          <cell r="A156">
            <v>149</v>
          </cell>
          <cell r="B156" t="str">
            <v>E4704</v>
          </cell>
          <cell r="C156" t="str">
            <v>Met</v>
          </cell>
          <cell r="D156" t="str">
            <v>YH</v>
          </cell>
          <cell r="E156" t="str">
            <v>Leeds</v>
          </cell>
          <cell r="F156">
            <v>169853952</v>
          </cell>
          <cell r="G156">
            <v>166456872</v>
          </cell>
          <cell r="H156">
            <v>0</v>
          </cell>
          <cell r="I156">
            <v>3397079</v>
          </cell>
          <cell r="J156">
            <v>339707903</v>
          </cell>
          <cell r="K156">
            <v>274990</v>
          </cell>
          <cell r="L156">
            <v>274990</v>
          </cell>
          <cell r="M156">
            <v>169578962</v>
          </cell>
          <cell r="N156">
            <v>339432913</v>
          </cell>
          <cell r="O156">
            <v>1234002</v>
          </cell>
          <cell r="P156">
            <v>1234002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274990</v>
          </cell>
          <cell r="Y156">
            <v>0</v>
          </cell>
          <cell r="Z156">
            <v>0</v>
          </cell>
          <cell r="AA156">
            <v>274990</v>
          </cell>
          <cell r="AB156">
            <v>6893874.3700000001</v>
          </cell>
          <cell r="AC156">
            <v>6755998</v>
          </cell>
          <cell r="AD156">
            <v>0</v>
          </cell>
          <cell r="AE156">
            <v>137878</v>
          </cell>
          <cell r="AF156">
            <v>13787750.300000001</v>
          </cell>
          <cell r="AG156">
            <v>3570590.09</v>
          </cell>
          <cell r="AH156">
            <v>3499179</v>
          </cell>
          <cell r="AI156">
            <v>0</v>
          </cell>
          <cell r="AJ156">
            <v>71412</v>
          </cell>
          <cell r="AK156">
            <v>7141181.0899999999</v>
          </cell>
          <cell r="AL156">
            <v>2324500</v>
          </cell>
          <cell r="AM156">
            <v>2278010</v>
          </cell>
          <cell r="AN156">
            <v>0</v>
          </cell>
          <cell r="AO156">
            <v>46490</v>
          </cell>
          <cell r="AP156">
            <v>4649000</v>
          </cell>
          <cell r="AQ156">
            <v>325500</v>
          </cell>
          <cell r="AR156">
            <v>318990</v>
          </cell>
          <cell r="AS156">
            <v>0</v>
          </cell>
          <cell r="AT156">
            <v>6510</v>
          </cell>
          <cell r="AU156">
            <v>651000</v>
          </cell>
          <cell r="AV156">
            <v>2650000</v>
          </cell>
          <cell r="AW156">
            <v>2597000</v>
          </cell>
          <cell r="AX156">
            <v>0</v>
          </cell>
          <cell r="AY156">
            <v>53000</v>
          </cell>
          <cell r="AZ156">
            <v>5300000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3032671</v>
          </cell>
          <cell r="BG156">
            <v>2972018</v>
          </cell>
          <cell r="BH156">
            <v>0</v>
          </cell>
          <cell r="BI156">
            <v>60653</v>
          </cell>
          <cell r="BJ156">
            <v>6065342</v>
          </cell>
          <cell r="BK156">
            <v>3032671</v>
          </cell>
          <cell r="BL156">
            <v>2972018</v>
          </cell>
          <cell r="BM156">
            <v>0</v>
          </cell>
          <cell r="BN156">
            <v>60653</v>
          </cell>
          <cell r="BO156">
            <v>6065342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8514962</v>
          </cell>
          <cell r="BV156">
            <v>8344662</v>
          </cell>
          <cell r="BW156">
            <v>0</v>
          </cell>
          <cell r="BX156">
            <v>170299</v>
          </cell>
          <cell r="BY156">
            <v>17029923</v>
          </cell>
          <cell r="BZ156">
            <v>8514962</v>
          </cell>
          <cell r="CA156">
            <v>8344662</v>
          </cell>
          <cell r="CB156">
            <v>0</v>
          </cell>
          <cell r="CC156">
            <v>170299</v>
          </cell>
          <cell r="CD156">
            <v>17029923</v>
          </cell>
        </row>
        <row r="157">
          <cell r="A157">
            <v>150</v>
          </cell>
          <cell r="B157" t="str">
            <v>E2401</v>
          </cell>
          <cell r="C157" t="str">
            <v>UA</v>
          </cell>
          <cell r="D157" t="str">
            <v>EM</v>
          </cell>
          <cell r="E157" t="str">
            <v>Leicester UA</v>
          </cell>
          <cell r="F157">
            <v>45337655</v>
          </cell>
          <cell r="G157">
            <v>44430901</v>
          </cell>
          <cell r="H157">
            <v>0</v>
          </cell>
          <cell r="I157">
            <v>906753</v>
          </cell>
          <cell r="J157">
            <v>90675309</v>
          </cell>
          <cell r="K157">
            <v>0</v>
          </cell>
          <cell r="L157">
            <v>0</v>
          </cell>
          <cell r="M157">
            <v>45337655</v>
          </cell>
          <cell r="N157">
            <v>90675309</v>
          </cell>
          <cell r="O157">
            <v>488470</v>
          </cell>
          <cell r="P157">
            <v>488470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3697817</v>
          </cell>
          <cell r="AC157">
            <v>3623860</v>
          </cell>
          <cell r="AD157">
            <v>0</v>
          </cell>
          <cell r="AE157">
            <v>73956</v>
          </cell>
          <cell r="AF157">
            <v>7395633</v>
          </cell>
          <cell r="AG157">
            <v>651653</v>
          </cell>
          <cell r="AH157">
            <v>638620</v>
          </cell>
          <cell r="AI157">
            <v>0</v>
          </cell>
          <cell r="AJ157">
            <v>13033</v>
          </cell>
          <cell r="AK157">
            <v>1303306</v>
          </cell>
          <cell r="AL157">
            <v>1081571</v>
          </cell>
          <cell r="AM157">
            <v>1059939</v>
          </cell>
          <cell r="AN157">
            <v>0</v>
          </cell>
          <cell r="AO157">
            <v>21631</v>
          </cell>
          <cell r="AP157">
            <v>2163141</v>
          </cell>
          <cell r="AQ157">
            <v>340571</v>
          </cell>
          <cell r="AR157">
            <v>333760</v>
          </cell>
          <cell r="AS157">
            <v>0</v>
          </cell>
          <cell r="AT157">
            <v>6811</v>
          </cell>
          <cell r="AU157">
            <v>681142</v>
          </cell>
          <cell r="AV157">
            <v>1422142</v>
          </cell>
          <cell r="AW157">
            <v>1393699</v>
          </cell>
          <cell r="AX157">
            <v>0</v>
          </cell>
          <cell r="AY157">
            <v>28442</v>
          </cell>
          <cell r="AZ157">
            <v>2844283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992662</v>
          </cell>
          <cell r="BG157">
            <v>972809</v>
          </cell>
          <cell r="BH157">
            <v>0</v>
          </cell>
          <cell r="BI157">
            <v>19853</v>
          </cell>
          <cell r="BJ157">
            <v>1985324</v>
          </cell>
          <cell r="BK157">
            <v>992662</v>
          </cell>
          <cell r="BL157">
            <v>972809</v>
          </cell>
          <cell r="BM157">
            <v>0</v>
          </cell>
          <cell r="BN157">
            <v>19853</v>
          </cell>
          <cell r="BO157">
            <v>1985324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2632634</v>
          </cell>
          <cell r="BV157">
            <v>2579982</v>
          </cell>
          <cell r="BW157">
            <v>0</v>
          </cell>
          <cell r="BX157">
            <v>52653</v>
          </cell>
          <cell r="BY157">
            <v>5265269</v>
          </cell>
          <cell r="BZ157">
            <v>2632634</v>
          </cell>
          <cell r="CA157">
            <v>2579982</v>
          </cell>
          <cell r="CB157">
            <v>0</v>
          </cell>
          <cell r="CC157">
            <v>52653</v>
          </cell>
          <cell r="CD157">
            <v>5265269</v>
          </cell>
        </row>
        <row r="158">
          <cell r="A158">
            <v>151</v>
          </cell>
          <cell r="B158" t="str">
            <v>E1435</v>
          </cell>
          <cell r="C158" t="str">
            <v>SD</v>
          </cell>
          <cell r="D158" t="str">
            <v>SE</v>
          </cell>
          <cell r="E158" t="str">
            <v>Lewes</v>
          </cell>
          <cell r="F158">
            <v>11267458</v>
          </cell>
          <cell r="G158">
            <v>9013966</v>
          </cell>
          <cell r="H158">
            <v>2028142</v>
          </cell>
          <cell r="I158">
            <v>225349</v>
          </cell>
          <cell r="J158">
            <v>22534915</v>
          </cell>
          <cell r="K158">
            <v>0</v>
          </cell>
          <cell r="L158">
            <v>0</v>
          </cell>
          <cell r="M158">
            <v>11267458</v>
          </cell>
          <cell r="N158">
            <v>22534915</v>
          </cell>
          <cell r="O158">
            <v>128276</v>
          </cell>
          <cell r="P158">
            <v>128276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396775</v>
          </cell>
          <cell r="AC158">
            <v>317420</v>
          </cell>
          <cell r="AD158">
            <v>71419</v>
          </cell>
          <cell r="AE158">
            <v>7935</v>
          </cell>
          <cell r="AF158">
            <v>793549</v>
          </cell>
          <cell r="AG158">
            <v>59523</v>
          </cell>
          <cell r="AH158">
            <v>47618</v>
          </cell>
          <cell r="AI158">
            <v>10714</v>
          </cell>
          <cell r="AJ158">
            <v>1190</v>
          </cell>
          <cell r="AK158">
            <v>119045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94771</v>
          </cell>
          <cell r="AR158">
            <v>75816</v>
          </cell>
          <cell r="AS158">
            <v>17059</v>
          </cell>
          <cell r="AT158">
            <v>1895</v>
          </cell>
          <cell r="AU158">
            <v>189541</v>
          </cell>
          <cell r="AV158">
            <v>94771</v>
          </cell>
          <cell r="AW158">
            <v>75816</v>
          </cell>
          <cell r="AX158">
            <v>17059</v>
          </cell>
          <cell r="AY158">
            <v>1895</v>
          </cell>
          <cell r="AZ158">
            <v>189541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130000</v>
          </cell>
          <cell r="BG158">
            <v>104000</v>
          </cell>
          <cell r="BH158">
            <v>23400</v>
          </cell>
          <cell r="BI158">
            <v>2600</v>
          </cell>
          <cell r="BJ158">
            <v>260000</v>
          </cell>
          <cell r="BK158">
            <v>130000</v>
          </cell>
          <cell r="BL158">
            <v>104000</v>
          </cell>
          <cell r="BM158">
            <v>23400</v>
          </cell>
          <cell r="BN158">
            <v>2600</v>
          </cell>
          <cell r="BO158">
            <v>260000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391113</v>
          </cell>
          <cell r="BV158">
            <v>312890</v>
          </cell>
          <cell r="BW158">
            <v>70400</v>
          </cell>
          <cell r="BX158">
            <v>7822</v>
          </cell>
          <cell r="BY158">
            <v>782225</v>
          </cell>
          <cell r="BZ158">
            <v>391113</v>
          </cell>
          <cell r="CA158">
            <v>312890</v>
          </cell>
          <cell r="CB158">
            <v>70400</v>
          </cell>
          <cell r="CC158">
            <v>7822</v>
          </cell>
          <cell r="CD158">
            <v>782225</v>
          </cell>
        </row>
        <row r="159">
          <cell r="A159">
            <v>152</v>
          </cell>
          <cell r="B159" t="str">
            <v>E5018</v>
          </cell>
          <cell r="C159" t="str">
            <v>ILB</v>
          </cell>
          <cell r="D159" t="str">
            <v>L</v>
          </cell>
          <cell r="E159" t="str">
            <v>Lewisham</v>
          </cell>
          <cell r="F159">
            <v>23888289</v>
          </cell>
          <cell r="G159">
            <v>14332973</v>
          </cell>
          <cell r="H159">
            <v>9555315</v>
          </cell>
          <cell r="I159">
            <v>0</v>
          </cell>
          <cell r="J159">
            <v>47776577</v>
          </cell>
          <cell r="K159">
            <v>0</v>
          </cell>
          <cell r="L159">
            <v>0</v>
          </cell>
          <cell r="M159">
            <v>23888289</v>
          </cell>
          <cell r="N159">
            <v>47776577</v>
          </cell>
          <cell r="O159">
            <v>309920</v>
          </cell>
          <cell r="P159">
            <v>309920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2290066</v>
          </cell>
          <cell r="AC159">
            <v>1374040</v>
          </cell>
          <cell r="AD159">
            <v>916027</v>
          </cell>
          <cell r="AE159">
            <v>0</v>
          </cell>
          <cell r="AF159">
            <v>4580133</v>
          </cell>
          <cell r="AG159">
            <v>1838516</v>
          </cell>
          <cell r="AH159">
            <v>1103109</v>
          </cell>
          <cell r="AI159">
            <v>735406</v>
          </cell>
          <cell r="AJ159">
            <v>0</v>
          </cell>
          <cell r="AK159">
            <v>3677031</v>
          </cell>
          <cell r="AL159">
            <v>940167.54</v>
          </cell>
          <cell r="AM159">
            <v>564101</v>
          </cell>
          <cell r="AN159">
            <v>376067</v>
          </cell>
          <cell r="AO159">
            <v>0</v>
          </cell>
          <cell r="AP159">
            <v>1880335.54</v>
          </cell>
          <cell r="AQ159">
            <v>337309</v>
          </cell>
          <cell r="AR159">
            <v>202386</v>
          </cell>
          <cell r="AS159">
            <v>134924</v>
          </cell>
          <cell r="AT159">
            <v>0</v>
          </cell>
          <cell r="AU159">
            <v>674619</v>
          </cell>
          <cell r="AV159">
            <v>1277476.54</v>
          </cell>
          <cell r="AW159">
            <v>766487</v>
          </cell>
          <cell r="AX159">
            <v>510991</v>
          </cell>
          <cell r="AY159">
            <v>0</v>
          </cell>
          <cell r="AZ159">
            <v>2554954.54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263387</v>
          </cell>
          <cell r="BG159">
            <v>158033</v>
          </cell>
          <cell r="BH159">
            <v>105355</v>
          </cell>
          <cell r="BI159">
            <v>0</v>
          </cell>
          <cell r="BJ159">
            <v>526775</v>
          </cell>
          <cell r="BK159">
            <v>263387</v>
          </cell>
          <cell r="BL159">
            <v>158033</v>
          </cell>
          <cell r="BM159">
            <v>105355</v>
          </cell>
          <cell r="BN159">
            <v>0</v>
          </cell>
          <cell r="BO159">
            <v>526775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860828</v>
          </cell>
          <cell r="BV159">
            <v>516497</v>
          </cell>
          <cell r="BW159">
            <v>344331</v>
          </cell>
          <cell r="BX159">
            <v>0</v>
          </cell>
          <cell r="BY159">
            <v>1721656</v>
          </cell>
          <cell r="BZ159">
            <v>860828</v>
          </cell>
          <cell r="CA159">
            <v>516497</v>
          </cell>
          <cell r="CB159">
            <v>344331</v>
          </cell>
          <cell r="CC159">
            <v>0</v>
          </cell>
          <cell r="CD159">
            <v>1721656</v>
          </cell>
        </row>
        <row r="160">
          <cell r="A160">
            <v>153</v>
          </cell>
          <cell r="B160" t="str">
            <v>E3433</v>
          </cell>
          <cell r="C160" t="str">
            <v>SD</v>
          </cell>
          <cell r="D160" t="str">
            <v>WM</v>
          </cell>
          <cell r="E160" t="str">
            <v>Lichfield</v>
          </cell>
          <cell r="F160">
            <v>15261296</v>
          </cell>
          <cell r="G160">
            <v>12209037</v>
          </cell>
          <cell r="H160">
            <v>2747033</v>
          </cell>
          <cell r="I160">
            <v>305226</v>
          </cell>
          <cell r="J160">
            <v>30522592</v>
          </cell>
          <cell r="K160">
            <v>0</v>
          </cell>
          <cell r="L160">
            <v>0</v>
          </cell>
          <cell r="M160">
            <v>15261296</v>
          </cell>
          <cell r="N160">
            <v>30522592</v>
          </cell>
          <cell r="O160">
            <v>125090</v>
          </cell>
          <cell r="P160">
            <v>125090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411820.58</v>
          </cell>
          <cell r="AC160">
            <v>329456</v>
          </cell>
          <cell r="AD160">
            <v>74128</v>
          </cell>
          <cell r="AE160">
            <v>8236</v>
          </cell>
          <cell r="AF160">
            <v>823640.58</v>
          </cell>
          <cell r="AG160">
            <v>351705.57</v>
          </cell>
          <cell r="AH160">
            <v>281365</v>
          </cell>
          <cell r="AI160">
            <v>63307</v>
          </cell>
          <cell r="AJ160">
            <v>7034</v>
          </cell>
          <cell r="AK160">
            <v>703411.57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88527.6</v>
          </cell>
          <cell r="AR160">
            <v>70823</v>
          </cell>
          <cell r="AS160">
            <v>15935</v>
          </cell>
          <cell r="AT160">
            <v>1771</v>
          </cell>
          <cell r="AU160">
            <v>177056.6</v>
          </cell>
          <cell r="AV160">
            <v>88527.6</v>
          </cell>
          <cell r="AW160">
            <v>70823</v>
          </cell>
          <cell r="AX160">
            <v>15935</v>
          </cell>
          <cell r="AY160">
            <v>1771</v>
          </cell>
          <cell r="AZ160">
            <v>177056.6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231591</v>
          </cell>
          <cell r="BG160">
            <v>185273</v>
          </cell>
          <cell r="BH160">
            <v>41686</v>
          </cell>
          <cell r="BI160">
            <v>4632</v>
          </cell>
          <cell r="BJ160">
            <v>463182</v>
          </cell>
          <cell r="BK160">
            <v>231591</v>
          </cell>
          <cell r="BL160">
            <v>185273</v>
          </cell>
          <cell r="BM160">
            <v>41686</v>
          </cell>
          <cell r="BN160">
            <v>4632</v>
          </cell>
          <cell r="BO160">
            <v>463182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570611</v>
          </cell>
          <cell r="BV160">
            <v>456488</v>
          </cell>
          <cell r="BW160">
            <v>102710</v>
          </cell>
          <cell r="BX160">
            <v>11412</v>
          </cell>
          <cell r="BY160">
            <v>1141221</v>
          </cell>
          <cell r="BZ160">
            <v>570611</v>
          </cell>
          <cell r="CA160">
            <v>456488</v>
          </cell>
          <cell r="CB160">
            <v>102710</v>
          </cell>
          <cell r="CC160">
            <v>11412</v>
          </cell>
          <cell r="CD160">
            <v>1141221</v>
          </cell>
        </row>
        <row r="161">
          <cell r="A161">
            <v>154</v>
          </cell>
          <cell r="B161" t="str">
            <v>E2533</v>
          </cell>
          <cell r="C161" t="str">
            <v>SD</v>
          </cell>
          <cell r="D161" t="str">
            <v>EM</v>
          </cell>
          <cell r="E161" t="str">
            <v>Lincoln</v>
          </cell>
          <cell r="F161">
            <v>18980323</v>
          </cell>
          <cell r="G161">
            <v>15184259</v>
          </cell>
          <cell r="H161">
            <v>3796065</v>
          </cell>
          <cell r="I161">
            <v>0</v>
          </cell>
          <cell r="J161">
            <v>37960647</v>
          </cell>
          <cell r="K161">
            <v>0</v>
          </cell>
          <cell r="L161">
            <v>0</v>
          </cell>
          <cell r="M161">
            <v>18980323</v>
          </cell>
          <cell r="N161">
            <v>37960647</v>
          </cell>
          <cell r="O161">
            <v>151340</v>
          </cell>
          <cell r="P161">
            <v>151340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494017</v>
          </cell>
          <cell r="AC161">
            <v>395214</v>
          </cell>
          <cell r="AD161">
            <v>98804</v>
          </cell>
          <cell r="AE161">
            <v>0</v>
          </cell>
          <cell r="AF161">
            <v>988035</v>
          </cell>
          <cell r="AG161">
            <v>480440</v>
          </cell>
          <cell r="AH161">
            <v>384352</v>
          </cell>
          <cell r="AI161">
            <v>96088</v>
          </cell>
          <cell r="AJ161">
            <v>0</v>
          </cell>
          <cell r="AK161">
            <v>960880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44217</v>
          </cell>
          <cell r="AR161">
            <v>35374</v>
          </cell>
          <cell r="AS161">
            <v>8844</v>
          </cell>
          <cell r="AT161">
            <v>0</v>
          </cell>
          <cell r="AU161">
            <v>88435</v>
          </cell>
          <cell r="AV161">
            <v>44217</v>
          </cell>
          <cell r="AW161">
            <v>35374</v>
          </cell>
          <cell r="AX161">
            <v>8844</v>
          </cell>
          <cell r="AY161">
            <v>0</v>
          </cell>
          <cell r="AZ161">
            <v>88435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270602</v>
          </cell>
          <cell r="BG161">
            <v>216481</v>
          </cell>
          <cell r="BH161">
            <v>54120</v>
          </cell>
          <cell r="BI161">
            <v>0</v>
          </cell>
          <cell r="BJ161">
            <v>541203</v>
          </cell>
          <cell r="BK161">
            <v>270602</v>
          </cell>
          <cell r="BL161">
            <v>216481</v>
          </cell>
          <cell r="BM161">
            <v>54120</v>
          </cell>
          <cell r="BN161">
            <v>0</v>
          </cell>
          <cell r="BO161">
            <v>541203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868137</v>
          </cell>
          <cell r="BV161">
            <v>694509</v>
          </cell>
          <cell r="BW161">
            <v>173627</v>
          </cell>
          <cell r="BX161">
            <v>0</v>
          </cell>
          <cell r="BY161">
            <v>1736273</v>
          </cell>
          <cell r="BZ161">
            <v>868137</v>
          </cell>
          <cell r="CA161">
            <v>694509</v>
          </cell>
          <cell r="CB161">
            <v>173627</v>
          </cell>
          <cell r="CC161">
            <v>0</v>
          </cell>
          <cell r="CD161">
            <v>1736273</v>
          </cell>
        </row>
        <row r="162">
          <cell r="A162">
            <v>155</v>
          </cell>
          <cell r="B162" t="str">
            <v>E4302</v>
          </cell>
          <cell r="C162" t="str">
            <v>Met</v>
          </cell>
          <cell r="D162" t="str">
            <v>NW</v>
          </cell>
          <cell r="E162" t="str">
            <v>Liverpool</v>
          </cell>
          <cell r="F162">
            <v>84915105</v>
          </cell>
          <cell r="G162">
            <v>83216802</v>
          </cell>
          <cell r="H162">
            <v>0</v>
          </cell>
          <cell r="I162">
            <v>1698302</v>
          </cell>
          <cell r="J162">
            <v>169830209</v>
          </cell>
          <cell r="K162">
            <v>0</v>
          </cell>
          <cell r="L162">
            <v>0</v>
          </cell>
          <cell r="M162">
            <v>84915105</v>
          </cell>
          <cell r="N162">
            <v>169830209</v>
          </cell>
          <cell r="O162">
            <v>762931</v>
          </cell>
          <cell r="P162">
            <v>762931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31624910</v>
          </cell>
          <cell r="AC162">
            <v>30992412</v>
          </cell>
          <cell r="AD162">
            <v>0</v>
          </cell>
          <cell r="AE162">
            <v>632498</v>
          </cell>
          <cell r="AF162">
            <v>63249820</v>
          </cell>
          <cell r="AG162">
            <v>5544321</v>
          </cell>
          <cell r="AH162">
            <v>5433434</v>
          </cell>
          <cell r="AI162">
            <v>0</v>
          </cell>
          <cell r="AJ162">
            <v>110886</v>
          </cell>
          <cell r="AK162">
            <v>11088641</v>
          </cell>
          <cell r="AL162">
            <v>23236539</v>
          </cell>
          <cell r="AM162">
            <v>22771809</v>
          </cell>
          <cell r="AN162">
            <v>0</v>
          </cell>
          <cell r="AO162">
            <v>464731</v>
          </cell>
          <cell r="AP162">
            <v>46473079</v>
          </cell>
          <cell r="AQ162">
            <v>1595607</v>
          </cell>
          <cell r="AR162">
            <v>1533034</v>
          </cell>
          <cell r="AS162">
            <v>0</v>
          </cell>
          <cell r="AT162">
            <v>0</v>
          </cell>
          <cell r="AU162">
            <v>3128641</v>
          </cell>
          <cell r="AV162">
            <v>24832146</v>
          </cell>
          <cell r="AW162">
            <v>24304843</v>
          </cell>
          <cell r="AX162">
            <v>0</v>
          </cell>
          <cell r="AY162">
            <v>464731</v>
          </cell>
          <cell r="AZ162">
            <v>49601720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1644251</v>
          </cell>
          <cell r="BG162">
            <v>1611366</v>
          </cell>
          <cell r="BH162">
            <v>0</v>
          </cell>
          <cell r="BI162">
            <v>32885</v>
          </cell>
          <cell r="BJ162">
            <v>3288502</v>
          </cell>
          <cell r="BK162">
            <v>1644251</v>
          </cell>
          <cell r="BL162">
            <v>1611366</v>
          </cell>
          <cell r="BM162">
            <v>0</v>
          </cell>
          <cell r="BN162">
            <v>32885</v>
          </cell>
          <cell r="BO162">
            <v>3288502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5938504</v>
          </cell>
          <cell r="BV162">
            <v>5819733</v>
          </cell>
          <cell r="BW162">
            <v>0</v>
          </cell>
          <cell r="BX162">
            <v>118770</v>
          </cell>
          <cell r="BY162">
            <v>11877007</v>
          </cell>
          <cell r="BZ162">
            <v>5938504</v>
          </cell>
          <cell r="CA162">
            <v>5819733</v>
          </cell>
          <cell r="CB162">
            <v>0</v>
          </cell>
          <cell r="CC162">
            <v>118770</v>
          </cell>
          <cell r="CD162">
            <v>11877007</v>
          </cell>
        </row>
        <row r="163">
          <cell r="A163">
            <v>156</v>
          </cell>
          <cell r="B163" t="str">
            <v>E0201</v>
          </cell>
          <cell r="C163" t="str">
            <v>UA</v>
          </cell>
          <cell r="D163" t="str">
            <v>E</v>
          </cell>
          <cell r="E163" t="str">
            <v>Luton UA</v>
          </cell>
          <cell r="F163">
            <v>31127209</v>
          </cell>
          <cell r="G163">
            <v>30504664</v>
          </cell>
          <cell r="H163">
            <v>0</v>
          </cell>
          <cell r="I163">
            <v>622544</v>
          </cell>
          <cell r="J163">
            <v>62254417</v>
          </cell>
          <cell r="K163">
            <v>0</v>
          </cell>
          <cell r="L163">
            <v>0</v>
          </cell>
          <cell r="M163">
            <v>31127209</v>
          </cell>
          <cell r="N163">
            <v>62254417</v>
          </cell>
          <cell r="O163">
            <v>259196</v>
          </cell>
          <cell r="P163">
            <v>259196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5045959.5</v>
          </cell>
          <cell r="AC163">
            <v>4945040</v>
          </cell>
          <cell r="AD163">
            <v>0</v>
          </cell>
          <cell r="AE163">
            <v>100919</v>
          </cell>
          <cell r="AF163">
            <v>10091918.5</v>
          </cell>
          <cell r="AG163">
            <v>831974.99</v>
          </cell>
          <cell r="AH163">
            <v>815336</v>
          </cell>
          <cell r="AI163">
            <v>0</v>
          </cell>
          <cell r="AJ163">
            <v>16640</v>
          </cell>
          <cell r="AK163">
            <v>1663950.99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-235500</v>
          </cell>
          <cell r="AR163">
            <v>-230790</v>
          </cell>
          <cell r="AS163">
            <v>0</v>
          </cell>
          <cell r="AT163">
            <v>-4710</v>
          </cell>
          <cell r="AU163">
            <v>-471000</v>
          </cell>
          <cell r="AV163">
            <v>-235500</v>
          </cell>
          <cell r="AW163">
            <v>-230790</v>
          </cell>
          <cell r="AX163">
            <v>0</v>
          </cell>
          <cell r="AY163">
            <v>-4710</v>
          </cell>
          <cell r="AZ163">
            <v>-471000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392641.17</v>
          </cell>
          <cell r="BG163">
            <v>384788</v>
          </cell>
          <cell r="BH163">
            <v>0</v>
          </cell>
          <cell r="BI163">
            <v>7853</v>
          </cell>
          <cell r="BJ163">
            <v>785282.17</v>
          </cell>
          <cell r="BK163">
            <v>392641.17</v>
          </cell>
          <cell r="BL163">
            <v>384788</v>
          </cell>
          <cell r="BM163">
            <v>0</v>
          </cell>
          <cell r="BN163">
            <v>7853</v>
          </cell>
          <cell r="BO163">
            <v>785282.17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1541741.72</v>
          </cell>
          <cell r="BV163">
            <v>1510907</v>
          </cell>
          <cell r="BW163">
            <v>0</v>
          </cell>
          <cell r="BX163">
            <v>30835</v>
          </cell>
          <cell r="BY163">
            <v>3083483.72</v>
          </cell>
          <cell r="BZ163">
            <v>1541741.72</v>
          </cell>
          <cell r="CA163">
            <v>1510907</v>
          </cell>
          <cell r="CB163">
            <v>0</v>
          </cell>
          <cell r="CC163">
            <v>30835</v>
          </cell>
          <cell r="CD163">
            <v>3083483.72</v>
          </cell>
        </row>
        <row r="164">
          <cell r="A164">
            <v>157</v>
          </cell>
          <cell r="B164" t="str">
            <v>E2237</v>
          </cell>
          <cell r="C164" t="str">
            <v>SD</v>
          </cell>
          <cell r="D164" t="str">
            <v>SE</v>
          </cell>
          <cell r="E164" t="str">
            <v>Maidstone</v>
          </cell>
          <cell r="F164">
            <v>26545620</v>
          </cell>
          <cell r="G164">
            <v>21236495</v>
          </cell>
          <cell r="H164">
            <v>4778211</v>
          </cell>
          <cell r="I164">
            <v>530912</v>
          </cell>
          <cell r="J164">
            <v>53091238</v>
          </cell>
          <cell r="K164">
            <v>0</v>
          </cell>
          <cell r="L164">
            <v>0</v>
          </cell>
          <cell r="M164">
            <v>26545620</v>
          </cell>
          <cell r="N164">
            <v>53091238</v>
          </cell>
          <cell r="O164">
            <v>206754</v>
          </cell>
          <cell r="P164">
            <v>206754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1478199</v>
          </cell>
          <cell r="AC164">
            <v>1182559</v>
          </cell>
          <cell r="AD164">
            <v>266076</v>
          </cell>
          <cell r="AE164">
            <v>29564</v>
          </cell>
          <cell r="AF164">
            <v>2956398</v>
          </cell>
          <cell r="AG164">
            <v>300935</v>
          </cell>
          <cell r="AH164">
            <v>240748</v>
          </cell>
          <cell r="AI164">
            <v>54168</v>
          </cell>
          <cell r="AJ164">
            <v>6019</v>
          </cell>
          <cell r="AK164">
            <v>601870</v>
          </cell>
          <cell r="AL164">
            <v>1012911</v>
          </cell>
          <cell r="AM164">
            <v>810329</v>
          </cell>
          <cell r="AN164">
            <v>182324</v>
          </cell>
          <cell r="AO164">
            <v>20258</v>
          </cell>
          <cell r="AP164">
            <v>2025822</v>
          </cell>
          <cell r="AQ164">
            <v>-237871</v>
          </cell>
          <cell r="AR164">
            <v>-190297</v>
          </cell>
          <cell r="AS164">
            <v>-42817</v>
          </cell>
          <cell r="AT164">
            <v>-4757</v>
          </cell>
          <cell r="AU164">
            <v>-475742</v>
          </cell>
          <cell r="AV164">
            <v>775040</v>
          </cell>
          <cell r="AW164">
            <v>620032</v>
          </cell>
          <cell r="AX164">
            <v>139507</v>
          </cell>
          <cell r="AY164">
            <v>15501</v>
          </cell>
          <cell r="AZ164">
            <v>1550080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365592</v>
          </cell>
          <cell r="BG164">
            <v>292473</v>
          </cell>
          <cell r="BH164">
            <v>65806</v>
          </cell>
          <cell r="BI164">
            <v>7312</v>
          </cell>
          <cell r="BJ164">
            <v>731183</v>
          </cell>
          <cell r="BK164">
            <v>365592</v>
          </cell>
          <cell r="BL164">
            <v>292473</v>
          </cell>
          <cell r="BM164">
            <v>65806</v>
          </cell>
          <cell r="BN164">
            <v>7312</v>
          </cell>
          <cell r="BO164">
            <v>731183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1073328</v>
          </cell>
          <cell r="BV164">
            <v>858663</v>
          </cell>
          <cell r="BW164">
            <v>193199</v>
          </cell>
          <cell r="BX164">
            <v>21467</v>
          </cell>
          <cell r="BY164">
            <v>2146657</v>
          </cell>
          <cell r="BZ164">
            <v>1073328</v>
          </cell>
          <cell r="CA164">
            <v>858663</v>
          </cell>
          <cell r="CB164">
            <v>193199</v>
          </cell>
          <cell r="CC164">
            <v>21467</v>
          </cell>
          <cell r="CD164">
            <v>2146657</v>
          </cell>
        </row>
        <row r="165">
          <cell r="A165">
            <v>158</v>
          </cell>
          <cell r="B165" t="str">
            <v>E1539</v>
          </cell>
          <cell r="C165" t="str">
            <v>SD</v>
          </cell>
          <cell r="D165" t="str">
            <v>E</v>
          </cell>
          <cell r="E165" t="str">
            <v>Maldon</v>
          </cell>
          <cell r="F165">
            <v>6469833</v>
          </cell>
          <cell r="G165">
            <v>5175867</v>
          </cell>
          <cell r="H165">
            <v>1164570</v>
          </cell>
          <cell r="I165">
            <v>129397</v>
          </cell>
          <cell r="J165">
            <v>12939667</v>
          </cell>
          <cell r="K165">
            <v>0</v>
          </cell>
          <cell r="L165">
            <v>0</v>
          </cell>
          <cell r="M165">
            <v>6469833</v>
          </cell>
          <cell r="N165">
            <v>12939667</v>
          </cell>
          <cell r="O165">
            <v>92237</v>
          </cell>
          <cell r="P165">
            <v>92237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164760</v>
          </cell>
          <cell r="V165">
            <v>0</v>
          </cell>
          <cell r="W165">
            <v>164760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300699</v>
          </cell>
          <cell r="AC165">
            <v>240560</v>
          </cell>
          <cell r="AD165">
            <v>54126</v>
          </cell>
          <cell r="AE165">
            <v>6014</v>
          </cell>
          <cell r="AF165">
            <v>601399</v>
          </cell>
          <cell r="AG165">
            <v>148804.19</v>
          </cell>
          <cell r="AH165">
            <v>119043</v>
          </cell>
          <cell r="AI165">
            <v>26785</v>
          </cell>
          <cell r="AJ165">
            <v>2976</v>
          </cell>
          <cell r="AK165">
            <v>297608.19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-34940</v>
          </cell>
          <cell r="AR165">
            <v>-27952</v>
          </cell>
          <cell r="AS165">
            <v>-6289</v>
          </cell>
          <cell r="AT165">
            <v>-699</v>
          </cell>
          <cell r="AU165">
            <v>-69880</v>
          </cell>
          <cell r="AV165">
            <v>-34940</v>
          </cell>
          <cell r="AW165">
            <v>-27952</v>
          </cell>
          <cell r="AX165">
            <v>-6289</v>
          </cell>
          <cell r="AY165">
            <v>-699</v>
          </cell>
          <cell r="AZ165">
            <v>-69880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37347</v>
          </cell>
          <cell r="BG165">
            <v>29878</v>
          </cell>
          <cell r="BH165">
            <v>6722</v>
          </cell>
          <cell r="BI165">
            <v>747</v>
          </cell>
          <cell r="BJ165">
            <v>74694</v>
          </cell>
          <cell r="BK165">
            <v>37347</v>
          </cell>
          <cell r="BL165">
            <v>29878</v>
          </cell>
          <cell r="BM165">
            <v>6722</v>
          </cell>
          <cell r="BN165">
            <v>747</v>
          </cell>
          <cell r="BO165">
            <v>74694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97907</v>
          </cell>
          <cell r="BV165">
            <v>78325</v>
          </cell>
          <cell r="BW165">
            <v>17623</v>
          </cell>
          <cell r="BX165">
            <v>1958</v>
          </cell>
          <cell r="BY165">
            <v>195813</v>
          </cell>
          <cell r="BZ165">
            <v>97907</v>
          </cell>
          <cell r="CA165">
            <v>78325</v>
          </cell>
          <cell r="CB165">
            <v>17623</v>
          </cell>
          <cell r="CC165">
            <v>1958</v>
          </cell>
          <cell r="CD165">
            <v>195813</v>
          </cell>
        </row>
        <row r="166">
          <cell r="A166">
            <v>159</v>
          </cell>
          <cell r="B166" t="str">
            <v>E1851</v>
          </cell>
          <cell r="C166" t="str">
            <v>SD</v>
          </cell>
          <cell r="D166" t="str">
            <v>WM</v>
          </cell>
          <cell r="E166" t="str">
            <v>Malvern Hills (new)</v>
          </cell>
          <cell r="F166">
            <v>6899709</v>
          </cell>
          <cell r="G166">
            <v>5519767</v>
          </cell>
          <cell r="H166">
            <v>1241948</v>
          </cell>
          <cell r="I166">
            <v>137994</v>
          </cell>
          <cell r="J166">
            <v>13799418</v>
          </cell>
          <cell r="K166">
            <v>0</v>
          </cell>
          <cell r="L166">
            <v>0</v>
          </cell>
          <cell r="M166">
            <v>6899709</v>
          </cell>
          <cell r="N166">
            <v>13799418</v>
          </cell>
          <cell r="O166">
            <v>107953</v>
          </cell>
          <cell r="P166">
            <v>107953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163164</v>
          </cell>
          <cell r="AC166">
            <v>130532</v>
          </cell>
          <cell r="AD166">
            <v>29370</v>
          </cell>
          <cell r="AE166">
            <v>3263</v>
          </cell>
          <cell r="AF166">
            <v>326329</v>
          </cell>
          <cell r="AG166">
            <v>69175</v>
          </cell>
          <cell r="AH166">
            <v>55341</v>
          </cell>
          <cell r="AI166">
            <v>12452</v>
          </cell>
          <cell r="AJ166">
            <v>1384</v>
          </cell>
          <cell r="AK166">
            <v>138352</v>
          </cell>
          <cell r="AL166">
            <v>147384</v>
          </cell>
          <cell r="AM166">
            <v>117907</v>
          </cell>
          <cell r="AN166">
            <v>26529</v>
          </cell>
          <cell r="AO166">
            <v>2948</v>
          </cell>
          <cell r="AP166">
            <v>294768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147384</v>
          </cell>
          <cell r="AW166">
            <v>117907</v>
          </cell>
          <cell r="AX166">
            <v>26529</v>
          </cell>
          <cell r="AY166">
            <v>2948</v>
          </cell>
          <cell r="AZ166">
            <v>294768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70622</v>
          </cell>
          <cell r="BG166">
            <v>56498</v>
          </cell>
          <cell r="BH166">
            <v>12712</v>
          </cell>
          <cell r="BI166">
            <v>1412</v>
          </cell>
          <cell r="BJ166">
            <v>141244</v>
          </cell>
          <cell r="BK166">
            <v>70622</v>
          </cell>
          <cell r="BL166">
            <v>56498</v>
          </cell>
          <cell r="BM166">
            <v>12712</v>
          </cell>
          <cell r="BN166">
            <v>1412</v>
          </cell>
          <cell r="BO166">
            <v>141244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229643</v>
          </cell>
          <cell r="BV166">
            <v>183715</v>
          </cell>
          <cell r="BW166">
            <v>41336</v>
          </cell>
          <cell r="BX166">
            <v>4593</v>
          </cell>
          <cell r="BY166">
            <v>459287</v>
          </cell>
          <cell r="BZ166">
            <v>229643</v>
          </cell>
          <cell r="CA166">
            <v>183715</v>
          </cell>
          <cell r="CB166">
            <v>41336</v>
          </cell>
          <cell r="CC166">
            <v>4593</v>
          </cell>
          <cell r="CD166">
            <v>459287</v>
          </cell>
        </row>
        <row r="167">
          <cell r="A167">
            <v>160</v>
          </cell>
          <cell r="B167" t="str">
            <v>E4203</v>
          </cell>
          <cell r="C167" t="str">
            <v>Met</v>
          </cell>
          <cell r="D167" t="str">
            <v>NW</v>
          </cell>
          <cell r="E167" t="str">
            <v>Manchester</v>
          </cell>
          <cell r="F167">
            <v>99350121</v>
          </cell>
          <cell r="G167">
            <v>97363119</v>
          </cell>
          <cell r="H167">
            <v>0</v>
          </cell>
          <cell r="I167">
            <v>1987002</v>
          </cell>
          <cell r="J167">
            <v>198700242</v>
          </cell>
          <cell r="K167">
            <v>302645</v>
          </cell>
          <cell r="L167">
            <v>302645</v>
          </cell>
          <cell r="M167">
            <v>99047476</v>
          </cell>
          <cell r="N167">
            <v>198397597</v>
          </cell>
          <cell r="O167">
            <v>1108164</v>
          </cell>
          <cell r="P167">
            <v>1108164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302645</v>
          </cell>
          <cell r="Y167">
            <v>0</v>
          </cell>
          <cell r="Z167">
            <v>0</v>
          </cell>
          <cell r="AA167">
            <v>302645</v>
          </cell>
          <cell r="AB167">
            <v>9235944</v>
          </cell>
          <cell r="AC167">
            <v>9051226</v>
          </cell>
          <cell r="AD167">
            <v>0</v>
          </cell>
          <cell r="AE167">
            <v>184719</v>
          </cell>
          <cell r="AF167">
            <v>18471889</v>
          </cell>
          <cell r="AG167">
            <v>4646563</v>
          </cell>
          <cell r="AH167">
            <v>4553632</v>
          </cell>
          <cell r="AI167">
            <v>0</v>
          </cell>
          <cell r="AJ167">
            <v>92931</v>
          </cell>
          <cell r="AK167">
            <v>9293126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-610872</v>
          </cell>
          <cell r="AR167">
            <v>-598654</v>
          </cell>
          <cell r="AS167">
            <v>0</v>
          </cell>
          <cell r="AT167">
            <v>-12217</v>
          </cell>
          <cell r="AU167">
            <v>-1221743</v>
          </cell>
          <cell r="AV167">
            <v>-610872</v>
          </cell>
          <cell r="AW167">
            <v>-598654</v>
          </cell>
          <cell r="AX167">
            <v>0</v>
          </cell>
          <cell r="AY167">
            <v>-12217</v>
          </cell>
          <cell r="AZ167">
            <v>-1221743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15892743</v>
          </cell>
          <cell r="BG167">
            <v>15574888</v>
          </cell>
          <cell r="BH167">
            <v>0</v>
          </cell>
          <cell r="BI167">
            <v>317855</v>
          </cell>
          <cell r="BJ167">
            <v>31785486</v>
          </cell>
          <cell r="BK167">
            <v>15892743</v>
          </cell>
          <cell r="BL167">
            <v>15574888</v>
          </cell>
          <cell r="BM167">
            <v>0</v>
          </cell>
          <cell r="BN167">
            <v>317855</v>
          </cell>
          <cell r="BO167">
            <v>31785486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39864978</v>
          </cell>
          <cell r="BV167">
            <v>39067678</v>
          </cell>
          <cell r="BW167">
            <v>0</v>
          </cell>
          <cell r="BX167">
            <v>797300</v>
          </cell>
          <cell r="BY167">
            <v>79729956</v>
          </cell>
          <cell r="BZ167">
            <v>39864978</v>
          </cell>
          <cell r="CA167">
            <v>39067678</v>
          </cell>
          <cell r="CB167">
            <v>0</v>
          </cell>
          <cell r="CC167">
            <v>797300</v>
          </cell>
          <cell r="CD167">
            <v>79729956</v>
          </cell>
        </row>
        <row r="168">
          <cell r="A168">
            <v>161</v>
          </cell>
          <cell r="B168" t="str">
            <v>E3035</v>
          </cell>
          <cell r="C168" t="str">
            <v>SD</v>
          </cell>
          <cell r="D168" t="str">
            <v>EM</v>
          </cell>
          <cell r="E168" t="str">
            <v>Mansfield</v>
          </cell>
          <cell r="F168">
            <v>13182088</v>
          </cell>
          <cell r="G168">
            <v>10545671</v>
          </cell>
          <cell r="H168">
            <v>2372776</v>
          </cell>
          <cell r="I168">
            <v>263642</v>
          </cell>
          <cell r="J168">
            <v>26364177</v>
          </cell>
          <cell r="K168">
            <v>0</v>
          </cell>
          <cell r="L168">
            <v>0</v>
          </cell>
          <cell r="M168">
            <v>13182088</v>
          </cell>
          <cell r="N168">
            <v>26364177</v>
          </cell>
          <cell r="O168">
            <v>129143</v>
          </cell>
          <cell r="P168">
            <v>129143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312911</v>
          </cell>
          <cell r="AC168">
            <v>250329</v>
          </cell>
          <cell r="AD168">
            <v>56324</v>
          </cell>
          <cell r="AE168">
            <v>6258</v>
          </cell>
          <cell r="AF168">
            <v>625822</v>
          </cell>
          <cell r="AG168">
            <v>20157</v>
          </cell>
          <cell r="AH168">
            <v>16125</v>
          </cell>
          <cell r="AI168">
            <v>3628</v>
          </cell>
          <cell r="AJ168">
            <v>403</v>
          </cell>
          <cell r="AK168">
            <v>40313</v>
          </cell>
          <cell r="AL168">
            <v>381268</v>
          </cell>
          <cell r="AM168">
            <v>305014</v>
          </cell>
          <cell r="AN168">
            <v>68628</v>
          </cell>
          <cell r="AO168">
            <v>7625</v>
          </cell>
          <cell r="AP168">
            <v>762535</v>
          </cell>
          <cell r="AQ168">
            <v>-59682</v>
          </cell>
          <cell r="AR168">
            <v>-47746</v>
          </cell>
          <cell r="AS168">
            <v>-10743</v>
          </cell>
          <cell r="AT168">
            <v>-1194</v>
          </cell>
          <cell r="AU168">
            <v>-119365</v>
          </cell>
          <cell r="AV168">
            <v>321586</v>
          </cell>
          <cell r="AW168">
            <v>257268</v>
          </cell>
          <cell r="AX168">
            <v>57885</v>
          </cell>
          <cell r="AY168">
            <v>6431</v>
          </cell>
          <cell r="AZ168">
            <v>643170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181741</v>
          </cell>
          <cell r="BG168">
            <v>145394</v>
          </cell>
          <cell r="BH168">
            <v>32714</v>
          </cell>
          <cell r="BI168">
            <v>3635</v>
          </cell>
          <cell r="BJ168">
            <v>363484</v>
          </cell>
          <cell r="BK168">
            <v>181741</v>
          </cell>
          <cell r="BL168">
            <v>145394</v>
          </cell>
          <cell r="BM168">
            <v>32714</v>
          </cell>
          <cell r="BN168">
            <v>3635</v>
          </cell>
          <cell r="BO168">
            <v>363484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503552</v>
          </cell>
          <cell r="BV168">
            <v>402842</v>
          </cell>
          <cell r="BW168">
            <v>90639</v>
          </cell>
          <cell r="BX168">
            <v>10071</v>
          </cell>
          <cell r="BY168">
            <v>1007104</v>
          </cell>
          <cell r="BZ168">
            <v>503552</v>
          </cell>
          <cell r="CA168">
            <v>402842</v>
          </cell>
          <cell r="CB168">
            <v>90639</v>
          </cell>
          <cell r="CC168">
            <v>10071</v>
          </cell>
          <cell r="CD168">
            <v>1007104</v>
          </cell>
        </row>
        <row r="169">
          <cell r="A169">
            <v>162</v>
          </cell>
          <cell r="B169" t="str">
            <v>E2201</v>
          </cell>
          <cell r="C169" t="str">
            <v>UA</v>
          </cell>
          <cell r="D169" t="str">
            <v>SE</v>
          </cell>
          <cell r="E169" t="str">
            <v>Medway UA</v>
          </cell>
          <cell r="F169">
            <v>38591436</v>
          </cell>
          <cell r="G169">
            <v>37819608</v>
          </cell>
          <cell r="H169">
            <v>0</v>
          </cell>
          <cell r="I169">
            <v>771829</v>
          </cell>
          <cell r="J169">
            <v>77182873</v>
          </cell>
          <cell r="K169">
            <v>0</v>
          </cell>
          <cell r="L169">
            <v>0</v>
          </cell>
          <cell r="M169">
            <v>38591436</v>
          </cell>
          <cell r="N169">
            <v>77182873</v>
          </cell>
          <cell r="O169">
            <v>292567</v>
          </cell>
          <cell r="P169">
            <v>292567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2599677</v>
          </cell>
          <cell r="AC169">
            <v>2547684</v>
          </cell>
          <cell r="AD169">
            <v>0</v>
          </cell>
          <cell r="AE169">
            <v>51994</v>
          </cell>
          <cell r="AF169">
            <v>5199355</v>
          </cell>
          <cell r="AG169">
            <v>656185</v>
          </cell>
          <cell r="AH169">
            <v>643061</v>
          </cell>
          <cell r="AI169">
            <v>0</v>
          </cell>
          <cell r="AJ169">
            <v>13124</v>
          </cell>
          <cell r="AK169">
            <v>1312370</v>
          </cell>
          <cell r="AL169">
            <v>1212938</v>
          </cell>
          <cell r="AM169">
            <v>1188680</v>
          </cell>
          <cell r="AN169">
            <v>0</v>
          </cell>
          <cell r="AO169">
            <v>24259</v>
          </cell>
          <cell r="AP169">
            <v>2425877</v>
          </cell>
          <cell r="AQ169">
            <v>53532</v>
          </cell>
          <cell r="AR169">
            <v>52462</v>
          </cell>
          <cell r="AS169">
            <v>0</v>
          </cell>
          <cell r="AT169">
            <v>1071</v>
          </cell>
          <cell r="AU169">
            <v>107065</v>
          </cell>
          <cell r="AV169">
            <v>1266470</v>
          </cell>
          <cell r="AW169">
            <v>1241142</v>
          </cell>
          <cell r="AX169">
            <v>0</v>
          </cell>
          <cell r="AY169">
            <v>25330</v>
          </cell>
          <cell r="AZ169">
            <v>2532942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1204149</v>
          </cell>
          <cell r="BG169">
            <v>1180067</v>
          </cell>
          <cell r="BH169">
            <v>0</v>
          </cell>
          <cell r="BI169">
            <v>24083</v>
          </cell>
          <cell r="BJ169">
            <v>2408299</v>
          </cell>
          <cell r="BK169">
            <v>1204149</v>
          </cell>
          <cell r="BL169">
            <v>1180067</v>
          </cell>
          <cell r="BM169">
            <v>0</v>
          </cell>
          <cell r="BN169">
            <v>24083</v>
          </cell>
          <cell r="BO169">
            <v>2408299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3414024</v>
          </cell>
          <cell r="BV169">
            <v>3345745</v>
          </cell>
          <cell r="BW169">
            <v>0</v>
          </cell>
          <cell r="BX169">
            <v>68281</v>
          </cell>
          <cell r="BY169">
            <v>6828050</v>
          </cell>
          <cell r="BZ169">
            <v>3414024</v>
          </cell>
          <cell r="CA169">
            <v>3345745</v>
          </cell>
          <cell r="CB169">
            <v>0</v>
          </cell>
          <cell r="CC169">
            <v>68281</v>
          </cell>
          <cell r="CD169">
            <v>6828050</v>
          </cell>
        </row>
        <row r="170">
          <cell r="A170">
            <v>163</v>
          </cell>
          <cell r="B170" t="str">
            <v>E2436</v>
          </cell>
          <cell r="C170" t="str">
            <v>SD</v>
          </cell>
          <cell r="D170" t="str">
            <v>EM</v>
          </cell>
          <cell r="E170" t="str">
            <v>Melton</v>
          </cell>
          <cell r="F170">
            <v>6087297</v>
          </cell>
          <cell r="G170">
            <v>4869838</v>
          </cell>
          <cell r="H170">
            <v>1095714</v>
          </cell>
          <cell r="I170">
            <v>121746</v>
          </cell>
          <cell r="J170">
            <v>12174595</v>
          </cell>
          <cell r="K170">
            <v>0</v>
          </cell>
          <cell r="L170">
            <v>0</v>
          </cell>
          <cell r="M170">
            <v>6087297</v>
          </cell>
          <cell r="N170">
            <v>12174595</v>
          </cell>
          <cell r="O170">
            <v>61924</v>
          </cell>
          <cell r="P170">
            <v>61924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404609</v>
          </cell>
          <cell r="AC170">
            <v>323688</v>
          </cell>
          <cell r="AD170">
            <v>72830</v>
          </cell>
          <cell r="AE170">
            <v>8092</v>
          </cell>
          <cell r="AF170">
            <v>809219</v>
          </cell>
          <cell r="AG170">
            <v>234786.69</v>
          </cell>
          <cell r="AH170">
            <v>187830</v>
          </cell>
          <cell r="AI170">
            <v>42262</v>
          </cell>
          <cell r="AJ170">
            <v>4696</v>
          </cell>
          <cell r="AK170">
            <v>469574.69</v>
          </cell>
          <cell r="AL170">
            <v>46230</v>
          </cell>
          <cell r="AM170">
            <v>36984</v>
          </cell>
          <cell r="AN170">
            <v>8321</v>
          </cell>
          <cell r="AO170">
            <v>925</v>
          </cell>
          <cell r="AP170">
            <v>92460</v>
          </cell>
          <cell r="AQ170">
            <v>34221</v>
          </cell>
          <cell r="AR170">
            <v>27377</v>
          </cell>
          <cell r="AS170">
            <v>6160</v>
          </cell>
          <cell r="AT170">
            <v>684</v>
          </cell>
          <cell r="AU170">
            <v>68442</v>
          </cell>
          <cell r="AV170">
            <v>80451</v>
          </cell>
          <cell r="AW170">
            <v>64361</v>
          </cell>
          <cell r="AX170">
            <v>14481</v>
          </cell>
          <cell r="AY170">
            <v>1609</v>
          </cell>
          <cell r="AZ170">
            <v>160902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55091</v>
          </cell>
          <cell r="BG170">
            <v>44072</v>
          </cell>
          <cell r="BH170">
            <v>9916</v>
          </cell>
          <cell r="BI170">
            <v>1102</v>
          </cell>
          <cell r="BJ170">
            <v>110181</v>
          </cell>
          <cell r="BK170">
            <v>55091</v>
          </cell>
          <cell r="BL170">
            <v>44072</v>
          </cell>
          <cell r="BM170">
            <v>9916</v>
          </cell>
          <cell r="BN170">
            <v>1102</v>
          </cell>
          <cell r="BO170">
            <v>110181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140774</v>
          </cell>
          <cell r="BV170">
            <v>112618</v>
          </cell>
          <cell r="BW170">
            <v>25339</v>
          </cell>
          <cell r="BX170">
            <v>2815</v>
          </cell>
          <cell r="BY170">
            <v>281546</v>
          </cell>
          <cell r="BZ170">
            <v>140774</v>
          </cell>
          <cell r="CA170">
            <v>112618</v>
          </cell>
          <cell r="CB170">
            <v>25339</v>
          </cell>
          <cell r="CC170">
            <v>2815</v>
          </cell>
          <cell r="CD170">
            <v>281546</v>
          </cell>
        </row>
        <row r="171">
          <cell r="A171">
            <v>164</v>
          </cell>
          <cell r="B171" t="str">
            <v>E3331</v>
          </cell>
          <cell r="C171" t="str">
            <v>SD</v>
          </cell>
          <cell r="D171" t="str">
            <v>SW</v>
          </cell>
          <cell r="E171" t="str">
            <v>Mendip</v>
          </cell>
          <cell r="F171">
            <v>15359085</v>
          </cell>
          <cell r="G171">
            <v>12287268</v>
          </cell>
          <cell r="H171">
            <v>2764635</v>
          </cell>
          <cell r="I171">
            <v>307182</v>
          </cell>
          <cell r="J171">
            <v>30718170</v>
          </cell>
          <cell r="K171">
            <v>0</v>
          </cell>
          <cell r="L171">
            <v>0</v>
          </cell>
          <cell r="M171">
            <v>15359085</v>
          </cell>
          <cell r="N171">
            <v>30718170</v>
          </cell>
          <cell r="O171">
            <v>162892</v>
          </cell>
          <cell r="P171">
            <v>162892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596459</v>
          </cell>
          <cell r="AC171">
            <v>477167</v>
          </cell>
          <cell r="AD171">
            <v>107363</v>
          </cell>
          <cell r="AE171">
            <v>11929</v>
          </cell>
          <cell r="AF171">
            <v>1192918</v>
          </cell>
          <cell r="AG171">
            <v>334197</v>
          </cell>
          <cell r="AH171">
            <v>267358</v>
          </cell>
          <cell r="AI171">
            <v>60155</v>
          </cell>
          <cell r="AJ171">
            <v>6684</v>
          </cell>
          <cell r="AK171">
            <v>668394</v>
          </cell>
          <cell r="AL171">
            <v>222901</v>
          </cell>
          <cell r="AM171">
            <v>178321</v>
          </cell>
          <cell r="AN171">
            <v>40122</v>
          </cell>
          <cell r="AO171">
            <v>4458</v>
          </cell>
          <cell r="AP171">
            <v>445802</v>
          </cell>
          <cell r="AQ171">
            <v>204951</v>
          </cell>
          <cell r="AR171">
            <v>163961</v>
          </cell>
          <cell r="AS171">
            <v>36891</v>
          </cell>
          <cell r="AT171">
            <v>4099</v>
          </cell>
          <cell r="AU171">
            <v>409902</v>
          </cell>
          <cell r="AV171">
            <v>427852</v>
          </cell>
          <cell r="AW171">
            <v>342282</v>
          </cell>
          <cell r="AX171">
            <v>77013</v>
          </cell>
          <cell r="AY171">
            <v>8557</v>
          </cell>
          <cell r="AZ171">
            <v>855704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850000</v>
          </cell>
          <cell r="BG171">
            <v>680000</v>
          </cell>
          <cell r="BH171">
            <v>153000</v>
          </cell>
          <cell r="BI171">
            <v>17000</v>
          </cell>
          <cell r="BJ171">
            <v>1700000</v>
          </cell>
          <cell r="BK171">
            <v>850000</v>
          </cell>
          <cell r="BL171">
            <v>680000</v>
          </cell>
          <cell r="BM171">
            <v>153000</v>
          </cell>
          <cell r="BN171">
            <v>17000</v>
          </cell>
          <cell r="BO171">
            <v>1700000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</row>
        <row r="172">
          <cell r="A172">
            <v>165</v>
          </cell>
          <cell r="B172" t="str">
            <v>E5044</v>
          </cell>
          <cell r="C172" t="str">
            <v>OLB</v>
          </cell>
          <cell r="D172" t="str">
            <v>L</v>
          </cell>
          <cell r="E172" t="str">
            <v>Merton</v>
          </cell>
          <cell r="F172">
            <v>39565927</v>
          </cell>
          <cell r="G172">
            <v>23739557</v>
          </cell>
          <cell r="H172">
            <v>15826371</v>
          </cell>
          <cell r="I172">
            <v>0</v>
          </cell>
          <cell r="J172">
            <v>79131855</v>
          </cell>
          <cell r="K172">
            <v>0</v>
          </cell>
          <cell r="L172">
            <v>0</v>
          </cell>
          <cell r="M172">
            <v>39565927</v>
          </cell>
          <cell r="N172">
            <v>79131855</v>
          </cell>
          <cell r="O172">
            <v>280580</v>
          </cell>
          <cell r="P172">
            <v>280580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1125184</v>
          </cell>
          <cell r="AC172">
            <v>675111</v>
          </cell>
          <cell r="AD172">
            <v>450074</v>
          </cell>
          <cell r="AE172">
            <v>0</v>
          </cell>
          <cell r="AF172">
            <v>2250369</v>
          </cell>
          <cell r="AG172">
            <v>908399</v>
          </cell>
          <cell r="AH172">
            <v>545040</v>
          </cell>
          <cell r="AI172">
            <v>363360</v>
          </cell>
          <cell r="AJ172">
            <v>0</v>
          </cell>
          <cell r="AK172">
            <v>1816799</v>
          </cell>
          <cell r="AL172">
            <v>2250000</v>
          </cell>
          <cell r="AM172">
            <v>1350000</v>
          </cell>
          <cell r="AN172">
            <v>900000</v>
          </cell>
          <cell r="AO172">
            <v>0</v>
          </cell>
          <cell r="AP172">
            <v>4500000</v>
          </cell>
          <cell r="AQ172">
            <v>-773000</v>
          </cell>
          <cell r="AR172">
            <v>-463800</v>
          </cell>
          <cell r="AS172">
            <v>-309200</v>
          </cell>
          <cell r="AT172">
            <v>0</v>
          </cell>
          <cell r="AU172">
            <v>-1546000</v>
          </cell>
          <cell r="AV172">
            <v>1477000</v>
          </cell>
          <cell r="AW172">
            <v>886200</v>
          </cell>
          <cell r="AX172">
            <v>590800</v>
          </cell>
          <cell r="AY172">
            <v>0</v>
          </cell>
          <cell r="AZ172">
            <v>2954000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687168</v>
          </cell>
          <cell r="BG172">
            <v>412301</v>
          </cell>
          <cell r="BH172">
            <v>274867</v>
          </cell>
          <cell r="BI172">
            <v>0</v>
          </cell>
          <cell r="BJ172">
            <v>1374336</v>
          </cell>
          <cell r="BK172">
            <v>687168</v>
          </cell>
          <cell r="BL172">
            <v>412301</v>
          </cell>
          <cell r="BM172">
            <v>274867</v>
          </cell>
          <cell r="BN172">
            <v>0</v>
          </cell>
          <cell r="BO172">
            <v>1374336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2052552</v>
          </cell>
          <cell r="BV172">
            <v>1231531</v>
          </cell>
          <cell r="BW172">
            <v>821021</v>
          </cell>
          <cell r="BX172">
            <v>0</v>
          </cell>
          <cell r="BY172">
            <v>4105104</v>
          </cell>
          <cell r="BZ172">
            <v>2052552</v>
          </cell>
          <cell r="CA172">
            <v>1231531</v>
          </cell>
          <cell r="CB172">
            <v>821021</v>
          </cell>
          <cell r="CC172">
            <v>0</v>
          </cell>
          <cell r="CD172">
            <v>4105104</v>
          </cell>
        </row>
        <row r="173">
          <cell r="A173">
            <v>166</v>
          </cell>
          <cell r="B173" t="str">
            <v>E1133</v>
          </cell>
          <cell r="C173" t="str">
            <v>SD</v>
          </cell>
          <cell r="D173" t="str">
            <v>SW</v>
          </cell>
          <cell r="E173" t="str">
            <v>Mid Devon</v>
          </cell>
          <cell r="F173">
            <v>7164847</v>
          </cell>
          <cell r="G173">
            <v>5731878</v>
          </cell>
          <cell r="H173">
            <v>1289672</v>
          </cell>
          <cell r="I173">
            <v>143297</v>
          </cell>
          <cell r="J173">
            <v>14329694</v>
          </cell>
          <cell r="K173">
            <v>0</v>
          </cell>
          <cell r="L173">
            <v>0</v>
          </cell>
          <cell r="M173">
            <v>7164847</v>
          </cell>
          <cell r="N173">
            <v>14329694</v>
          </cell>
          <cell r="O173">
            <v>106404</v>
          </cell>
          <cell r="P173">
            <v>106404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40779</v>
          </cell>
          <cell r="V173">
            <v>0</v>
          </cell>
          <cell r="W173">
            <v>40779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197400</v>
          </cell>
          <cell r="AC173">
            <v>157920</v>
          </cell>
          <cell r="AD173">
            <v>35532</v>
          </cell>
          <cell r="AE173">
            <v>3948</v>
          </cell>
          <cell r="AF173">
            <v>394800</v>
          </cell>
          <cell r="AG173">
            <v>-131429.64000000001</v>
          </cell>
          <cell r="AH173">
            <v>-105145</v>
          </cell>
          <cell r="AI173">
            <v>-23658</v>
          </cell>
          <cell r="AJ173">
            <v>-2629</v>
          </cell>
          <cell r="AK173">
            <v>-262861.64</v>
          </cell>
          <cell r="AL173">
            <v>81879</v>
          </cell>
          <cell r="AM173">
            <v>65503</v>
          </cell>
          <cell r="AN173">
            <v>14738</v>
          </cell>
          <cell r="AO173">
            <v>1638</v>
          </cell>
          <cell r="AP173">
            <v>163758</v>
          </cell>
          <cell r="AQ173">
            <v>12974</v>
          </cell>
          <cell r="AR173">
            <v>10380</v>
          </cell>
          <cell r="AS173">
            <v>2336</v>
          </cell>
          <cell r="AT173">
            <v>260</v>
          </cell>
          <cell r="AU173">
            <v>25950</v>
          </cell>
          <cell r="AV173">
            <v>94853</v>
          </cell>
          <cell r="AW173">
            <v>75883</v>
          </cell>
          <cell r="AX173">
            <v>17074</v>
          </cell>
          <cell r="AY173">
            <v>1898</v>
          </cell>
          <cell r="AZ173">
            <v>189708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1000</v>
          </cell>
          <cell r="BG173">
            <v>800</v>
          </cell>
          <cell r="BH173">
            <v>180</v>
          </cell>
          <cell r="BI173">
            <v>20</v>
          </cell>
          <cell r="BJ173">
            <v>2000</v>
          </cell>
          <cell r="BK173">
            <v>1000</v>
          </cell>
          <cell r="BL173">
            <v>800</v>
          </cell>
          <cell r="BM173">
            <v>180</v>
          </cell>
          <cell r="BN173">
            <v>20</v>
          </cell>
          <cell r="BO173">
            <v>2000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6500</v>
          </cell>
          <cell r="BV173">
            <v>5200</v>
          </cell>
          <cell r="BW173">
            <v>1170</v>
          </cell>
          <cell r="BX173">
            <v>130</v>
          </cell>
          <cell r="BY173">
            <v>13000</v>
          </cell>
          <cell r="BZ173">
            <v>6500</v>
          </cell>
          <cell r="CA173">
            <v>5200</v>
          </cell>
          <cell r="CB173">
            <v>1170</v>
          </cell>
          <cell r="CC173">
            <v>130</v>
          </cell>
          <cell r="CD173">
            <v>13000</v>
          </cell>
        </row>
        <row r="174">
          <cell r="A174">
            <v>167</v>
          </cell>
          <cell r="B174" t="str">
            <v>E3534</v>
          </cell>
          <cell r="C174" t="str">
            <v>SD</v>
          </cell>
          <cell r="D174" t="str">
            <v>E</v>
          </cell>
          <cell r="E174" t="str">
            <v>Mid Suffolk</v>
          </cell>
          <cell r="F174">
            <v>9866982</v>
          </cell>
          <cell r="G174">
            <v>7893586</v>
          </cell>
          <cell r="H174">
            <v>1973396</v>
          </cell>
          <cell r="I174">
            <v>0</v>
          </cell>
          <cell r="J174">
            <v>19733964</v>
          </cell>
          <cell r="K174">
            <v>0</v>
          </cell>
          <cell r="L174">
            <v>0</v>
          </cell>
          <cell r="M174">
            <v>9866982</v>
          </cell>
          <cell r="N174">
            <v>19733964</v>
          </cell>
          <cell r="O174">
            <v>128540</v>
          </cell>
          <cell r="P174">
            <v>128540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40762</v>
          </cell>
          <cell r="V174">
            <v>0</v>
          </cell>
          <cell r="W174">
            <v>40762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535424.31999999995</v>
          </cell>
          <cell r="AC174">
            <v>428339</v>
          </cell>
          <cell r="AD174">
            <v>107085</v>
          </cell>
          <cell r="AE174">
            <v>0</v>
          </cell>
          <cell r="AF174">
            <v>1070848.32</v>
          </cell>
          <cell r="AG174">
            <v>22537.68</v>
          </cell>
          <cell r="AH174">
            <v>18030</v>
          </cell>
          <cell r="AI174">
            <v>4507</v>
          </cell>
          <cell r="AJ174">
            <v>0</v>
          </cell>
          <cell r="AK174">
            <v>45074.68</v>
          </cell>
          <cell r="AL174">
            <v>112884</v>
          </cell>
          <cell r="AM174">
            <v>90307</v>
          </cell>
          <cell r="AN174">
            <v>22577</v>
          </cell>
          <cell r="AO174">
            <v>0</v>
          </cell>
          <cell r="AP174">
            <v>225768</v>
          </cell>
          <cell r="AQ174">
            <v>22537</v>
          </cell>
          <cell r="AR174">
            <v>18030</v>
          </cell>
          <cell r="AS174">
            <v>4507</v>
          </cell>
          <cell r="AT174">
            <v>0</v>
          </cell>
          <cell r="AU174">
            <v>45074</v>
          </cell>
          <cell r="AV174">
            <v>135421</v>
          </cell>
          <cell r="AW174">
            <v>108337</v>
          </cell>
          <cell r="AX174">
            <v>27084</v>
          </cell>
          <cell r="AY174">
            <v>0</v>
          </cell>
          <cell r="AZ174">
            <v>270842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196457</v>
          </cell>
          <cell r="BG174">
            <v>157166</v>
          </cell>
          <cell r="BH174">
            <v>39292</v>
          </cell>
          <cell r="BI174">
            <v>0</v>
          </cell>
          <cell r="BJ174">
            <v>392915</v>
          </cell>
          <cell r="BK174">
            <v>196457</v>
          </cell>
          <cell r="BL174">
            <v>157166</v>
          </cell>
          <cell r="BM174">
            <v>39292</v>
          </cell>
          <cell r="BN174">
            <v>0</v>
          </cell>
          <cell r="BO174">
            <v>392915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271552</v>
          </cell>
          <cell r="BV174">
            <v>217241</v>
          </cell>
          <cell r="BW174">
            <v>54310</v>
          </cell>
          <cell r="BX174">
            <v>0</v>
          </cell>
          <cell r="BY174">
            <v>543103</v>
          </cell>
          <cell r="BZ174">
            <v>271552</v>
          </cell>
          <cell r="CA174">
            <v>217241</v>
          </cell>
          <cell r="CB174">
            <v>54310</v>
          </cell>
          <cell r="CC174">
            <v>0</v>
          </cell>
          <cell r="CD174">
            <v>543103</v>
          </cell>
        </row>
        <row r="175">
          <cell r="A175">
            <v>168</v>
          </cell>
          <cell r="B175" t="str">
            <v>E3836</v>
          </cell>
          <cell r="C175" t="str">
            <v>SD</v>
          </cell>
          <cell r="D175" t="str">
            <v>SE</v>
          </cell>
          <cell r="E175" t="str">
            <v>Mid Sussex</v>
          </cell>
          <cell r="F175">
            <v>19911109</v>
          </cell>
          <cell r="G175">
            <v>15928888</v>
          </cell>
          <cell r="H175">
            <v>3982222</v>
          </cell>
          <cell r="I175">
            <v>0</v>
          </cell>
          <cell r="J175">
            <v>39822219</v>
          </cell>
          <cell r="K175">
            <v>0</v>
          </cell>
          <cell r="L175">
            <v>0</v>
          </cell>
          <cell r="M175">
            <v>19911109</v>
          </cell>
          <cell r="N175">
            <v>39822219</v>
          </cell>
          <cell r="O175">
            <v>172028</v>
          </cell>
          <cell r="P175">
            <v>172028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997017</v>
          </cell>
          <cell r="AC175">
            <v>797614</v>
          </cell>
          <cell r="AD175">
            <v>199404</v>
          </cell>
          <cell r="AE175">
            <v>0</v>
          </cell>
          <cell r="AF175">
            <v>1994035</v>
          </cell>
          <cell r="AG175">
            <v>786021</v>
          </cell>
          <cell r="AH175">
            <v>628817</v>
          </cell>
          <cell r="AI175">
            <v>157204</v>
          </cell>
          <cell r="AJ175">
            <v>0</v>
          </cell>
          <cell r="AK175">
            <v>1572042</v>
          </cell>
          <cell r="AL175">
            <v>782199</v>
          </cell>
          <cell r="AM175">
            <v>625760</v>
          </cell>
          <cell r="AN175">
            <v>156440</v>
          </cell>
          <cell r="AO175">
            <v>0</v>
          </cell>
          <cell r="AP175">
            <v>1564399</v>
          </cell>
          <cell r="AQ175">
            <v>8108</v>
          </cell>
          <cell r="AR175">
            <v>6487</v>
          </cell>
          <cell r="AS175">
            <v>1622</v>
          </cell>
          <cell r="AT175">
            <v>0</v>
          </cell>
          <cell r="AU175">
            <v>16217</v>
          </cell>
          <cell r="AV175">
            <v>790307</v>
          </cell>
          <cell r="AW175">
            <v>632247</v>
          </cell>
          <cell r="AX175">
            <v>158062</v>
          </cell>
          <cell r="AY175">
            <v>0</v>
          </cell>
          <cell r="AZ175">
            <v>1580616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188933</v>
          </cell>
          <cell r="BG175">
            <v>151147</v>
          </cell>
          <cell r="BH175">
            <v>37787</v>
          </cell>
          <cell r="BI175">
            <v>0</v>
          </cell>
          <cell r="BJ175">
            <v>377867</v>
          </cell>
          <cell r="BK175">
            <v>188933</v>
          </cell>
          <cell r="BL175">
            <v>151147</v>
          </cell>
          <cell r="BM175">
            <v>37787</v>
          </cell>
          <cell r="BN175">
            <v>0</v>
          </cell>
          <cell r="BO175">
            <v>377867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503462</v>
          </cell>
          <cell r="BV175">
            <v>402769</v>
          </cell>
          <cell r="BW175">
            <v>100692</v>
          </cell>
          <cell r="BX175">
            <v>0</v>
          </cell>
          <cell r="BY175">
            <v>1006923</v>
          </cell>
          <cell r="BZ175">
            <v>503462</v>
          </cell>
          <cell r="CA175">
            <v>402769</v>
          </cell>
          <cell r="CB175">
            <v>100692</v>
          </cell>
          <cell r="CC175">
            <v>0</v>
          </cell>
          <cell r="CD175">
            <v>1006923</v>
          </cell>
        </row>
        <row r="176">
          <cell r="A176">
            <v>169</v>
          </cell>
          <cell r="B176" t="str">
            <v>E0702</v>
          </cell>
          <cell r="C176" t="str">
            <v>UA</v>
          </cell>
          <cell r="D176" t="str">
            <v>NE</v>
          </cell>
          <cell r="E176" t="str">
            <v>Middlesbrough UA</v>
          </cell>
          <cell r="F176">
            <v>17563284</v>
          </cell>
          <cell r="G176">
            <v>17212019</v>
          </cell>
          <cell r="H176">
            <v>0</v>
          </cell>
          <cell r="I176">
            <v>351266</v>
          </cell>
          <cell r="J176">
            <v>35126569</v>
          </cell>
          <cell r="K176">
            <v>0</v>
          </cell>
          <cell r="L176">
            <v>0</v>
          </cell>
          <cell r="M176">
            <v>17563284</v>
          </cell>
          <cell r="N176">
            <v>35126569</v>
          </cell>
          <cell r="O176">
            <v>179446</v>
          </cell>
          <cell r="P176">
            <v>179446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3383794.99</v>
          </cell>
          <cell r="AC176">
            <v>3316119</v>
          </cell>
          <cell r="AD176">
            <v>0</v>
          </cell>
          <cell r="AE176">
            <v>67676</v>
          </cell>
          <cell r="AF176">
            <v>6767589.9900000002</v>
          </cell>
          <cell r="AG176">
            <v>664953.24</v>
          </cell>
          <cell r="AH176">
            <v>651655</v>
          </cell>
          <cell r="AI176">
            <v>0</v>
          </cell>
          <cell r="AJ176">
            <v>13299</v>
          </cell>
          <cell r="AK176">
            <v>1329907.24</v>
          </cell>
          <cell r="AL176">
            <v>2154928</v>
          </cell>
          <cell r="AM176">
            <v>2111829</v>
          </cell>
          <cell r="AN176">
            <v>0</v>
          </cell>
          <cell r="AO176">
            <v>43099</v>
          </cell>
          <cell r="AP176">
            <v>4309856</v>
          </cell>
          <cell r="AQ176">
            <v>157954</v>
          </cell>
          <cell r="AR176">
            <v>154795</v>
          </cell>
          <cell r="AS176">
            <v>0</v>
          </cell>
          <cell r="AT176">
            <v>3159</v>
          </cell>
          <cell r="AU176">
            <v>315908</v>
          </cell>
          <cell r="AV176">
            <v>2312882</v>
          </cell>
          <cell r="AW176">
            <v>2266624</v>
          </cell>
          <cell r="AX176">
            <v>0</v>
          </cell>
          <cell r="AY176">
            <v>46258</v>
          </cell>
          <cell r="AZ176">
            <v>4625764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900000</v>
          </cell>
          <cell r="BG176">
            <v>882000</v>
          </cell>
          <cell r="BH176">
            <v>0</v>
          </cell>
          <cell r="BI176">
            <v>18000</v>
          </cell>
          <cell r="BJ176">
            <v>1800000</v>
          </cell>
          <cell r="BK176">
            <v>900000</v>
          </cell>
          <cell r="BL176">
            <v>882000</v>
          </cell>
          <cell r="BM176">
            <v>0</v>
          </cell>
          <cell r="BN176">
            <v>18000</v>
          </cell>
          <cell r="BO176">
            <v>1800000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1350000</v>
          </cell>
          <cell r="BV176">
            <v>1323000</v>
          </cell>
          <cell r="BW176">
            <v>0</v>
          </cell>
          <cell r="BX176">
            <v>27000</v>
          </cell>
          <cell r="BY176">
            <v>2700000</v>
          </cell>
          <cell r="BZ176">
            <v>1350000</v>
          </cell>
          <cell r="CA176">
            <v>1323000</v>
          </cell>
          <cell r="CB176">
            <v>0</v>
          </cell>
          <cell r="CC176">
            <v>27000</v>
          </cell>
          <cell r="CD176">
            <v>2700000</v>
          </cell>
        </row>
        <row r="177">
          <cell r="A177">
            <v>170</v>
          </cell>
          <cell r="B177" t="str">
            <v>E0401</v>
          </cell>
          <cell r="C177" t="str">
            <v>UA</v>
          </cell>
          <cell r="D177" t="str">
            <v>SE</v>
          </cell>
          <cell r="E177" t="str">
            <v>Milton Keynes UA</v>
          </cell>
          <cell r="F177">
            <v>60927409</v>
          </cell>
          <cell r="G177">
            <v>59708860</v>
          </cell>
          <cell r="H177">
            <v>0</v>
          </cell>
          <cell r="I177">
            <v>1218548</v>
          </cell>
          <cell r="J177">
            <v>121854817</v>
          </cell>
          <cell r="K177">
            <v>0</v>
          </cell>
          <cell r="L177">
            <v>0</v>
          </cell>
          <cell r="M177">
            <v>60927409</v>
          </cell>
          <cell r="N177">
            <v>121854817</v>
          </cell>
          <cell r="O177">
            <v>373542</v>
          </cell>
          <cell r="P177">
            <v>373542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447361</v>
          </cell>
          <cell r="AC177">
            <v>438414</v>
          </cell>
          <cell r="AD177">
            <v>0</v>
          </cell>
          <cell r="AE177">
            <v>8947</v>
          </cell>
          <cell r="AF177">
            <v>894722</v>
          </cell>
          <cell r="AG177">
            <v>987853</v>
          </cell>
          <cell r="AH177">
            <v>968095</v>
          </cell>
          <cell r="AI177">
            <v>0</v>
          </cell>
          <cell r="AJ177">
            <v>19757</v>
          </cell>
          <cell r="AK177">
            <v>1975705</v>
          </cell>
          <cell r="AL177">
            <v>1535000</v>
          </cell>
          <cell r="AM177">
            <v>1504300</v>
          </cell>
          <cell r="AN177">
            <v>0</v>
          </cell>
          <cell r="AO177">
            <v>30700</v>
          </cell>
          <cell r="AP177">
            <v>3070000</v>
          </cell>
          <cell r="AQ177">
            <v>545000</v>
          </cell>
          <cell r="AR177">
            <v>534100</v>
          </cell>
          <cell r="AS177">
            <v>0</v>
          </cell>
          <cell r="AT177">
            <v>10900</v>
          </cell>
          <cell r="AU177">
            <v>1090000</v>
          </cell>
          <cell r="AV177">
            <v>2080000</v>
          </cell>
          <cell r="AW177">
            <v>2038400</v>
          </cell>
          <cell r="AX177">
            <v>0</v>
          </cell>
          <cell r="AY177">
            <v>41600</v>
          </cell>
          <cell r="AZ177">
            <v>4160000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2937000</v>
          </cell>
          <cell r="BG177">
            <v>2878260</v>
          </cell>
          <cell r="BH177">
            <v>0</v>
          </cell>
          <cell r="BI177">
            <v>58740</v>
          </cell>
          <cell r="BJ177">
            <v>5874000</v>
          </cell>
          <cell r="BK177">
            <v>2937000</v>
          </cell>
          <cell r="BL177">
            <v>2878260</v>
          </cell>
          <cell r="BM177">
            <v>0</v>
          </cell>
          <cell r="BN177">
            <v>58740</v>
          </cell>
          <cell r="BO177">
            <v>5874000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8663000</v>
          </cell>
          <cell r="BV177">
            <v>8489740</v>
          </cell>
          <cell r="BW177">
            <v>0</v>
          </cell>
          <cell r="BX177">
            <v>173260</v>
          </cell>
          <cell r="BY177">
            <v>17326000</v>
          </cell>
          <cell r="BZ177">
            <v>8663000</v>
          </cell>
          <cell r="CA177">
            <v>8489740</v>
          </cell>
          <cell r="CB177">
            <v>0</v>
          </cell>
          <cell r="CC177">
            <v>173260</v>
          </cell>
          <cell r="CD177">
            <v>17326000</v>
          </cell>
        </row>
        <row r="178">
          <cell r="A178">
            <v>171</v>
          </cell>
          <cell r="B178" t="str">
            <v>E3634</v>
          </cell>
          <cell r="C178" t="str">
            <v>SD</v>
          </cell>
          <cell r="D178" t="str">
            <v>SE</v>
          </cell>
          <cell r="E178" t="str">
            <v>Mole Valley</v>
          </cell>
          <cell r="F178">
            <v>17275019</v>
          </cell>
          <cell r="G178">
            <v>13820016</v>
          </cell>
          <cell r="H178">
            <v>3455004</v>
          </cell>
          <cell r="I178">
            <v>0</v>
          </cell>
          <cell r="J178">
            <v>34550039</v>
          </cell>
          <cell r="K178">
            <v>0</v>
          </cell>
          <cell r="L178">
            <v>0</v>
          </cell>
          <cell r="M178">
            <v>17275019</v>
          </cell>
          <cell r="N178">
            <v>34550039</v>
          </cell>
          <cell r="O178">
            <v>152970</v>
          </cell>
          <cell r="P178">
            <v>152970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574214.55000000005</v>
          </cell>
          <cell r="AC178">
            <v>459371</v>
          </cell>
          <cell r="AD178">
            <v>114843</v>
          </cell>
          <cell r="AE178">
            <v>0</v>
          </cell>
          <cell r="AF178">
            <v>1148428.55</v>
          </cell>
          <cell r="AG178">
            <v>1270366</v>
          </cell>
          <cell r="AH178">
            <v>1016292</v>
          </cell>
          <cell r="AI178">
            <v>254073</v>
          </cell>
          <cell r="AJ178">
            <v>0</v>
          </cell>
          <cell r="AK178">
            <v>2540731</v>
          </cell>
          <cell r="AL178">
            <v>137500</v>
          </cell>
          <cell r="AM178">
            <v>110000</v>
          </cell>
          <cell r="AN178">
            <v>27500</v>
          </cell>
          <cell r="AO178">
            <v>0</v>
          </cell>
          <cell r="AP178">
            <v>275000</v>
          </cell>
          <cell r="AQ178">
            <v>25000</v>
          </cell>
          <cell r="AR178">
            <v>20000</v>
          </cell>
          <cell r="AS178">
            <v>5000</v>
          </cell>
          <cell r="AT178">
            <v>0</v>
          </cell>
          <cell r="AU178">
            <v>50000</v>
          </cell>
          <cell r="AV178">
            <v>162500</v>
          </cell>
          <cell r="AW178">
            <v>130000</v>
          </cell>
          <cell r="AX178">
            <v>32500</v>
          </cell>
          <cell r="AY178">
            <v>0</v>
          </cell>
          <cell r="AZ178">
            <v>325000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219992</v>
          </cell>
          <cell r="BG178">
            <v>175994</v>
          </cell>
          <cell r="BH178">
            <v>43998</v>
          </cell>
          <cell r="BI178">
            <v>0</v>
          </cell>
          <cell r="BJ178">
            <v>439984</v>
          </cell>
          <cell r="BK178">
            <v>219992</v>
          </cell>
          <cell r="BL178">
            <v>175994</v>
          </cell>
          <cell r="BM178">
            <v>43998</v>
          </cell>
          <cell r="BN178">
            <v>0</v>
          </cell>
          <cell r="BO178">
            <v>439984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609532</v>
          </cell>
          <cell r="BV178">
            <v>487625</v>
          </cell>
          <cell r="BW178">
            <v>121906</v>
          </cell>
          <cell r="BX178">
            <v>0</v>
          </cell>
          <cell r="BY178">
            <v>1219063</v>
          </cell>
          <cell r="BZ178">
            <v>609532</v>
          </cell>
          <cell r="CA178">
            <v>487625</v>
          </cell>
          <cell r="CB178">
            <v>121906</v>
          </cell>
          <cell r="CC178">
            <v>0</v>
          </cell>
          <cell r="CD178">
            <v>1219063</v>
          </cell>
        </row>
        <row r="179">
          <cell r="A179">
            <v>172</v>
          </cell>
          <cell r="B179" t="str">
            <v>E1738</v>
          </cell>
          <cell r="C179" t="str">
            <v>SD</v>
          </cell>
          <cell r="D179" t="str">
            <v>SE</v>
          </cell>
          <cell r="E179" t="str">
            <v>New Forest</v>
          </cell>
          <cell r="F179">
            <v>27862992</v>
          </cell>
          <cell r="G179">
            <v>22290394</v>
          </cell>
          <cell r="H179">
            <v>5015339</v>
          </cell>
          <cell r="I179">
            <v>557260</v>
          </cell>
          <cell r="J179">
            <v>55725985</v>
          </cell>
          <cell r="K179">
            <v>0</v>
          </cell>
          <cell r="L179">
            <v>0</v>
          </cell>
          <cell r="M179">
            <v>27862992</v>
          </cell>
          <cell r="N179">
            <v>55725985</v>
          </cell>
          <cell r="O179">
            <v>286160</v>
          </cell>
          <cell r="P179">
            <v>286160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278</v>
          </cell>
          <cell r="V179">
            <v>0</v>
          </cell>
          <cell r="W179">
            <v>278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785254</v>
          </cell>
          <cell r="AC179">
            <v>628203</v>
          </cell>
          <cell r="AD179">
            <v>141346</v>
          </cell>
          <cell r="AE179">
            <v>15705</v>
          </cell>
          <cell r="AF179">
            <v>1570508</v>
          </cell>
          <cell r="AG179">
            <v>117350</v>
          </cell>
          <cell r="AH179">
            <v>93880</v>
          </cell>
          <cell r="AI179">
            <v>21123</v>
          </cell>
          <cell r="AJ179">
            <v>2347</v>
          </cell>
          <cell r="AK179">
            <v>234700</v>
          </cell>
          <cell r="AL179">
            <v>226500</v>
          </cell>
          <cell r="AM179">
            <v>181200</v>
          </cell>
          <cell r="AN179">
            <v>40770</v>
          </cell>
          <cell r="AO179">
            <v>4530</v>
          </cell>
          <cell r="AP179">
            <v>453000</v>
          </cell>
          <cell r="AQ179">
            <v>26280</v>
          </cell>
          <cell r="AR179">
            <v>21024</v>
          </cell>
          <cell r="AS179">
            <v>4730</v>
          </cell>
          <cell r="AT179">
            <v>526</v>
          </cell>
          <cell r="AU179">
            <v>52560</v>
          </cell>
          <cell r="AV179">
            <v>252780</v>
          </cell>
          <cell r="AW179">
            <v>202224</v>
          </cell>
          <cell r="AX179">
            <v>45500</v>
          </cell>
          <cell r="AY179">
            <v>5056</v>
          </cell>
          <cell r="AZ179">
            <v>505560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950912</v>
          </cell>
          <cell r="BG179">
            <v>760730</v>
          </cell>
          <cell r="BH179">
            <v>171164</v>
          </cell>
          <cell r="BI179">
            <v>19018</v>
          </cell>
          <cell r="BJ179">
            <v>1901824</v>
          </cell>
          <cell r="BK179">
            <v>950912</v>
          </cell>
          <cell r="BL179">
            <v>760730</v>
          </cell>
          <cell r="BM179">
            <v>171164</v>
          </cell>
          <cell r="BN179">
            <v>19018</v>
          </cell>
          <cell r="BO179">
            <v>1901824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2623836</v>
          </cell>
          <cell r="BV179">
            <v>2099068</v>
          </cell>
          <cell r="BW179">
            <v>472290</v>
          </cell>
          <cell r="BX179">
            <v>52477</v>
          </cell>
          <cell r="BY179">
            <v>5247671</v>
          </cell>
          <cell r="BZ179">
            <v>2623836</v>
          </cell>
          <cell r="CA179">
            <v>2099068</v>
          </cell>
          <cell r="CB179">
            <v>472290</v>
          </cell>
          <cell r="CC179">
            <v>52477</v>
          </cell>
          <cell r="CD179">
            <v>5247671</v>
          </cell>
        </row>
        <row r="180">
          <cell r="A180">
            <v>173</v>
          </cell>
          <cell r="B180" t="str">
            <v>E3036</v>
          </cell>
          <cell r="C180" t="str">
            <v>SD</v>
          </cell>
          <cell r="D180" t="str">
            <v>EM</v>
          </cell>
          <cell r="E180" t="str">
            <v>Newark &amp; Sherwood</v>
          </cell>
          <cell r="F180">
            <v>18201462</v>
          </cell>
          <cell r="G180">
            <v>14561170</v>
          </cell>
          <cell r="H180">
            <v>3276263</v>
          </cell>
          <cell r="I180">
            <v>364029</v>
          </cell>
          <cell r="J180">
            <v>36402924</v>
          </cell>
          <cell r="K180">
            <v>0</v>
          </cell>
          <cell r="L180">
            <v>0</v>
          </cell>
          <cell r="M180">
            <v>18201462</v>
          </cell>
          <cell r="N180">
            <v>36402924</v>
          </cell>
          <cell r="O180">
            <v>164324</v>
          </cell>
          <cell r="P180">
            <v>164324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670378</v>
          </cell>
          <cell r="AC180">
            <v>536303</v>
          </cell>
          <cell r="AD180">
            <v>120668</v>
          </cell>
          <cell r="AE180">
            <v>13408</v>
          </cell>
          <cell r="AF180">
            <v>1340757</v>
          </cell>
          <cell r="AG180">
            <v>120879</v>
          </cell>
          <cell r="AH180">
            <v>96703</v>
          </cell>
          <cell r="AI180">
            <v>21758</v>
          </cell>
          <cell r="AJ180">
            <v>2418</v>
          </cell>
          <cell r="AK180">
            <v>241758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224468</v>
          </cell>
          <cell r="AR180">
            <v>179574</v>
          </cell>
          <cell r="AS180">
            <v>40404</v>
          </cell>
          <cell r="AT180">
            <v>4489</v>
          </cell>
          <cell r="AU180">
            <v>448935</v>
          </cell>
          <cell r="AV180">
            <v>224468</v>
          </cell>
          <cell r="AW180">
            <v>179574</v>
          </cell>
          <cell r="AX180">
            <v>40404</v>
          </cell>
          <cell r="AY180">
            <v>4489</v>
          </cell>
          <cell r="AZ180">
            <v>448935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220999</v>
          </cell>
          <cell r="BG180">
            <v>176800</v>
          </cell>
          <cell r="BH180">
            <v>39780</v>
          </cell>
          <cell r="BI180">
            <v>4420</v>
          </cell>
          <cell r="BJ180">
            <v>441999</v>
          </cell>
          <cell r="BK180">
            <v>220999</v>
          </cell>
          <cell r="BL180">
            <v>176800</v>
          </cell>
          <cell r="BM180">
            <v>39780</v>
          </cell>
          <cell r="BN180">
            <v>4420</v>
          </cell>
          <cell r="BO180">
            <v>441999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612323</v>
          </cell>
          <cell r="BV180">
            <v>489858</v>
          </cell>
          <cell r="BW180">
            <v>110218</v>
          </cell>
          <cell r="BX180">
            <v>12246</v>
          </cell>
          <cell r="BY180">
            <v>1224645</v>
          </cell>
          <cell r="BZ180">
            <v>612323</v>
          </cell>
          <cell r="CA180">
            <v>489858</v>
          </cell>
          <cell r="CB180">
            <v>110218</v>
          </cell>
          <cell r="CC180">
            <v>12246</v>
          </cell>
          <cell r="CD180">
            <v>1224645</v>
          </cell>
        </row>
        <row r="181">
          <cell r="A181">
            <v>174</v>
          </cell>
          <cell r="B181" t="str">
            <v>E4502</v>
          </cell>
          <cell r="C181" t="str">
            <v>Met</v>
          </cell>
          <cell r="D181" t="str">
            <v>NE</v>
          </cell>
          <cell r="E181" t="str">
            <v>Newcastle upon Tyne</v>
          </cell>
          <cell r="F181">
            <v>64245623</v>
          </cell>
          <cell r="G181">
            <v>62960710</v>
          </cell>
          <cell r="H181">
            <v>0</v>
          </cell>
          <cell r="I181">
            <v>1284912</v>
          </cell>
          <cell r="J181">
            <v>128491245</v>
          </cell>
          <cell r="K181">
            <v>0</v>
          </cell>
          <cell r="L181">
            <v>0</v>
          </cell>
          <cell r="M181">
            <v>64245623</v>
          </cell>
          <cell r="N181">
            <v>128491245</v>
          </cell>
          <cell r="O181">
            <v>461240</v>
          </cell>
          <cell r="P181">
            <v>461240</v>
          </cell>
          <cell r="Q181">
            <v>258625</v>
          </cell>
          <cell r="R181">
            <v>258625</v>
          </cell>
          <cell r="S181">
            <v>1132971</v>
          </cell>
          <cell r="T181">
            <v>1132971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4154909</v>
          </cell>
          <cell r="AC181">
            <v>4071810</v>
          </cell>
          <cell r="AD181">
            <v>0</v>
          </cell>
          <cell r="AE181">
            <v>83098</v>
          </cell>
          <cell r="AF181">
            <v>8309817</v>
          </cell>
          <cell r="AG181">
            <v>3238171</v>
          </cell>
          <cell r="AH181">
            <v>3173407</v>
          </cell>
          <cell r="AI181">
            <v>0</v>
          </cell>
          <cell r="AJ181">
            <v>64763</v>
          </cell>
          <cell r="AK181">
            <v>6476341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563782</v>
          </cell>
          <cell r="AR181">
            <v>552506</v>
          </cell>
          <cell r="AS181">
            <v>0</v>
          </cell>
          <cell r="AT181">
            <v>11276</v>
          </cell>
          <cell r="AU181">
            <v>1127564</v>
          </cell>
          <cell r="AV181">
            <v>563782</v>
          </cell>
          <cell r="AW181">
            <v>552506</v>
          </cell>
          <cell r="AX181">
            <v>0</v>
          </cell>
          <cell r="AY181">
            <v>11276</v>
          </cell>
          <cell r="AZ181">
            <v>1127564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1410705</v>
          </cell>
          <cell r="BG181">
            <v>1382490</v>
          </cell>
          <cell r="BH181">
            <v>0</v>
          </cell>
          <cell r="BI181">
            <v>28214</v>
          </cell>
          <cell r="BJ181">
            <v>2821409</v>
          </cell>
          <cell r="BK181">
            <v>1410705</v>
          </cell>
          <cell r="BL181">
            <v>1382490</v>
          </cell>
          <cell r="BM181">
            <v>0</v>
          </cell>
          <cell r="BN181">
            <v>28214</v>
          </cell>
          <cell r="BO181">
            <v>2821409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6887558</v>
          </cell>
          <cell r="BV181">
            <v>6749807</v>
          </cell>
          <cell r="BW181">
            <v>0</v>
          </cell>
          <cell r="BX181">
            <v>137751</v>
          </cell>
          <cell r="BY181">
            <v>13775116</v>
          </cell>
          <cell r="BZ181">
            <v>6887558</v>
          </cell>
          <cell r="CA181">
            <v>6749807</v>
          </cell>
          <cell r="CB181">
            <v>0</v>
          </cell>
          <cell r="CC181">
            <v>137751</v>
          </cell>
          <cell r="CD181">
            <v>13775116</v>
          </cell>
        </row>
        <row r="182">
          <cell r="A182">
            <v>175</v>
          </cell>
          <cell r="B182" t="str">
            <v>E3434</v>
          </cell>
          <cell r="C182" t="str">
            <v>SD</v>
          </cell>
          <cell r="D182" t="str">
            <v>WM</v>
          </cell>
          <cell r="E182" t="str">
            <v>Newcastle-under-Lyme</v>
          </cell>
          <cell r="F182">
            <v>16147380</v>
          </cell>
          <cell r="G182">
            <v>12917904</v>
          </cell>
          <cell r="H182">
            <v>2906528</v>
          </cell>
          <cell r="I182">
            <v>322948</v>
          </cell>
          <cell r="J182">
            <v>32294760</v>
          </cell>
          <cell r="K182">
            <v>0</v>
          </cell>
          <cell r="L182">
            <v>0</v>
          </cell>
          <cell r="M182">
            <v>16147380</v>
          </cell>
          <cell r="N182">
            <v>32294760</v>
          </cell>
          <cell r="O182">
            <v>141676</v>
          </cell>
          <cell r="P182">
            <v>141676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1260528</v>
          </cell>
          <cell r="AC182">
            <v>1008422</v>
          </cell>
          <cell r="AD182">
            <v>226895</v>
          </cell>
          <cell r="AE182">
            <v>25211</v>
          </cell>
          <cell r="AF182">
            <v>2521056</v>
          </cell>
          <cell r="AG182">
            <v>175021</v>
          </cell>
          <cell r="AH182">
            <v>140017</v>
          </cell>
          <cell r="AI182">
            <v>31504</v>
          </cell>
          <cell r="AJ182">
            <v>3500</v>
          </cell>
          <cell r="AK182">
            <v>350042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1830</v>
          </cell>
          <cell r="AR182">
            <v>1464</v>
          </cell>
          <cell r="AS182">
            <v>329</v>
          </cell>
          <cell r="AT182">
            <v>37</v>
          </cell>
          <cell r="AU182">
            <v>3660</v>
          </cell>
          <cell r="AV182">
            <v>1830</v>
          </cell>
          <cell r="AW182">
            <v>1464</v>
          </cell>
          <cell r="AX182">
            <v>329</v>
          </cell>
          <cell r="AY182">
            <v>37</v>
          </cell>
          <cell r="AZ182">
            <v>3660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61500</v>
          </cell>
          <cell r="BG182">
            <v>49200</v>
          </cell>
          <cell r="BH182">
            <v>11070</v>
          </cell>
          <cell r="BI182">
            <v>1230</v>
          </cell>
          <cell r="BJ182">
            <v>123000</v>
          </cell>
          <cell r="BK182">
            <v>61500</v>
          </cell>
          <cell r="BL182">
            <v>49200</v>
          </cell>
          <cell r="BM182">
            <v>11070</v>
          </cell>
          <cell r="BN182">
            <v>1230</v>
          </cell>
          <cell r="BO182">
            <v>123000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198500</v>
          </cell>
          <cell r="BV182">
            <v>158800</v>
          </cell>
          <cell r="BW182">
            <v>35730</v>
          </cell>
          <cell r="BX182">
            <v>3970</v>
          </cell>
          <cell r="BY182">
            <v>397000</v>
          </cell>
          <cell r="BZ182">
            <v>198500</v>
          </cell>
          <cell r="CA182">
            <v>158800</v>
          </cell>
          <cell r="CB182">
            <v>35730</v>
          </cell>
          <cell r="CC182">
            <v>3970</v>
          </cell>
          <cell r="CD182">
            <v>397000</v>
          </cell>
        </row>
        <row r="183">
          <cell r="A183">
            <v>176</v>
          </cell>
          <cell r="B183" t="str">
            <v>E5045</v>
          </cell>
          <cell r="C183" t="str">
            <v>OLB</v>
          </cell>
          <cell r="D183" t="str">
            <v>L</v>
          </cell>
          <cell r="E183" t="str">
            <v>Newham</v>
          </cell>
          <cell r="F183">
            <v>59576064</v>
          </cell>
          <cell r="G183">
            <v>35745638</v>
          </cell>
          <cell r="H183">
            <v>23830426</v>
          </cell>
          <cell r="I183">
            <v>0</v>
          </cell>
          <cell r="J183">
            <v>119152128</v>
          </cell>
          <cell r="K183">
            <v>101389</v>
          </cell>
          <cell r="L183">
            <v>101389</v>
          </cell>
          <cell r="M183">
            <v>59474675</v>
          </cell>
          <cell r="N183">
            <v>119050739</v>
          </cell>
          <cell r="O183">
            <v>387053</v>
          </cell>
          <cell r="P183">
            <v>387053</v>
          </cell>
          <cell r="Q183">
            <v>173688</v>
          </cell>
          <cell r="R183">
            <v>173688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101389</v>
          </cell>
          <cell r="Y183">
            <v>0</v>
          </cell>
          <cell r="Z183">
            <v>0</v>
          </cell>
          <cell r="AA183">
            <v>101389</v>
          </cell>
          <cell r="AB183">
            <v>2866126</v>
          </cell>
          <cell r="AC183">
            <v>1719675</v>
          </cell>
          <cell r="AD183">
            <v>1146450</v>
          </cell>
          <cell r="AE183">
            <v>0</v>
          </cell>
          <cell r="AF183">
            <v>5732251</v>
          </cell>
          <cell r="AG183">
            <v>3135624</v>
          </cell>
          <cell r="AH183">
            <v>1881374</v>
          </cell>
          <cell r="AI183">
            <v>1254250</v>
          </cell>
          <cell r="AJ183">
            <v>0</v>
          </cell>
          <cell r="AK183">
            <v>6271248</v>
          </cell>
          <cell r="AL183">
            <v>1203034</v>
          </cell>
          <cell r="AM183">
            <v>721820</v>
          </cell>
          <cell r="AN183">
            <v>481213</v>
          </cell>
          <cell r="AO183">
            <v>0</v>
          </cell>
          <cell r="AP183">
            <v>2406067</v>
          </cell>
          <cell r="AQ183">
            <v>227231</v>
          </cell>
          <cell r="AR183">
            <v>136339</v>
          </cell>
          <cell r="AS183">
            <v>90892</v>
          </cell>
          <cell r="AT183">
            <v>0</v>
          </cell>
          <cell r="AU183">
            <v>454462</v>
          </cell>
          <cell r="AV183">
            <v>1430265</v>
          </cell>
          <cell r="AW183">
            <v>858159</v>
          </cell>
          <cell r="AX183">
            <v>572105</v>
          </cell>
          <cell r="AY183">
            <v>0</v>
          </cell>
          <cell r="AZ183">
            <v>2860529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407512</v>
          </cell>
          <cell r="BG183">
            <v>244507</v>
          </cell>
          <cell r="BH183">
            <v>163005</v>
          </cell>
          <cell r="BI183">
            <v>0</v>
          </cell>
          <cell r="BJ183">
            <v>815024</v>
          </cell>
          <cell r="BK183">
            <v>407512</v>
          </cell>
          <cell r="BL183">
            <v>244507</v>
          </cell>
          <cell r="BM183">
            <v>163005</v>
          </cell>
          <cell r="BN183">
            <v>0</v>
          </cell>
          <cell r="BO183">
            <v>815024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2727194</v>
          </cell>
          <cell r="BV183">
            <v>1636316</v>
          </cell>
          <cell r="BW183">
            <v>1090878</v>
          </cell>
          <cell r="BX183">
            <v>0</v>
          </cell>
          <cell r="BY183">
            <v>5454388</v>
          </cell>
          <cell r="BZ183">
            <v>2727194</v>
          </cell>
          <cell r="CA183">
            <v>1636316</v>
          </cell>
          <cell r="CB183">
            <v>1090878</v>
          </cell>
          <cell r="CC183">
            <v>0</v>
          </cell>
          <cell r="CD183">
            <v>5454388</v>
          </cell>
        </row>
        <row r="184">
          <cell r="A184">
            <v>177</v>
          </cell>
          <cell r="B184" t="str">
            <v>E1134</v>
          </cell>
          <cell r="C184" t="str">
            <v>SD</v>
          </cell>
          <cell r="D184" t="str">
            <v>SW</v>
          </cell>
          <cell r="E184" t="str">
            <v>North Devon</v>
          </cell>
          <cell r="F184">
            <v>15062351</v>
          </cell>
          <cell r="G184">
            <v>12049880</v>
          </cell>
          <cell r="H184">
            <v>2711223</v>
          </cell>
          <cell r="I184">
            <v>301247</v>
          </cell>
          <cell r="J184">
            <v>30124701</v>
          </cell>
          <cell r="K184">
            <v>0</v>
          </cell>
          <cell r="L184">
            <v>0</v>
          </cell>
          <cell r="M184">
            <v>15062351</v>
          </cell>
          <cell r="N184">
            <v>30124701</v>
          </cell>
          <cell r="O184">
            <v>202305</v>
          </cell>
          <cell r="P184">
            <v>202305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725599</v>
          </cell>
          <cell r="AC184">
            <v>580479</v>
          </cell>
          <cell r="AD184">
            <v>130608</v>
          </cell>
          <cell r="AE184">
            <v>14512</v>
          </cell>
          <cell r="AF184">
            <v>1451198</v>
          </cell>
          <cell r="AG184">
            <v>440785</v>
          </cell>
          <cell r="AH184">
            <v>352628</v>
          </cell>
          <cell r="AI184">
            <v>79341</v>
          </cell>
          <cell r="AJ184">
            <v>8816</v>
          </cell>
          <cell r="AK184">
            <v>881570</v>
          </cell>
          <cell r="AL184">
            <v>270403</v>
          </cell>
          <cell r="AM184">
            <v>216323</v>
          </cell>
          <cell r="AN184">
            <v>48673</v>
          </cell>
          <cell r="AO184">
            <v>5408</v>
          </cell>
          <cell r="AP184">
            <v>540807</v>
          </cell>
          <cell r="AQ184">
            <v>108517</v>
          </cell>
          <cell r="AR184">
            <v>86813</v>
          </cell>
          <cell r="AS184">
            <v>19533</v>
          </cell>
          <cell r="AT184">
            <v>2170</v>
          </cell>
          <cell r="AU184">
            <v>217033</v>
          </cell>
          <cell r="AV184">
            <v>378920</v>
          </cell>
          <cell r="AW184">
            <v>303136</v>
          </cell>
          <cell r="AX184">
            <v>68206</v>
          </cell>
          <cell r="AY184">
            <v>7578</v>
          </cell>
          <cell r="AZ184">
            <v>757840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100572</v>
          </cell>
          <cell r="BG184">
            <v>80458</v>
          </cell>
          <cell r="BH184">
            <v>18103</v>
          </cell>
          <cell r="BI184">
            <v>2011</v>
          </cell>
          <cell r="BJ184">
            <v>201144</v>
          </cell>
          <cell r="BK184">
            <v>100572</v>
          </cell>
          <cell r="BL184">
            <v>80458</v>
          </cell>
          <cell r="BM184">
            <v>18103</v>
          </cell>
          <cell r="BN184">
            <v>2011</v>
          </cell>
          <cell r="BO184">
            <v>201144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329981</v>
          </cell>
          <cell r="BV184">
            <v>263984</v>
          </cell>
          <cell r="BW184">
            <v>59396</v>
          </cell>
          <cell r="BX184">
            <v>6600</v>
          </cell>
          <cell r="BY184">
            <v>659961</v>
          </cell>
          <cell r="BZ184">
            <v>329981</v>
          </cell>
          <cell r="CA184">
            <v>263984</v>
          </cell>
          <cell r="CB184">
            <v>59396</v>
          </cell>
          <cell r="CC184">
            <v>6600</v>
          </cell>
          <cell r="CD184">
            <v>659961</v>
          </cell>
        </row>
        <row r="185">
          <cell r="A185">
            <v>178</v>
          </cell>
          <cell r="B185" t="str">
            <v>E1234</v>
          </cell>
          <cell r="C185" t="str">
            <v>SD</v>
          </cell>
          <cell r="D185" t="str">
            <v>SW</v>
          </cell>
          <cell r="E185" t="str">
            <v>North Dorset</v>
          </cell>
          <cell r="F185">
            <v>6281871</v>
          </cell>
          <cell r="G185">
            <v>5025496</v>
          </cell>
          <cell r="H185">
            <v>1130737</v>
          </cell>
          <cell r="I185">
            <v>125637</v>
          </cell>
          <cell r="J185">
            <v>12563741</v>
          </cell>
          <cell r="K185">
            <v>0</v>
          </cell>
          <cell r="L185">
            <v>0</v>
          </cell>
          <cell r="M185">
            <v>6281871</v>
          </cell>
          <cell r="N185">
            <v>12563741</v>
          </cell>
          <cell r="O185">
            <v>91750</v>
          </cell>
          <cell r="P185">
            <v>91750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213936</v>
          </cell>
          <cell r="AC185">
            <v>171149</v>
          </cell>
          <cell r="AD185">
            <v>38508</v>
          </cell>
          <cell r="AE185">
            <v>4279</v>
          </cell>
          <cell r="AF185">
            <v>427872</v>
          </cell>
          <cell r="AG185">
            <v>77230</v>
          </cell>
          <cell r="AH185">
            <v>61784</v>
          </cell>
          <cell r="AI185">
            <v>13901</v>
          </cell>
          <cell r="AJ185">
            <v>1545</v>
          </cell>
          <cell r="AK185">
            <v>154460</v>
          </cell>
          <cell r="AL185">
            <v>74231</v>
          </cell>
          <cell r="AM185">
            <v>59385</v>
          </cell>
          <cell r="AN185">
            <v>13362</v>
          </cell>
          <cell r="AO185">
            <v>1485</v>
          </cell>
          <cell r="AP185">
            <v>148463</v>
          </cell>
          <cell r="AQ185">
            <v>59683</v>
          </cell>
          <cell r="AR185">
            <v>47746</v>
          </cell>
          <cell r="AS185">
            <v>10743</v>
          </cell>
          <cell r="AT185">
            <v>1194</v>
          </cell>
          <cell r="AU185">
            <v>119366</v>
          </cell>
          <cell r="AV185">
            <v>133914</v>
          </cell>
          <cell r="AW185">
            <v>107131</v>
          </cell>
          <cell r="AX185">
            <v>24105</v>
          </cell>
          <cell r="AY185">
            <v>2679</v>
          </cell>
          <cell r="AZ185">
            <v>267829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67006</v>
          </cell>
          <cell r="BG185">
            <v>53605</v>
          </cell>
          <cell r="BH185">
            <v>12061</v>
          </cell>
          <cell r="BI185">
            <v>1340</v>
          </cell>
          <cell r="BJ185">
            <v>134012</v>
          </cell>
          <cell r="BK185">
            <v>67006</v>
          </cell>
          <cell r="BL185">
            <v>53605</v>
          </cell>
          <cell r="BM185">
            <v>12061</v>
          </cell>
          <cell r="BN185">
            <v>1340</v>
          </cell>
          <cell r="BO185">
            <v>134012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148726</v>
          </cell>
          <cell r="BV185">
            <v>118981</v>
          </cell>
          <cell r="BW185">
            <v>26771</v>
          </cell>
          <cell r="BX185">
            <v>2975</v>
          </cell>
          <cell r="BY185">
            <v>297453</v>
          </cell>
          <cell r="BZ185">
            <v>148726</v>
          </cell>
          <cell r="CA185">
            <v>118981</v>
          </cell>
          <cell r="CB185">
            <v>26771</v>
          </cell>
          <cell r="CC185">
            <v>2975</v>
          </cell>
          <cell r="CD185">
            <v>297453</v>
          </cell>
        </row>
        <row r="186">
          <cell r="A186">
            <v>179</v>
          </cell>
          <cell r="B186" t="str">
            <v>E1038</v>
          </cell>
          <cell r="C186" t="str">
            <v>SD</v>
          </cell>
          <cell r="D186" t="str">
            <v>EM</v>
          </cell>
          <cell r="E186" t="str">
            <v>North East Derbyshire</v>
          </cell>
          <cell r="F186">
            <v>7237310</v>
          </cell>
          <cell r="G186">
            <v>5789848</v>
          </cell>
          <cell r="H186">
            <v>1302716</v>
          </cell>
          <cell r="I186">
            <v>144746</v>
          </cell>
          <cell r="J186">
            <v>14474620</v>
          </cell>
          <cell r="K186">
            <v>0</v>
          </cell>
          <cell r="L186">
            <v>0</v>
          </cell>
          <cell r="M186">
            <v>7237310</v>
          </cell>
          <cell r="N186">
            <v>14474620</v>
          </cell>
          <cell r="O186">
            <v>97498</v>
          </cell>
          <cell r="P186">
            <v>97498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301319</v>
          </cell>
          <cell r="AC186">
            <v>241056</v>
          </cell>
          <cell r="AD186">
            <v>54238</v>
          </cell>
          <cell r="AE186">
            <v>6026</v>
          </cell>
          <cell r="AF186">
            <v>602639</v>
          </cell>
          <cell r="AG186">
            <v>375852.82</v>
          </cell>
          <cell r="AH186">
            <v>300683</v>
          </cell>
          <cell r="AI186">
            <v>67654</v>
          </cell>
          <cell r="AJ186">
            <v>7517</v>
          </cell>
          <cell r="AK186">
            <v>751706.82</v>
          </cell>
          <cell r="AL186">
            <v>79946</v>
          </cell>
          <cell r="AM186">
            <v>63957</v>
          </cell>
          <cell r="AN186">
            <v>14390</v>
          </cell>
          <cell r="AO186">
            <v>1599</v>
          </cell>
          <cell r="AP186">
            <v>159892</v>
          </cell>
          <cell r="AQ186">
            <v>-11436</v>
          </cell>
          <cell r="AR186">
            <v>-9148</v>
          </cell>
          <cell r="AS186">
            <v>-2058</v>
          </cell>
          <cell r="AT186">
            <v>-229</v>
          </cell>
          <cell r="AU186">
            <v>-22871</v>
          </cell>
          <cell r="AV186">
            <v>68510</v>
          </cell>
          <cell r="AW186">
            <v>54809</v>
          </cell>
          <cell r="AX186">
            <v>12332</v>
          </cell>
          <cell r="AY186">
            <v>1370</v>
          </cell>
          <cell r="AZ186">
            <v>137021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124799.02</v>
          </cell>
          <cell r="BG186">
            <v>99839</v>
          </cell>
          <cell r="BH186">
            <v>22464</v>
          </cell>
          <cell r="BI186">
            <v>2496</v>
          </cell>
          <cell r="BJ186">
            <v>249598.02</v>
          </cell>
          <cell r="BK186">
            <v>124799.02</v>
          </cell>
          <cell r="BL186">
            <v>99839</v>
          </cell>
          <cell r="BM186">
            <v>22464</v>
          </cell>
          <cell r="BN186">
            <v>2496</v>
          </cell>
          <cell r="BO186">
            <v>249598.02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264809.21999999997</v>
          </cell>
          <cell r="BV186">
            <v>211847</v>
          </cell>
          <cell r="BW186">
            <v>47666</v>
          </cell>
          <cell r="BX186">
            <v>5296</v>
          </cell>
          <cell r="BY186">
            <v>529618.22</v>
          </cell>
          <cell r="BZ186">
            <v>264809.21999999997</v>
          </cell>
          <cell r="CA186">
            <v>211847</v>
          </cell>
          <cell r="CB186">
            <v>47666</v>
          </cell>
          <cell r="CC186">
            <v>5296</v>
          </cell>
          <cell r="CD186">
            <v>529618.22</v>
          </cell>
        </row>
        <row r="187">
          <cell r="A187">
            <v>180</v>
          </cell>
          <cell r="B187" t="str">
            <v>E2003</v>
          </cell>
          <cell r="C187" t="str">
            <v>UA</v>
          </cell>
          <cell r="D187" t="str">
            <v>YH</v>
          </cell>
          <cell r="E187" t="str">
            <v>North East Lincolnshire UA</v>
          </cell>
          <cell r="F187">
            <v>29948873</v>
          </cell>
          <cell r="G187">
            <v>29349895</v>
          </cell>
          <cell r="H187">
            <v>0</v>
          </cell>
          <cell r="I187">
            <v>598977</v>
          </cell>
          <cell r="J187">
            <v>59897745</v>
          </cell>
          <cell r="K187">
            <v>0</v>
          </cell>
          <cell r="L187">
            <v>0</v>
          </cell>
          <cell r="M187">
            <v>29948873</v>
          </cell>
          <cell r="N187">
            <v>59897745</v>
          </cell>
          <cell r="O187">
            <v>241084</v>
          </cell>
          <cell r="P187">
            <v>241084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3583554</v>
          </cell>
          <cell r="AC187">
            <v>3511882</v>
          </cell>
          <cell r="AD187">
            <v>0</v>
          </cell>
          <cell r="AE187">
            <v>71671</v>
          </cell>
          <cell r="AF187">
            <v>7167107</v>
          </cell>
          <cell r="AG187">
            <v>311453.98</v>
          </cell>
          <cell r="AH187">
            <v>305224</v>
          </cell>
          <cell r="AI187">
            <v>0</v>
          </cell>
          <cell r="AJ187">
            <v>6229</v>
          </cell>
          <cell r="AK187">
            <v>622906.98</v>
          </cell>
          <cell r="AL187">
            <v>1461071</v>
          </cell>
          <cell r="AM187">
            <v>1431849</v>
          </cell>
          <cell r="AN187">
            <v>0</v>
          </cell>
          <cell r="AO187">
            <v>29221</v>
          </cell>
          <cell r="AP187">
            <v>2922141</v>
          </cell>
          <cell r="AQ187">
            <v>-68354</v>
          </cell>
          <cell r="AR187">
            <v>-66987</v>
          </cell>
          <cell r="AS187">
            <v>0</v>
          </cell>
          <cell r="AT187">
            <v>-1367</v>
          </cell>
          <cell r="AU187">
            <v>-136708</v>
          </cell>
          <cell r="AV187">
            <v>1392717</v>
          </cell>
          <cell r="AW187">
            <v>1364862</v>
          </cell>
          <cell r="AX187">
            <v>0</v>
          </cell>
          <cell r="AY187">
            <v>27854</v>
          </cell>
          <cell r="AZ187">
            <v>2785433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526227</v>
          </cell>
          <cell r="BG187">
            <v>515702</v>
          </cell>
          <cell r="BH187">
            <v>0</v>
          </cell>
          <cell r="BI187">
            <v>10525</v>
          </cell>
          <cell r="BJ187">
            <v>1052454</v>
          </cell>
          <cell r="BK187">
            <v>526227</v>
          </cell>
          <cell r="BL187">
            <v>515702</v>
          </cell>
          <cell r="BM187">
            <v>0</v>
          </cell>
          <cell r="BN187">
            <v>10525</v>
          </cell>
          <cell r="BO187">
            <v>1052454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1519590</v>
          </cell>
          <cell r="BV187">
            <v>1489198</v>
          </cell>
          <cell r="BW187">
            <v>0</v>
          </cell>
          <cell r="BX187">
            <v>30392</v>
          </cell>
          <cell r="BY187">
            <v>3039180</v>
          </cell>
          <cell r="BZ187">
            <v>1519590</v>
          </cell>
          <cell r="CA187">
            <v>1489198</v>
          </cell>
          <cell r="CB187">
            <v>0</v>
          </cell>
          <cell r="CC187">
            <v>30392</v>
          </cell>
          <cell r="CD187">
            <v>3039180</v>
          </cell>
        </row>
        <row r="188">
          <cell r="A188">
            <v>181</v>
          </cell>
          <cell r="B188" t="str">
            <v>E1935</v>
          </cell>
          <cell r="C188" t="str">
            <v>SD</v>
          </cell>
          <cell r="D188" t="str">
            <v>E</v>
          </cell>
          <cell r="E188" t="str">
            <v>North Hertfordshire</v>
          </cell>
          <cell r="F188">
            <v>17576958</v>
          </cell>
          <cell r="G188">
            <v>14061566</v>
          </cell>
          <cell r="H188">
            <v>3515392</v>
          </cell>
          <cell r="I188">
            <v>0</v>
          </cell>
          <cell r="J188">
            <v>35153916</v>
          </cell>
          <cell r="K188">
            <v>0</v>
          </cell>
          <cell r="L188">
            <v>0</v>
          </cell>
          <cell r="M188">
            <v>17576958</v>
          </cell>
          <cell r="N188">
            <v>35153916</v>
          </cell>
          <cell r="O188">
            <v>182381</v>
          </cell>
          <cell r="P188">
            <v>182381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1067810</v>
          </cell>
          <cell r="AC188">
            <v>854248</v>
          </cell>
          <cell r="AD188">
            <v>213562</v>
          </cell>
          <cell r="AE188">
            <v>0</v>
          </cell>
          <cell r="AF188">
            <v>2135620</v>
          </cell>
          <cell r="AG188">
            <v>303513</v>
          </cell>
          <cell r="AH188">
            <v>242810</v>
          </cell>
          <cell r="AI188">
            <v>60703</v>
          </cell>
          <cell r="AJ188">
            <v>0</v>
          </cell>
          <cell r="AK188">
            <v>607026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135246</v>
          </cell>
          <cell r="AR188">
            <v>108197</v>
          </cell>
          <cell r="AS188">
            <v>27049</v>
          </cell>
          <cell r="AT188">
            <v>0</v>
          </cell>
          <cell r="AU188">
            <v>270492</v>
          </cell>
          <cell r="AV188">
            <v>135246</v>
          </cell>
          <cell r="AW188">
            <v>108197</v>
          </cell>
          <cell r="AX188">
            <v>27049</v>
          </cell>
          <cell r="AY188">
            <v>0</v>
          </cell>
          <cell r="AZ188">
            <v>270492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174772</v>
          </cell>
          <cell r="BG188">
            <v>139818</v>
          </cell>
          <cell r="BH188">
            <v>34954</v>
          </cell>
          <cell r="BI188">
            <v>0</v>
          </cell>
          <cell r="BJ188">
            <v>349544</v>
          </cell>
          <cell r="BK188">
            <v>174772</v>
          </cell>
          <cell r="BL188">
            <v>139818</v>
          </cell>
          <cell r="BM188">
            <v>34954</v>
          </cell>
          <cell r="BN188">
            <v>0</v>
          </cell>
          <cell r="BO188">
            <v>349544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495480</v>
          </cell>
          <cell r="BV188">
            <v>396384</v>
          </cell>
          <cell r="BW188">
            <v>99096</v>
          </cell>
          <cell r="BX188">
            <v>0</v>
          </cell>
          <cell r="BY188">
            <v>990960</v>
          </cell>
          <cell r="BZ188">
            <v>495480</v>
          </cell>
          <cell r="CA188">
            <v>396384</v>
          </cell>
          <cell r="CB188">
            <v>99096</v>
          </cell>
          <cell r="CC188">
            <v>0</v>
          </cell>
          <cell r="CD188">
            <v>990960</v>
          </cell>
        </row>
        <row r="189">
          <cell r="A189">
            <v>182</v>
          </cell>
          <cell r="B189" t="str">
            <v>E2534</v>
          </cell>
          <cell r="C189" t="str">
            <v>SD</v>
          </cell>
          <cell r="D189" t="str">
            <v>EM</v>
          </cell>
          <cell r="E189" t="str">
            <v>North Kesteven</v>
          </cell>
          <cell r="F189">
            <v>10862826</v>
          </cell>
          <cell r="G189">
            <v>8690260</v>
          </cell>
          <cell r="H189">
            <v>2172565</v>
          </cell>
          <cell r="I189">
            <v>0</v>
          </cell>
          <cell r="J189">
            <v>21725651</v>
          </cell>
          <cell r="K189">
            <v>0</v>
          </cell>
          <cell r="L189">
            <v>0</v>
          </cell>
          <cell r="M189">
            <v>10862826</v>
          </cell>
          <cell r="N189">
            <v>21725651</v>
          </cell>
          <cell r="O189">
            <v>122912</v>
          </cell>
          <cell r="P189">
            <v>122912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246897</v>
          </cell>
          <cell r="AC189">
            <v>197517</v>
          </cell>
          <cell r="AD189">
            <v>49379</v>
          </cell>
          <cell r="AE189">
            <v>0</v>
          </cell>
          <cell r="AF189">
            <v>493793</v>
          </cell>
          <cell r="AG189">
            <v>205926.98</v>
          </cell>
          <cell r="AH189">
            <v>164742</v>
          </cell>
          <cell r="AI189">
            <v>41185</v>
          </cell>
          <cell r="AJ189">
            <v>0</v>
          </cell>
          <cell r="AK189">
            <v>411853.98</v>
          </cell>
          <cell r="AL189">
            <v>97500</v>
          </cell>
          <cell r="AM189">
            <v>78000</v>
          </cell>
          <cell r="AN189">
            <v>19500</v>
          </cell>
          <cell r="AO189">
            <v>0</v>
          </cell>
          <cell r="AP189">
            <v>195000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97500</v>
          </cell>
          <cell r="AW189">
            <v>78000</v>
          </cell>
          <cell r="AX189">
            <v>19500</v>
          </cell>
          <cell r="AY189">
            <v>0</v>
          </cell>
          <cell r="AZ189">
            <v>195000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92997</v>
          </cell>
          <cell r="BG189">
            <v>74397</v>
          </cell>
          <cell r="BH189">
            <v>18599</v>
          </cell>
          <cell r="BI189">
            <v>0</v>
          </cell>
          <cell r="BJ189">
            <v>185993</v>
          </cell>
          <cell r="BK189">
            <v>92997</v>
          </cell>
          <cell r="BL189">
            <v>74397</v>
          </cell>
          <cell r="BM189">
            <v>18599</v>
          </cell>
          <cell r="BN189">
            <v>0</v>
          </cell>
          <cell r="BO189">
            <v>185993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346529</v>
          </cell>
          <cell r="BV189">
            <v>277224</v>
          </cell>
          <cell r="BW189">
            <v>69306</v>
          </cell>
          <cell r="BX189">
            <v>0</v>
          </cell>
          <cell r="BY189">
            <v>693059</v>
          </cell>
          <cell r="BZ189">
            <v>346529</v>
          </cell>
          <cell r="CA189">
            <v>277224</v>
          </cell>
          <cell r="CB189">
            <v>69306</v>
          </cell>
          <cell r="CC189">
            <v>0</v>
          </cell>
          <cell r="CD189">
            <v>693059</v>
          </cell>
        </row>
        <row r="190">
          <cell r="A190">
            <v>183</v>
          </cell>
          <cell r="B190" t="str">
            <v>E2004</v>
          </cell>
          <cell r="C190" t="str">
            <v>UA</v>
          </cell>
          <cell r="D190" t="str">
            <v>YH</v>
          </cell>
          <cell r="E190" t="str">
            <v>North Lincolnshire UA</v>
          </cell>
          <cell r="F190">
            <v>40568083</v>
          </cell>
          <cell r="G190">
            <v>39756721</v>
          </cell>
          <cell r="H190">
            <v>0</v>
          </cell>
          <cell r="I190">
            <v>811362</v>
          </cell>
          <cell r="J190">
            <v>81136166</v>
          </cell>
          <cell r="K190">
            <v>0</v>
          </cell>
          <cell r="L190">
            <v>0</v>
          </cell>
          <cell r="M190">
            <v>40568083</v>
          </cell>
          <cell r="N190">
            <v>81136166</v>
          </cell>
          <cell r="O190">
            <v>255809</v>
          </cell>
          <cell r="P190">
            <v>255809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22179</v>
          </cell>
          <cell r="V190">
            <v>0</v>
          </cell>
          <cell r="W190">
            <v>22179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2097733</v>
          </cell>
          <cell r="AC190">
            <v>2055779</v>
          </cell>
          <cell r="AD190">
            <v>0</v>
          </cell>
          <cell r="AE190">
            <v>41955</v>
          </cell>
          <cell r="AF190">
            <v>4195467</v>
          </cell>
          <cell r="AG190">
            <v>566273</v>
          </cell>
          <cell r="AH190">
            <v>554947</v>
          </cell>
          <cell r="AI190">
            <v>0</v>
          </cell>
          <cell r="AJ190">
            <v>11325</v>
          </cell>
          <cell r="AK190">
            <v>1132545</v>
          </cell>
          <cell r="AL190">
            <v>349500</v>
          </cell>
          <cell r="AM190">
            <v>342510</v>
          </cell>
          <cell r="AN190">
            <v>0</v>
          </cell>
          <cell r="AO190">
            <v>6990</v>
          </cell>
          <cell r="AP190">
            <v>699000</v>
          </cell>
          <cell r="AQ190">
            <v>-53450</v>
          </cell>
          <cell r="AR190">
            <v>-52381</v>
          </cell>
          <cell r="AS190">
            <v>0</v>
          </cell>
          <cell r="AT190">
            <v>-1069</v>
          </cell>
          <cell r="AU190">
            <v>-106900</v>
          </cell>
          <cell r="AV190">
            <v>296050</v>
          </cell>
          <cell r="AW190">
            <v>290129</v>
          </cell>
          <cell r="AX190">
            <v>0</v>
          </cell>
          <cell r="AY190">
            <v>5921</v>
          </cell>
          <cell r="AZ190">
            <v>592100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1475666</v>
          </cell>
          <cell r="BG190">
            <v>1446152</v>
          </cell>
          <cell r="BH190">
            <v>0</v>
          </cell>
          <cell r="BI190">
            <v>29513</v>
          </cell>
          <cell r="BJ190">
            <v>2951331</v>
          </cell>
          <cell r="BK190">
            <v>1475666</v>
          </cell>
          <cell r="BL190">
            <v>1446152</v>
          </cell>
          <cell r="BM190">
            <v>0</v>
          </cell>
          <cell r="BN190">
            <v>29513</v>
          </cell>
          <cell r="BO190">
            <v>2951331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3066370</v>
          </cell>
          <cell r="BV190">
            <v>3005043</v>
          </cell>
          <cell r="BW190">
            <v>0</v>
          </cell>
          <cell r="BX190">
            <v>61327</v>
          </cell>
          <cell r="BY190">
            <v>6132740</v>
          </cell>
          <cell r="BZ190">
            <v>3066370</v>
          </cell>
          <cell r="CA190">
            <v>3005043</v>
          </cell>
          <cell r="CB190">
            <v>0</v>
          </cell>
          <cell r="CC190">
            <v>61327</v>
          </cell>
          <cell r="CD190">
            <v>6132740</v>
          </cell>
        </row>
        <row r="191">
          <cell r="A191">
            <v>184</v>
          </cell>
          <cell r="B191" t="str">
            <v>E2635</v>
          </cell>
          <cell r="C191" t="str">
            <v>SD</v>
          </cell>
          <cell r="D191" t="str">
            <v>E</v>
          </cell>
          <cell r="E191" t="str">
            <v>North Norfolk</v>
          </cell>
          <cell r="F191">
            <v>11660705</v>
          </cell>
          <cell r="G191">
            <v>9328564</v>
          </cell>
          <cell r="H191">
            <v>2332141</v>
          </cell>
          <cell r="I191">
            <v>0</v>
          </cell>
          <cell r="J191">
            <v>23321410</v>
          </cell>
          <cell r="K191">
            <v>0</v>
          </cell>
          <cell r="L191">
            <v>0</v>
          </cell>
          <cell r="M191">
            <v>11660705</v>
          </cell>
          <cell r="N191">
            <v>23321410</v>
          </cell>
          <cell r="O191">
            <v>230177</v>
          </cell>
          <cell r="P191">
            <v>230177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18840</v>
          </cell>
          <cell r="V191">
            <v>0</v>
          </cell>
          <cell r="W191">
            <v>18840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179811</v>
          </cell>
          <cell r="AC191">
            <v>143848</v>
          </cell>
          <cell r="AD191">
            <v>35962</v>
          </cell>
          <cell r="AE191">
            <v>0</v>
          </cell>
          <cell r="AF191">
            <v>359621</v>
          </cell>
          <cell r="AG191">
            <v>200092</v>
          </cell>
          <cell r="AH191">
            <v>160074</v>
          </cell>
          <cell r="AI191">
            <v>40018</v>
          </cell>
          <cell r="AJ191">
            <v>0</v>
          </cell>
          <cell r="AK191">
            <v>400184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38544</v>
          </cell>
          <cell r="AR191">
            <v>30835</v>
          </cell>
          <cell r="AS191">
            <v>7709</v>
          </cell>
          <cell r="AT191">
            <v>0</v>
          </cell>
          <cell r="AU191">
            <v>77088</v>
          </cell>
          <cell r="AV191">
            <v>38544</v>
          </cell>
          <cell r="AW191">
            <v>30835</v>
          </cell>
          <cell r="AX191">
            <v>7709</v>
          </cell>
          <cell r="AY191">
            <v>0</v>
          </cell>
          <cell r="AZ191">
            <v>77088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64011</v>
          </cell>
          <cell r="BG191">
            <v>51208</v>
          </cell>
          <cell r="BH191">
            <v>12802</v>
          </cell>
          <cell r="BI191">
            <v>0</v>
          </cell>
          <cell r="BJ191">
            <v>128021</v>
          </cell>
          <cell r="BK191">
            <v>64011</v>
          </cell>
          <cell r="BL191">
            <v>51208</v>
          </cell>
          <cell r="BM191">
            <v>12802</v>
          </cell>
          <cell r="BN191">
            <v>0</v>
          </cell>
          <cell r="BO191">
            <v>128021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161042</v>
          </cell>
          <cell r="BV191">
            <v>128833</v>
          </cell>
          <cell r="BW191">
            <v>32208</v>
          </cell>
          <cell r="BX191">
            <v>0</v>
          </cell>
          <cell r="BY191">
            <v>322083</v>
          </cell>
          <cell r="BZ191">
            <v>161042</v>
          </cell>
          <cell r="CA191">
            <v>128833</v>
          </cell>
          <cell r="CB191">
            <v>32208</v>
          </cell>
          <cell r="CC191">
            <v>0</v>
          </cell>
          <cell r="CD191">
            <v>322083</v>
          </cell>
        </row>
        <row r="192">
          <cell r="A192">
            <v>185</v>
          </cell>
          <cell r="B192" t="str">
            <v>E0104</v>
          </cell>
          <cell r="C192" t="str">
            <v>UA</v>
          </cell>
          <cell r="D192" t="str">
            <v>SW</v>
          </cell>
          <cell r="E192" t="str">
            <v>North Somerset UA</v>
          </cell>
          <cell r="F192">
            <v>27079894</v>
          </cell>
          <cell r="G192">
            <v>26538297</v>
          </cell>
          <cell r="H192">
            <v>0</v>
          </cell>
          <cell r="I192">
            <v>541598</v>
          </cell>
          <cell r="J192">
            <v>54159789</v>
          </cell>
          <cell r="K192">
            <v>0</v>
          </cell>
          <cell r="L192">
            <v>0</v>
          </cell>
          <cell r="M192">
            <v>27079894</v>
          </cell>
          <cell r="N192">
            <v>54159789</v>
          </cell>
          <cell r="O192">
            <v>259620</v>
          </cell>
          <cell r="P192">
            <v>259620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4574</v>
          </cell>
          <cell r="V192">
            <v>0</v>
          </cell>
          <cell r="W192">
            <v>4574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2680884</v>
          </cell>
          <cell r="AC192">
            <v>2627267</v>
          </cell>
          <cell r="AD192">
            <v>0</v>
          </cell>
          <cell r="AE192">
            <v>53618</v>
          </cell>
          <cell r="AF192">
            <v>5361769</v>
          </cell>
          <cell r="AG192">
            <v>436388.64</v>
          </cell>
          <cell r="AH192">
            <v>427661</v>
          </cell>
          <cell r="AI192">
            <v>0</v>
          </cell>
          <cell r="AJ192">
            <v>8728</v>
          </cell>
          <cell r="AK192">
            <v>872777.64</v>
          </cell>
          <cell r="AL192">
            <v>1054935.31</v>
          </cell>
          <cell r="AM192">
            <v>1033837</v>
          </cell>
          <cell r="AN192">
            <v>0</v>
          </cell>
          <cell r="AO192">
            <v>21099</v>
          </cell>
          <cell r="AP192">
            <v>2109871.31</v>
          </cell>
          <cell r="AQ192">
            <v>479347</v>
          </cell>
          <cell r="AR192">
            <v>469760</v>
          </cell>
          <cell r="AS192">
            <v>0</v>
          </cell>
          <cell r="AT192">
            <v>9587</v>
          </cell>
          <cell r="AU192">
            <v>958694</v>
          </cell>
          <cell r="AV192">
            <v>1534282.31</v>
          </cell>
          <cell r="AW192">
            <v>1503597</v>
          </cell>
          <cell r="AX192">
            <v>0</v>
          </cell>
          <cell r="AY192">
            <v>30686</v>
          </cell>
          <cell r="AZ192">
            <v>3068565.31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730713.52</v>
          </cell>
          <cell r="BG192">
            <v>716099</v>
          </cell>
          <cell r="BH192">
            <v>0</v>
          </cell>
          <cell r="BI192">
            <v>14614</v>
          </cell>
          <cell r="BJ192">
            <v>1461426.52</v>
          </cell>
          <cell r="BK192">
            <v>730713.52</v>
          </cell>
          <cell r="BL192">
            <v>716099</v>
          </cell>
          <cell r="BM192">
            <v>0</v>
          </cell>
          <cell r="BN192">
            <v>14614</v>
          </cell>
          <cell r="BO192">
            <v>1461426.52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1125043.83</v>
          </cell>
          <cell r="BV192">
            <v>1102543</v>
          </cell>
          <cell r="BW192">
            <v>0</v>
          </cell>
          <cell r="BX192">
            <v>22501</v>
          </cell>
          <cell r="BY192">
            <v>2250087.83</v>
          </cell>
          <cell r="BZ192">
            <v>1125043.83</v>
          </cell>
          <cell r="CA192">
            <v>1102543</v>
          </cell>
          <cell r="CB192">
            <v>0</v>
          </cell>
          <cell r="CC192">
            <v>22501</v>
          </cell>
          <cell r="CD192">
            <v>2250087.83</v>
          </cell>
        </row>
        <row r="193">
          <cell r="A193">
            <v>186</v>
          </cell>
          <cell r="B193" t="str">
            <v>E4503</v>
          </cell>
          <cell r="C193" t="str">
            <v>Met</v>
          </cell>
          <cell r="D193" t="str">
            <v>NE</v>
          </cell>
          <cell r="E193" t="str">
            <v>North Tyneside</v>
          </cell>
          <cell r="F193">
            <v>26503351</v>
          </cell>
          <cell r="G193">
            <v>25973283</v>
          </cell>
          <cell r="H193">
            <v>0</v>
          </cell>
          <cell r="I193">
            <v>530067</v>
          </cell>
          <cell r="J193">
            <v>53006701</v>
          </cell>
          <cell r="K193">
            <v>0</v>
          </cell>
          <cell r="L193">
            <v>0</v>
          </cell>
          <cell r="M193">
            <v>26503351</v>
          </cell>
          <cell r="N193">
            <v>53006701</v>
          </cell>
          <cell r="O193">
            <v>228416</v>
          </cell>
          <cell r="P193">
            <v>228416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2581256.61</v>
          </cell>
          <cell r="AC193">
            <v>2529632</v>
          </cell>
          <cell r="AD193">
            <v>0</v>
          </cell>
          <cell r="AE193">
            <v>51625</v>
          </cell>
          <cell r="AF193">
            <v>5162513.6100000003</v>
          </cell>
          <cell r="AG193">
            <v>213773</v>
          </cell>
          <cell r="AH193">
            <v>209497</v>
          </cell>
          <cell r="AI193">
            <v>0</v>
          </cell>
          <cell r="AJ193">
            <v>4275</v>
          </cell>
          <cell r="AK193">
            <v>427545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367305</v>
          </cell>
          <cell r="AR193">
            <v>359959</v>
          </cell>
          <cell r="AS193">
            <v>0</v>
          </cell>
          <cell r="AT193">
            <v>7346</v>
          </cell>
          <cell r="AU193">
            <v>734610</v>
          </cell>
          <cell r="AV193">
            <v>367305</v>
          </cell>
          <cell r="AW193">
            <v>359959</v>
          </cell>
          <cell r="AX193">
            <v>0</v>
          </cell>
          <cell r="AY193">
            <v>7346</v>
          </cell>
          <cell r="AZ193">
            <v>734610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475395</v>
          </cell>
          <cell r="BG193">
            <v>465888</v>
          </cell>
          <cell r="BH193">
            <v>0</v>
          </cell>
          <cell r="BI193">
            <v>9508</v>
          </cell>
          <cell r="BJ193">
            <v>950791</v>
          </cell>
          <cell r="BK193">
            <v>475395</v>
          </cell>
          <cell r="BL193">
            <v>465888</v>
          </cell>
          <cell r="BM193">
            <v>0</v>
          </cell>
          <cell r="BN193">
            <v>9508</v>
          </cell>
          <cell r="BO193">
            <v>950791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950791</v>
          </cell>
          <cell r="BV193">
            <v>931775</v>
          </cell>
          <cell r="BW193">
            <v>0</v>
          </cell>
          <cell r="BX193">
            <v>19016</v>
          </cell>
          <cell r="BY193">
            <v>1901582</v>
          </cell>
          <cell r="BZ193">
            <v>950791</v>
          </cell>
          <cell r="CA193">
            <v>931775</v>
          </cell>
          <cell r="CB193">
            <v>0</v>
          </cell>
          <cell r="CC193">
            <v>19016</v>
          </cell>
          <cell r="CD193">
            <v>1901582</v>
          </cell>
        </row>
        <row r="194">
          <cell r="A194">
            <v>187</v>
          </cell>
          <cell r="B194" t="str">
            <v>E3731</v>
          </cell>
          <cell r="C194" t="str">
            <v>SD</v>
          </cell>
          <cell r="D194" t="str">
            <v>WM</v>
          </cell>
          <cell r="E194" t="str">
            <v>North Warwickshire</v>
          </cell>
          <cell r="F194">
            <v>18730186</v>
          </cell>
          <cell r="G194">
            <v>14984149</v>
          </cell>
          <cell r="H194">
            <v>3746037</v>
          </cell>
          <cell r="I194">
            <v>0</v>
          </cell>
          <cell r="J194">
            <v>37460372</v>
          </cell>
          <cell r="K194">
            <v>0</v>
          </cell>
          <cell r="L194">
            <v>0</v>
          </cell>
          <cell r="M194">
            <v>18730186</v>
          </cell>
          <cell r="N194">
            <v>37460372</v>
          </cell>
          <cell r="O194">
            <v>110454</v>
          </cell>
          <cell r="P194">
            <v>110454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407439</v>
          </cell>
          <cell r="AC194">
            <v>325951</v>
          </cell>
          <cell r="AD194">
            <v>81488</v>
          </cell>
          <cell r="AE194">
            <v>0</v>
          </cell>
          <cell r="AF194">
            <v>814878</v>
          </cell>
          <cell r="AG194">
            <v>652423.78</v>
          </cell>
          <cell r="AH194">
            <v>521939</v>
          </cell>
          <cell r="AI194">
            <v>130485</v>
          </cell>
          <cell r="AJ194">
            <v>0</v>
          </cell>
          <cell r="AK194">
            <v>1304847.78</v>
          </cell>
          <cell r="AL194">
            <v>48482</v>
          </cell>
          <cell r="AM194">
            <v>38786</v>
          </cell>
          <cell r="AN194">
            <v>9697</v>
          </cell>
          <cell r="AO194">
            <v>0</v>
          </cell>
          <cell r="AP194">
            <v>96965</v>
          </cell>
          <cell r="AQ194">
            <v>40961</v>
          </cell>
          <cell r="AR194">
            <v>32769</v>
          </cell>
          <cell r="AS194">
            <v>8192</v>
          </cell>
          <cell r="AT194">
            <v>0</v>
          </cell>
          <cell r="AU194">
            <v>81922</v>
          </cell>
          <cell r="AV194">
            <v>89443</v>
          </cell>
          <cell r="AW194">
            <v>71555</v>
          </cell>
          <cell r="AX194">
            <v>17889</v>
          </cell>
          <cell r="AY194">
            <v>0</v>
          </cell>
          <cell r="AZ194">
            <v>178887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292630</v>
          </cell>
          <cell r="BG194">
            <v>234104</v>
          </cell>
          <cell r="BH194">
            <v>58526</v>
          </cell>
          <cell r="BI194">
            <v>0</v>
          </cell>
          <cell r="BJ194">
            <v>585260</v>
          </cell>
          <cell r="BK194">
            <v>292630</v>
          </cell>
          <cell r="BL194">
            <v>234104</v>
          </cell>
          <cell r="BM194">
            <v>58526</v>
          </cell>
          <cell r="BN194">
            <v>0</v>
          </cell>
          <cell r="BO194">
            <v>585260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763400</v>
          </cell>
          <cell r="BV194">
            <v>610720</v>
          </cell>
          <cell r="BW194">
            <v>152680</v>
          </cell>
          <cell r="BX194">
            <v>0</v>
          </cell>
          <cell r="BY194">
            <v>1526800</v>
          </cell>
          <cell r="BZ194">
            <v>763400</v>
          </cell>
          <cell r="CA194">
            <v>610720</v>
          </cell>
          <cell r="CB194">
            <v>152680</v>
          </cell>
          <cell r="CC194">
            <v>0</v>
          </cell>
          <cell r="CD194">
            <v>1526800</v>
          </cell>
        </row>
        <row r="195">
          <cell r="A195">
            <v>188</v>
          </cell>
          <cell r="B195" t="str">
            <v>E2437</v>
          </cell>
          <cell r="C195" t="str">
            <v>SD</v>
          </cell>
          <cell r="D195" t="str">
            <v>EM</v>
          </cell>
          <cell r="E195" t="str">
            <v>North West Leicestershire</v>
          </cell>
          <cell r="F195">
            <v>22338174</v>
          </cell>
          <cell r="G195">
            <v>17870539</v>
          </cell>
          <cell r="H195">
            <v>4020871</v>
          </cell>
          <cell r="I195">
            <v>446763</v>
          </cell>
          <cell r="J195">
            <v>44676347</v>
          </cell>
          <cell r="K195">
            <v>0</v>
          </cell>
          <cell r="L195">
            <v>0</v>
          </cell>
          <cell r="M195">
            <v>22338174</v>
          </cell>
          <cell r="N195">
            <v>44676347</v>
          </cell>
          <cell r="O195">
            <v>145672</v>
          </cell>
          <cell r="P195">
            <v>145672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822906.77</v>
          </cell>
          <cell r="AC195">
            <v>658326</v>
          </cell>
          <cell r="AD195">
            <v>148123</v>
          </cell>
          <cell r="AE195">
            <v>16458</v>
          </cell>
          <cell r="AF195">
            <v>1645813.77</v>
          </cell>
          <cell r="AG195">
            <v>-742605.29</v>
          </cell>
          <cell r="AH195">
            <v>-594084</v>
          </cell>
          <cell r="AI195">
            <v>-133669</v>
          </cell>
          <cell r="AJ195">
            <v>-14852</v>
          </cell>
          <cell r="AK195">
            <v>-1485210.2</v>
          </cell>
          <cell r="AL195">
            <v>240729.58</v>
          </cell>
          <cell r="AM195">
            <v>192583</v>
          </cell>
          <cell r="AN195">
            <v>43331</v>
          </cell>
          <cell r="AO195">
            <v>4815</v>
          </cell>
          <cell r="AP195">
            <v>481458.58</v>
          </cell>
          <cell r="AQ195">
            <v>179624.34</v>
          </cell>
          <cell r="AR195">
            <v>143701</v>
          </cell>
          <cell r="AS195">
            <v>32333</v>
          </cell>
          <cell r="AT195">
            <v>3593</v>
          </cell>
          <cell r="AU195">
            <v>359251.34</v>
          </cell>
          <cell r="AV195">
            <v>420353.92</v>
          </cell>
          <cell r="AW195">
            <v>336284</v>
          </cell>
          <cell r="AX195">
            <v>75664</v>
          </cell>
          <cell r="AY195">
            <v>8408</v>
          </cell>
          <cell r="AZ195">
            <v>840709.92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445138.91</v>
          </cell>
          <cell r="BG195">
            <v>356112</v>
          </cell>
          <cell r="BH195">
            <v>80125</v>
          </cell>
          <cell r="BI195">
            <v>8903</v>
          </cell>
          <cell r="BJ195">
            <v>890278.91</v>
          </cell>
          <cell r="BK195">
            <v>445138.91</v>
          </cell>
          <cell r="BL195">
            <v>356112</v>
          </cell>
          <cell r="BM195">
            <v>80125</v>
          </cell>
          <cell r="BN195">
            <v>8903</v>
          </cell>
          <cell r="BO195">
            <v>890278.91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1261195.04</v>
          </cell>
          <cell r="BV195">
            <v>1008956</v>
          </cell>
          <cell r="BW195">
            <v>227015</v>
          </cell>
          <cell r="BX195">
            <v>25224</v>
          </cell>
          <cell r="BY195">
            <v>2522390.04</v>
          </cell>
          <cell r="BZ195">
            <v>1261195.04</v>
          </cell>
          <cell r="CA195">
            <v>1008956</v>
          </cell>
          <cell r="CB195">
            <v>227015</v>
          </cell>
          <cell r="CC195">
            <v>25224</v>
          </cell>
          <cell r="CD195">
            <v>2522390.04</v>
          </cell>
        </row>
        <row r="196">
          <cell r="A196">
            <v>189</v>
          </cell>
          <cell r="B196" t="str">
            <v>E2835</v>
          </cell>
          <cell r="C196" t="str">
            <v>SD</v>
          </cell>
          <cell r="D196" t="str">
            <v>EM</v>
          </cell>
          <cell r="E196" t="str">
            <v>Northampton</v>
          </cell>
          <cell r="F196">
            <v>45363609</v>
          </cell>
          <cell r="G196">
            <v>36290888</v>
          </cell>
          <cell r="H196">
            <v>9072722</v>
          </cell>
          <cell r="I196">
            <v>0</v>
          </cell>
          <cell r="J196">
            <v>90727219</v>
          </cell>
          <cell r="K196">
            <v>2105649</v>
          </cell>
          <cell r="L196">
            <v>2105649</v>
          </cell>
          <cell r="M196">
            <v>43257960</v>
          </cell>
          <cell r="N196">
            <v>88621570</v>
          </cell>
          <cell r="O196">
            <v>301115</v>
          </cell>
          <cell r="P196">
            <v>301115</v>
          </cell>
          <cell r="Q196">
            <v>535861</v>
          </cell>
          <cell r="R196">
            <v>535861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2105649</v>
          </cell>
          <cell r="Y196">
            <v>0</v>
          </cell>
          <cell r="Z196">
            <v>0</v>
          </cell>
          <cell r="AA196">
            <v>2105649</v>
          </cell>
          <cell r="AB196">
            <v>953729.06</v>
          </cell>
          <cell r="AC196">
            <v>762983</v>
          </cell>
          <cell r="AD196">
            <v>190746</v>
          </cell>
          <cell r="AE196">
            <v>0</v>
          </cell>
          <cell r="AF196">
            <v>1907458.06</v>
          </cell>
          <cell r="AG196">
            <v>895104</v>
          </cell>
          <cell r="AH196">
            <v>716084</v>
          </cell>
          <cell r="AI196">
            <v>179021</v>
          </cell>
          <cell r="AJ196">
            <v>0</v>
          </cell>
          <cell r="AK196">
            <v>1790209</v>
          </cell>
          <cell r="AL196">
            <v>224475</v>
          </cell>
          <cell r="AM196">
            <v>179580</v>
          </cell>
          <cell r="AN196">
            <v>44895</v>
          </cell>
          <cell r="AO196">
            <v>0</v>
          </cell>
          <cell r="AP196">
            <v>448950</v>
          </cell>
          <cell r="AQ196">
            <v>115182.73</v>
          </cell>
          <cell r="AR196">
            <v>92146</v>
          </cell>
          <cell r="AS196">
            <v>23036</v>
          </cell>
          <cell r="AT196">
            <v>0</v>
          </cell>
          <cell r="AU196">
            <v>230364.73</v>
          </cell>
          <cell r="AV196">
            <v>339657.73</v>
          </cell>
          <cell r="AW196">
            <v>271726</v>
          </cell>
          <cell r="AX196">
            <v>67931</v>
          </cell>
          <cell r="AY196">
            <v>0</v>
          </cell>
          <cell r="AZ196">
            <v>679314.73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5561.21</v>
          </cell>
          <cell r="BG196">
            <v>4448</v>
          </cell>
          <cell r="BH196">
            <v>1112</v>
          </cell>
          <cell r="BI196">
            <v>0</v>
          </cell>
          <cell r="BJ196">
            <v>11121.21</v>
          </cell>
          <cell r="BK196">
            <v>5561.21</v>
          </cell>
          <cell r="BL196">
            <v>4448</v>
          </cell>
          <cell r="BM196">
            <v>1112</v>
          </cell>
          <cell r="BN196">
            <v>0</v>
          </cell>
          <cell r="BO196">
            <v>11121.21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1479042.28</v>
          </cell>
          <cell r="BV196">
            <v>1183234</v>
          </cell>
          <cell r="BW196">
            <v>295808</v>
          </cell>
          <cell r="BX196">
            <v>0</v>
          </cell>
          <cell r="BY196">
            <v>2958084.28</v>
          </cell>
          <cell r="BZ196">
            <v>1479042.28</v>
          </cell>
          <cell r="CA196">
            <v>1183234</v>
          </cell>
          <cell r="CB196">
            <v>295808</v>
          </cell>
          <cell r="CC196">
            <v>0</v>
          </cell>
          <cell r="CD196">
            <v>2958084.28</v>
          </cell>
        </row>
        <row r="197">
          <cell r="A197">
            <v>190</v>
          </cell>
          <cell r="B197" t="str">
            <v>E2901</v>
          </cell>
          <cell r="C197" t="str">
            <v>UA</v>
          </cell>
          <cell r="D197" t="str">
            <v>NE</v>
          </cell>
          <cell r="E197" t="str">
            <v>Northumberland UA</v>
          </cell>
          <cell r="F197">
            <v>34237374</v>
          </cell>
          <cell r="G197">
            <v>34237375</v>
          </cell>
          <cell r="H197">
            <v>0</v>
          </cell>
          <cell r="I197">
            <v>0</v>
          </cell>
          <cell r="J197">
            <v>68474749</v>
          </cell>
          <cell r="K197">
            <v>11913</v>
          </cell>
          <cell r="L197">
            <v>11913</v>
          </cell>
          <cell r="M197">
            <v>34225461</v>
          </cell>
          <cell r="N197">
            <v>68462836</v>
          </cell>
          <cell r="O197">
            <v>474143</v>
          </cell>
          <cell r="P197">
            <v>474143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390530</v>
          </cell>
          <cell r="V197">
            <v>0</v>
          </cell>
          <cell r="W197">
            <v>390530</v>
          </cell>
          <cell r="X197">
            <v>11913</v>
          </cell>
          <cell r="Y197">
            <v>0</v>
          </cell>
          <cell r="Z197">
            <v>0</v>
          </cell>
          <cell r="AA197">
            <v>11913</v>
          </cell>
          <cell r="AB197">
            <v>1686029</v>
          </cell>
          <cell r="AC197">
            <v>1686029</v>
          </cell>
          <cell r="AD197">
            <v>0</v>
          </cell>
          <cell r="AE197">
            <v>0</v>
          </cell>
          <cell r="AF197">
            <v>3372058</v>
          </cell>
          <cell r="AG197">
            <v>-106340</v>
          </cell>
          <cell r="AH197">
            <v>-106340</v>
          </cell>
          <cell r="AI197">
            <v>0</v>
          </cell>
          <cell r="AJ197">
            <v>0</v>
          </cell>
          <cell r="AK197">
            <v>-212680</v>
          </cell>
          <cell r="AL197">
            <v>591557.85</v>
          </cell>
          <cell r="AM197">
            <v>591558</v>
          </cell>
          <cell r="AN197">
            <v>0</v>
          </cell>
          <cell r="AO197">
            <v>0</v>
          </cell>
          <cell r="AP197">
            <v>1183115.8500000001</v>
          </cell>
          <cell r="AQ197">
            <v>171784.52</v>
          </cell>
          <cell r="AR197">
            <v>171784</v>
          </cell>
          <cell r="AS197">
            <v>0</v>
          </cell>
          <cell r="AT197">
            <v>0</v>
          </cell>
          <cell r="AU197">
            <v>343568.52</v>
          </cell>
          <cell r="AV197">
            <v>763342.37</v>
          </cell>
          <cell r="AW197">
            <v>763342</v>
          </cell>
          <cell r="AX197">
            <v>0</v>
          </cell>
          <cell r="AY197">
            <v>0</v>
          </cell>
          <cell r="AZ197">
            <v>1526684.37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771590</v>
          </cell>
          <cell r="BG197">
            <v>771590</v>
          </cell>
          <cell r="BH197">
            <v>0</v>
          </cell>
          <cell r="BI197">
            <v>0</v>
          </cell>
          <cell r="BJ197">
            <v>1543180</v>
          </cell>
          <cell r="BK197">
            <v>771590</v>
          </cell>
          <cell r="BL197">
            <v>771590</v>
          </cell>
          <cell r="BM197">
            <v>0</v>
          </cell>
          <cell r="BN197">
            <v>0</v>
          </cell>
          <cell r="BO197">
            <v>1543180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1861531</v>
          </cell>
          <cell r="BV197">
            <v>1861532</v>
          </cell>
          <cell r="BW197">
            <v>0</v>
          </cell>
          <cell r="BX197">
            <v>0</v>
          </cell>
          <cell r="BY197">
            <v>3723063</v>
          </cell>
          <cell r="BZ197">
            <v>1861531</v>
          </cell>
          <cell r="CA197">
            <v>1861532</v>
          </cell>
          <cell r="CB197">
            <v>0</v>
          </cell>
          <cell r="CC197">
            <v>0</v>
          </cell>
          <cell r="CD197">
            <v>3723063</v>
          </cell>
        </row>
        <row r="198">
          <cell r="A198">
            <v>191</v>
          </cell>
          <cell r="B198" t="str">
            <v>E2636</v>
          </cell>
          <cell r="C198" t="str">
            <v>SD</v>
          </cell>
          <cell r="D198" t="str">
            <v>E</v>
          </cell>
          <cell r="E198" t="str">
            <v>Norwich</v>
          </cell>
          <cell r="F198">
            <v>37004596</v>
          </cell>
          <cell r="G198">
            <v>29603677</v>
          </cell>
          <cell r="H198">
            <v>7400919</v>
          </cell>
          <cell r="I198">
            <v>0</v>
          </cell>
          <cell r="J198">
            <v>74009192</v>
          </cell>
          <cell r="K198">
            <v>0</v>
          </cell>
          <cell r="L198">
            <v>0</v>
          </cell>
          <cell r="M198">
            <v>37004596</v>
          </cell>
          <cell r="N198">
            <v>74009192</v>
          </cell>
          <cell r="O198">
            <v>268738</v>
          </cell>
          <cell r="P198">
            <v>268738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2076899</v>
          </cell>
          <cell r="AC198">
            <v>1661520</v>
          </cell>
          <cell r="AD198">
            <v>415380</v>
          </cell>
          <cell r="AE198">
            <v>0</v>
          </cell>
          <cell r="AF198">
            <v>4153799</v>
          </cell>
          <cell r="AG198">
            <v>441940</v>
          </cell>
          <cell r="AH198">
            <v>353552</v>
          </cell>
          <cell r="AI198">
            <v>88388</v>
          </cell>
          <cell r="AJ198">
            <v>0</v>
          </cell>
          <cell r="AK198">
            <v>883880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339473</v>
          </cell>
          <cell r="AR198">
            <v>271578</v>
          </cell>
          <cell r="AS198">
            <v>67895</v>
          </cell>
          <cell r="AT198">
            <v>0</v>
          </cell>
          <cell r="AU198">
            <v>678946</v>
          </cell>
          <cell r="AV198">
            <v>339473</v>
          </cell>
          <cell r="AW198">
            <v>271578</v>
          </cell>
          <cell r="AX198">
            <v>67895</v>
          </cell>
          <cell r="AY198">
            <v>0</v>
          </cell>
          <cell r="AZ198">
            <v>678946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238004</v>
          </cell>
          <cell r="BG198">
            <v>190403</v>
          </cell>
          <cell r="BH198">
            <v>47601</v>
          </cell>
          <cell r="BI198">
            <v>0</v>
          </cell>
          <cell r="BJ198">
            <v>476008</v>
          </cell>
          <cell r="BK198">
            <v>238004</v>
          </cell>
          <cell r="BL198">
            <v>190403</v>
          </cell>
          <cell r="BM198">
            <v>47601</v>
          </cell>
          <cell r="BN198">
            <v>0</v>
          </cell>
          <cell r="BO198">
            <v>476008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194907</v>
          </cell>
          <cell r="BV198">
            <v>155926</v>
          </cell>
          <cell r="BW198">
            <v>38982</v>
          </cell>
          <cell r="BX198">
            <v>0</v>
          </cell>
          <cell r="BY198">
            <v>389815</v>
          </cell>
          <cell r="BZ198">
            <v>194907</v>
          </cell>
          <cell r="CA198">
            <v>155926</v>
          </cell>
          <cell r="CB198">
            <v>38982</v>
          </cell>
          <cell r="CC198">
            <v>0</v>
          </cell>
          <cell r="CD198">
            <v>389815</v>
          </cell>
        </row>
        <row r="199">
          <cell r="A199">
            <v>192</v>
          </cell>
          <cell r="B199" t="str">
            <v>E3001</v>
          </cell>
          <cell r="C199" t="str">
            <v>UA</v>
          </cell>
          <cell r="D199" t="str">
            <v>EM</v>
          </cell>
          <cell r="E199" t="str">
            <v>Nottingham UA</v>
          </cell>
          <cell r="F199">
            <v>57124605</v>
          </cell>
          <cell r="G199">
            <v>55982113</v>
          </cell>
          <cell r="H199">
            <v>0</v>
          </cell>
          <cell r="I199">
            <v>1142492</v>
          </cell>
          <cell r="J199">
            <v>114249210</v>
          </cell>
          <cell r="K199">
            <v>0</v>
          </cell>
          <cell r="L199">
            <v>0</v>
          </cell>
          <cell r="M199">
            <v>57124605</v>
          </cell>
          <cell r="N199">
            <v>114249210</v>
          </cell>
          <cell r="O199">
            <v>498329</v>
          </cell>
          <cell r="P199">
            <v>498329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5074080</v>
          </cell>
          <cell r="AC199">
            <v>4972598</v>
          </cell>
          <cell r="AD199">
            <v>0</v>
          </cell>
          <cell r="AE199">
            <v>101482</v>
          </cell>
          <cell r="AF199">
            <v>10148160</v>
          </cell>
          <cell r="AG199">
            <v>1916935</v>
          </cell>
          <cell r="AH199">
            <v>1878596</v>
          </cell>
          <cell r="AI199">
            <v>0</v>
          </cell>
          <cell r="AJ199">
            <v>38339</v>
          </cell>
          <cell r="AK199">
            <v>3833870</v>
          </cell>
          <cell r="AL199">
            <v>2834100</v>
          </cell>
          <cell r="AM199">
            <v>2777418</v>
          </cell>
          <cell r="AN199">
            <v>0</v>
          </cell>
          <cell r="AO199">
            <v>56682</v>
          </cell>
          <cell r="AP199">
            <v>5668200</v>
          </cell>
          <cell r="AQ199">
            <v>34274</v>
          </cell>
          <cell r="AR199">
            <v>33590</v>
          </cell>
          <cell r="AS199">
            <v>0</v>
          </cell>
          <cell r="AT199">
            <v>686</v>
          </cell>
          <cell r="AU199">
            <v>68550</v>
          </cell>
          <cell r="AV199">
            <v>2868374</v>
          </cell>
          <cell r="AW199">
            <v>2811008</v>
          </cell>
          <cell r="AX199">
            <v>0</v>
          </cell>
          <cell r="AY199">
            <v>57368</v>
          </cell>
          <cell r="AZ199">
            <v>5736750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1195809</v>
          </cell>
          <cell r="BG199">
            <v>1171893</v>
          </cell>
          <cell r="BH199">
            <v>0</v>
          </cell>
          <cell r="BI199">
            <v>23916</v>
          </cell>
          <cell r="BJ199">
            <v>2391618</v>
          </cell>
          <cell r="BK199">
            <v>1195809</v>
          </cell>
          <cell r="BL199">
            <v>1171893</v>
          </cell>
          <cell r="BM199">
            <v>0</v>
          </cell>
          <cell r="BN199">
            <v>23916</v>
          </cell>
          <cell r="BO199">
            <v>2391618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3313229</v>
          </cell>
          <cell r="BV199">
            <v>3246965</v>
          </cell>
          <cell r="BW199">
            <v>0</v>
          </cell>
          <cell r="BX199">
            <v>66265</v>
          </cell>
          <cell r="BY199">
            <v>6626459</v>
          </cell>
          <cell r="BZ199">
            <v>3313229</v>
          </cell>
          <cell r="CA199">
            <v>3246965</v>
          </cell>
          <cell r="CB199">
            <v>0</v>
          </cell>
          <cell r="CC199">
            <v>66265</v>
          </cell>
          <cell r="CD199">
            <v>6626459</v>
          </cell>
        </row>
        <row r="200">
          <cell r="A200">
            <v>193</v>
          </cell>
          <cell r="B200" t="str">
            <v>E3732</v>
          </cell>
          <cell r="C200" t="str">
            <v>SD</v>
          </cell>
          <cell r="D200" t="str">
            <v>WM</v>
          </cell>
          <cell r="E200" t="str">
            <v>Nuneaton &amp; Bedworth</v>
          </cell>
          <cell r="F200">
            <v>15770289</v>
          </cell>
          <cell r="G200">
            <v>12616231</v>
          </cell>
          <cell r="H200">
            <v>3154058</v>
          </cell>
          <cell r="I200">
            <v>0</v>
          </cell>
          <cell r="J200">
            <v>31540578</v>
          </cell>
          <cell r="K200">
            <v>0</v>
          </cell>
          <cell r="L200">
            <v>0</v>
          </cell>
          <cell r="M200">
            <v>15770289</v>
          </cell>
          <cell r="N200">
            <v>31540578</v>
          </cell>
          <cell r="O200">
            <v>136145</v>
          </cell>
          <cell r="P200">
            <v>136145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617567.29</v>
          </cell>
          <cell r="AC200">
            <v>494055</v>
          </cell>
          <cell r="AD200">
            <v>123514</v>
          </cell>
          <cell r="AE200">
            <v>0</v>
          </cell>
          <cell r="AF200">
            <v>1235136.29</v>
          </cell>
          <cell r="AG200">
            <v>151178.38</v>
          </cell>
          <cell r="AH200">
            <v>120943</v>
          </cell>
          <cell r="AI200">
            <v>30236</v>
          </cell>
          <cell r="AJ200">
            <v>0</v>
          </cell>
          <cell r="AK200">
            <v>302357.38</v>
          </cell>
          <cell r="AL200">
            <v>115000</v>
          </cell>
          <cell r="AM200">
            <v>92000</v>
          </cell>
          <cell r="AN200">
            <v>23000</v>
          </cell>
          <cell r="AO200">
            <v>0</v>
          </cell>
          <cell r="AP200">
            <v>230000</v>
          </cell>
          <cell r="AQ200">
            <v>70000</v>
          </cell>
          <cell r="AR200">
            <v>56000</v>
          </cell>
          <cell r="AS200">
            <v>14000</v>
          </cell>
          <cell r="AT200">
            <v>0</v>
          </cell>
          <cell r="AU200">
            <v>140000</v>
          </cell>
          <cell r="AV200">
            <v>185000</v>
          </cell>
          <cell r="AW200">
            <v>148000</v>
          </cell>
          <cell r="AX200">
            <v>37000</v>
          </cell>
          <cell r="AY200">
            <v>0</v>
          </cell>
          <cell r="AZ200">
            <v>370000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206598.76</v>
          </cell>
          <cell r="BG200">
            <v>165280</v>
          </cell>
          <cell r="BH200">
            <v>41320</v>
          </cell>
          <cell r="BI200">
            <v>0</v>
          </cell>
          <cell r="BJ200">
            <v>413198.76</v>
          </cell>
          <cell r="BK200">
            <v>206598.76</v>
          </cell>
          <cell r="BL200">
            <v>165280</v>
          </cell>
          <cell r="BM200">
            <v>41320</v>
          </cell>
          <cell r="BN200">
            <v>0</v>
          </cell>
          <cell r="BO200">
            <v>413198.76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572727.74</v>
          </cell>
          <cell r="BV200">
            <v>458182</v>
          </cell>
          <cell r="BW200">
            <v>114545</v>
          </cell>
          <cell r="BX200">
            <v>0</v>
          </cell>
          <cell r="BY200">
            <v>1145454.74</v>
          </cell>
          <cell r="BZ200">
            <v>572727.74</v>
          </cell>
          <cell r="CA200">
            <v>458182</v>
          </cell>
          <cell r="CB200">
            <v>114545</v>
          </cell>
          <cell r="CC200">
            <v>0</v>
          </cell>
          <cell r="CD200">
            <v>1145454.74</v>
          </cell>
        </row>
        <row r="201">
          <cell r="A201">
            <v>194</v>
          </cell>
          <cell r="B201" t="str">
            <v>E2438</v>
          </cell>
          <cell r="C201" t="str">
            <v>SD</v>
          </cell>
          <cell r="D201" t="str">
            <v>EM</v>
          </cell>
          <cell r="E201" t="str">
            <v>Oadby &amp; Wigston</v>
          </cell>
          <cell r="F201">
            <v>5459222</v>
          </cell>
          <cell r="G201">
            <v>4367378</v>
          </cell>
          <cell r="H201">
            <v>982660</v>
          </cell>
          <cell r="I201">
            <v>109184</v>
          </cell>
          <cell r="J201">
            <v>10918444</v>
          </cell>
          <cell r="K201">
            <v>0</v>
          </cell>
          <cell r="L201">
            <v>0</v>
          </cell>
          <cell r="M201">
            <v>5459222</v>
          </cell>
          <cell r="N201">
            <v>10918444</v>
          </cell>
          <cell r="O201">
            <v>56189</v>
          </cell>
          <cell r="P201">
            <v>56189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372027</v>
          </cell>
          <cell r="AC201">
            <v>297622</v>
          </cell>
          <cell r="AD201">
            <v>66965</v>
          </cell>
          <cell r="AE201">
            <v>7441</v>
          </cell>
          <cell r="AF201">
            <v>744055</v>
          </cell>
          <cell r="AG201">
            <v>157481</v>
          </cell>
          <cell r="AH201">
            <v>125986</v>
          </cell>
          <cell r="AI201">
            <v>28347</v>
          </cell>
          <cell r="AJ201">
            <v>3150</v>
          </cell>
          <cell r="AK201">
            <v>314964</v>
          </cell>
          <cell r="AL201">
            <v>68789</v>
          </cell>
          <cell r="AM201">
            <v>55031</v>
          </cell>
          <cell r="AN201">
            <v>12382</v>
          </cell>
          <cell r="AO201">
            <v>1376</v>
          </cell>
          <cell r="AP201">
            <v>137578</v>
          </cell>
          <cell r="AQ201">
            <v>37628.199999999997</v>
          </cell>
          <cell r="AR201">
            <v>30103</v>
          </cell>
          <cell r="AS201">
            <v>6773</v>
          </cell>
          <cell r="AT201">
            <v>753</v>
          </cell>
          <cell r="AU201">
            <v>75257.2</v>
          </cell>
          <cell r="AV201">
            <v>106417.2</v>
          </cell>
          <cell r="AW201">
            <v>85134</v>
          </cell>
          <cell r="AX201">
            <v>19155</v>
          </cell>
          <cell r="AY201">
            <v>2129</v>
          </cell>
          <cell r="AZ201">
            <v>212835.20000000001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46641</v>
          </cell>
          <cell r="BG201">
            <v>37312</v>
          </cell>
          <cell r="BH201">
            <v>8395</v>
          </cell>
          <cell r="BI201">
            <v>933</v>
          </cell>
          <cell r="BJ201">
            <v>93281</v>
          </cell>
          <cell r="BK201">
            <v>46641</v>
          </cell>
          <cell r="BL201">
            <v>37312</v>
          </cell>
          <cell r="BM201">
            <v>8395</v>
          </cell>
          <cell r="BN201">
            <v>933</v>
          </cell>
          <cell r="BO201">
            <v>93281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170375</v>
          </cell>
          <cell r="BV201">
            <v>136300</v>
          </cell>
          <cell r="BW201">
            <v>30668</v>
          </cell>
          <cell r="BX201">
            <v>3408</v>
          </cell>
          <cell r="BY201">
            <v>340751</v>
          </cell>
          <cell r="BZ201">
            <v>170375</v>
          </cell>
          <cell r="CA201">
            <v>136300</v>
          </cell>
          <cell r="CB201">
            <v>30668</v>
          </cell>
          <cell r="CC201">
            <v>3408</v>
          </cell>
          <cell r="CD201">
            <v>340751</v>
          </cell>
        </row>
        <row r="202">
          <cell r="A202">
            <v>195</v>
          </cell>
          <cell r="B202" t="str">
            <v>E4204</v>
          </cell>
          <cell r="C202" t="str">
            <v>Met</v>
          </cell>
          <cell r="D202" t="str">
            <v>NW</v>
          </cell>
          <cell r="E202" t="str">
            <v>Oldham</v>
          </cell>
          <cell r="F202">
            <v>25950975</v>
          </cell>
          <cell r="G202">
            <v>25431956</v>
          </cell>
          <cell r="H202">
            <v>0</v>
          </cell>
          <cell r="I202">
            <v>519020</v>
          </cell>
          <cell r="J202">
            <v>51901951</v>
          </cell>
          <cell r="K202">
            <v>0</v>
          </cell>
          <cell r="L202">
            <v>0</v>
          </cell>
          <cell r="M202">
            <v>25950975</v>
          </cell>
          <cell r="N202">
            <v>51901951</v>
          </cell>
          <cell r="O202">
            <v>309623</v>
          </cell>
          <cell r="P202">
            <v>309623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3348980</v>
          </cell>
          <cell r="AC202">
            <v>3282000</v>
          </cell>
          <cell r="AD202">
            <v>0</v>
          </cell>
          <cell r="AE202">
            <v>66980</v>
          </cell>
          <cell r="AF202">
            <v>6697960</v>
          </cell>
          <cell r="AG202">
            <v>409388</v>
          </cell>
          <cell r="AH202">
            <v>401200</v>
          </cell>
          <cell r="AI202">
            <v>0</v>
          </cell>
          <cell r="AJ202">
            <v>8188</v>
          </cell>
          <cell r="AK202">
            <v>818776</v>
          </cell>
          <cell r="AL202">
            <v>1729485</v>
          </cell>
          <cell r="AM202">
            <v>1694896</v>
          </cell>
          <cell r="AN202">
            <v>0</v>
          </cell>
          <cell r="AO202">
            <v>34590</v>
          </cell>
          <cell r="AP202">
            <v>3458971</v>
          </cell>
          <cell r="AQ202">
            <v>102428</v>
          </cell>
          <cell r="AR202">
            <v>100380</v>
          </cell>
          <cell r="AS202">
            <v>0</v>
          </cell>
          <cell r="AT202">
            <v>2049</v>
          </cell>
          <cell r="AU202">
            <v>204857</v>
          </cell>
          <cell r="AV202">
            <v>1831913</v>
          </cell>
          <cell r="AW202">
            <v>1795276</v>
          </cell>
          <cell r="AX202">
            <v>0</v>
          </cell>
          <cell r="AY202">
            <v>36639</v>
          </cell>
          <cell r="AZ202">
            <v>3663828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1866097</v>
          </cell>
          <cell r="BG202">
            <v>1828776</v>
          </cell>
          <cell r="BH202">
            <v>0</v>
          </cell>
          <cell r="BI202">
            <v>37322</v>
          </cell>
          <cell r="BJ202">
            <v>3732195</v>
          </cell>
          <cell r="BK202">
            <v>1866097</v>
          </cell>
          <cell r="BL202">
            <v>1828776</v>
          </cell>
          <cell r="BM202">
            <v>0</v>
          </cell>
          <cell r="BN202">
            <v>37322</v>
          </cell>
          <cell r="BO202">
            <v>3732195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</row>
        <row r="203">
          <cell r="A203">
            <v>196</v>
          </cell>
          <cell r="B203" t="str">
            <v>E3132</v>
          </cell>
          <cell r="C203" t="str">
            <v>SD</v>
          </cell>
          <cell r="D203" t="str">
            <v>SE</v>
          </cell>
          <cell r="E203" t="str">
            <v>Oxford</v>
          </cell>
          <cell r="F203">
            <v>39629263</v>
          </cell>
          <cell r="G203">
            <v>31703410</v>
          </cell>
          <cell r="H203">
            <v>7925853</v>
          </cell>
          <cell r="I203">
            <v>0</v>
          </cell>
          <cell r="J203">
            <v>79258526</v>
          </cell>
          <cell r="K203">
            <v>0</v>
          </cell>
          <cell r="L203">
            <v>0</v>
          </cell>
          <cell r="M203">
            <v>39629263</v>
          </cell>
          <cell r="N203">
            <v>79258526</v>
          </cell>
          <cell r="O203">
            <v>220001</v>
          </cell>
          <cell r="P203">
            <v>220001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1661344</v>
          </cell>
          <cell r="AC203">
            <v>1329076</v>
          </cell>
          <cell r="AD203">
            <v>332269</v>
          </cell>
          <cell r="AE203">
            <v>0</v>
          </cell>
          <cell r="AF203">
            <v>3322689</v>
          </cell>
          <cell r="AG203">
            <v>1086718</v>
          </cell>
          <cell r="AH203">
            <v>869375</v>
          </cell>
          <cell r="AI203">
            <v>217344</v>
          </cell>
          <cell r="AJ203">
            <v>0</v>
          </cell>
          <cell r="AK203">
            <v>2173437</v>
          </cell>
          <cell r="AL203">
            <v>771848</v>
          </cell>
          <cell r="AM203">
            <v>617479</v>
          </cell>
          <cell r="AN203">
            <v>154370</v>
          </cell>
          <cell r="AO203">
            <v>0</v>
          </cell>
          <cell r="AP203">
            <v>1543697</v>
          </cell>
          <cell r="AQ203">
            <v>45357</v>
          </cell>
          <cell r="AR203">
            <v>36285</v>
          </cell>
          <cell r="AS203">
            <v>9071</v>
          </cell>
          <cell r="AT203">
            <v>0</v>
          </cell>
          <cell r="AU203">
            <v>90713</v>
          </cell>
          <cell r="AV203">
            <v>817205</v>
          </cell>
          <cell r="AW203">
            <v>653764</v>
          </cell>
          <cell r="AX203">
            <v>163441</v>
          </cell>
          <cell r="AY203">
            <v>0</v>
          </cell>
          <cell r="AZ203">
            <v>1634410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566449</v>
          </cell>
          <cell r="BG203">
            <v>453160</v>
          </cell>
          <cell r="BH203">
            <v>113290</v>
          </cell>
          <cell r="BI203">
            <v>0</v>
          </cell>
          <cell r="BJ203">
            <v>1132899</v>
          </cell>
          <cell r="BK203">
            <v>566449</v>
          </cell>
          <cell r="BL203">
            <v>453160</v>
          </cell>
          <cell r="BM203">
            <v>113290</v>
          </cell>
          <cell r="BN203">
            <v>0</v>
          </cell>
          <cell r="BO203">
            <v>1132899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1610882</v>
          </cell>
          <cell r="BV203">
            <v>1288705</v>
          </cell>
          <cell r="BW203">
            <v>322176</v>
          </cell>
          <cell r="BX203">
            <v>0</v>
          </cell>
          <cell r="BY203">
            <v>3221763</v>
          </cell>
          <cell r="BZ203">
            <v>1610882</v>
          </cell>
          <cell r="CA203">
            <v>1288705</v>
          </cell>
          <cell r="CB203">
            <v>322176</v>
          </cell>
          <cell r="CC203">
            <v>0</v>
          </cell>
          <cell r="CD203">
            <v>3221763</v>
          </cell>
        </row>
        <row r="204">
          <cell r="A204">
            <v>197</v>
          </cell>
          <cell r="B204" t="str">
            <v>E2338</v>
          </cell>
          <cell r="C204" t="str">
            <v>SD</v>
          </cell>
          <cell r="D204" t="str">
            <v>NW</v>
          </cell>
          <cell r="E204" t="str">
            <v>Pendle</v>
          </cell>
          <cell r="F204">
            <v>8505515</v>
          </cell>
          <cell r="G204">
            <v>6804412</v>
          </cell>
          <cell r="H204">
            <v>1530993</v>
          </cell>
          <cell r="I204">
            <v>170110</v>
          </cell>
          <cell r="J204">
            <v>17011030</v>
          </cell>
          <cell r="K204">
            <v>0</v>
          </cell>
          <cell r="L204">
            <v>0</v>
          </cell>
          <cell r="M204">
            <v>8505515</v>
          </cell>
          <cell r="N204">
            <v>17011030</v>
          </cell>
          <cell r="O204">
            <v>137523</v>
          </cell>
          <cell r="P204">
            <v>137523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521643</v>
          </cell>
          <cell r="AC204">
            <v>417315</v>
          </cell>
          <cell r="AD204">
            <v>93896</v>
          </cell>
          <cell r="AE204">
            <v>10433</v>
          </cell>
          <cell r="AF204">
            <v>1043287</v>
          </cell>
          <cell r="AG204">
            <v>39675</v>
          </cell>
          <cell r="AH204">
            <v>31739</v>
          </cell>
          <cell r="AI204">
            <v>7141</v>
          </cell>
          <cell r="AJ204">
            <v>793</v>
          </cell>
          <cell r="AK204">
            <v>79348</v>
          </cell>
          <cell r="AL204">
            <v>510000</v>
          </cell>
          <cell r="AM204">
            <v>408000</v>
          </cell>
          <cell r="AN204">
            <v>91800</v>
          </cell>
          <cell r="AO204">
            <v>10200</v>
          </cell>
          <cell r="AP204">
            <v>1020000</v>
          </cell>
          <cell r="AQ204">
            <v>-105000</v>
          </cell>
          <cell r="AR204">
            <v>-84000</v>
          </cell>
          <cell r="AS204">
            <v>-18900</v>
          </cell>
          <cell r="AT204">
            <v>-2100</v>
          </cell>
          <cell r="AU204">
            <v>-210000</v>
          </cell>
          <cell r="AV204">
            <v>405000</v>
          </cell>
          <cell r="AW204">
            <v>324000</v>
          </cell>
          <cell r="AX204">
            <v>72900</v>
          </cell>
          <cell r="AY204">
            <v>8100</v>
          </cell>
          <cell r="AZ204">
            <v>810000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180067</v>
          </cell>
          <cell r="BG204">
            <v>144054</v>
          </cell>
          <cell r="BH204">
            <v>32412</v>
          </cell>
          <cell r="BI204">
            <v>3601</v>
          </cell>
          <cell r="BJ204">
            <v>360134</v>
          </cell>
          <cell r="BK204">
            <v>180067</v>
          </cell>
          <cell r="BL204">
            <v>144054</v>
          </cell>
          <cell r="BM204">
            <v>32412</v>
          </cell>
          <cell r="BN204">
            <v>3601</v>
          </cell>
          <cell r="BO204">
            <v>360134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555014</v>
          </cell>
          <cell r="BV204">
            <v>444012</v>
          </cell>
          <cell r="BW204">
            <v>99903</v>
          </cell>
          <cell r="BX204">
            <v>11100</v>
          </cell>
          <cell r="BY204">
            <v>1110029</v>
          </cell>
          <cell r="BZ204">
            <v>555014</v>
          </cell>
          <cell r="CA204">
            <v>444012</v>
          </cell>
          <cell r="CB204">
            <v>99903</v>
          </cell>
          <cell r="CC204">
            <v>11100</v>
          </cell>
          <cell r="CD204">
            <v>1110029</v>
          </cell>
        </row>
        <row r="205">
          <cell r="A205">
            <v>198</v>
          </cell>
          <cell r="B205" t="str">
            <v>E0501</v>
          </cell>
          <cell r="C205" t="str">
            <v>UA</v>
          </cell>
          <cell r="D205" t="str">
            <v>E</v>
          </cell>
          <cell r="E205" t="str">
            <v>Peterborough UA</v>
          </cell>
          <cell r="F205">
            <v>41750249</v>
          </cell>
          <cell r="G205">
            <v>40915244</v>
          </cell>
          <cell r="H205">
            <v>0</v>
          </cell>
          <cell r="I205">
            <v>835005</v>
          </cell>
          <cell r="J205">
            <v>83500498</v>
          </cell>
          <cell r="K205">
            <v>0</v>
          </cell>
          <cell r="L205">
            <v>0</v>
          </cell>
          <cell r="M205">
            <v>41750249</v>
          </cell>
          <cell r="N205">
            <v>83500498</v>
          </cell>
          <cell r="O205">
            <v>275537</v>
          </cell>
          <cell r="P205">
            <v>275537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3075574.52</v>
          </cell>
          <cell r="AC205">
            <v>3014064</v>
          </cell>
          <cell r="AD205">
            <v>0</v>
          </cell>
          <cell r="AE205">
            <v>61512</v>
          </cell>
          <cell r="AF205">
            <v>6151150.5199999996</v>
          </cell>
          <cell r="AG205">
            <v>1151326</v>
          </cell>
          <cell r="AH205">
            <v>1128299</v>
          </cell>
          <cell r="AI205">
            <v>0</v>
          </cell>
          <cell r="AJ205">
            <v>23027</v>
          </cell>
          <cell r="AK205">
            <v>2302652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476993</v>
          </cell>
          <cell r="AR205">
            <v>467454</v>
          </cell>
          <cell r="AS205">
            <v>0</v>
          </cell>
          <cell r="AT205">
            <v>9540</v>
          </cell>
          <cell r="AU205">
            <v>953987</v>
          </cell>
          <cell r="AV205">
            <v>476993</v>
          </cell>
          <cell r="AW205">
            <v>467454</v>
          </cell>
          <cell r="AX205">
            <v>0</v>
          </cell>
          <cell r="AY205">
            <v>9540</v>
          </cell>
          <cell r="AZ205">
            <v>953987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1157919</v>
          </cell>
          <cell r="BG205">
            <v>1134760</v>
          </cell>
          <cell r="BH205">
            <v>0</v>
          </cell>
          <cell r="BI205">
            <v>23158</v>
          </cell>
          <cell r="BJ205">
            <v>2315837</v>
          </cell>
          <cell r="BK205">
            <v>1157919</v>
          </cell>
          <cell r="BL205">
            <v>1134760</v>
          </cell>
          <cell r="BM205">
            <v>0</v>
          </cell>
          <cell r="BN205">
            <v>23158</v>
          </cell>
          <cell r="BO205">
            <v>2315837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3107506</v>
          </cell>
          <cell r="BV205">
            <v>3045355</v>
          </cell>
          <cell r="BW205">
            <v>0</v>
          </cell>
          <cell r="BX205">
            <v>62150</v>
          </cell>
          <cell r="BY205">
            <v>6215011</v>
          </cell>
          <cell r="BZ205">
            <v>3107506</v>
          </cell>
          <cell r="CA205">
            <v>3045355</v>
          </cell>
          <cell r="CB205">
            <v>0</v>
          </cell>
          <cell r="CC205">
            <v>62150</v>
          </cell>
          <cell r="CD205">
            <v>6215011</v>
          </cell>
        </row>
        <row r="206">
          <cell r="A206">
            <v>199</v>
          </cell>
          <cell r="B206" t="str">
            <v>E1101</v>
          </cell>
          <cell r="C206" t="str">
            <v>UA</v>
          </cell>
          <cell r="D206" t="str">
            <v>SW</v>
          </cell>
          <cell r="E206" t="str">
            <v>Plymouth UA</v>
          </cell>
          <cell r="F206">
            <v>42705291</v>
          </cell>
          <cell r="G206">
            <v>41851185</v>
          </cell>
          <cell r="H206">
            <v>0</v>
          </cell>
          <cell r="I206">
            <v>854106</v>
          </cell>
          <cell r="J206">
            <v>85410582</v>
          </cell>
          <cell r="K206">
            <v>0</v>
          </cell>
          <cell r="L206">
            <v>0</v>
          </cell>
          <cell r="M206">
            <v>42705291</v>
          </cell>
          <cell r="N206">
            <v>85410582</v>
          </cell>
          <cell r="O206">
            <v>310279</v>
          </cell>
          <cell r="P206">
            <v>310279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1848374</v>
          </cell>
          <cell r="AC206">
            <v>1811408</v>
          </cell>
          <cell r="AD206">
            <v>0</v>
          </cell>
          <cell r="AE206">
            <v>36968</v>
          </cell>
          <cell r="AF206">
            <v>3696750</v>
          </cell>
          <cell r="AG206">
            <v>-894537</v>
          </cell>
          <cell r="AH206">
            <v>-876646</v>
          </cell>
          <cell r="AI206">
            <v>0</v>
          </cell>
          <cell r="AJ206">
            <v>-17891</v>
          </cell>
          <cell r="AK206">
            <v>-1789074</v>
          </cell>
          <cell r="AL206">
            <v>288006.59000000003</v>
          </cell>
          <cell r="AM206">
            <v>282247</v>
          </cell>
          <cell r="AN206">
            <v>0</v>
          </cell>
          <cell r="AO206">
            <v>5760</v>
          </cell>
          <cell r="AP206">
            <v>576013.59</v>
          </cell>
          <cell r="AQ206">
            <v>70557</v>
          </cell>
          <cell r="AR206">
            <v>69145</v>
          </cell>
          <cell r="AS206">
            <v>0</v>
          </cell>
          <cell r="AT206">
            <v>1411</v>
          </cell>
          <cell r="AU206">
            <v>141113</v>
          </cell>
          <cell r="AV206">
            <v>358563.59</v>
          </cell>
          <cell r="AW206">
            <v>351392</v>
          </cell>
          <cell r="AX206">
            <v>0</v>
          </cell>
          <cell r="AY206">
            <v>7171</v>
          </cell>
          <cell r="AZ206">
            <v>717126.59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238955</v>
          </cell>
          <cell r="BG206">
            <v>234175</v>
          </cell>
          <cell r="BH206">
            <v>0</v>
          </cell>
          <cell r="BI206">
            <v>4779</v>
          </cell>
          <cell r="BJ206">
            <v>477909</v>
          </cell>
          <cell r="BK206">
            <v>238955</v>
          </cell>
          <cell r="BL206">
            <v>234175</v>
          </cell>
          <cell r="BM206">
            <v>0</v>
          </cell>
          <cell r="BN206">
            <v>4779</v>
          </cell>
          <cell r="BO206">
            <v>477909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451100</v>
          </cell>
          <cell r="BV206">
            <v>442078</v>
          </cell>
          <cell r="BW206">
            <v>0</v>
          </cell>
          <cell r="BX206">
            <v>9022</v>
          </cell>
          <cell r="BY206">
            <v>902200</v>
          </cell>
          <cell r="BZ206">
            <v>451100</v>
          </cell>
          <cell r="CA206">
            <v>442078</v>
          </cell>
          <cell r="CB206">
            <v>0</v>
          </cell>
          <cell r="CC206">
            <v>9022</v>
          </cell>
          <cell r="CD206">
            <v>902200</v>
          </cell>
        </row>
        <row r="207">
          <cell r="A207">
            <v>200</v>
          </cell>
          <cell r="B207" t="str">
            <v>E1201</v>
          </cell>
          <cell r="C207" t="str">
            <v>UA</v>
          </cell>
          <cell r="D207" t="str">
            <v>SW</v>
          </cell>
          <cell r="E207" t="str">
            <v>Poole UA</v>
          </cell>
          <cell r="F207">
            <v>28382379</v>
          </cell>
          <cell r="G207">
            <v>27814731</v>
          </cell>
          <cell r="H207">
            <v>0</v>
          </cell>
          <cell r="I207">
            <v>567648</v>
          </cell>
          <cell r="J207">
            <v>56764758</v>
          </cell>
          <cell r="K207">
            <v>0</v>
          </cell>
          <cell r="L207">
            <v>0</v>
          </cell>
          <cell r="M207">
            <v>28382379</v>
          </cell>
          <cell r="N207">
            <v>56764758</v>
          </cell>
          <cell r="O207">
            <v>239641</v>
          </cell>
          <cell r="P207">
            <v>239641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646730.17000000004</v>
          </cell>
          <cell r="AC207">
            <v>633795</v>
          </cell>
          <cell r="AD207">
            <v>0</v>
          </cell>
          <cell r="AE207">
            <v>12935</v>
          </cell>
          <cell r="AF207">
            <v>1293460.17</v>
          </cell>
          <cell r="AG207">
            <v>525362.41</v>
          </cell>
          <cell r="AH207">
            <v>514854</v>
          </cell>
          <cell r="AI207">
            <v>0</v>
          </cell>
          <cell r="AJ207">
            <v>10507</v>
          </cell>
          <cell r="AK207">
            <v>1050723.4099999999</v>
          </cell>
          <cell r="AL207">
            <v>223380</v>
          </cell>
          <cell r="AM207">
            <v>218912</v>
          </cell>
          <cell r="AN207">
            <v>0</v>
          </cell>
          <cell r="AO207">
            <v>4468</v>
          </cell>
          <cell r="AP207">
            <v>446760</v>
          </cell>
          <cell r="AQ207">
            <v>-22064</v>
          </cell>
          <cell r="AR207">
            <v>-21623</v>
          </cell>
          <cell r="AS207">
            <v>0</v>
          </cell>
          <cell r="AT207">
            <v>-441</v>
          </cell>
          <cell r="AU207">
            <v>-44128</v>
          </cell>
          <cell r="AV207">
            <v>201316</v>
          </cell>
          <cell r="AW207">
            <v>197289</v>
          </cell>
          <cell r="AX207">
            <v>0</v>
          </cell>
          <cell r="AY207">
            <v>4027</v>
          </cell>
          <cell r="AZ207">
            <v>402632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483801</v>
          </cell>
          <cell r="BG207">
            <v>474124</v>
          </cell>
          <cell r="BH207">
            <v>0</v>
          </cell>
          <cell r="BI207">
            <v>9676</v>
          </cell>
          <cell r="BJ207">
            <v>967601</v>
          </cell>
          <cell r="BK207">
            <v>483801</v>
          </cell>
          <cell r="BL207">
            <v>474124</v>
          </cell>
          <cell r="BM207">
            <v>0</v>
          </cell>
          <cell r="BN207">
            <v>9676</v>
          </cell>
          <cell r="BO207">
            <v>967601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1108256</v>
          </cell>
          <cell r="BV207">
            <v>1086090</v>
          </cell>
          <cell r="BW207">
            <v>0</v>
          </cell>
          <cell r="BX207">
            <v>22165</v>
          </cell>
          <cell r="BY207">
            <v>2216511</v>
          </cell>
          <cell r="BZ207">
            <v>1108256</v>
          </cell>
          <cell r="CA207">
            <v>1086090</v>
          </cell>
          <cell r="CB207">
            <v>0</v>
          </cell>
          <cell r="CC207">
            <v>22165</v>
          </cell>
          <cell r="CD207">
            <v>2216511</v>
          </cell>
        </row>
        <row r="208">
          <cell r="A208">
            <v>201</v>
          </cell>
          <cell r="B208" t="str">
            <v>E1701</v>
          </cell>
          <cell r="C208" t="str">
            <v>UA</v>
          </cell>
          <cell r="D208" t="str">
            <v>SE</v>
          </cell>
          <cell r="E208" t="str">
            <v>Portsmouth UA</v>
          </cell>
          <cell r="F208">
            <v>31754705</v>
          </cell>
          <cell r="G208">
            <v>31119611</v>
          </cell>
          <cell r="H208">
            <v>0</v>
          </cell>
          <cell r="I208">
            <v>635094</v>
          </cell>
          <cell r="J208">
            <v>63509410</v>
          </cell>
          <cell r="K208">
            <v>0</v>
          </cell>
          <cell r="L208">
            <v>0</v>
          </cell>
          <cell r="M208">
            <v>31754705</v>
          </cell>
          <cell r="N208">
            <v>63509410</v>
          </cell>
          <cell r="O208">
            <v>280689</v>
          </cell>
          <cell r="P208">
            <v>280689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2248388</v>
          </cell>
          <cell r="AC208">
            <v>2203421</v>
          </cell>
          <cell r="AD208">
            <v>0</v>
          </cell>
          <cell r="AE208">
            <v>44968</v>
          </cell>
          <cell r="AF208">
            <v>4496777</v>
          </cell>
          <cell r="AG208">
            <v>522806</v>
          </cell>
          <cell r="AH208">
            <v>512349</v>
          </cell>
          <cell r="AI208">
            <v>0</v>
          </cell>
          <cell r="AJ208">
            <v>10456</v>
          </cell>
          <cell r="AK208">
            <v>1045611</v>
          </cell>
          <cell r="AL208">
            <v>1334500</v>
          </cell>
          <cell r="AM208">
            <v>1307810</v>
          </cell>
          <cell r="AN208">
            <v>0</v>
          </cell>
          <cell r="AO208">
            <v>26690</v>
          </cell>
          <cell r="AP208">
            <v>2669000</v>
          </cell>
          <cell r="AQ208">
            <v>280500</v>
          </cell>
          <cell r="AR208">
            <v>274890</v>
          </cell>
          <cell r="AS208">
            <v>0</v>
          </cell>
          <cell r="AT208">
            <v>5610</v>
          </cell>
          <cell r="AU208">
            <v>561000</v>
          </cell>
          <cell r="AV208">
            <v>1615000</v>
          </cell>
          <cell r="AW208">
            <v>1582700</v>
          </cell>
          <cell r="AX208">
            <v>0</v>
          </cell>
          <cell r="AY208">
            <v>32300</v>
          </cell>
          <cell r="AZ208">
            <v>3230000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1340802</v>
          </cell>
          <cell r="BG208">
            <v>1313985</v>
          </cell>
          <cell r="BH208">
            <v>0</v>
          </cell>
          <cell r="BI208">
            <v>26816</v>
          </cell>
          <cell r="BJ208">
            <v>2681603</v>
          </cell>
          <cell r="BK208">
            <v>1340802</v>
          </cell>
          <cell r="BL208">
            <v>1313985</v>
          </cell>
          <cell r="BM208">
            <v>0</v>
          </cell>
          <cell r="BN208">
            <v>26816</v>
          </cell>
          <cell r="BO208">
            <v>2681603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5591329</v>
          </cell>
          <cell r="BV208">
            <v>5479502</v>
          </cell>
          <cell r="BW208">
            <v>0</v>
          </cell>
          <cell r="BX208">
            <v>111827</v>
          </cell>
          <cell r="BY208">
            <v>11182658</v>
          </cell>
          <cell r="BZ208">
            <v>5591329</v>
          </cell>
          <cell r="CA208">
            <v>5479502</v>
          </cell>
          <cell r="CB208">
            <v>0</v>
          </cell>
          <cell r="CC208">
            <v>111827</v>
          </cell>
          <cell r="CD208">
            <v>11182658</v>
          </cell>
        </row>
        <row r="209">
          <cell r="A209">
            <v>202</v>
          </cell>
          <cell r="B209" t="str">
            <v>E2339</v>
          </cell>
          <cell r="C209" t="str">
            <v>SD</v>
          </cell>
          <cell r="D209" t="str">
            <v>NW</v>
          </cell>
          <cell r="E209" t="str">
            <v>Preston</v>
          </cell>
          <cell r="F209">
            <v>29646904</v>
          </cell>
          <cell r="G209">
            <v>23717523</v>
          </cell>
          <cell r="H209">
            <v>5336443</v>
          </cell>
          <cell r="I209">
            <v>592938</v>
          </cell>
          <cell r="J209">
            <v>59293808</v>
          </cell>
          <cell r="K209">
            <v>0</v>
          </cell>
          <cell r="L209">
            <v>0</v>
          </cell>
          <cell r="M209">
            <v>29646904</v>
          </cell>
          <cell r="N209">
            <v>59293808</v>
          </cell>
          <cell r="O209">
            <v>239401</v>
          </cell>
          <cell r="P209">
            <v>239401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1347416</v>
          </cell>
          <cell r="AC209">
            <v>1077933</v>
          </cell>
          <cell r="AD209">
            <v>242535</v>
          </cell>
          <cell r="AE209">
            <v>26948</v>
          </cell>
          <cell r="AF209">
            <v>2694832</v>
          </cell>
          <cell r="AG209">
            <v>548495.61</v>
          </cell>
          <cell r="AH209">
            <v>438797</v>
          </cell>
          <cell r="AI209">
            <v>98729</v>
          </cell>
          <cell r="AJ209">
            <v>10970</v>
          </cell>
          <cell r="AK209">
            <v>1096991.6100000001</v>
          </cell>
          <cell r="AL209">
            <v>751580.95</v>
          </cell>
          <cell r="AM209">
            <v>601264</v>
          </cell>
          <cell r="AN209">
            <v>135284</v>
          </cell>
          <cell r="AO209">
            <v>15032</v>
          </cell>
          <cell r="AP209">
            <v>1503160.95</v>
          </cell>
          <cell r="AQ209">
            <v>141366.94</v>
          </cell>
          <cell r="AR209">
            <v>113093</v>
          </cell>
          <cell r="AS209">
            <v>25446</v>
          </cell>
          <cell r="AT209">
            <v>2827</v>
          </cell>
          <cell r="AU209">
            <v>282732.94</v>
          </cell>
          <cell r="AV209">
            <v>892947.89</v>
          </cell>
          <cell r="AW209">
            <v>714357</v>
          </cell>
          <cell r="AX209">
            <v>160730</v>
          </cell>
          <cell r="AY209">
            <v>17859</v>
          </cell>
          <cell r="AZ209">
            <v>1785893.89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638664.15</v>
          </cell>
          <cell r="BG209">
            <v>510931</v>
          </cell>
          <cell r="BH209">
            <v>114959</v>
          </cell>
          <cell r="BI209">
            <v>12773</v>
          </cell>
          <cell r="BJ209">
            <v>1277327.1499999999</v>
          </cell>
          <cell r="BK209">
            <v>638664.15</v>
          </cell>
          <cell r="BL209">
            <v>510931</v>
          </cell>
          <cell r="BM209">
            <v>114959</v>
          </cell>
          <cell r="BN209">
            <v>12773</v>
          </cell>
          <cell r="BO209">
            <v>1277327.1499999999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1809591.12</v>
          </cell>
          <cell r="BV209">
            <v>1447674</v>
          </cell>
          <cell r="BW209">
            <v>325727</v>
          </cell>
          <cell r="BX209">
            <v>36192</v>
          </cell>
          <cell r="BY209">
            <v>3619184.12</v>
          </cell>
          <cell r="BZ209">
            <v>1809591.12</v>
          </cell>
          <cell r="CA209">
            <v>1447674</v>
          </cell>
          <cell r="CB209">
            <v>325727</v>
          </cell>
          <cell r="CC209">
            <v>36192</v>
          </cell>
          <cell r="CD209">
            <v>3619184.12</v>
          </cell>
        </row>
        <row r="210">
          <cell r="A210">
            <v>203</v>
          </cell>
          <cell r="B210" t="str">
            <v>E1236</v>
          </cell>
          <cell r="C210" t="str">
            <v>SD</v>
          </cell>
          <cell r="D210" t="str">
            <v>SW</v>
          </cell>
          <cell r="E210" t="str">
            <v>Purbeck</v>
          </cell>
          <cell r="F210">
            <v>8638653</v>
          </cell>
          <cell r="G210">
            <v>6910922</v>
          </cell>
          <cell r="H210">
            <v>1554958</v>
          </cell>
          <cell r="I210">
            <v>172773</v>
          </cell>
          <cell r="J210">
            <v>17277306</v>
          </cell>
          <cell r="K210">
            <v>0</v>
          </cell>
          <cell r="L210">
            <v>0</v>
          </cell>
          <cell r="M210">
            <v>8638653</v>
          </cell>
          <cell r="N210">
            <v>17277306</v>
          </cell>
          <cell r="O210">
            <v>93946</v>
          </cell>
          <cell r="P210">
            <v>93946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276827.83</v>
          </cell>
          <cell r="AC210">
            <v>221463</v>
          </cell>
          <cell r="AD210">
            <v>49829</v>
          </cell>
          <cell r="AE210">
            <v>5537</v>
          </cell>
          <cell r="AF210">
            <v>553656.82999999996</v>
          </cell>
          <cell r="AG210">
            <v>116597.61</v>
          </cell>
          <cell r="AH210">
            <v>93278</v>
          </cell>
          <cell r="AI210">
            <v>20988</v>
          </cell>
          <cell r="AJ210">
            <v>2332</v>
          </cell>
          <cell r="AK210">
            <v>233195.61</v>
          </cell>
          <cell r="AL210">
            <v>38834</v>
          </cell>
          <cell r="AM210">
            <v>31068</v>
          </cell>
          <cell r="AN210">
            <v>6990</v>
          </cell>
          <cell r="AO210">
            <v>777</v>
          </cell>
          <cell r="AP210">
            <v>77669</v>
          </cell>
          <cell r="AQ210">
            <v>10000</v>
          </cell>
          <cell r="AR210">
            <v>8000</v>
          </cell>
          <cell r="AS210">
            <v>1800</v>
          </cell>
          <cell r="AT210">
            <v>200</v>
          </cell>
          <cell r="AU210">
            <v>20000</v>
          </cell>
          <cell r="AV210">
            <v>48834</v>
          </cell>
          <cell r="AW210">
            <v>39068</v>
          </cell>
          <cell r="AX210">
            <v>8790</v>
          </cell>
          <cell r="AY210">
            <v>977</v>
          </cell>
          <cell r="AZ210">
            <v>97669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55741</v>
          </cell>
          <cell r="BG210">
            <v>44592</v>
          </cell>
          <cell r="BH210">
            <v>10033</v>
          </cell>
          <cell r="BI210">
            <v>1115</v>
          </cell>
          <cell r="BJ210">
            <v>111481</v>
          </cell>
          <cell r="BK210">
            <v>55741</v>
          </cell>
          <cell r="BL210">
            <v>44592</v>
          </cell>
          <cell r="BM210">
            <v>10033</v>
          </cell>
          <cell r="BN210">
            <v>1115</v>
          </cell>
          <cell r="BO210">
            <v>111481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186609</v>
          </cell>
          <cell r="BV210">
            <v>149287</v>
          </cell>
          <cell r="BW210">
            <v>33590</v>
          </cell>
          <cell r="BX210">
            <v>3732</v>
          </cell>
          <cell r="BY210">
            <v>373218</v>
          </cell>
          <cell r="BZ210">
            <v>186609</v>
          </cell>
          <cell r="CA210">
            <v>149287</v>
          </cell>
          <cell r="CB210">
            <v>33590</v>
          </cell>
          <cell r="CC210">
            <v>3732</v>
          </cell>
          <cell r="CD210">
            <v>373218</v>
          </cell>
        </row>
        <row r="211">
          <cell r="A211">
            <v>204</v>
          </cell>
          <cell r="B211" t="str">
            <v>E0303</v>
          </cell>
          <cell r="C211" t="str">
            <v>UA</v>
          </cell>
          <cell r="D211" t="str">
            <v>SE</v>
          </cell>
          <cell r="E211" t="str">
            <v>Reading UA</v>
          </cell>
          <cell r="F211">
            <v>44636841</v>
          </cell>
          <cell r="G211">
            <v>43744104</v>
          </cell>
          <cell r="H211">
            <v>0</v>
          </cell>
          <cell r="I211">
            <v>892737</v>
          </cell>
          <cell r="J211">
            <v>89273682</v>
          </cell>
          <cell r="K211">
            <v>0</v>
          </cell>
          <cell r="L211">
            <v>0</v>
          </cell>
          <cell r="M211">
            <v>44636841</v>
          </cell>
          <cell r="N211">
            <v>89273682</v>
          </cell>
          <cell r="O211">
            <v>269167</v>
          </cell>
          <cell r="P211">
            <v>269167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2323454</v>
          </cell>
          <cell r="AC211">
            <v>2276984</v>
          </cell>
          <cell r="AD211">
            <v>0</v>
          </cell>
          <cell r="AE211">
            <v>46469</v>
          </cell>
          <cell r="AF211">
            <v>4646907</v>
          </cell>
          <cell r="AG211">
            <v>582494</v>
          </cell>
          <cell r="AH211">
            <v>570844</v>
          </cell>
          <cell r="AI211">
            <v>0</v>
          </cell>
          <cell r="AJ211">
            <v>11650</v>
          </cell>
          <cell r="AK211">
            <v>1164988</v>
          </cell>
          <cell r="AL211">
            <v>462500</v>
          </cell>
          <cell r="AM211">
            <v>453250</v>
          </cell>
          <cell r="AN211">
            <v>0</v>
          </cell>
          <cell r="AO211">
            <v>9250</v>
          </cell>
          <cell r="AP211">
            <v>925000</v>
          </cell>
          <cell r="AQ211">
            <v>528535.18000000005</v>
          </cell>
          <cell r="AR211">
            <v>517965</v>
          </cell>
          <cell r="AS211">
            <v>0</v>
          </cell>
          <cell r="AT211">
            <v>10571</v>
          </cell>
          <cell r="AU211">
            <v>1057071.18</v>
          </cell>
          <cell r="AV211">
            <v>991035.18</v>
          </cell>
          <cell r="AW211">
            <v>971215</v>
          </cell>
          <cell r="AX211">
            <v>0</v>
          </cell>
          <cell r="AY211">
            <v>19821</v>
          </cell>
          <cell r="AZ211">
            <v>1982071.18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1500000</v>
          </cell>
          <cell r="BG211">
            <v>1470000</v>
          </cell>
          <cell r="BH211">
            <v>0</v>
          </cell>
          <cell r="BI211">
            <v>30000</v>
          </cell>
          <cell r="BJ211">
            <v>3000000</v>
          </cell>
          <cell r="BK211">
            <v>1500000</v>
          </cell>
          <cell r="BL211">
            <v>1470000</v>
          </cell>
          <cell r="BM211">
            <v>0</v>
          </cell>
          <cell r="BN211">
            <v>30000</v>
          </cell>
          <cell r="BO211">
            <v>3000000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6000000</v>
          </cell>
          <cell r="BV211">
            <v>5880000</v>
          </cell>
          <cell r="BW211">
            <v>0</v>
          </cell>
          <cell r="BX211">
            <v>120000</v>
          </cell>
          <cell r="BY211">
            <v>12000000</v>
          </cell>
          <cell r="BZ211">
            <v>6000000</v>
          </cell>
          <cell r="CA211">
            <v>5880000</v>
          </cell>
          <cell r="CB211">
            <v>0</v>
          </cell>
          <cell r="CC211">
            <v>120000</v>
          </cell>
          <cell r="CD211">
            <v>12000000</v>
          </cell>
        </row>
        <row r="212">
          <cell r="A212">
            <v>205</v>
          </cell>
          <cell r="B212" t="str">
            <v>E5046</v>
          </cell>
          <cell r="C212" t="str">
            <v>OLB</v>
          </cell>
          <cell r="D212" t="str">
            <v>L</v>
          </cell>
          <cell r="E212" t="str">
            <v>Redbridge</v>
          </cell>
          <cell r="F212">
            <v>25448171</v>
          </cell>
          <cell r="G212">
            <v>15268902</v>
          </cell>
          <cell r="H212">
            <v>10179268</v>
          </cell>
          <cell r="I212">
            <v>0</v>
          </cell>
          <cell r="J212">
            <v>50896341</v>
          </cell>
          <cell r="K212">
            <v>0</v>
          </cell>
          <cell r="L212">
            <v>0</v>
          </cell>
          <cell r="M212">
            <v>25448171</v>
          </cell>
          <cell r="N212">
            <v>50896341</v>
          </cell>
          <cell r="O212">
            <v>278679</v>
          </cell>
          <cell r="P212">
            <v>278679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4139391.11</v>
          </cell>
          <cell r="AC212">
            <v>2483635</v>
          </cell>
          <cell r="AD212">
            <v>1655757</v>
          </cell>
          <cell r="AE212">
            <v>0</v>
          </cell>
          <cell r="AF212">
            <v>8278783.1100000003</v>
          </cell>
          <cell r="AG212">
            <v>818372.58</v>
          </cell>
          <cell r="AH212">
            <v>491023</v>
          </cell>
          <cell r="AI212">
            <v>327349</v>
          </cell>
          <cell r="AJ212">
            <v>0</v>
          </cell>
          <cell r="AK212">
            <v>1636744.58</v>
          </cell>
          <cell r="AL212">
            <v>2953000</v>
          </cell>
          <cell r="AM212">
            <v>1771800</v>
          </cell>
          <cell r="AN212">
            <v>1181200</v>
          </cell>
          <cell r="AO212">
            <v>0</v>
          </cell>
          <cell r="AP212">
            <v>5906000</v>
          </cell>
          <cell r="AQ212">
            <v>677500</v>
          </cell>
          <cell r="AR212">
            <v>406500</v>
          </cell>
          <cell r="AS212">
            <v>271000</v>
          </cell>
          <cell r="AT212">
            <v>0</v>
          </cell>
          <cell r="AU212">
            <v>1355000</v>
          </cell>
          <cell r="AV212">
            <v>3630500</v>
          </cell>
          <cell r="AW212">
            <v>2178300</v>
          </cell>
          <cell r="AX212">
            <v>1452200</v>
          </cell>
          <cell r="AY212">
            <v>0</v>
          </cell>
          <cell r="AZ212">
            <v>7261000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400000</v>
          </cell>
          <cell r="BG212">
            <v>240000</v>
          </cell>
          <cell r="BH212">
            <v>160000</v>
          </cell>
          <cell r="BI212">
            <v>0</v>
          </cell>
          <cell r="BJ212">
            <v>800000</v>
          </cell>
          <cell r="BK212">
            <v>400000</v>
          </cell>
          <cell r="BL212">
            <v>240000</v>
          </cell>
          <cell r="BM212">
            <v>160000</v>
          </cell>
          <cell r="BN212">
            <v>0</v>
          </cell>
          <cell r="BO212">
            <v>800000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</row>
        <row r="213">
          <cell r="A213">
            <v>206</v>
          </cell>
          <cell r="B213" t="str">
            <v>E0703</v>
          </cell>
          <cell r="C213" t="str">
            <v>UA</v>
          </cell>
          <cell r="D213" t="str">
            <v>NE</v>
          </cell>
          <cell r="E213" t="str">
            <v>Redcar &amp; Cleveland UA</v>
          </cell>
          <cell r="F213">
            <v>23426915</v>
          </cell>
          <cell r="G213">
            <v>22958376</v>
          </cell>
          <cell r="H213">
            <v>0</v>
          </cell>
          <cell r="I213">
            <v>468538</v>
          </cell>
          <cell r="J213">
            <v>46853829</v>
          </cell>
          <cell r="K213">
            <v>11720</v>
          </cell>
          <cell r="L213">
            <v>11720</v>
          </cell>
          <cell r="M213">
            <v>23415195</v>
          </cell>
          <cell r="N213">
            <v>46842109</v>
          </cell>
          <cell r="O213">
            <v>171732</v>
          </cell>
          <cell r="P213">
            <v>171732</v>
          </cell>
          <cell r="Q213">
            <v>11720</v>
          </cell>
          <cell r="R213">
            <v>11720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11720</v>
          </cell>
          <cell r="Y213">
            <v>0</v>
          </cell>
          <cell r="Z213">
            <v>0</v>
          </cell>
          <cell r="AA213">
            <v>11720</v>
          </cell>
          <cell r="AB213">
            <v>3931669</v>
          </cell>
          <cell r="AC213">
            <v>3853036</v>
          </cell>
          <cell r="AD213">
            <v>0</v>
          </cell>
          <cell r="AE213">
            <v>78633</v>
          </cell>
          <cell r="AF213">
            <v>7863338</v>
          </cell>
          <cell r="AG213">
            <v>198987</v>
          </cell>
          <cell r="AH213">
            <v>195008</v>
          </cell>
          <cell r="AI213">
            <v>0</v>
          </cell>
          <cell r="AJ213">
            <v>3980</v>
          </cell>
          <cell r="AK213">
            <v>397975</v>
          </cell>
          <cell r="AL213">
            <v>545229</v>
          </cell>
          <cell r="AM213">
            <v>534325</v>
          </cell>
          <cell r="AN213">
            <v>0</v>
          </cell>
          <cell r="AO213">
            <v>10905</v>
          </cell>
          <cell r="AP213">
            <v>1090459</v>
          </cell>
          <cell r="AQ213">
            <v>67316</v>
          </cell>
          <cell r="AR213">
            <v>65970</v>
          </cell>
          <cell r="AS213">
            <v>0</v>
          </cell>
          <cell r="AT213">
            <v>1346</v>
          </cell>
          <cell r="AU213">
            <v>134632</v>
          </cell>
          <cell r="AV213">
            <v>612545</v>
          </cell>
          <cell r="AW213">
            <v>600295</v>
          </cell>
          <cell r="AX213">
            <v>0</v>
          </cell>
          <cell r="AY213">
            <v>12251</v>
          </cell>
          <cell r="AZ213">
            <v>1225091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629296</v>
          </cell>
          <cell r="BG213">
            <v>616711</v>
          </cell>
          <cell r="BH213">
            <v>0</v>
          </cell>
          <cell r="BI213">
            <v>12586</v>
          </cell>
          <cell r="BJ213">
            <v>1258593</v>
          </cell>
          <cell r="BK213">
            <v>629296</v>
          </cell>
          <cell r="BL213">
            <v>616711</v>
          </cell>
          <cell r="BM213">
            <v>0</v>
          </cell>
          <cell r="BN213">
            <v>12586</v>
          </cell>
          <cell r="BO213">
            <v>1258593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1734239</v>
          </cell>
          <cell r="BV213">
            <v>1699555</v>
          </cell>
          <cell r="BW213">
            <v>0</v>
          </cell>
          <cell r="BX213">
            <v>34685</v>
          </cell>
          <cell r="BY213">
            <v>3468479</v>
          </cell>
          <cell r="BZ213">
            <v>1734239</v>
          </cell>
          <cell r="CA213">
            <v>1699555</v>
          </cell>
          <cell r="CB213">
            <v>0</v>
          </cell>
          <cell r="CC213">
            <v>34685</v>
          </cell>
          <cell r="CD213">
            <v>3468479</v>
          </cell>
        </row>
        <row r="214">
          <cell r="A214">
            <v>207</v>
          </cell>
          <cell r="B214" t="str">
            <v>E1835</v>
          </cell>
          <cell r="C214" t="str">
            <v>SD</v>
          </cell>
          <cell r="D214" t="str">
            <v>WM</v>
          </cell>
          <cell r="E214" t="str">
            <v>Redditch</v>
          </cell>
          <cell r="F214">
            <v>16244620</v>
          </cell>
          <cell r="G214">
            <v>12995696</v>
          </cell>
          <cell r="H214">
            <v>2924032</v>
          </cell>
          <cell r="I214">
            <v>324892</v>
          </cell>
          <cell r="J214">
            <v>32489240</v>
          </cell>
          <cell r="K214">
            <v>0</v>
          </cell>
          <cell r="L214">
            <v>0</v>
          </cell>
          <cell r="M214">
            <v>16244620</v>
          </cell>
          <cell r="N214">
            <v>32489240</v>
          </cell>
          <cell r="O214">
            <v>111657</v>
          </cell>
          <cell r="P214">
            <v>111657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684669</v>
          </cell>
          <cell r="AC214">
            <v>547736</v>
          </cell>
          <cell r="AD214">
            <v>123241</v>
          </cell>
          <cell r="AE214">
            <v>13693</v>
          </cell>
          <cell r="AF214">
            <v>1369339</v>
          </cell>
          <cell r="AG214">
            <v>258622</v>
          </cell>
          <cell r="AH214">
            <v>206897</v>
          </cell>
          <cell r="AI214">
            <v>46552</v>
          </cell>
          <cell r="AJ214">
            <v>5172</v>
          </cell>
          <cell r="AK214">
            <v>517243</v>
          </cell>
          <cell r="AL214">
            <v>480711</v>
          </cell>
          <cell r="AM214">
            <v>384568</v>
          </cell>
          <cell r="AN214">
            <v>86528</v>
          </cell>
          <cell r="AO214">
            <v>9614</v>
          </cell>
          <cell r="AP214">
            <v>961421</v>
          </cell>
          <cell r="AQ214">
            <v>67001</v>
          </cell>
          <cell r="AR214">
            <v>53601</v>
          </cell>
          <cell r="AS214">
            <v>12060</v>
          </cell>
          <cell r="AT214">
            <v>1340</v>
          </cell>
          <cell r="AU214">
            <v>134002</v>
          </cell>
          <cell r="AV214">
            <v>547712</v>
          </cell>
          <cell r="AW214">
            <v>438169</v>
          </cell>
          <cell r="AX214">
            <v>98588</v>
          </cell>
          <cell r="AY214">
            <v>10954</v>
          </cell>
          <cell r="AZ214">
            <v>1095423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150520</v>
          </cell>
          <cell r="BG214">
            <v>120415</v>
          </cell>
          <cell r="BH214">
            <v>27093</v>
          </cell>
          <cell r="BI214">
            <v>3010</v>
          </cell>
          <cell r="BJ214">
            <v>301038</v>
          </cell>
          <cell r="BK214">
            <v>150520</v>
          </cell>
          <cell r="BL214">
            <v>120415</v>
          </cell>
          <cell r="BM214">
            <v>27093</v>
          </cell>
          <cell r="BN214">
            <v>3010</v>
          </cell>
          <cell r="BO214">
            <v>301038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413532</v>
          </cell>
          <cell r="BV214">
            <v>330826</v>
          </cell>
          <cell r="BW214">
            <v>74436</v>
          </cell>
          <cell r="BX214">
            <v>8271</v>
          </cell>
          <cell r="BY214">
            <v>827065</v>
          </cell>
          <cell r="BZ214">
            <v>413532</v>
          </cell>
          <cell r="CA214">
            <v>330826</v>
          </cell>
          <cell r="CB214">
            <v>74436</v>
          </cell>
          <cell r="CC214">
            <v>8271</v>
          </cell>
          <cell r="CD214">
            <v>827065</v>
          </cell>
        </row>
        <row r="215">
          <cell r="A215">
            <v>208</v>
          </cell>
          <cell r="B215" t="str">
            <v>E3635</v>
          </cell>
          <cell r="C215" t="str">
            <v>SD</v>
          </cell>
          <cell r="D215" t="str">
            <v>SE</v>
          </cell>
          <cell r="E215" t="str">
            <v>Reigate &amp; Banstead</v>
          </cell>
          <cell r="F215">
            <v>23694844</v>
          </cell>
          <cell r="G215">
            <v>18955875</v>
          </cell>
          <cell r="H215">
            <v>4738969</v>
          </cell>
          <cell r="I215">
            <v>0</v>
          </cell>
          <cell r="J215">
            <v>47389688</v>
          </cell>
          <cell r="K215">
            <v>0</v>
          </cell>
          <cell r="L215">
            <v>0</v>
          </cell>
          <cell r="M215">
            <v>23694844</v>
          </cell>
          <cell r="N215">
            <v>47389688</v>
          </cell>
          <cell r="O215">
            <v>177701</v>
          </cell>
          <cell r="P215">
            <v>177701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21335.99</v>
          </cell>
          <cell r="AC215">
            <v>17069</v>
          </cell>
          <cell r="AD215">
            <v>4267</v>
          </cell>
          <cell r="AE215">
            <v>0</v>
          </cell>
          <cell r="AF215">
            <v>42671.99</v>
          </cell>
          <cell r="AG215">
            <v>296946.34999999998</v>
          </cell>
          <cell r="AH215">
            <v>237557</v>
          </cell>
          <cell r="AI215">
            <v>59389</v>
          </cell>
          <cell r="AJ215">
            <v>0</v>
          </cell>
          <cell r="AK215">
            <v>593892.35</v>
          </cell>
          <cell r="AL215">
            <v>46870.69</v>
          </cell>
          <cell r="AM215">
            <v>37497</v>
          </cell>
          <cell r="AN215">
            <v>9374</v>
          </cell>
          <cell r="AO215">
            <v>0</v>
          </cell>
          <cell r="AP215">
            <v>93741.69</v>
          </cell>
          <cell r="AQ215">
            <v>18124.41</v>
          </cell>
          <cell r="AR215">
            <v>14499</v>
          </cell>
          <cell r="AS215">
            <v>3625</v>
          </cell>
          <cell r="AT215">
            <v>0</v>
          </cell>
          <cell r="AU215">
            <v>36248.410000000003</v>
          </cell>
          <cell r="AV215">
            <v>64995.1</v>
          </cell>
          <cell r="AW215">
            <v>51996</v>
          </cell>
          <cell r="AX215">
            <v>12999</v>
          </cell>
          <cell r="AY215">
            <v>0</v>
          </cell>
          <cell r="AZ215">
            <v>129990.1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88323</v>
          </cell>
          <cell r="BG215">
            <v>70659</v>
          </cell>
          <cell r="BH215">
            <v>17665</v>
          </cell>
          <cell r="BI215">
            <v>0</v>
          </cell>
          <cell r="BJ215">
            <v>176647</v>
          </cell>
          <cell r="BK215">
            <v>88323</v>
          </cell>
          <cell r="BL215">
            <v>70659</v>
          </cell>
          <cell r="BM215">
            <v>17665</v>
          </cell>
          <cell r="BN215">
            <v>0</v>
          </cell>
          <cell r="BO215">
            <v>176647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601984</v>
          </cell>
          <cell r="BV215">
            <v>481588</v>
          </cell>
          <cell r="BW215">
            <v>120397</v>
          </cell>
          <cell r="BX215">
            <v>0</v>
          </cell>
          <cell r="BY215">
            <v>1203969</v>
          </cell>
          <cell r="BZ215">
            <v>601984</v>
          </cell>
          <cell r="CA215">
            <v>481588</v>
          </cell>
          <cell r="CB215">
            <v>120397</v>
          </cell>
          <cell r="CC215">
            <v>0</v>
          </cell>
          <cell r="CD215">
            <v>1203969</v>
          </cell>
        </row>
        <row r="216">
          <cell r="A216">
            <v>209</v>
          </cell>
          <cell r="B216" t="str">
            <v>E2340</v>
          </cell>
          <cell r="C216" t="str">
            <v>SD</v>
          </cell>
          <cell r="D216" t="str">
            <v>NW</v>
          </cell>
          <cell r="E216" t="str">
            <v>Ribble Valley</v>
          </cell>
          <cell r="F216">
            <v>6704936</v>
          </cell>
          <cell r="G216">
            <v>5363949</v>
          </cell>
          <cell r="H216">
            <v>1206889</v>
          </cell>
          <cell r="I216">
            <v>134099</v>
          </cell>
          <cell r="J216">
            <v>13409873</v>
          </cell>
          <cell r="K216">
            <v>0</v>
          </cell>
          <cell r="L216">
            <v>0</v>
          </cell>
          <cell r="M216">
            <v>6704936</v>
          </cell>
          <cell r="N216">
            <v>13409873</v>
          </cell>
          <cell r="O216">
            <v>85946</v>
          </cell>
          <cell r="P216">
            <v>85946</v>
          </cell>
          <cell r="Q216">
            <v>2997</v>
          </cell>
          <cell r="R216">
            <v>2997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300979</v>
          </cell>
          <cell r="AC216">
            <v>240783</v>
          </cell>
          <cell r="AD216">
            <v>54176</v>
          </cell>
          <cell r="AE216">
            <v>6020</v>
          </cell>
          <cell r="AF216">
            <v>601958</v>
          </cell>
          <cell r="AG216">
            <v>45771</v>
          </cell>
          <cell r="AH216">
            <v>36617</v>
          </cell>
          <cell r="AI216">
            <v>8239</v>
          </cell>
          <cell r="AJ216">
            <v>915</v>
          </cell>
          <cell r="AK216">
            <v>91542</v>
          </cell>
          <cell r="AL216">
            <v>125000</v>
          </cell>
          <cell r="AM216">
            <v>100000</v>
          </cell>
          <cell r="AN216">
            <v>22500</v>
          </cell>
          <cell r="AO216">
            <v>2500</v>
          </cell>
          <cell r="AP216">
            <v>250000</v>
          </cell>
          <cell r="AQ216">
            <v>40000</v>
          </cell>
          <cell r="AR216">
            <v>32000</v>
          </cell>
          <cell r="AS216">
            <v>7200</v>
          </cell>
          <cell r="AT216">
            <v>800</v>
          </cell>
          <cell r="AU216">
            <v>80000</v>
          </cell>
          <cell r="AV216">
            <v>165000</v>
          </cell>
          <cell r="AW216">
            <v>132000</v>
          </cell>
          <cell r="AX216">
            <v>29700</v>
          </cell>
          <cell r="AY216">
            <v>3300</v>
          </cell>
          <cell r="AZ216">
            <v>330000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53500</v>
          </cell>
          <cell r="BG216">
            <v>42800</v>
          </cell>
          <cell r="BH216">
            <v>9630</v>
          </cell>
          <cell r="BI216">
            <v>1070</v>
          </cell>
          <cell r="BJ216">
            <v>107000</v>
          </cell>
          <cell r="BK216">
            <v>53500</v>
          </cell>
          <cell r="BL216">
            <v>42800</v>
          </cell>
          <cell r="BM216">
            <v>9630</v>
          </cell>
          <cell r="BN216">
            <v>1070</v>
          </cell>
          <cell r="BO216">
            <v>107000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130500</v>
          </cell>
          <cell r="BV216">
            <v>104400</v>
          </cell>
          <cell r="BW216">
            <v>23490</v>
          </cell>
          <cell r="BX216">
            <v>2610</v>
          </cell>
          <cell r="BY216">
            <v>261000</v>
          </cell>
          <cell r="BZ216">
            <v>130500</v>
          </cell>
          <cell r="CA216">
            <v>104400</v>
          </cell>
          <cell r="CB216">
            <v>23490</v>
          </cell>
          <cell r="CC216">
            <v>2610</v>
          </cell>
          <cell r="CD216">
            <v>261000</v>
          </cell>
        </row>
        <row r="217">
          <cell r="A217">
            <v>210</v>
          </cell>
          <cell r="B217" t="str">
            <v>E5047</v>
          </cell>
          <cell r="C217" t="str">
            <v>OLB</v>
          </cell>
          <cell r="D217" t="str">
            <v>L</v>
          </cell>
          <cell r="E217" t="str">
            <v>Richmond upon Thames</v>
          </cell>
          <cell r="F217">
            <v>38304402</v>
          </cell>
          <cell r="G217">
            <v>22982642</v>
          </cell>
          <cell r="H217">
            <v>15321761</v>
          </cell>
          <cell r="I217">
            <v>0</v>
          </cell>
          <cell r="J217">
            <v>76608805</v>
          </cell>
          <cell r="K217">
            <v>0</v>
          </cell>
          <cell r="L217">
            <v>0</v>
          </cell>
          <cell r="M217">
            <v>38304402</v>
          </cell>
          <cell r="N217">
            <v>76608805</v>
          </cell>
          <cell r="O217">
            <v>304564</v>
          </cell>
          <cell r="P217">
            <v>304564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2223607</v>
          </cell>
          <cell r="AC217">
            <v>1334164</v>
          </cell>
          <cell r="AD217">
            <v>889443</v>
          </cell>
          <cell r="AE217">
            <v>0</v>
          </cell>
          <cell r="AF217">
            <v>4447214</v>
          </cell>
          <cell r="AG217">
            <v>-1342794.2</v>
          </cell>
          <cell r="AH217">
            <v>-805676</v>
          </cell>
          <cell r="AI217">
            <v>-537118</v>
          </cell>
          <cell r="AJ217">
            <v>0</v>
          </cell>
          <cell r="AK217">
            <v>-2685588.2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128032</v>
          </cell>
          <cell r="AR217">
            <v>76819</v>
          </cell>
          <cell r="AS217">
            <v>51213</v>
          </cell>
          <cell r="AT217">
            <v>0</v>
          </cell>
          <cell r="AU217">
            <v>256064</v>
          </cell>
          <cell r="AV217">
            <v>128032</v>
          </cell>
          <cell r="AW217">
            <v>76819</v>
          </cell>
          <cell r="AX217">
            <v>51213</v>
          </cell>
          <cell r="AY217">
            <v>0</v>
          </cell>
          <cell r="AZ217">
            <v>256064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550967</v>
          </cell>
          <cell r="BG217">
            <v>330581</v>
          </cell>
          <cell r="BH217">
            <v>220387</v>
          </cell>
          <cell r="BI217">
            <v>0</v>
          </cell>
          <cell r="BJ217">
            <v>1101935</v>
          </cell>
          <cell r="BK217">
            <v>550967</v>
          </cell>
          <cell r="BL217">
            <v>330581</v>
          </cell>
          <cell r="BM217">
            <v>220387</v>
          </cell>
          <cell r="BN217">
            <v>0</v>
          </cell>
          <cell r="BO217">
            <v>1101935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1511534</v>
          </cell>
          <cell r="BV217">
            <v>906920</v>
          </cell>
          <cell r="BW217">
            <v>604614</v>
          </cell>
          <cell r="BX217">
            <v>0</v>
          </cell>
          <cell r="BY217">
            <v>3023068</v>
          </cell>
          <cell r="BZ217">
            <v>1511534</v>
          </cell>
          <cell r="CA217">
            <v>906920</v>
          </cell>
          <cell r="CB217">
            <v>604614</v>
          </cell>
          <cell r="CC217">
            <v>0</v>
          </cell>
          <cell r="CD217">
            <v>3023068</v>
          </cell>
        </row>
        <row r="218">
          <cell r="A218">
            <v>211</v>
          </cell>
          <cell r="B218" t="str">
            <v>E2734</v>
          </cell>
          <cell r="C218" t="str">
            <v>SD</v>
          </cell>
          <cell r="D218" t="str">
            <v>YH</v>
          </cell>
          <cell r="E218" t="str">
            <v>Richmondshire</v>
          </cell>
          <cell r="F218">
            <v>5653269</v>
          </cell>
          <cell r="G218">
            <v>4522615</v>
          </cell>
          <cell r="H218">
            <v>1017588</v>
          </cell>
          <cell r="I218">
            <v>113065</v>
          </cell>
          <cell r="J218">
            <v>11306537</v>
          </cell>
          <cell r="K218">
            <v>0</v>
          </cell>
          <cell r="L218">
            <v>0</v>
          </cell>
          <cell r="M218">
            <v>5653269</v>
          </cell>
          <cell r="N218">
            <v>11306537</v>
          </cell>
          <cell r="O218">
            <v>96435</v>
          </cell>
          <cell r="P218">
            <v>96435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284514</v>
          </cell>
          <cell r="AC218">
            <v>227612</v>
          </cell>
          <cell r="AD218">
            <v>51213</v>
          </cell>
          <cell r="AE218">
            <v>5690</v>
          </cell>
          <cell r="AF218">
            <v>569029</v>
          </cell>
          <cell r="AG218">
            <v>39662</v>
          </cell>
          <cell r="AH218">
            <v>31730</v>
          </cell>
          <cell r="AI218">
            <v>7139</v>
          </cell>
          <cell r="AJ218">
            <v>793</v>
          </cell>
          <cell r="AK218">
            <v>79324</v>
          </cell>
          <cell r="AL218">
            <v>55603</v>
          </cell>
          <cell r="AM218">
            <v>44482</v>
          </cell>
          <cell r="AN218">
            <v>10009</v>
          </cell>
          <cell r="AO218">
            <v>1112</v>
          </cell>
          <cell r="AP218">
            <v>111206</v>
          </cell>
          <cell r="AQ218">
            <v>48366</v>
          </cell>
          <cell r="AR218">
            <v>38693</v>
          </cell>
          <cell r="AS218">
            <v>8706</v>
          </cell>
          <cell r="AT218">
            <v>967</v>
          </cell>
          <cell r="AU218">
            <v>96732</v>
          </cell>
          <cell r="AV218">
            <v>103969</v>
          </cell>
          <cell r="AW218">
            <v>83175</v>
          </cell>
          <cell r="AX218">
            <v>18715</v>
          </cell>
          <cell r="AY218">
            <v>2079</v>
          </cell>
          <cell r="AZ218">
            <v>207938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50000</v>
          </cell>
          <cell r="BG218">
            <v>40000</v>
          </cell>
          <cell r="BH218">
            <v>9000</v>
          </cell>
          <cell r="BI218">
            <v>1000</v>
          </cell>
          <cell r="BJ218">
            <v>100000</v>
          </cell>
          <cell r="BK218">
            <v>50000</v>
          </cell>
          <cell r="BL218">
            <v>40000</v>
          </cell>
          <cell r="BM218">
            <v>9000</v>
          </cell>
          <cell r="BN218">
            <v>1000</v>
          </cell>
          <cell r="BO218">
            <v>100000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637500</v>
          </cell>
          <cell r="BV218">
            <v>510000</v>
          </cell>
          <cell r="BW218">
            <v>114750</v>
          </cell>
          <cell r="BX218">
            <v>12750</v>
          </cell>
          <cell r="BY218">
            <v>1275000</v>
          </cell>
          <cell r="BZ218">
            <v>637500</v>
          </cell>
          <cell r="CA218">
            <v>510000</v>
          </cell>
          <cell r="CB218">
            <v>114750</v>
          </cell>
          <cell r="CC218">
            <v>12750</v>
          </cell>
          <cell r="CD218">
            <v>1275000</v>
          </cell>
        </row>
        <row r="219">
          <cell r="A219">
            <v>212</v>
          </cell>
          <cell r="B219" t="str">
            <v>E4205</v>
          </cell>
          <cell r="C219" t="str">
            <v>Met</v>
          </cell>
          <cell r="D219" t="str">
            <v>NW</v>
          </cell>
          <cell r="E219" t="str">
            <v>Rochdale</v>
          </cell>
          <cell r="F219">
            <v>28748983</v>
          </cell>
          <cell r="G219">
            <v>28174003</v>
          </cell>
          <cell r="H219">
            <v>0</v>
          </cell>
          <cell r="I219">
            <v>574980</v>
          </cell>
          <cell r="J219">
            <v>57497966</v>
          </cell>
          <cell r="K219">
            <v>0</v>
          </cell>
          <cell r="L219">
            <v>0</v>
          </cell>
          <cell r="M219">
            <v>28748983</v>
          </cell>
          <cell r="N219">
            <v>57497966</v>
          </cell>
          <cell r="O219">
            <v>285612</v>
          </cell>
          <cell r="P219">
            <v>285612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2018205</v>
          </cell>
          <cell r="AC219">
            <v>1977841</v>
          </cell>
          <cell r="AD219">
            <v>0</v>
          </cell>
          <cell r="AE219">
            <v>40364</v>
          </cell>
          <cell r="AF219">
            <v>4036410</v>
          </cell>
          <cell r="AG219">
            <v>359325</v>
          </cell>
          <cell r="AH219">
            <v>352139</v>
          </cell>
          <cell r="AI219">
            <v>0</v>
          </cell>
          <cell r="AJ219">
            <v>7187</v>
          </cell>
          <cell r="AK219">
            <v>718651</v>
          </cell>
          <cell r="AL219">
            <v>587500</v>
          </cell>
          <cell r="AM219">
            <v>575750</v>
          </cell>
          <cell r="AN219">
            <v>0</v>
          </cell>
          <cell r="AO219">
            <v>11750</v>
          </cell>
          <cell r="AP219">
            <v>1175000</v>
          </cell>
          <cell r="AQ219">
            <v>244000</v>
          </cell>
          <cell r="AR219">
            <v>239120</v>
          </cell>
          <cell r="AS219">
            <v>0</v>
          </cell>
          <cell r="AT219">
            <v>4880</v>
          </cell>
          <cell r="AU219">
            <v>488000</v>
          </cell>
          <cell r="AV219">
            <v>831500</v>
          </cell>
          <cell r="AW219">
            <v>814870</v>
          </cell>
          <cell r="AX219">
            <v>0</v>
          </cell>
          <cell r="AY219">
            <v>16630</v>
          </cell>
          <cell r="AZ219">
            <v>1663000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350909</v>
          </cell>
          <cell r="BG219">
            <v>343891</v>
          </cell>
          <cell r="BH219">
            <v>0</v>
          </cell>
          <cell r="BI219">
            <v>7018</v>
          </cell>
          <cell r="BJ219">
            <v>701818</v>
          </cell>
          <cell r="BK219">
            <v>350909</v>
          </cell>
          <cell r="BL219">
            <v>343891</v>
          </cell>
          <cell r="BM219">
            <v>0</v>
          </cell>
          <cell r="BN219">
            <v>7018</v>
          </cell>
          <cell r="BO219">
            <v>701818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959224</v>
          </cell>
          <cell r="BV219">
            <v>940040</v>
          </cell>
          <cell r="BW219">
            <v>0</v>
          </cell>
          <cell r="BX219">
            <v>19184</v>
          </cell>
          <cell r="BY219">
            <v>1918448</v>
          </cell>
          <cell r="BZ219">
            <v>959224</v>
          </cell>
          <cell r="CA219">
            <v>940040</v>
          </cell>
          <cell r="CB219">
            <v>0</v>
          </cell>
          <cell r="CC219">
            <v>19184</v>
          </cell>
          <cell r="CD219">
            <v>1918448</v>
          </cell>
        </row>
        <row r="220">
          <cell r="A220">
            <v>213</v>
          </cell>
          <cell r="B220" t="str">
            <v>E1540</v>
          </cell>
          <cell r="C220" t="str">
            <v>SD</v>
          </cell>
          <cell r="D220" t="str">
            <v>E</v>
          </cell>
          <cell r="E220" t="str">
            <v>Rochford</v>
          </cell>
          <cell r="F220">
            <v>7602147</v>
          </cell>
          <cell r="G220">
            <v>6081717</v>
          </cell>
          <cell r="H220">
            <v>1368386</v>
          </cell>
          <cell r="I220">
            <v>152043</v>
          </cell>
          <cell r="J220">
            <v>15204293</v>
          </cell>
          <cell r="K220">
            <v>0</v>
          </cell>
          <cell r="L220">
            <v>0</v>
          </cell>
          <cell r="M220">
            <v>7602147</v>
          </cell>
          <cell r="N220">
            <v>15204293</v>
          </cell>
          <cell r="O220">
            <v>85320</v>
          </cell>
          <cell r="P220">
            <v>85320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265691</v>
          </cell>
          <cell r="AC220">
            <v>212552</v>
          </cell>
          <cell r="AD220">
            <v>47824</v>
          </cell>
          <cell r="AE220">
            <v>5314</v>
          </cell>
          <cell r="AF220">
            <v>531381</v>
          </cell>
          <cell r="AG220">
            <v>12709</v>
          </cell>
          <cell r="AH220">
            <v>10168</v>
          </cell>
          <cell r="AI220">
            <v>2288</v>
          </cell>
          <cell r="AJ220">
            <v>254</v>
          </cell>
          <cell r="AK220">
            <v>25419</v>
          </cell>
          <cell r="AL220">
            <v>55025</v>
          </cell>
          <cell r="AM220">
            <v>44021</v>
          </cell>
          <cell r="AN220">
            <v>9905</v>
          </cell>
          <cell r="AO220">
            <v>1101</v>
          </cell>
          <cell r="AP220">
            <v>110052</v>
          </cell>
          <cell r="AQ220">
            <v>80753</v>
          </cell>
          <cell r="AR220">
            <v>64602</v>
          </cell>
          <cell r="AS220">
            <v>14536</v>
          </cell>
          <cell r="AT220">
            <v>1615</v>
          </cell>
          <cell r="AU220">
            <v>161506</v>
          </cell>
          <cell r="AV220">
            <v>135778</v>
          </cell>
          <cell r="AW220">
            <v>108623</v>
          </cell>
          <cell r="AX220">
            <v>24441</v>
          </cell>
          <cell r="AY220">
            <v>2716</v>
          </cell>
          <cell r="AZ220">
            <v>271558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81139</v>
          </cell>
          <cell r="BG220">
            <v>64911</v>
          </cell>
          <cell r="BH220">
            <v>14605</v>
          </cell>
          <cell r="BI220">
            <v>1623</v>
          </cell>
          <cell r="BJ220">
            <v>162278</v>
          </cell>
          <cell r="BK220">
            <v>81139</v>
          </cell>
          <cell r="BL220">
            <v>64911</v>
          </cell>
          <cell r="BM220">
            <v>14605</v>
          </cell>
          <cell r="BN220">
            <v>1623</v>
          </cell>
          <cell r="BO220">
            <v>162278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89028</v>
          </cell>
          <cell r="BV220">
            <v>71222</v>
          </cell>
          <cell r="BW220">
            <v>16025</v>
          </cell>
          <cell r="BX220">
            <v>1781</v>
          </cell>
          <cell r="BY220">
            <v>178056</v>
          </cell>
          <cell r="BZ220">
            <v>89028</v>
          </cell>
          <cell r="CA220">
            <v>71222</v>
          </cell>
          <cell r="CB220">
            <v>16025</v>
          </cell>
          <cell r="CC220">
            <v>1781</v>
          </cell>
          <cell r="CD220">
            <v>178056</v>
          </cell>
        </row>
        <row r="221">
          <cell r="A221">
            <v>214</v>
          </cell>
          <cell r="B221" t="str">
            <v>E2341</v>
          </cell>
          <cell r="C221" t="str">
            <v>SD</v>
          </cell>
          <cell r="D221" t="str">
            <v>NW</v>
          </cell>
          <cell r="E221" t="str">
            <v>Rossendale</v>
          </cell>
          <cell r="F221">
            <v>6062213</v>
          </cell>
          <cell r="G221">
            <v>4849770</v>
          </cell>
          <cell r="H221">
            <v>1091198</v>
          </cell>
          <cell r="I221">
            <v>121244</v>
          </cell>
          <cell r="J221">
            <v>12124425</v>
          </cell>
          <cell r="K221">
            <v>0</v>
          </cell>
          <cell r="L221">
            <v>0</v>
          </cell>
          <cell r="M221">
            <v>6062213</v>
          </cell>
          <cell r="N221">
            <v>12124425</v>
          </cell>
          <cell r="O221">
            <v>101007</v>
          </cell>
          <cell r="P221">
            <v>101007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532796.76</v>
          </cell>
          <cell r="AC221">
            <v>426238</v>
          </cell>
          <cell r="AD221">
            <v>95903</v>
          </cell>
          <cell r="AE221">
            <v>10656</v>
          </cell>
          <cell r="AF221">
            <v>1065593.76</v>
          </cell>
          <cell r="AG221">
            <v>11967.22</v>
          </cell>
          <cell r="AH221">
            <v>9574</v>
          </cell>
          <cell r="AI221">
            <v>2154</v>
          </cell>
          <cell r="AJ221">
            <v>239</v>
          </cell>
          <cell r="AK221">
            <v>23934.22</v>
          </cell>
          <cell r="AL221">
            <v>127094</v>
          </cell>
          <cell r="AM221">
            <v>101676</v>
          </cell>
          <cell r="AN221">
            <v>22877</v>
          </cell>
          <cell r="AO221">
            <v>2542</v>
          </cell>
          <cell r="AP221">
            <v>254189</v>
          </cell>
          <cell r="AQ221">
            <v>307470</v>
          </cell>
          <cell r="AR221">
            <v>245976</v>
          </cell>
          <cell r="AS221">
            <v>55345</v>
          </cell>
          <cell r="AT221">
            <v>6149</v>
          </cell>
          <cell r="AU221">
            <v>614940</v>
          </cell>
          <cell r="AV221">
            <v>434564</v>
          </cell>
          <cell r="AW221">
            <v>347652</v>
          </cell>
          <cell r="AX221">
            <v>78222</v>
          </cell>
          <cell r="AY221">
            <v>8691</v>
          </cell>
          <cell r="AZ221">
            <v>869129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99414</v>
          </cell>
          <cell r="BG221">
            <v>79531</v>
          </cell>
          <cell r="BH221">
            <v>17894</v>
          </cell>
          <cell r="BI221">
            <v>1988</v>
          </cell>
          <cell r="BJ221">
            <v>198827</v>
          </cell>
          <cell r="BK221">
            <v>99414</v>
          </cell>
          <cell r="BL221">
            <v>79531</v>
          </cell>
          <cell r="BM221">
            <v>17894</v>
          </cell>
          <cell r="BN221">
            <v>1988</v>
          </cell>
          <cell r="BO221">
            <v>198827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130572</v>
          </cell>
          <cell r="BV221">
            <v>104458</v>
          </cell>
          <cell r="BW221">
            <v>23503</v>
          </cell>
          <cell r="BX221">
            <v>2611</v>
          </cell>
          <cell r="BY221">
            <v>261144</v>
          </cell>
          <cell r="BZ221">
            <v>130572</v>
          </cell>
          <cell r="CA221">
            <v>104458</v>
          </cell>
          <cell r="CB221">
            <v>23503</v>
          </cell>
          <cell r="CC221">
            <v>2611</v>
          </cell>
          <cell r="CD221">
            <v>261144</v>
          </cell>
        </row>
        <row r="222">
          <cell r="A222">
            <v>215</v>
          </cell>
          <cell r="B222" t="str">
            <v>E1436</v>
          </cell>
          <cell r="C222" t="str">
            <v>SD</v>
          </cell>
          <cell r="D222" t="str">
            <v>SE</v>
          </cell>
          <cell r="E222" t="str">
            <v>Rother</v>
          </cell>
          <cell r="F222">
            <v>7603249</v>
          </cell>
          <cell r="G222">
            <v>6082599</v>
          </cell>
          <cell r="H222">
            <v>1368585</v>
          </cell>
          <cell r="I222">
            <v>152065</v>
          </cell>
          <cell r="J222">
            <v>15206498</v>
          </cell>
          <cell r="K222">
            <v>0</v>
          </cell>
          <cell r="L222">
            <v>0</v>
          </cell>
          <cell r="M222">
            <v>7603249</v>
          </cell>
          <cell r="N222">
            <v>15206498</v>
          </cell>
          <cell r="O222">
            <v>136326</v>
          </cell>
          <cell r="P222">
            <v>136326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313202.24</v>
          </cell>
          <cell r="AC222">
            <v>250562</v>
          </cell>
          <cell r="AD222">
            <v>56376</v>
          </cell>
          <cell r="AE222">
            <v>6264</v>
          </cell>
          <cell r="AF222">
            <v>626404.24</v>
          </cell>
          <cell r="AG222">
            <v>31563.56</v>
          </cell>
          <cell r="AH222">
            <v>25251</v>
          </cell>
          <cell r="AI222">
            <v>5681</v>
          </cell>
          <cell r="AJ222">
            <v>631</v>
          </cell>
          <cell r="AK222">
            <v>63126.559999999998</v>
          </cell>
          <cell r="AL222">
            <v>187266.48</v>
          </cell>
          <cell r="AM222">
            <v>149813</v>
          </cell>
          <cell r="AN222">
            <v>33708</v>
          </cell>
          <cell r="AO222">
            <v>3745</v>
          </cell>
          <cell r="AP222">
            <v>374532.48</v>
          </cell>
          <cell r="AQ222">
            <v>19285.91</v>
          </cell>
          <cell r="AR222">
            <v>15429</v>
          </cell>
          <cell r="AS222">
            <v>3472</v>
          </cell>
          <cell r="AT222">
            <v>386</v>
          </cell>
          <cell r="AU222">
            <v>38572.910000000003</v>
          </cell>
          <cell r="AV222">
            <v>206552.39</v>
          </cell>
          <cell r="AW222">
            <v>165242</v>
          </cell>
          <cell r="AX222">
            <v>37180</v>
          </cell>
          <cell r="AY222">
            <v>4131</v>
          </cell>
          <cell r="AZ222">
            <v>413105.39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138000</v>
          </cell>
          <cell r="BG222">
            <v>110400</v>
          </cell>
          <cell r="BH222">
            <v>24840</v>
          </cell>
          <cell r="BI222">
            <v>2760</v>
          </cell>
          <cell r="BJ222">
            <v>276000</v>
          </cell>
          <cell r="BK222">
            <v>138000</v>
          </cell>
          <cell r="BL222">
            <v>110400</v>
          </cell>
          <cell r="BM222">
            <v>24840</v>
          </cell>
          <cell r="BN222">
            <v>2760</v>
          </cell>
          <cell r="BO222">
            <v>276000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375500</v>
          </cell>
          <cell r="BV222">
            <v>300400</v>
          </cell>
          <cell r="BW222">
            <v>67590</v>
          </cell>
          <cell r="BX222">
            <v>7510</v>
          </cell>
          <cell r="BY222">
            <v>751000</v>
          </cell>
          <cell r="BZ222">
            <v>375500</v>
          </cell>
          <cell r="CA222">
            <v>300400</v>
          </cell>
          <cell r="CB222">
            <v>67590</v>
          </cell>
          <cell r="CC222">
            <v>7510</v>
          </cell>
          <cell r="CD222">
            <v>751000</v>
          </cell>
        </row>
        <row r="223">
          <cell r="A223">
            <v>216</v>
          </cell>
          <cell r="B223" t="str">
            <v>E4403</v>
          </cell>
          <cell r="C223" t="str">
            <v>Met</v>
          </cell>
          <cell r="D223" t="str">
            <v>YH</v>
          </cell>
          <cell r="E223" t="str">
            <v>Rotherham</v>
          </cell>
          <cell r="F223">
            <v>32179680</v>
          </cell>
          <cell r="G223">
            <v>31536087</v>
          </cell>
          <cell r="H223">
            <v>0</v>
          </cell>
          <cell r="I223">
            <v>643594</v>
          </cell>
          <cell r="J223">
            <v>64359361</v>
          </cell>
          <cell r="K223">
            <v>420349</v>
          </cell>
          <cell r="L223">
            <v>420349</v>
          </cell>
          <cell r="M223">
            <v>31759331</v>
          </cell>
          <cell r="N223">
            <v>63939012</v>
          </cell>
          <cell r="O223">
            <v>310277</v>
          </cell>
          <cell r="P223">
            <v>310277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115440</v>
          </cell>
          <cell r="V223">
            <v>0</v>
          </cell>
          <cell r="W223">
            <v>115440</v>
          </cell>
          <cell r="X223">
            <v>420349</v>
          </cell>
          <cell r="Y223">
            <v>0</v>
          </cell>
          <cell r="Z223">
            <v>0</v>
          </cell>
          <cell r="AA223">
            <v>420349</v>
          </cell>
          <cell r="AB223">
            <v>1289239</v>
          </cell>
          <cell r="AC223">
            <v>1263454</v>
          </cell>
          <cell r="AD223">
            <v>0</v>
          </cell>
          <cell r="AE223">
            <v>25785</v>
          </cell>
          <cell r="AF223">
            <v>2578478</v>
          </cell>
          <cell r="AG223">
            <v>273933</v>
          </cell>
          <cell r="AH223">
            <v>268454</v>
          </cell>
          <cell r="AI223">
            <v>0</v>
          </cell>
          <cell r="AJ223">
            <v>5479</v>
          </cell>
          <cell r="AK223">
            <v>547866</v>
          </cell>
          <cell r="AL223">
            <v>350000</v>
          </cell>
          <cell r="AM223">
            <v>343000</v>
          </cell>
          <cell r="AN223">
            <v>0</v>
          </cell>
          <cell r="AO223">
            <v>7000</v>
          </cell>
          <cell r="AP223">
            <v>700000</v>
          </cell>
          <cell r="AQ223">
            <v>135264</v>
          </cell>
          <cell r="AR223">
            <v>132558</v>
          </cell>
          <cell r="AS223">
            <v>0</v>
          </cell>
          <cell r="AT223">
            <v>2705</v>
          </cell>
          <cell r="AU223">
            <v>270527</v>
          </cell>
          <cell r="AV223">
            <v>485264</v>
          </cell>
          <cell r="AW223">
            <v>475558</v>
          </cell>
          <cell r="AX223">
            <v>0</v>
          </cell>
          <cell r="AY223">
            <v>9705</v>
          </cell>
          <cell r="AZ223">
            <v>970527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1083595</v>
          </cell>
          <cell r="BG223">
            <v>1061923</v>
          </cell>
          <cell r="BH223">
            <v>0</v>
          </cell>
          <cell r="BI223">
            <v>21672</v>
          </cell>
          <cell r="BJ223">
            <v>2167190</v>
          </cell>
          <cell r="BK223">
            <v>1083595</v>
          </cell>
          <cell r="BL223">
            <v>1061923</v>
          </cell>
          <cell r="BM223">
            <v>0</v>
          </cell>
          <cell r="BN223">
            <v>21672</v>
          </cell>
          <cell r="BO223">
            <v>2167190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2401636</v>
          </cell>
          <cell r="BV223">
            <v>2353603</v>
          </cell>
          <cell r="BW223">
            <v>0</v>
          </cell>
          <cell r="BX223">
            <v>48033</v>
          </cell>
          <cell r="BY223">
            <v>4803272</v>
          </cell>
          <cell r="BZ223">
            <v>2401636</v>
          </cell>
          <cell r="CA223">
            <v>2353603</v>
          </cell>
          <cell r="CB223">
            <v>0</v>
          </cell>
          <cell r="CC223">
            <v>48033</v>
          </cell>
          <cell r="CD223">
            <v>4803272</v>
          </cell>
        </row>
        <row r="224">
          <cell r="A224">
            <v>217</v>
          </cell>
          <cell r="B224" t="str">
            <v>E3733</v>
          </cell>
          <cell r="C224" t="str">
            <v>SD</v>
          </cell>
          <cell r="D224" t="str">
            <v>WM</v>
          </cell>
          <cell r="E224" t="str">
            <v>Rugby</v>
          </cell>
          <cell r="F224">
            <v>18840132</v>
          </cell>
          <cell r="G224">
            <v>15072105</v>
          </cell>
          <cell r="H224">
            <v>3768026</v>
          </cell>
          <cell r="I224">
            <v>0</v>
          </cell>
          <cell r="J224">
            <v>37680263</v>
          </cell>
          <cell r="K224">
            <v>0</v>
          </cell>
          <cell r="L224">
            <v>0</v>
          </cell>
          <cell r="M224">
            <v>18840132</v>
          </cell>
          <cell r="N224">
            <v>37680263</v>
          </cell>
          <cell r="O224">
            <v>135187</v>
          </cell>
          <cell r="P224">
            <v>135187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502248</v>
          </cell>
          <cell r="AC224">
            <v>401799</v>
          </cell>
          <cell r="AD224">
            <v>100450</v>
          </cell>
          <cell r="AE224">
            <v>0</v>
          </cell>
          <cell r="AF224">
            <v>1004497</v>
          </cell>
          <cell r="AG224">
            <v>286627</v>
          </cell>
          <cell r="AH224">
            <v>229302</v>
          </cell>
          <cell r="AI224">
            <v>57326</v>
          </cell>
          <cell r="AJ224">
            <v>0</v>
          </cell>
          <cell r="AK224">
            <v>573255</v>
          </cell>
          <cell r="AL224">
            <v>75659</v>
          </cell>
          <cell r="AM224">
            <v>60528</v>
          </cell>
          <cell r="AN224">
            <v>15132</v>
          </cell>
          <cell r="AO224">
            <v>0</v>
          </cell>
          <cell r="AP224">
            <v>151319</v>
          </cell>
          <cell r="AQ224">
            <v>13537</v>
          </cell>
          <cell r="AR224">
            <v>10830</v>
          </cell>
          <cell r="AS224">
            <v>2707</v>
          </cell>
          <cell r="AT224">
            <v>0</v>
          </cell>
          <cell r="AU224">
            <v>27074</v>
          </cell>
          <cell r="AV224">
            <v>89196</v>
          </cell>
          <cell r="AW224">
            <v>71358</v>
          </cell>
          <cell r="AX224">
            <v>17839</v>
          </cell>
          <cell r="AY224">
            <v>0</v>
          </cell>
          <cell r="AZ224">
            <v>178393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212237</v>
          </cell>
          <cell r="BG224">
            <v>169789</v>
          </cell>
          <cell r="BH224">
            <v>42447</v>
          </cell>
          <cell r="BI224">
            <v>0</v>
          </cell>
          <cell r="BJ224">
            <v>424473</v>
          </cell>
          <cell r="BK224">
            <v>212237</v>
          </cell>
          <cell r="BL224">
            <v>169789</v>
          </cell>
          <cell r="BM224">
            <v>42447</v>
          </cell>
          <cell r="BN224">
            <v>0</v>
          </cell>
          <cell r="BO224">
            <v>424473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888474</v>
          </cell>
          <cell r="BV224">
            <v>710780</v>
          </cell>
          <cell r="BW224">
            <v>177695</v>
          </cell>
          <cell r="BX224">
            <v>0</v>
          </cell>
          <cell r="BY224">
            <v>1776949</v>
          </cell>
          <cell r="BZ224">
            <v>888474</v>
          </cell>
          <cell r="CA224">
            <v>710780</v>
          </cell>
          <cell r="CB224">
            <v>177695</v>
          </cell>
          <cell r="CC224">
            <v>0</v>
          </cell>
          <cell r="CD224">
            <v>1776949</v>
          </cell>
        </row>
        <row r="225">
          <cell r="A225">
            <v>218</v>
          </cell>
          <cell r="B225" t="str">
            <v>E3636</v>
          </cell>
          <cell r="C225" t="str">
            <v>SD</v>
          </cell>
          <cell r="D225" t="str">
            <v>SE</v>
          </cell>
          <cell r="E225" t="str">
            <v>Runnymede</v>
          </cell>
          <cell r="F225">
            <v>20178675</v>
          </cell>
          <cell r="G225">
            <v>16142940</v>
          </cell>
          <cell r="H225">
            <v>4035735</v>
          </cell>
          <cell r="I225">
            <v>0</v>
          </cell>
          <cell r="J225">
            <v>40357350</v>
          </cell>
          <cell r="K225">
            <v>0</v>
          </cell>
          <cell r="L225">
            <v>0</v>
          </cell>
          <cell r="M225">
            <v>20178675</v>
          </cell>
          <cell r="N225">
            <v>40357350</v>
          </cell>
          <cell r="O225">
            <v>128572</v>
          </cell>
          <cell r="P225">
            <v>128572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678539</v>
          </cell>
          <cell r="AC225">
            <v>542832</v>
          </cell>
          <cell r="AD225">
            <v>135708</v>
          </cell>
          <cell r="AE225">
            <v>0</v>
          </cell>
          <cell r="AF225">
            <v>1357079</v>
          </cell>
          <cell r="AG225">
            <v>-413280</v>
          </cell>
          <cell r="AH225">
            <v>-330624</v>
          </cell>
          <cell r="AI225">
            <v>-82656</v>
          </cell>
          <cell r="AJ225">
            <v>0</v>
          </cell>
          <cell r="AK225">
            <v>-826560</v>
          </cell>
          <cell r="AL225">
            <v>188000</v>
          </cell>
          <cell r="AM225">
            <v>150400</v>
          </cell>
          <cell r="AN225">
            <v>37600</v>
          </cell>
          <cell r="AO225">
            <v>0</v>
          </cell>
          <cell r="AP225">
            <v>376000</v>
          </cell>
          <cell r="AQ225">
            <v>176600</v>
          </cell>
          <cell r="AR225">
            <v>141280</v>
          </cell>
          <cell r="AS225">
            <v>35320</v>
          </cell>
          <cell r="AT225">
            <v>0</v>
          </cell>
          <cell r="AU225">
            <v>353200</v>
          </cell>
          <cell r="AV225">
            <v>364600</v>
          </cell>
          <cell r="AW225">
            <v>291680</v>
          </cell>
          <cell r="AX225">
            <v>72920</v>
          </cell>
          <cell r="AY225">
            <v>0</v>
          </cell>
          <cell r="AZ225">
            <v>729200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286602</v>
          </cell>
          <cell r="BG225">
            <v>229282</v>
          </cell>
          <cell r="BH225">
            <v>57321</v>
          </cell>
          <cell r="BI225">
            <v>0</v>
          </cell>
          <cell r="BJ225">
            <v>573205</v>
          </cell>
          <cell r="BK225">
            <v>286602</v>
          </cell>
          <cell r="BL225">
            <v>229282</v>
          </cell>
          <cell r="BM225">
            <v>57321</v>
          </cell>
          <cell r="BN225">
            <v>0</v>
          </cell>
          <cell r="BO225">
            <v>573205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828774</v>
          </cell>
          <cell r="BV225">
            <v>663020</v>
          </cell>
          <cell r="BW225">
            <v>165755</v>
          </cell>
          <cell r="BX225">
            <v>0</v>
          </cell>
          <cell r="BY225">
            <v>1657549</v>
          </cell>
          <cell r="BZ225">
            <v>828774</v>
          </cell>
          <cell r="CA225">
            <v>663020</v>
          </cell>
          <cell r="CB225">
            <v>165755</v>
          </cell>
          <cell r="CC225">
            <v>0</v>
          </cell>
          <cell r="CD225">
            <v>1657549</v>
          </cell>
        </row>
        <row r="226">
          <cell r="A226">
            <v>219</v>
          </cell>
          <cell r="B226" t="str">
            <v>E3038</v>
          </cell>
          <cell r="C226" t="str">
            <v>SD</v>
          </cell>
          <cell r="D226" t="str">
            <v>EM</v>
          </cell>
          <cell r="E226" t="str">
            <v>Rushcliffe</v>
          </cell>
          <cell r="F226">
            <v>12410145</v>
          </cell>
          <cell r="G226">
            <v>9928116</v>
          </cell>
          <cell r="H226">
            <v>2233826</v>
          </cell>
          <cell r="I226">
            <v>248203</v>
          </cell>
          <cell r="J226">
            <v>24820290</v>
          </cell>
          <cell r="K226">
            <v>0</v>
          </cell>
          <cell r="L226">
            <v>0</v>
          </cell>
          <cell r="M226">
            <v>12410145</v>
          </cell>
          <cell r="N226">
            <v>24820290</v>
          </cell>
          <cell r="O226">
            <v>110790</v>
          </cell>
          <cell r="P226">
            <v>110790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262143.29</v>
          </cell>
          <cell r="AC226">
            <v>209715</v>
          </cell>
          <cell r="AD226">
            <v>47186</v>
          </cell>
          <cell r="AE226">
            <v>5243</v>
          </cell>
          <cell r="AF226">
            <v>524287.29</v>
          </cell>
          <cell r="AG226">
            <v>187890.31</v>
          </cell>
          <cell r="AH226">
            <v>150312</v>
          </cell>
          <cell r="AI226">
            <v>33820</v>
          </cell>
          <cell r="AJ226">
            <v>3758</v>
          </cell>
          <cell r="AK226">
            <v>375780.31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-65800</v>
          </cell>
          <cell r="AR226">
            <v>-52640</v>
          </cell>
          <cell r="AS226">
            <v>-11844</v>
          </cell>
          <cell r="AT226">
            <v>-1316</v>
          </cell>
          <cell r="AU226">
            <v>-131600</v>
          </cell>
          <cell r="AV226">
            <v>-65800</v>
          </cell>
          <cell r="AW226">
            <v>-52640</v>
          </cell>
          <cell r="AX226">
            <v>-11844</v>
          </cell>
          <cell r="AY226">
            <v>-1316</v>
          </cell>
          <cell r="AZ226">
            <v>-131600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171111</v>
          </cell>
          <cell r="BG226">
            <v>136889</v>
          </cell>
          <cell r="BH226">
            <v>30800</v>
          </cell>
          <cell r="BI226">
            <v>3422</v>
          </cell>
          <cell r="BJ226">
            <v>342222</v>
          </cell>
          <cell r="BK226">
            <v>171111</v>
          </cell>
          <cell r="BL226">
            <v>136889</v>
          </cell>
          <cell r="BM226">
            <v>30800</v>
          </cell>
          <cell r="BN226">
            <v>3422</v>
          </cell>
          <cell r="BO226">
            <v>342222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474097</v>
          </cell>
          <cell r="BV226">
            <v>379278</v>
          </cell>
          <cell r="BW226">
            <v>85338</v>
          </cell>
          <cell r="BX226">
            <v>9482</v>
          </cell>
          <cell r="BY226">
            <v>948195</v>
          </cell>
          <cell r="BZ226">
            <v>474097</v>
          </cell>
          <cell r="CA226">
            <v>379278</v>
          </cell>
          <cell r="CB226">
            <v>85338</v>
          </cell>
          <cell r="CC226">
            <v>9482</v>
          </cell>
          <cell r="CD226">
            <v>948195</v>
          </cell>
        </row>
        <row r="227">
          <cell r="A227">
            <v>220</v>
          </cell>
          <cell r="B227" t="str">
            <v>E1740</v>
          </cell>
          <cell r="C227" t="str">
            <v>SD</v>
          </cell>
          <cell r="D227" t="str">
            <v>SE</v>
          </cell>
          <cell r="E227" t="str">
            <v>Rushmoor</v>
          </cell>
          <cell r="F227">
            <v>16158769</v>
          </cell>
          <cell r="G227">
            <v>12927016</v>
          </cell>
          <cell r="H227">
            <v>2908579</v>
          </cell>
          <cell r="I227">
            <v>323175</v>
          </cell>
          <cell r="J227">
            <v>32317539</v>
          </cell>
          <cell r="K227">
            <v>0</v>
          </cell>
          <cell r="L227">
            <v>0</v>
          </cell>
          <cell r="M227">
            <v>16158769</v>
          </cell>
          <cell r="N227">
            <v>32317539</v>
          </cell>
          <cell r="O227">
            <v>124561</v>
          </cell>
          <cell r="P227">
            <v>124561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698607</v>
          </cell>
          <cell r="AC227">
            <v>558886</v>
          </cell>
          <cell r="AD227">
            <v>125749</v>
          </cell>
          <cell r="AE227">
            <v>13972</v>
          </cell>
          <cell r="AF227">
            <v>1397214</v>
          </cell>
          <cell r="AG227">
            <v>580230</v>
          </cell>
          <cell r="AH227">
            <v>464184</v>
          </cell>
          <cell r="AI227">
            <v>104441</v>
          </cell>
          <cell r="AJ227">
            <v>11605</v>
          </cell>
          <cell r="AK227">
            <v>1160460</v>
          </cell>
          <cell r="AL227">
            <v>119801</v>
          </cell>
          <cell r="AM227">
            <v>95840</v>
          </cell>
          <cell r="AN227">
            <v>21564</v>
          </cell>
          <cell r="AO227">
            <v>2396</v>
          </cell>
          <cell r="AP227">
            <v>239601</v>
          </cell>
          <cell r="AQ227">
            <v>42376.73</v>
          </cell>
          <cell r="AR227">
            <v>33902</v>
          </cell>
          <cell r="AS227">
            <v>7628</v>
          </cell>
          <cell r="AT227">
            <v>848</v>
          </cell>
          <cell r="AU227">
            <v>84754.73</v>
          </cell>
          <cell r="AV227">
            <v>162177.73000000001</v>
          </cell>
          <cell r="AW227">
            <v>129742</v>
          </cell>
          <cell r="AX227">
            <v>29192</v>
          </cell>
          <cell r="AY227">
            <v>3244</v>
          </cell>
          <cell r="AZ227">
            <v>324355.73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1516279</v>
          </cell>
          <cell r="BG227">
            <v>1213023</v>
          </cell>
          <cell r="BH227">
            <v>272930</v>
          </cell>
          <cell r="BI227">
            <v>30326</v>
          </cell>
          <cell r="BJ227">
            <v>3032558</v>
          </cell>
          <cell r="BK227">
            <v>1516279</v>
          </cell>
          <cell r="BL227">
            <v>1213023</v>
          </cell>
          <cell r="BM227">
            <v>272930</v>
          </cell>
          <cell r="BN227">
            <v>30326</v>
          </cell>
          <cell r="BO227">
            <v>3032558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3831786</v>
          </cell>
          <cell r="BV227">
            <v>3065430</v>
          </cell>
          <cell r="BW227">
            <v>689722</v>
          </cell>
          <cell r="BX227">
            <v>76636</v>
          </cell>
          <cell r="BY227">
            <v>7663574</v>
          </cell>
          <cell r="BZ227">
            <v>3831786</v>
          </cell>
          <cell r="CA227">
            <v>3065430</v>
          </cell>
          <cell r="CB227">
            <v>689722</v>
          </cell>
          <cell r="CC227">
            <v>76636</v>
          </cell>
          <cell r="CD227">
            <v>7663574</v>
          </cell>
        </row>
        <row r="228">
          <cell r="A228">
            <v>221</v>
          </cell>
          <cell r="B228" t="str">
            <v>E2402</v>
          </cell>
          <cell r="C228" t="str">
            <v>UA</v>
          </cell>
          <cell r="D228" t="str">
            <v>EM</v>
          </cell>
          <cell r="E228" t="str">
            <v>Rutland UA</v>
          </cell>
          <cell r="F228">
            <v>4602424</v>
          </cell>
          <cell r="G228">
            <v>4510376</v>
          </cell>
          <cell r="H228">
            <v>0</v>
          </cell>
          <cell r="I228">
            <v>92048</v>
          </cell>
          <cell r="J228">
            <v>9204848</v>
          </cell>
          <cell r="K228">
            <v>0</v>
          </cell>
          <cell r="L228">
            <v>0</v>
          </cell>
          <cell r="M228">
            <v>4602424</v>
          </cell>
          <cell r="N228">
            <v>9204848</v>
          </cell>
          <cell r="O228">
            <v>53206</v>
          </cell>
          <cell r="P228">
            <v>53206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104210</v>
          </cell>
          <cell r="AC228">
            <v>102125</v>
          </cell>
          <cell r="AD228">
            <v>0</v>
          </cell>
          <cell r="AE228">
            <v>2084</v>
          </cell>
          <cell r="AF228">
            <v>208419</v>
          </cell>
          <cell r="AG228">
            <v>47908</v>
          </cell>
          <cell r="AH228">
            <v>46949</v>
          </cell>
          <cell r="AI228">
            <v>0</v>
          </cell>
          <cell r="AJ228">
            <v>958</v>
          </cell>
          <cell r="AK228">
            <v>95815</v>
          </cell>
          <cell r="AL228">
            <v>46770</v>
          </cell>
          <cell r="AM228">
            <v>45835</v>
          </cell>
          <cell r="AN228">
            <v>0</v>
          </cell>
          <cell r="AO228">
            <v>935</v>
          </cell>
          <cell r="AP228">
            <v>93540</v>
          </cell>
          <cell r="AQ228">
            <v>5335</v>
          </cell>
          <cell r="AR228">
            <v>5228</v>
          </cell>
          <cell r="AS228">
            <v>0</v>
          </cell>
          <cell r="AT228">
            <v>107</v>
          </cell>
          <cell r="AU228">
            <v>10670</v>
          </cell>
          <cell r="AV228">
            <v>52105</v>
          </cell>
          <cell r="AW228">
            <v>51063</v>
          </cell>
          <cell r="AX228">
            <v>0</v>
          </cell>
          <cell r="AY228">
            <v>1042</v>
          </cell>
          <cell r="AZ228">
            <v>104210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69215.19</v>
          </cell>
          <cell r="BG228">
            <v>67831</v>
          </cell>
          <cell r="BH228">
            <v>0</v>
          </cell>
          <cell r="BI228">
            <v>1384</v>
          </cell>
          <cell r="BJ228">
            <v>138430.19</v>
          </cell>
          <cell r="BK228">
            <v>69215.19</v>
          </cell>
          <cell r="BL228">
            <v>67831</v>
          </cell>
          <cell r="BM228">
            <v>0</v>
          </cell>
          <cell r="BN228">
            <v>1384</v>
          </cell>
          <cell r="BO228">
            <v>138430.19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139872.21</v>
          </cell>
          <cell r="BV228">
            <v>137074</v>
          </cell>
          <cell r="BW228">
            <v>0</v>
          </cell>
          <cell r="BX228">
            <v>2797</v>
          </cell>
          <cell r="BY228">
            <v>279743.21000000002</v>
          </cell>
          <cell r="BZ228">
            <v>139872.21</v>
          </cell>
          <cell r="CA228">
            <v>137074</v>
          </cell>
          <cell r="CB228">
            <v>0</v>
          </cell>
          <cell r="CC228">
            <v>2797</v>
          </cell>
          <cell r="CD228">
            <v>279743.21000000002</v>
          </cell>
        </row>
        <row r="229">
          <cell r="A229">
            <v>222</v>
          </cell>
          <cell r="B229" t="str">
            <v>E2755</v>
          </cell>
          <cell r="C229" t="str">
            <v>SD</v>
          </cell>
          <cell r="D229" t="str">
            <v>YH</v>
          </cell>
          <cell r="E229" t="str">
            <v>Ryedale</v>
          </cell>
          <cell r="F229">
            <v>6928673</v>
          </cell>
          <cell r="G229">
            <v>5542938</v>
          </cell>
          <cell r="H229">
            <v>1247161</v>
          </cell>
          <cell r="I229">
            <v>138573</v>
          </cell>
          <cell r="J229">
            <v>13857345</v>
          </cell>
          <cell r="K229">
            <v>0</v>
          </cell>
          <cell r="L229">
            <v>0</v>
          </cell>
          <cell r="M229">
            <v>6928673</v>
          </cell>
          <cell r="N229">
            <v>13857345</v>
          </cell>
          <cell r="O229">
            <v>111364</v>
          </cell>
          <cell r="P229">
            <v>111364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105579.13</v>
          </cell>
          <cell r="AC229">
            <v>84464</v>
          </cell>
          <cell r="AD229">
            <v>19004</v>
          </cell>
          <cell r="AE229">
            <v>2112</v>
          </cell>
          <cell r="AF229">
            <v>211159.13</v>
          </cell>
          <cell r="AG229">
            <v>74691</v>
          </cell>
          <cell r="AH229">
            <v>59754</v>
          </cell>
          <cell r="AI229">
            <v>13445</v>
          </cell>
          <cell r="AJ229">
            <v>1494</v>
          </cell>
          <cell r="AK229">
            <v>149384</v>
          </cell>
          <cell r="AL229">
            <v>50000</v>
          </cell>
          <cell r="AM229">
            <v>40000</v>
          </cell>
          <cell r="AN229">
            <v>9000</v>
          </cell>
          <cell r="AO229">
            <v>1000</v>
          </cell>
          <cell r="AP229">
            <v>100000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50000</v>
          </cell>
          <cell r="AW229">
            <v>40000</v>
          </cell>
          <cell r="AX229">
            <v>9000</v>
          </cell>
          <cell r="AY229">
            <v>1000</v>
          </cell>
          <cell r="AZ229">
            <v>100000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169000</v>
          </cell>
          <cell r="BG229">
            <v>135200</v>
          </cell>
          <cell r="BH229">
            <v>30420</v>
          </cell>
          <cell r="BI229">
            <v>3380</v>
          </cell>
          <cell r="BJ229">
            <v>338000</v>
          </cell>
          <cell r="BK229">
            <v>169000</v>
          </cell>
          <cell r="BL229">
            <v>135200</v>
          </cell>
          <cell r="BM229">
            <v>30420</v>
          </cell>
          <cell r="BN229">
            <v>3380</v>
          </cell>
          <cell r="BO229">
            <v>338000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465500</v>
          </cell>
          <cell r="BV229">
            <v>372400</v>
          </cell>
          <cell r="BW229">
            <v>83790</v>
          </cell>
          <cell r="BX229">
            <v>9310</v>
          </cell>
          <cell r="BY229">
            <v>931000</v>
          </cell>
          <cell r="BZ229">
            <v>465500</v>
          </cell>
          <cell r="CA229">
            <v>372400</v>
          </cell>
          <cell r="CB229">
            <v>83790</v>
          </cell>
          <cell r="CC229">
            <v>9310</v>
          </cell>
          <cell r="CD229">
            <v>931000</v>
          </cell>
        </row>
        <row r="230">
          <cell r="A230">
            <v>223</v>
          </cell>
          <cell r="B230" t="str">
            <v>E4206</v>
          </cell>
          <cell r="C230" t="str">
            <v>Met</v>
          </cell>
          <cell r="D230" t="str">
            <v>NW</v>
          </cell>
          <cell r="E230" t="str">
            <v>Salford</v>
          </cell>
          <cell r="F230">
            <v>44071807</v>
          </cell>
          <cell r="G230">
            <v>43190371</v>
          </cell>
          <cell r="H230">
            <v>0</v>
          </cell>
          <cell r="I230">
            <v>881436</v>
          </cell>
          <cell r="J230">
            <v>88143614</v>
          </cell>
          <cell r="K230">
            <v>0</v>
          </cell>
          <cell r="L230">
            <v>0</v>
          </cell>
          <cell r="M230">
            <v>44071807</v>
          </cell>
          <cell r="N230">
            <v>88143614</v>
          </cell>
          <cell r="O230">
            <v>439400</v>
          </cell>
          <cell r="P230">
            <v>439400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9709935</v>
          </cell>
          <cell r="AC230">
            <v>9515737</v>
          </cell>
          <cell r="AD230">
            <v>0</v>
          </cell>
          <cell r="AE230">
            <v>194199</v>
          </cell>
          <cell r="AF230">
            <v>19419871</v>
          </cell>
          <cell r="AG230">
            <v>1674393</v>
          </cell>
          <cell r="AH230">
            <v>1640905</v>
          </cell>
          <cell r="AI230">
            <v>0</v>
          </cell>
          <cell r="AJ230">
            <v>33488</v>
          </cell>
          <cell r="AK230">
            <v>3348786</v>
          </cell>
          <cell r="AL230">
            <v>2803467</v>
          </cell>
          <cell r="AM230">
            <v>2747398</v>
          </cell>
          <cell r="AN230">
            <v>0</v>
          </cell>
          <cell r="AO230">
            <v>56069</v>
          </cell>
          <cell r="AP230">
            <v>5606934</v>
          </cell>
          <cell r="AQ230">
            <v>1640031</v>
          </cell>
          <cell r="AR230">
            <v>1607231</v>
          </cell>
          <cell r="AS230">
            <v>0</v>
          </cell>
          <cell r="AT230">
            <v>32801</v>
          </cell>
          <cell r="AU230">
            <v>3280063</v>
          </cell>
          <cell r="AV230">
            <v>4443498</v>
          </cell>
          <cell r="AW230">
            <v>4354629</v>
          </cell>
          <cell r="AX230">
            <v>0</v>
          </cell>
          <cell r="AY230">
            <v>88870</v>
          </cell>
          <cell r="AZ230">
            <v>8886997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1004986</v>
          </cell>
          <cell r="BG230">
            <v>984887</v>
          </cell>
          <cell r="BH230">
            <v>0</v>
          </cell>
          <cell r="BI230">
            <v>20100</v>
          </cell>
          <cell r="BJ230">
            <v>2009973</v>
          </cell>
          <cell r="BK230">
            <v>1004986</v>
          </cell>
          <cell r="BL230">
            <v>984887</v>
          </cell>
          <cell r="BM230">
            <v>0</v>
          </cell>
          <cell r="BN230">
            <v>20100</v>
          </cell>
          <cell r="BO230">
            <v>2009973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2270045</v>
          </cell>
          <cell r="BV230">
            <v>2224645</v>
          </cell>
          <cell r="BW230">
            <v>0</v>
          </cell>
          <cell r="BX230">
            <v>45401</v>
          </cell>
          <cell r="BY230">
            <v>4540091</v>
          </cell>
          <cell r="BZ230">
            <v>2270045</v>
          </cell>
          <cell r="CA230">
            <v>2224645</v>
          </cell>
          <cell r="CB230">
            <v>0</v>
          </cell>
          <cell r="CC230">
            <v>45401</v>
          </cell>
          <cell r="CD230">
            <v>4540091</v>
          </cell>
        </row>
        <row r="231">
          <cell r="A231">
            <v>224</v>
          </cell>
          <cell r="B231" t="str">
            <v>E4604</v>
          </cell>
          <cell r="C231" t="str">
            <v>Met</v>
          </cell>
          <cell r="D231" t="str">
            <v>WM</v>
          </cell>
          <cell r="E231" t="str">
            <v>Sandwell</v>
          </cell>
          <cell r="F231">
            <v>47452758</v>
          </cell>
          <cell r="G231">
            <v>46503702</v>
          </cell>
          <cell r="H231">
            <v>0</v>
          </cell>
          <cell r="I231">
            <v>949055</v>
          </cell>
          <cell r="J231">
            <v>94905515</v>
          </cell>
          <cell r="K231">
            <v>0</v>
          </cell>
          <cell r="L231">
            <v>0</v>
          </cell>
          <cell r="M231">
            <v>47452758</v>
          </cell>
          <cell r="N231">
            <v>94905515</v>
          </cell>
          <cell r="O231">
            <v>438871</v>
          </cell>
          <cell r="P231">
            <v>438871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2462509</v>
          </cell>
          <cell r="AC231">
            <v>2413258</v>
          </cell>
          <cell r="AD231">
            <v>0</v>
          </cell>
          <cell r="AE231">
            <v>49250</v>
          </cell>
          <cell r="AF231">
            <v>4925017</v>
          </cell>
          <cell r="AG231">
            <v>-530830</v>
          </cell>
          <cell r="AH231">
            <v>-520213</v>
          </cell>
          <cell r="AI231">
            <v>0</v>
          </cell>
          <cell r="AJ231">
            <v>-10617</v>
          </cell>
          <cell r="AK231">
            <v>-1061660</v>
          </cell>
          <cell r="AL231">
            <v>746370</v>
          </cell>
          <cell r="AM231">
            <v>731443</v>
          </cell>
          <cell r="AN231">
            <v>0</v>
          </cell>
          <cell r="AO231">
            <v>14927</v>
          </cell>
          <cell r="AP231">
            <v>1492740</v>
          </cell>
          <cell r="AQ231">
            <v>-35513</v>
          </cell>
          <cell r="AR231">
            <v>-34803</v>
          </cell>
          <cell r="AS231">
            <v>0</v>
          </cell>
          <cell r="AT231">
            <v>-710</v>
          </cell>
          <cell r="AU231">
            <v>-71026</v>
          </cell>
          <cell r="AV231">
            <v>710857</v>
          </cell>
          <cell r="AW231">
            <v>696640</v>
          </cell>
          <cell r="AX231">
            <v>0</v>
          </cell>
          <cell r="AY231">
            <v>14217</v>
          </cell>
          <cell r="AZ231">
            <v>1421714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550000</v>
          </cell>
          <cell r="BG231">
            <v>539000</v>
          </cell>
          <cell r="BH231">
            <v>0</v>
          </cell>
          <cell r="BI231">
            <v>11000</v>
          </cell>
          <cell r="BJ231">
            <v>1100000</v>
          </cell>
          <cell r="BK231">
            <v>550000</v>
          </cell>
          <cell r="BL231">
            <v>539000</v>
          </cell>
          <cell r="BM231">
            <v>0</v>
          </cell>
          <cell r="BN231">
            <v>11000</v>
          </cell>
          <cell r="BO231">
            <v>1100000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500000</v>
          </cell>
          <cell r="BV231">
            <v>490000</v>
          </cell>
          <cell r="BW231">
            <v>0</v>
          </cell>
          <cell r="BX231">
            <v>10000</v>
          </cell>
          <cell r="BY231">
            <v>1000000</v>
          </cell>
          <cell r="BZ231">
            <v>500000</v>
          </cell>
          <cell r="CA231">
            <v>490000</v>
          </cell>
          <cell r="CB231">
            <v>0</v>
          </cell>
          <cell r="CC231">
            <v>10000</v>
          </cell>
          <cell r="CD231">
            <v>1000000</v>
          </cell>
        </row>
        <row r="232">
          <cell r="A232">
            <v>225</v>
          </cell>
          <cell r="B232" t="str">
            <v>E2736</v>
          </cell>
          <cell r="C232" t="str">
            <v>SD</v>
          </cell>
          <cell r="D232" t="str">
            <v>YH</v>
          </cell>
          <cell r="E232" t="str">
            <v>Scarborough</v>
          </cell>
          <cell r="F232">
            <v>14524603</v>
          </cell>
          <cell r="G232">
            <v>11619683</v>
          </cell>
          <cell r="H232">
            <v>2614429</v>
          </cell>
          <cell r="I232">
            <v>290492</v>
          </cell>
          <cell r="J232">
            <v>29049207</v>
          </cell>
          <cell r="K232">
            <v>0</v>
          </cell>
          <cell r="L232">
            <v>0</v>
          </cell>
          <cell r="M232">
            <v>14524603</v>
          </cell>
          <cell r="N232">
            <v>29049207</v>
          </cell>
          <cell r="O232">
            <v>247588</v>
          </cell>
          <cell r="P232">
            <v>247588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650128</v>
          </cell>
          <cell r="AC232">
            <v>520102</v>
          </cell>
          <cell r="AD232">
            <v>117023</v>
          </cell>
          <cell r="AE232">
            <v>13003</v>
          </cell>
          <cell r="AF232">
            <v>1300256</v>
          </cell>
          <cell r="AG232">
            <v>378636</v>
          </cell>
          <cell r="AH232">
            <v>302908</v>
          </cell>
          <cell r="AI232">
            <v>68154</v>
          </cell>
          <cell r="AJ232">
            <v>7573</v>
          </cell>
          <cell r="AK232">
            <v>757271</v>
          </cell>
          <cell r="AL232">
            <v>235697</v>
          </cell>
          <cell r="AM232">
            <v>188558</v>
          </cell>
          <cell r="AN232">
            <v>42426</v>
          </cell>
          <cell r="AO232">
            <v>4714</v>
          </cell>
          <cell r="AP232">
            <v>471395</v>
          </cell>
          <cell r="AQ232">
            <v>68708</v>
          </cell>
          <cell r="AR232">
            <v>54966</v>
          </cell>
          <cell r="AS232">
            <v>12367</v>
          </cell>
          <cell r="AT232">
            <v>1374</v>
          </cell>
          <cell r="AU232">
            <v>137415</v>
          </cell>
          <cell r="AV232">
            <v>304405</v>
          </cell>
          <cell r="AW232">
            <v>243524</v>
          </cell>
          <cell r="AX232">
            <v>54793</v>
          </cell>
          <cell r="AY232">
            <v>6088</v>
          </cell>
          <cell r="AZ232">
            <v>608810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494591</v>
          </cell>
          <cell r="BG232">
            <v>395674</v>
          </cell>
          <cell r="BH232">
            <v>89027</v>
          </cell>
          <cell r="BI232">
            <v>9892</v>
          </cell>
          <cell r="BJ232">
            <v>989184</v>
          </cell>
          <cell r="BK232">
            <v>494591</v>
          </cell>
          <cell r="BL232">
            <v>395674</v>
          </cell>
          <cell r="BM232">
            <v>89027</v>
          </cell>
          <cell r="BN232">
            <v>9892</v>
          </cell>
          <cell r="BO232">
            <v>989184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1311889</v>
          </cell>
          <cell r="BV232">
            <v>1049512</v>
          </cell>
          <cell r="BW232">
            <v>236140</v>
          </cell>
          <cell r="BX232">
            <v>26238</v>
          </cell>
          <cell r="BY232">
            <v>2623779</v>
          </cell>
          <cell r="BZ232">
            <v>1311889</v>
          </cell>
          <cell r="CA232">
            <v>1049512</v>
          </cell>
          <cell r="CB232">
            <v>236140</v>
          </cell>
          <cell r="CC232">
            <v>26238</v>
          </cell>
          <cell r="CD232">
            <v>2623779</v>
          </cell>
        </row>
        <row r="233">
          <cell r="A233">
            <v>226</v>
          </cell>
          <cell r="B233" t="str">
            <v>E3332</v>
          </cell>
          <cell r="C233" t="str">
            <v>SD</v>
          </cell>
          <cell r="D233" t="str">
            <v>SW</v>
          </cell>
          <cell r="E233" t="str">
            <v>Sedgemoor</v>
          </cell>
          <cell r="F233">
            <v>15811141</v>
          </cell>
          <cell r="G233">
            <v>12648914</v>
          </cell>
          <cell r="H233">
            <v>2846006</v>
          </cell>
          <cell r="I233">
            <v>316223</v>
          </cell>
          <cell r="J233">
            <v>31622284</v>
          </cell>
          <cell r="K233">
            <v>0</v>
          </cell>
          <cell r="L233">
            <v>0</v>
          </cell>
          <cell r="M233">
            <v>15811141</v>
          </cell>
          <cell r="N233">
            <v>31622284</v>
          </cell>
          <cell r="O233">
            <v>162353</v>
          </cell>
          <cell r="P233">
            <v>162353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507</v>
          </cell>
          <cell r="V233">
            <v>0</v>
          </cell>
          <cell r="W233">
            <v>507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583171</v>
          </cell>
          <cell r="AC233">
            <v>466537</v>
          </cell>
          <cell r="AD233">
            <v>104971</v>
          </cell>
          <cell r="AE233">
            <v>11663</v>
          </cell>
          <cell r="AF233">
            <v>1166342</v>
          </cell>
          <cell r="AG233">
            <v>146065</v>
          </cell>
          <cell r="AH233">
            <v>116852</v>
          </cell>
          <cell r="AI233">
            <v>26292</v>
          </cell>
          <cell r="AJ233">
            <v>2921</v>
          </cell>
          <cell r="AK233">
            <v>292130</v>
          </cell>
          <cell r="AL233">
            <v>111704</v>
          </cell>
          <cell r="AM233">
            <v>89364</v>
          </cell>
          <cell r="AN233">
            <v>20106</v>
          </cell>
          <cell r="AO233">
            <v>2234</v>
          </cell>
          <cell r="AP233">
            <v>223408</v>
          </cell>
          <cell r="AQ233">
            <v>139102</v>
          </cell>
          <cell r="AR233">
            <v>111281</v>
          </cell>
          <cell r="AS233">
            <v>25038</v>
          </cell>
          <cell r="AT233">
            <v>2782</v>
          </cell>
          <cell r="AU233">
            <v>278203</v>
          </cell>
          <cell r="AV233">
            <v>250806</v>
          </cell>
          <cell r="AW233">
            <v>200645</v>
          </cell>
          <cell r="AX233">
            <v>45144</v>
          </cell>
          <cell r="AY233">
            <v>5016</v>
          </cell>
          <cell r="AZ233">
            <v>501611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435699</v>
          </cell>
          <cell r="BG233">
            <v>348559</v>
          </cell>
          <cell r="BH233">
            <v>78426</v>
          </cell>
          <cell r="BI233">
            <v>8714</v>
          </cell>
          <cell r="BJ233">
            <v>871398</v>
          </cell>
          <cell r="BK233">
            <v>435699</v>
          </cell>
          <cell r="BL233">
            <v>348559</v>
          </cell>
          <cell r="BM233">
            <v>78426</v>
          </cell>
          <cell r="BN233">
            <v>8714</v>
          </cell>
          <cell r="BO233">
            <v>871398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1099297</v>
          </cell>
          <cell r="BV233">
            <v>879438</v>
          </cell>
          <cell r="BW233">
            <v>197873</v>
          </cell>
          <cell r="BX233">
            <v>21986</v>
          </cell>
          <cell r="BY233">
            <v>2198594</v>
          </cell>
          <cell r="BZ233">
            <v>1099297</v>
          </cell>
          <cell r="CA233">
            <v>879438</v>
          </cell>
          <cell r="CB233">
            <v>197873</v>
          </cell>
          <cell r="CC233">
            <v>21986</v>
          </cell>
          <cell r="CD233">
            <v>2198594</v>
          </cell>
        </row>
        <row r="234">
          <cell r="A234">
            <v>227</v>
          </cell>
          <cell r="B234" t="str">
            <v>E4304</v>
          </cell>
          <cell r="C234" t="str">
            <v>Met</v>
          </cell>
          <cell r="D234" t="str">
            <v>NW</v>
          </cell>
          <cell r="E234" t="str">
            <v>Sefton</v>
          </cell>
          <cell r="F234">
            <v>31002186</v>
          </cell>
          <cell r="G234">
            <v>30382142</v>
          </cell>
          <cell r="H234">
            <v>0</v>
          </cell>
          <cell r="I234">
            <v>620044</v>
          </cell>
          <cell r="J234">
            <v>62004372</v>
          </cell>
          <cell r="K234">
            <v>0</v>
          </cell>
          <cell r="L234">
            <v>0</v>
          </cell>
          <cell r="M234">
            <v>31002186</v>
          </cell>
          <cell r="N234">
            <v>62004372</v>
          </cell>
          <cell r="O234">
            <v>322252</v>
          </cell>
          <cell r="P234">
            <v>322252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1781818</v>
          </cell>
          <cell r="AC234">
            <v>1746182</v>
          </cell>
          <cell r="AD234">
            <v>0</v>
          </cell>
          <cell r="AE234">
            <v>35636</v>
          </cell>
          <cell r="AF234">
            <v>3563636</v>
          </cell>
          <cell r="AG234">
            <v>211683</v>
          </cell>
          <cell r="AH234">
            <v>207450</v>
          </cell>
          <cell r="AI234">
            <v>0</v>
          </cell>
          <cell r="AJ234">
            <v>4234</v>
          </cell>
          <cell r="AK234">
            <v>423367</v>
          </cell>
          <cell r="AL234">
            <v>1204635</v>
          </cell>
          <cell r="AM234">
            <v>1180542</v>
          </cell>
          <cell r="AN234">
            <v>0</v>
          </cell>
          <cell r="AO234">
            <v>24093</v>
          </cell>
          <cell r="AP234">
            <v>2409270</v>
          </cell>
          <cell r="AQ234">
            <v>-445085</v>
          </cell>
          <cell r="AR234">
            <v>-436183</v>
          </cell>
          <cell r="AS234">
            <v>0</v>
          </cell>
          <cell r="AT234">
            <v>-8902</v>
          </cell>
          <cell r="AU234">
            <v>-890170</v>
          </cell>
          <cell r="AV234">
            <v>759550</v>
          </cell>
          <cell r="AW234">
            <v>744359</v>
          </cell>
          <cell r="AX234">
            <v>0</v>
          </cell>
          <cell r="AY234">
            <v>15191</v>
          </cell>
          <cell r="AZ234">
            <v>1519100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663800</v>
          </cell>
          <cell r="BG234">
            <v>650524</v>
          </cell>
          <cell r="BH234">
            <v>0</v>
          </cell>
          <cell r="BI234">
            <v>13276</v>
          </cell>
          <cell r="BJ234">
            <v>1327600</v>
          </cell>
          <cell r="BK234">
            <v>663800</v>
          </cell>
          <cell r="BL234">
            <v>650524</v>
          </cell>
          <cell r="BM234">
            <v>0</v>
          </cell>
          <cell r="BN234">
            <v>13276</v>
          </cell>
          <cell r="BO234">
            <v>1327600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1654000</v>
          </cell>
          <cell r="BV234">
            <v>1620920</v>
          </cell>
          <cell r="BW234">
            <v>0</v>
          </cell>
          <cell r="BX234">
            <v>33080</v>
          </cell>
          <cell r="BY234">
            <v>3308000</v>
          </cell>
          <cell r="BZ234">
            <v>1654000</v>
          </cell>
          <cell r="CA234">
            <v>1620920</v>
          </cell>
          <cell r="CB234">
            <v>0</v>
          </cell>
          <cell r="CC234">
            <v>33080</v>
          </cell>
          <cell r="CD234">
            <v>3308000</v>
          </cell>
        </row>
        <row r="235">
          <cell r="A235">
            <v>228</v>
          </cell>
          <cell r="B235" t="str">
            <v>E2757</v>
          </cell>
          <cell r="C235" t="str">
            <v>SD</v>
          </cell>
          <cell r="D235" t="str">
            <v>YH</v>
          </cell>
          <cell r="E235" t="str">
            <v>Selby</v>
          </cell>
          <cell r="F235">
            <v>18044758</v>
          </cell>
          <cell r="G235">
            <v>14435807</v>
          </cell>
          <cell r="H235">
            <v>3248057</v>
          </cell>
          <cell r="I235">
            <v>360895</v>
          </cell>
          <cell r="J235">
            <v>36089517</v>
          </cell>
          <cell r="K235">
            <v>0</v>
          </cell>
          <cell r="L235">
            <v>0</v>
          </cell>
          <cell r="M235">
            <v>18044758</v>
          </cell>
          <cell r="N235">
            <v>36089517</v>
          </cell>
          <cell r="O235">
            <v>120601</v>
          </cell>
          <cell r="P235">
            <v>120601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9186</v>
          </cell>
          <cell r="V235">
            <v>0</v>
          </cell>
          <cell r="W235">
            <v>9186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665209</v>
          </cell>
          <cell r="AC235">
            <v>532166</v>
          </cell>
          <cell r="AD235">
            <v>119737</v>
          </cell>
          <cell r="AE235">
            <v>13304</v>
          </cell>
          <cell r="AF235">
            <v>1330416</v>
          </cell>
          <cell r="AG235">
            <v>193014</v>
          </cell>
          <cell r="AH235">
            <v>154412</v>
          </cell>
          <cell r="AI235">
            <v>34743</v>
          </cell>
          <cell r="AJ235">
            <v>3860</v>
          </cell>
          <cell r="AK235">
            <v>386029</v>
          </cell>
          <cell r="AL235">
            <v>327783</v>
          </cell>
          <cell r="AM235">
            <v>262227</v>
          </cell>
          <cell r="AN235">
            <v>59001</v>
          </cell>
          <cell r="AO235">
            <v>6556</v>
          </cell>
          <cell r="AP235">
            <v>655567</v>
          </cell>
          <cell r="AQ235">
            <v>85215</v>
          </cell>
          <cell r="AR235">
            <v>68172</v>
          </cell>
          <cell r="AS235">
            <v>15339</v>
          </cell>
          <cell r="AT235">
            <v>1704</v>
          </cell>
          <cell r="AU235">
            <v>170430</v>
          </cell>
          <cell r="AV235">
            <v>412998</v>
          </cell>
          <cell r="AW235">
            <v>330399</v>
          </cell>
          <cell r="AX235">
            <v>74340</v>
          </cell>
          <cell r="AY235">
            <v>8260</v>
          </cell>
          <cell r="AZ235">
            <v>825997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184191</v>
          </cell>
          <cell r="BG235">
            <v>147353</v>
          </cell>
          <cell r="BH235">
            <v>33154</v>
          </cell>
          <cell r="BI235">
            <v>3684</v>
          </cell>
          <cell r="BJ235">
            <v>368382</v>
          </cell>
          <cell r="BK235">
            <v>184191</v>
          </cell>
          <cell r="BL235">
            <v>147353</v>
          </cell>
          <cell r="BM235">
            <v>33154</v>
          </cell>
          <cell r="BN235">
            <v>3684</v>
          </cell>
          <cell r="BO235">
            <v>368382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458456</v>
          </cell>
          <cell r="BV235">
            <v>366765</v>
          </cell>
          <cell r="BW235">
            <v>82522</v>
          </cell>
          <cell r="BX235">
            <v>9169</v>
          </cell>
          <cell r="BY235">
            <v>916912</v>
          </cell>
          <cell r="BZ235">
            <v>458456</v>
          </cell>
          <cell r="CA235">
            <v>366765</v>
          </cell>
          <cell r="CB235">
            <v>82522</v>
          </cell>
          <cell r="CC235">
            <v>9169</v>
          </cell>
          <cell r="CD235">
            <v>916912</v>
          </cell>
        </row>
        <row r="236">
          <cell r="A236">
            <v>229</v>
          </cell>
          <cell r="B236" t="str">
            <v>E2239</v>
          </cell>
          <cell r="C236" t="str">
            <v>SD</v>
          </cell>
          <cell r="D236" t="str">
            <v>SE</v>
          </cell>
          <cell r="E236" t="str">
            <v>Sevenoaks</v>
          </cell>
          <cell r="F236">
            <v>16095246</v>
          </cell>
          <cell r="G236">
            <v>12876196</v>
          </cell>
          <cell r="H236">
            <v>2897144</v>
          </cell>
          <cell r="I236">
            <v>321905</v>
          </cell>
          <cell r="J236">
            <v>32190491</v>
          </cell>
          <cell r="K236">
            <v>0</v>
          </cell>
          <cell r="L236">
            <v>0</v>
          </cell>
          <cell r="M236">
            <v>16095246</v>
          </cell>
          <cell r="N236">
            <v>32190491</v>
          </cell>
          <cell r="O236">
            <v>170087</v>
          </cell>
          <cell r="P236">
            <v>170087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816541</v>
          </cell>
          <cell r="AC236">
            <v>653233</v>
          </cell>
          <cell r="AD236">
            <v>146977</v>
          </cell>
          <cell r="AE236">
            <v>16331</v>
          </cell>
          <cell r="AF236">
            <v>1633082</v>
          </cell>
          <cell r="AG236">
            <v>536139</v>
          </cell>
          <cell r="AH236">
            <v>428911</v>
          </cell>
          <cell r="AI236">
            <v>96505</v>
          </cell>
          <cell r="AJ236">
            <v>10723</v>
          </cell>
          <cell r="AK236">
            <v>1072278</v>
          </cell>
          <cell r="AL236">
            <v>411450</v>
          </cell>
          <cell r="AM236">
            <v>329160</v>
          </cell>
          <cell r="AN236">
            <v>74061</v>
          </cell>
          <cell r="AO236">
            <v>8229</v>
          </cell>
          <cell r="AP236">
            <v>822900</v>
          </cell>
          <cell r="AQ236">
            <v>27200</v>
          </cell>
          <cell r="AR236">
            <v>21760</v>
          </cell>
          <cell r="AS236">
            <v>4896</v>
          </cell>
          <cell r="AT236">
            <v>544</v>
          </cell>
          <cell r="AU236">
            <v>54400</v>
          </cell>
          <cell r="AV236">
            <v>438650</v>
          </cell>
          <cell r="AW236">
            <v>350920</v>
          </cell>
          <cell r="AX236">
            <v>78957</v>
          </cell>
          <cell r="AY236">
            <v>8773</v>
          </cell>
          <cell r="AZ236">
            <v>877300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383361</v>
          </cell>
          <cell r="BG236">
            <v>306689</v>
          </cell>
          <cell r="BH236">
            <v>69005</v>
          </cell>
          <cell r="BI236">
            <v>7667</v>
          </cell>
          <cell r="BJ236">
            <v>766722</v>
          </cell>
          <cell r="BK236">
            <v>383361</v>
          </cell>
          <cell r="BL236">
            <v>306689</v>
          </cell>
          <cell r="BM236">
            <v>69005</v>
          </cell>
          <cell r="BN236">
            <v>7667</v>
          </cell>
          <cell r="BO236">
            <v>766722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750237</v>
          </cell>
          <cell r="BV236">
            <v>600190</v>
          </cell>
          <cell r="BW236">
            <v>135043</v>
          </cell>
          <cell r="BX236">
            <v>15005</v>
          </cell>
          <cell r="BY236">
            <v>1500475</v>
          </cell>
          <cell r="BZ236">
            <v>750237</v>
          </cell>
          <cell r="CA236">
            <v>600190</v>
          </cell>
          <cell r="CB236">
            <v>135043</v>
          </cell>
          <cell r="CC236">
            <v>15005</v>
          </cell>
          <cell r="CD236">
            <v>1500475</v>
          </cell>
        </row>
        <row r="237">
          <cell r="A237">
            <v>230</v>
          </cell>
          <cell r="B237" t="str">
            <v>E4404</v>
          </cell>
          <cell r="C237" t="str">
            <v>Met</v>
          </cell>
          <cell r="D237" t="str">
            <v>YH</v>
          </cell>
          <cell r="E237" t="str">
            <v>Sheffield</v>
          </cell>
          <cell r="F237">
            <v>98556096</v>
          </cell>
          <cell r="G237">
            <v>96584975</v>
          </cell>
          <cell r="H237">
            <v>0</v>
          </cell>
          <cell r="I237">
            <v>1971122</v>
          </cell>
          <cell r="J237">
            <v>197112193</v>
          </cell>
          <cell r="K237">
            <v>55000</v>
          </cell>
          <cell r="L237">
            <v>55000</v>
          </cell>
          <cell r="M237">
            <v>98501096</v>
          </cell>
          <cell r="N237">
            <v>197057193</v>
          </cell>
          <cell r="O237">
            <v>774873</v>
          </cell>
          <cell r="P237">
            <v>774873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55000</v>
          </cell>
          <cell r="Y237">
            <v>0</v>
          </cell>
          <cell r="Z237">
            <v>0</v>
          </cell>
          <cell r="AA237">
            <v>55000</v>
          </cell>
          <cell r="AB237">
            <v>7190334</v>
          </cell>
          <cell r="AC237">
            <v>7046528</v>
          </cell>
          <cell r="AD237">
            <v>0</v>
          </cell>
          <cell r="AE237">
            <v>143807</v>
          </cell>
          <cell r="AF237">
            <v>14380669</v>
          </cell>
          <cell r="AG237">
            <v>937583</v>
          </cell>
          <cell r="AH237">
            <v>918831</v>
          </cell>
          <cell r="AI237">
            <v>0</v>
          </cell>
          <cell r="AJ237">
            <v>18752</v>
          </cell>
          <cell r="AK237">
            <v>1875166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46000</v>
          </cell>
          <cell r="AR237">
            <v>45080</v>
          </cell>
          <cell r="AS237">
            <v>0</v>
          </cell>
          <cell r="AT237">
            <v>920</v>
          </cell>
          <cell r="AU237">
            <v>92000</v>
          </cell>
          <cell r="AV237">
            <v>46000</v>
          </cell>
          <cell r="AW237">
            <v>45080</v>
          </cell>
          <cell r="AX237">
            <v>0</v>
          </cell>
          <cell r="AY237">
            <v>920</v>
          </cell>
          <cell r="AZ237">
            <v>92000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2250000</v>
          </cell>
          <cell r="BG237">
            <v>2205000</v>
          </cell>
          <cell r="BH237">
            <v>0</v>
          </cell>
          <cell r="BI237">
            <v>45000</v>
          </cell>
          <cell r="BJ237">
            <v>4500000</v>
          </cell>
          <cell r="BK237">
            <v>2250000</v>
          </cell>
          <cell r="BL237">
            <v>2205000</v>
          </cell>
          <cell r="BM237">
            <v>0</v>
          </cell>
          <cell r="BN237">
            <v>45000</v>
          </cell>
          <cell r="BO237">
            <v>4500000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4550000</v>
          </cell>
          <cell r="BV237">
            <v>4459000</v>
          </cell>
          <cell r="BW237">
            <v>0</v>
          </cell>
          <cell r="BX237">
            <v>91000</v>
          </cell>
          <cell r="BY237">
            <v>9100000</v>
          </cell>
          <cell r="BZ237">
            <v>4550000</v>
          </cell>
          <cell r="CA237">
            <v>4459000</v>
          </cell>
          <cell r="CB237">
            <v>0</v>
          </cell>
          <cell r="CC237">
            <v>91000</v>
          </cell>
          <cell r="CD237">
            <v>9100000</v>
          </cell>
        </row>
        <row r="238">
          <cell r="A238">
            <v>231</v>
          </cell>
          <cell r="B238" t="str">
            <v>E2240</v>
          </cell>
          <cell r="C238" t="str">
            <v>SD</v>
          </cell>
          <cell r="D238" t="str">
            <v>SE</v>
          </cell>
          <cell r="E238" t="str">
            <v>Shepway</v>
          </cell>
          <cell r="F238">
            <v>12717592</v>
          </cell>
          <cell r="G238">
            <v>10174074</v>
          </cell>
          <cell r="H238">
            <v>2289167</v>
          </cell>
          <cell r="I238">
            <v>254352</v>
          </cell>
          <cell r="J238">
            <v>25435185</v>
          </cell>
          <cell r="K238">
            <v>0</v>
          </cell>
          <cell r="L238">
            <v>0</v>
          </cell>
          <cell r="M238">
            <v>12717592</v>
          </cell>
          <cell r="N238">
            <v>25435185</v>
          </cell>
          <cell r="O238">
            <v>152929</v>
          </cell>
          <cell r="P238">
            <v>152929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605804</v>
          </cell>
          <cell r="AC238">
            <v>484643</v>
          </cell>
          <cell r="AD238">
            <v>109045</v>
          </cell>
          <cell r="AE238">
            <v>12116</v>
          </cell>
          <cell r="AF238">
            <v>1211608</v>
          </cell>
          <cell r="AG238">
            <v>246341.61</v>
          </cell>
          <cell r="AH238">
            <v>197074</v>
          </cell>
          <cell r="AI238">
            <v>44342</v>
          </cell>
          <cell r="AJ238">
            <v>4927</v>
          </cell>
          <cell r="AK238">
            <v>492684.61</v>
          </cell>
          <cell r="AL238">
            <v>99474</v>
          </cell>
          <cell r="AM238">
            <v>79579</v>
          </cell>
          <cell r="AN238">
            <v>17905</v>
          </cell>
          <cell r="AO238">
            <v>1989</v>
          </cell>
          <cell r="AP238">
            <v>198947</v>
          </cell>
          <cell r="AQ238">
            <v>76709</v>
          </cell>
          <cell r="AR238">
            <v>61367</v>
          </cell>
          <cell r="AS238">
            <v>13808</v>
          </cell>
          <cell r="AT238">
            <v>1534</v>
          </cell>
          <cell r="AU238">
            <v>153418</v>
          </cell>
          <cell r="AV238">
            <v>176183</v>
          </cell>
          <cell r="AW238">
            <v>140946</v>
          </cell>
          <cell r="AX238">
            <v>31713</v>
          </cell>
          <cell r="AY238">
            <v>3523</v>
          </cell>
          <cell r="AZ238">
            <v>352365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213593</v>
          </cell>
          <cell r="BG238">
            <v>170875</v>
          </cell>
          <cell r="BH238">
            <v>38447</v>
          </cell>
          <cell r="BI238">
            <v>4272</v>
          </cell>
          <cell r="BJ238">
            <v>427187</v>
          </cell>
          <cell r="BK238">
            <v>213593</v>
          </cell>
          <cell r="BL238">
            <v>170875</v>
          </cell>
          <cell r="BM238">
            <v>38447</v>
          </cell>
          <cell r="BN238">
            <v>4272</v>
          </cell>
          <cell r="BO238">
            <v>427187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529969</v>
          </cell>
          <cell r="BV238">
            <v>423975</v>
          </cell>
          <cell r="BW238">
            <v>95394</v>
          </cell>
          <cell r="BX238">
            <v>10599</v>
          </cell>
          <cell r="BY238">
            <v>1059937</v>
          </cell>
          <cell r="BZ238">
            <v>529969</v>
          </cell>
          <cell r="CA238">
            <v>423975</v>
          </cell>
          <cell r="CB238">
            <v>95394</v>
          </cell>
          <cell r="CC238">
            <v>10599</v>
          </cell>
          <cell r="CD238">
            <v>1059937</v>
          </cell>
        </row>
        <row r="239">
          <cell r="A239">
            <v>232</v>
          </cell>
          <cell r="B239" t="str">
            <v>E3202</v>
          </cell>
          <cell r="C239" t="str">
            <v>UA</v>
          </cell>
          <cell r="D239" t="str">
            <v>WM</v>
          </cell>
          <cell r="E239" t="str">
            <v>Shropshire UA</v>
          </cell>
          <cell r="F239">
            <v>36696807</v>
          </cell>
          <cell r="G239">
            <v>35962871</v>
          </cell>
          <cell r="H239">
            <v>0</v>
          </cell>
          <cell r="I239">
            <v>733936</v>
          </cell>
          <cell r="J239">
            <v>73393614</v>
          </cell>
          <cell r="K239">
            <v>0</v>
          </cell>
          <cell r="L239">
            <v>0</v>
          </cell>
          <cell r="M239">
            <v>36696807</v>
          </cell>
          <cell r="N239">
            <v>73393614</v>
          </cell>
          <cell r="O239">
            <v>463653</v>
          </cell>
          <cell r="P239">
            <v>463653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1658260</v>
          </cell>
          <cell r="AC239">
            <v>1625095</v>
          </cell>
          <cell r="AD239">
            <v>0</v>
          </cell>
          <cell r="AE239">
            <v>33165</v>
          </cell>
          <cell r="AF239">
            <v>3316520</v>
          </cell>
          <cell r="AG239">
            <v>969006</v>
          </cell>
          <cell r="AH239">
            <v>949625</v>
          </cell>
          <cell r="AI239">
            <v>0</v>
          </cell>
          <cell r="AJ239">
            <v>19380</v>
          </cell>
          <cell r="AK239">
            <v>1938011</v>
          </cell>
          <cell r="AL239">
            <v>537865</v>
          </cell>
          <cell r="AM239">
            <v>527108</v>
          </cell>
          <cell r="AN239">
            <v>0</v>
          </cell>
          <cell r="AO239">
            <v>10757</v>
          </cell>
          <cell r="AP239">
            <v>1075730</v>
          </cell>
          <cell r="AQ239">
            <v>235317</v>
          </cell>
          <cell r="AR239">
            <v>230611</v>
          </cell>
          <cell r="AS239">
            <v>0</v>
          </cell>
          <cell r="AT239">
            <v>4706</v>
          </cell>
          <cell r="AU239">
            <v>470634</v>
          </cell>
          <cell r="AV239">
            <v>773182</v>
          </cell>
          <cell r="AW239">
            <v>757719</v>
          </cell>
          <cell r="AX239">
            <v>0</v>
          </cell>
          <cell r="AY239">
            <v>15463</v>
          </cell>
          <cell r="AZ239">
            <v>1546364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192725</v>
          </cell>
          <cell r="BG239">
            <v>188870</v>
          </cell>
          <cell r="BH239">
            <v>0</v>
          </cell>
          <cell r="BI239">
            <v>3854</v>
          </cell>
          <cell r="BJ239">
            <v>385449</v>
          </cell>
          <cell r="BK239">
            <v>192725</v>
          </cell>
          <cell r="BL239">
            <v>188870</v>
          </cell>
          <cell r="BM239">
            <v>0</v>
          </cell>
          <cell r="BN239">
            <v>3854</v>
          </cell>
          <cell r="BO239">
            <v>385449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610082</v>
          </cell>
          <cell r="BV239">
            <v>597881</v>
          </cell>
          <cell r="BW239">
            <v>0</v>
          </cell>
          <cell r="BX239">
            <v>12202</v>
          </cell>
          <cell r="BY239">
            <v>1220165</v>
          </cell>
          <cell r="BZ239">
            <v>610082</v>
          </cell>
          <cell r="CA239">
            <v>597881</v>
          </cell>
          <cell r="CB239">
            <v>0</v>
          </cell>
          <cell r="CC239">
            <v>12202</v>
          </cell>
          <cell r="CD239">
            <v>1220165</v>
          </cell>
        </row>
        <row r="240">
          <cell r="A240">
            <v>233</v>
          </cell>
          <cell r="B240" t="str">
            <v>E0304</v>
          </cell>
          <cell r="C240" t="str">
            <v>UA</v>
          </cell>
          <cell r="D240" t="str">
            <v>SE</v>
          </cell>
          <cell r="E240" t="str">
            <v>Slough UA</v>
          </cell>
          <cell r="F240">
            <v>44528962</v>
          </cell>
          <cell r="G240">
            <v>43638382</v>
          </cell>
          <cell r="H240">
            <v>0</v>
          </cell>
          <cell r="I240">
            <v>890579</v>
          </cell>
          <cell r="J240">
            <v>89057923</v>
          </cell>
          <cell r="K240">
            <v>0</v>
          </cell>
          <cell r="L240">
            <v>0</v>
          </cell>
          <cell r="M240">
            <v>44528962</v>
          </cell>
          <cell r="N240">
            <v>89057923</v>
          </cell>
          <cell r="O240">
            <v>210291</v>
          </cell>
          <cell r="P240">
            <v>210291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3575462</v>
          </cell>
          <cell r="AC240">
            <v>3503952</v>
          </cell>
          <cell r="AD240">
            <v>0</v>
          </cell>
          <cell r="AE240">
            <v>71509</v>
          </cell>
          <cell r="AF240">
            <v>7150923</v>
          </cell>
          <cell r="AG240">
            <v>225695</v>
          </cell>
          <cell r="AH240">
            <v>221182</v>
          </cell>
          <cell r="AI240">
            <v>0</v>
          </cell>
          <cell r="AJ240">
            <v>4514</v>
          </cell>
          <cell r="AK240">
            <v>451391</v>
          </cell>
          <cell r="AL240">
            <v>2638954.5</v>
          </cell>
          <cell r="AM240">
            <v>2586176</v>
          </cell>
          <cell r="AN240">
            <v>0</v>
          </cell>
          <cell r="AO240">
            <v>52779</v>
          </cell>
          <cell r="AP240">
            <v>5277909.5</v>
          </cell>
          <cell r="AQ240">
            <v>-614484.56999999995</v>
          </cell>
          <cell r="AR240">
            <v>-602195</v>
          </cell>
          <cell r="AS240">
            <v>0</v>
          </cell>
          <cell r="AT240">
            <v>-12290</v>
          </cell>
          <cell r="AU240">
            <v>-1228969.5</v>
          </cell>
          <cell r="AV240">
            <v>2024469.93</v>
          </cell>
          <cell r="AW240">
            <v>1983981</v>
          </cell>
          <cell r="AX240">
            <v>0</v>
          </cell>
          <cell r="AY240">
            <v>40489</v>
          </cell>
          <cell r="AZ240">
            <v>4048939.93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227734</v>
          </cell>
          <cell r="BG240">
            <v>223179</v>
          </cell>
          <cell r="BH240">
            <v>0</v>
          </cell>
          <cell r="BI240">
            <v>4555</v>
          </cell>
          <cell r="BJ240">
            <v>455468</v>
          </cell>
          <cell r="BK240">
            <v>227734</v>
          </cell>
          <cell r="BL240">
            <v>223179</v>
          </cell>
          <cell r="BM240">
            <v>0</v>
          </cell>
          <cell r="BN240">
            <v>4555</v>
          </cell>
          <cell r="BO240">
            <v>455468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656062</v>
          </cell>
          <cell r="BV240">
            <v>642940</v>
          </cell>
          <cell r="BW240">
            <v>0</v>
          </cell>
          <cell r="BX240">
            <v>13121</v>
          </cell>
          <cell r="BY240">
            <v>1312123</v>
          </cell>
          <cell r="BZ240">
            <v>656062</v>
          </cell>
          <cell r="CA240">
            <v>642940</v>
          </cell>
          <cell r="CB240">
            <v>0</v>
          </cell>
          <cell r="CC240">
            <v>13121</v>
          </cell>
          <cell r="CD240">
            <v>1312123</v>
          </cell>
        </row>
        <row r="241">
          <cell r="A241">
            <v>234</v>
          </cell>
          <cell r="B241" t="str">
            <v>E4605</v>
          </cell>
          <cell r="C241" t="str">
            <v>Met</v>
          </cell>
          <cell r="D241" t="str">
            <v>WM</v>
          </cell>
          <cell r="E241" t="str">
            <v>Solihull</v>
          </cell>
          <cell r="F241">
            <v>50427518</v>
          </cell>
          <cell r="G241">
            <v>49418967</v>
          </cell>
          <cell r="H241">
            <v>0</v>
          </cell>
          <cell r="I241">
            <v>1008550</v>
          </cell>
          <cell r="J241">
            <v>100855035</v>
          </cell>
          <cell r="K241">
            <v>0</v>
          </cell>
          <cell r="L241">
            <v>0</v>
          </cell>
          <cell r="M241">
            <v>50427518</v>
          </cell>
          <cell r="N241">
            <v>100855035</v>
          </cell>
          <cell r="O241">
            <v>242567</v>
          </cell>
          <cell r="P241">
            <v>242567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1156419</v>
          </cell>
          <cell r="AC241">
            <v>1133291</v>
          </cell>
          <cell r="AD241">
            <v>0</v>
          </cell>
          <cell r="AE241">
            <v>23128</v>
          </cell>
          <cell r="AF241">
            <v>2312838</v>
          </cell>
          <cell r="AG241">
            <v>2211390</v>
          </cell>
          <cell r="AH241">
            <v>2167162</v>
          </cell>
          <cell r="AI241">
            <v>0</v>
          </cell>
          <cell r="AJ241">
            <v>44228</v>
          </cell>
          <cell r="AK241">
            <v>4422780</v>
          </cell>
          <cell r="AL241">
            <v>594676</v>
          </cell>
          <cell r="AM241">
            <v>582783</v>
          </cell>
          <cell r="AN241">
            <v>0</v>
          </cell>
          <cell r="AO241">
            <v>11894</v>
          </cell>
          <cell r="AP241">
            <v>1189353</v>
          </cell>
          <cell r="AQ241">
            <v>238909</v>
          </cell>
          <cell r="AR241">
            <v>234130</v>
          </cell>
          <cell r="AS241">
            <v>0</v>
          </cell>
          <cell r="AT241">
            <v>4778</v>
          </cell>
          <cell r="AU241">
            <v>477817</v>
          </cell>
          <cell r="AV241">
            <v>833585</v>
          </cell>
          <cell r="AW241">
            <v>816913</v>
          </cell>
          <cell r="AX241">
            <v>0</v>
          </cell>
          <cell r="AY241">
            <v>16672</v>
          </cell>
          <cell r="AZ241">
            <v>1667170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462398</v>
          </cell>
          <cell r="BG241">
            <v>453150</v>
          </cell>
          <cell r="BH241">
            <v>0</v>
          </cell>
          <cell r="BI241">
            <v>9248</v>
          </cell>
          <cell r="BJ241">
            <v>924796</v>
          </cell>
          <cell r="BK241">
            <v>462398</v>
          </cell>
          <cell r="BL241">
            <v>453150</v>
          </cell>
          <cell r="BM241">
            <v>0</v>
          </cell>
          <cell r="BN241">
            <v>9248</v>
          </cell>
          <cell r="BO241">
            <v>924796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1117542</v>
          </cell>
          <cell r="BV241">
            <v>1095191</v>
          </cell>
          <cell r="BW241">
            <v>0</v>
          </cell>
          <cell r="BX241">
            <v>22351</v>
          </cell>
          <cell r="BY241">
            <v>2235084</v>
          </cell>
          <cell r="BZ241">
            <v>1117542</v>
          </cell>
          <cell r="CA241">
            <v>1095191</v>
          </cell>
          <cell r="CB241">
            <v>0</v>
          </cell>
          <cell r="CC241">
            <v>22351</v>
          </cell>
          <cell r="CD241">
            <v>2235084</v>
          </cell>
        </row>
        <row r="242">
          <cell r="A242">
            <v>235</v>
          </cell>
          <cell r="B242" t="str">
            <v>E0434</v>
          </cell>
          <cell r="C242" t="str">
            <v>SD</v>
          </cell>
          <cell r="D242" t="str">
            <v>SE</v>
          </cell>
          <cell r="E242" t="str">
            <v>South Bucks</v>
          </cell>
          <cell r="F242">
            <v>13566985</v>
          </cell>
          <cell r="G242">
            <v>10853588</v>
          </cell>
          <cell r="H242">
            <v>2442057</v>
          </cell>
          <cell r="I242">
            <v>271340</v>
          </cell>
          <cell r="J242">
            <v>27133970</v>
          </cell>
          <cell r="K242">
            <v>0</v>
          </cell>
          <cell r="L242">
            <v>0</v>
          </cell>
          <cell r="M242">
            <v>13566985</v>
          </cell>
          <cell r="N242">
            <v>27133970</v>
          </cell>
          <cell r="O242">
            <v>99868</v>
          </cell>
          <cell r="P242">
            <v>99868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665601</v>
          </cell>
          <cell r="AC242">
            <v>532481</v>
          </cell>
          <cell r="AD242">
            <v>119808</v>
          </cell>
          <cell r="AE242">
            <v>13312</v>
          </cell>
          <cell r="AF242">
            <v>1331202</v>
          </cell>
          <cell r="AG242">
            <v>431047</v>
          </cell>
          <cell r="AH242">
            <v>344837</v>
          </cell>
          <cell r="AI242">
            <v>77588</v>
          </cell>
          <cell r="AJ242">
            <v>8621</v>
          </cell>
          <cell r="AK242">
            <v>862093</v>
          </cell>
          <cell r="AL242">
            <v>118500</v>
          </cell>
          <cell r="AM242">
            <v>94800</v>
          </cell>
          <cell r="AN242">
            <v>21330</v>
          </cell>
          <cell r="AO242">
            <v>2370</v>
          </cell>
          <cell r="AP242">
            <v>237000</v>
          </cell>
          <cell r="AQ242">
            <v>108500</v>
          </cell>
          <cell r="AR242">
            <v>86800</v>
          </cell>
          <cell r="AS242">
            <v>19530</v>
          </cell>
          <cell r="AT242">
            <v>2170</v>
          </cell>
          <cell r="AU242">
            <v>217000</v>
          </cell>
          <cell r="AV242">
            <v>227000</v>
          </cell>
          <cell r="AW242">
            <v>181600</v>
          </cell>
          <cell r="AX242">
            <v>40860</v>
          </cell>
          <cell r="AY242">
            <v>4540</v>
          </cell>
          <cell r="AZ242">
            <v>454000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208325</v>
          </cell>
          <cell r="BG242">
            <v>166659</v>
          </cell>
          <cell r="BH242">
            <v>37498</v>
          </cell>
          <cell r="BI242">
            <v>4166</v>
          </cell>
          <cell r="BJ242">
            <v>416648</v>
          </cell>
          <cell r="BK242">
            <v>208325</v>
          </cell>
          <cell r="BL242">
            <v>166659</v>
          </cell>
          <cell r="BM242">
            <v>37498</v>
          </cell>
          <cell r="BN242">
            <v>4166</v>
          </cell>
          <cell r="BO242">
            <v>416648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637459</v>
          </cell>
          <cell r="BV242">
            <v>509968</v>
          </cell>
          <cell r="BW242">
            <v>114743</v>
          </cell>
          <cell r="BX242">
            <v>12749</v>
          </cell>
          <cell r="BY242">
            <v>1274919</v>
          </cell>
          <cell r="BZ242">
            <v>637459</v>
          </cell>
          <cell r="CA242">
            <v>509968</v>
          </cell>
          <cell r="CB242">
            <v>114743</v>
          </cell>
          <cell r="CC242">
            <v>12749</v>
          </cell>
          <cell r="CD242">
            <v>1274919</v>
          </cell>
        </row>
        <row r="243">
          <cell r="A243">
            <v>236</v>
          </cell>
          <cell r="B243" t="str">
            <v>E0536</v>
          </cell>
          <cell r="C243" t="str">
            <v>SD</v>
          </cell>
          <cell r="D243" t="str">
            <v>E</v>
          </cell>
          <cell r="E243" t="str">
            <v>South Cambridgeshire</v>
          </cell>
          <cell r="F243">
            <v>31286348</v>
          </cell>
          <cell r="G243">
            <v>25029078</v>
          </cell>
          <cell r="H243">
            <v>5631543</v>
          </cell>
          <cell r="I243">
            <v>625727</v>
          </cell>
          <cell r="J243">
            <v>62572696</v>
          </cell>
          <cell r="K243">
            <v>0</v>
          </cell>
          <cell r="L243">
            <v>0</v>
          </cell>
          <cell r="M243">
            <v>31286348</v>
          </cell>
          <cell r="N243">
            <v>62572696</v>
          </cell>
          <cell r="O243">
            <v>218656</v>
          </cell>
          <cell r="P243">
            <v>218656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625253</v>
          </cell>
          <cell r="AC243">
            <v>500202</v>
          </cell>
          <cell r="AD243">
            <v>112546</v>
          </cell>
          <cell r="AE243">
            <v>12505</v>
          </cell>
          <cell r="AF243">
            <v>1250506</v>
          </cell>
          <cell r="AG243">
            <v>589720</v>
          </cell>
          <cell r="AH243">
            <v>471775</v>
          </cell>
          <cell r="AI243">
            <v>106149</v>
          </cell>
          <cell r="AJ243">
            <v>11794</v>
          </cell>
          <cell r="AK243">
            <v>1179438</v>
          </cell>
          <cell r="AL243">
            <v>49378</v>
          </cell>
          <cell r="AM243">
            <v>39502</v>
          </cell>
          <cell r="AN243">
            <v>8888</v>
          </cell>
          <cell r="AO243">
            <v>988</v>
          </cell>
          <cell r="AP243">
            <v>98756</v>
          </cell>
          <cell r="AQ243">
            <v>28756</v>
          </cell>
          <cell r="AR243">
            <v>23004</v>
          </cell>
          <cell r="AS243">
            <v>5176</v>
          </cell>
          <cell r="AT243">
            <v>575</v>
          </cell>
          <cell r="AU243">
            <v>57511</v>
          </cell>
          <cell r="AV243">
            <v>78134</v>
          </cell>
          <cell r="AW243">
            <v>62506</v>
          </cell>
          <cell r="AX243">
            <v>14064</v>
          </cell>
          <cell r="AY243">
            <v>1563</v>
          </cell>
          <cell r="AZ243">
            <v>156267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502849</v>
          </cell>
          <cell r="BG243">
            <v>402280</v>
          </cell>
          <cell r="BH243">
            <v>90513</v>
          </cell>
          <cell r="BI243">
            <v>10057</v>
          </cell>
          <cell r="BJ243">
            <v>1005699</v>
          </cell>
          <cell r="BK243">
            <v>502849</v>
          </cell>
          <cell r="BL243">
            <v>402280</v>
          </cell>
          <cell r="BM243">
            <v>90513</v>
          </cell>
          <cell r="BN243">
            <v>10057</v>
          </cell>
          <cell r="BO243">
            <v>1005699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1497580</v>
          </cell>
          <cell r="BV243">
            <v>1198065</v>
          </cell>
          <cell r="BW243">
            <v>269565</v>
          </cell>
          <cell r="BX243">
            <v>29952</v>
          </cell>
          <cell r="BY243">
            <v>2995162</v>
          </cell>
          <cell r="BZ243">
            <v>1497580</v>
          </cell>
          <cell r="CA243">
            <v>1198065</v>
          </cell>
          <cell r="CB243">
            <v>269565</v>
          </cell>
          <cell r="CC243">
            <v>29952</v>
          </cell>
          <cell r="CD243">
            <v>2995162</v>
          </cell>
        </row>
        <row r="244">
          <cell r="A244">
            <v>237</v>
          </cell>
          <cell r="B244" t="str">
            <v>E1039</v>
          </cell>
          <cell r="C244" t="str">
            <v>SD</v>
          </cell>
          <cell r="D244" t="str">
            <v>EM</v>
          </cell>
          <cell r="E244" t="str">
            <v>South Derbyshire</v>
          </cell>
          <cell r="F244">
            <v>9921834</v>
          </cell>
          <cell r="G244">
            <v>7937468</v>
          </cell>
          <cell r="H244">
            <v>1785930</v>
          </cell>
          <cell r="I244">
            <v>198437</v>
          </cell>
          <cell r="J244">
            <v>19843669</v>
          </cell>
          <cell r="K244">
            <v>0</v>
          </cell>
          <cell r="L244">
            <v>0</v>
          </cell>
          <cell r="M244">
            <v>9921834</v>
          </cell>
          <cell r="N244">
            <v>19843669</v>
          </cell>
          <cell r="O244">
            <v>90901</v>
          </cell>
          <cell r="P244">
            <v>90901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999674</v>
          </cell>
          <cell r="AC244">
            <v>799739</v>
          </cell>
          <cell r="AD244">
            <v>179941</v>
          </cell>
          <cell r="AE244">
            <v>19993</v>
          </cell>
          <cell r="AF244">
            <v>1999347</v>
          </cell>
          <cell r="AG244">
            <v>190725</v>
          </cell>
          <cell r="AH244">
            <v>152580</v>
          </cell>
          <cell r="AI244">
            <v>34330</v>
          </cell>
          <cell r="AJ244">
            <v>3814</v>
          </cell>
          <cell r="AK244">
            <v>381449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680409</v>
          </cell>
          <cell r="AR244">
            <v>544327</v>
          </cell>
          <cell r="AS244">
            <v>122474</v>
          </cell>
          <cell r="AT244">
            <v>13608</v>
          </cell>
          <cell r="AU244">
            <v>1360818</v>
          </cell>
          <cell r="AV244">
            <v>680409</v>
          </cell>
          <cell r="AW244">
            <v>544327</v>
          </cell>
          <cell r="AX244">
            <v>122474</v>
          </cell>
          <cell r="AY244">
            <v>13608</v>
          </cell>
          <cell r="AZ244">
            <v>1360818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267351</v>
          </cell>
          <cell r="BG244">
            <v>213880</v>
          </cell>
          <cell r="BH244">
            <v>48123</v>
          </cell>
          <cell r="BI244">
            <v>5347</v>
          </cell>
          <cell r="BJ244">
            <v>534701</v>
          </cell>
          <cell r="BK244">
            <v>267351</v>
          </cell>
          <cell r="BL244">
            <v>213880</v>
          </cell>
          <cell r="BM244">
            <v>48123</v>
          </cell>
          <cell r="BN244">
            <v>5347</v>
          </cell>
          <cell r="BO244">
            <v>534701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46183</v>
          </cell>
          <cell r="BV244">
            <v>36947</v>
          </cell>
          <cell r="BW244">
            <v>8313</v>
          </cell>
          <cell r="BX244">
            <v>924</v>
          </cell>
          <cell r="BY244">
            <v>92367</v>
          </cell>
          <cell r="BZ244">
            <v>46183</v>
          </cell>
          <cell r="CA244">
            <v>36947</v>
          </cell>
          <cell r="CB244">
            <v>8313</v>
          </cell>
          <cell r="CC244">
            <v>924</v>
          </cell>
          <cell r="CD244">
            <v>92367</v>
          </cell>
        </row>
        <row r="245">
          <cell r="A245">
            <v>238</v>
          </cell>
          <cell r="B245" t="str">
            <v>E0103</v>
          </cell>
          <cell r="C245" t="str">
            <v>UA</v>
          </cell>
          <cell r="D245" t="str">
            <v>SW</v>
          </cell>
          <cell r="E245" t="str">
            <v>South Gloucestershire UA</v>
          </cell>
          <cell r="F245">
            <v>63003665</v>
          </cell>
          <cell r="G245">
            <v>61743591</v>
          </cell>
          <cell r="H245">
            <v>0</v>
          </cell>
          <cell r="I245">
            <v>1260073</v>
          </cell>
          <cell r="J245">
            <v>126007329</v>
          </cell>
          <cell r="K245">
            <v>0</v>
          </cell>
          <cell r="L245">
            <v>0</v>
          </cell>
          <cell r="M245">
            <v>63003665</v>
          </cell>
          <cell r="N245">
            <v>126007329</v>
          </cell>
          <cell r="O245">
            <v>330468</v>
          </cell>
          <cell r="P245">
            <v>330468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1940730.19</v>
          </cell>
          <cell r="AC245">
            <v>1901916</v>
          </cell>
          <cell r="AD245">
            <v>0</v>
          </cell>
          <cell r="AE245">
            <v>38815</v>
          </cell>
          <cell r="AF245">
            <v>3881461.19</v>
          </cell>
          <cell r="AG245">
            <v>1235771.68</v>
          </cell>
          <cell r="AH245">
            <v>1211055</v>
          </cell>
          <cell r="AI245">
            <v>0</v>
          </cell>
          <cell r="AJ245">
            <v>24715</v>
          </cell>
          <cell r="AK245">
            <v>2471541.6800000002</v>
          </cell>
          <cell r="AL245">
            <v>129000</v>
          </cell>
          <cell r="AM245">
            <v>126420</v>
          </cell>
          <cell r="AN245">
            <v>0</v>
          </cell>
          <cell r="AO245">
            <v>2580</v>
          </cell>
          <cell r="AP245">
            <v>258000</v>
          </cell>
          <cell r="AQ245">
            <v>-35205</v>
          </cell>
          <cell r="AR245">
            <v>-34500</v>
          </cell>
          <cell r="AS245">
            <v>0</v>
          </cell>
          <cell r="AT245">
            <v>-704</v>
          </cell>
          <cell r="AU245">
            <v>-70409</v>
          </cell>
          <cell r="AV245">
            <v>93795</v>
          </cell>
          <cell r="AW245">
            <v>91920</v>
          </cell>
          <cell r="AX245">
            <v>0</v>
          </cell>
          <cell r="AY245">
            <v>1876</v>
          </cell>
          <cell r="AZ245">
            <v>187591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712235</v>
          </cell>
          <cell r="BG245">
            <v>697990</v>
          </cell>
          <cell r="BH245">
            <v>0</v>
          </cell>
          <cell r="BI245">
            <v>14245</v>
          </cell>
          <cell r="BJ245">
            <v>1424470</v>
          </cell>
          <cell r="BK245">
            <v>712235</v>
          </cell>
          <cell r="BL245">
            <v>697990</v>
          </cell>
          <cell r="BM245">
            <v>0</v>
          </cell>
          <cell r="BN245">
            <v>14245</v>
          </cell>
          <cell r="BO245">
            <v>1424470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2938765</v>
          </cell>
          <cell r="BV245">
            <v>2879990</v>
          </cell>
          <cell r="BW245">
            <v>0</v>
          </cell>
          <cell r="BX245">
            <v>58775</v>
          </cell>
          <cell r="BY245">
            <v>5877530</v>
          </cell>
          <cell r="BZ245">
            <v>2938765</v>
          </cell>
          <cell r="CA245">
            <v>2879990</v>
          </cell>
          <cell r="CB245">
            <v>0</v>
          </cell>
          <cell r="CC245">
            <v>58775</v>
          </cell>
          <cell r="CD245">
            <v>5877530</v>
          </cell>
        </row>
        <row r="246">
          <cell r="A246">
            <v>239</v>
          </cell>
          <cell r="B246" t="str">
            <v>E1136</v>
          </cell>
          <cell r="C246" t="str">
            <v>SD</v>
          </cell>
          <cell r="D246" t="str">
            <v>SW</v>
          </cell>
          <cell r="E246" t="str">
            <v>South Hams</v>
          </cell>
          <cell r="F246">
            <v>14422830</v>
          </cell>
          <cell r="G246">
            <v>11538265</v>
          </cell>
          <cell r="H246">
            <v>2596110</v>
          </cell>
          <cell r="I246">
            <v>288457</v>
          </cell>
          <cell r="J246">
            <v>28845662</v>
          </cell>
          <cell r="K246">
            <v>0</v>
          </cell>
          <cell r="L246">
            <v>0</v>
          </cell>
          <cell r="M246">
            <v>14422830</v>
          </cell>
          <cell r="N246">
            <v>28845662</v>
          </cell>
          <cell r="O246">
            <v>206226</v>
          </cell>
          <cell r="P246">
            <v>206226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675729</v>
          </cell>
          <cell r="AC246">
            <v>540583</v>
          </cell>
          <cell r="AD246">
            <v>121631</v>
          </cell>
          <cell r="AE246">
            <v>13515</v>
          </cell>
          <cell r="AF246">
            <v>1351458</v>
          </cell>
          <cell r="AG246">
            <v>134458</v>
          </cell>
          <cell r="AH246">
            <v>107566</v>
          </cell>
          <cell r="AI246">
            <v>24202</v>
          </cell>
          <cell r="AJ246">
            <v>2689</v>
          </cell>
          <cell r="AK246">
            <v>268915</v>
          </cell>
          <cell r="AL246">
            <v>117930</v>
          </cell>
          <cell r="AM246">
            <v>94345</v>
          </cell>
          <cell r="AN246">
            <v>21228</v>
          </cell>
          <cell r="AO246">
            <v>2359</v>
          </cell>
          <cell r="AP246">
            <v>235862</v>
          </cell>
          <cell r="AQ246">
            <v>49453</v>
          </cell>
          <cell r="AR246">
            <v>39562</v>
          </cell>
          <cell r="AS246">
            <v>8902</v>
          </cell>
          <cell r="AT246">
            <v>989</v>
          </cell>
          <cell r="AU246">
            <v>98906</v>
          </cell>
          <cell r="AV246">
            <v>167383</v>
          </cell>
          <cell r="AW246">
            <v>133907</v>
          </cell>
          <cell r="AX246">
            <v>30130</v>
          </cell>
          <cell r="AY246">
            <v>3348</v>
          </cell>
          <cell r="AZ246">
            <v>334768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248238</v>
          </cell>
          <cell r="BG246">
            <v>198590</v>
          </cell>
          <cell r="BH246">
            <v>44683</v>
          </cell>
          <cell r="BI246">
            <v>4965</v>
          </cell>
          <cell r="BJ246">
            <v>496476</v>
          </cell>
          <cell r="BK246">
            <v>248238</v>
          </cell>
          <cell r="BL246">
            <v>198590</v>
          </cell>
          <cell r="BM246">
            <v>44683</v>
          </cell>
          <cell r="BN246">
            <v>4965</v>
          </cell>
          <cell r="BO246">
            <v>496476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679647</v>
          </cell>
          <cell r="BV246">
            <v>543718</v>
          </cell>
          <cell r="BW246">
            <v>122336</v>
          </cell>
          <cell r="BX246">
            <v>13593</v>
          </cell>
          <cell r="BY246">
            <v>1359294</v>
          </cell>
          <cell r="BZ246">
            <v>679647</v>
          </cell>
          <cell r="CA246">
            <v>543718</v>
          </cell>
          <cell r="CB246">
            <v>122336</v>
          </cell>
          <cell r="CC246">
            <v>13593</v>
          </cell>
          <cell r="CD246">
            <v>1359294</v>
          </cell>
        </row>
        <row r="247">
          <cell r="A247">
            <v>240</v>
          </cell>
          <cell r="B247" t="str">
            <v>E2535</v>
          </cell>
          <cell r="C247" t="str">
            <v>SD</v>
          </cell>
          <cell r="D247" t="str">
            <v>EM</v>
          </cell>
          <cell r="E247" t="str">
            <v>South Holland</v>
          </cell>
          <cell r="F247">
            <v>11455681</v>
          </cell>
          <cell r="G247">
            <v>9164544</v>
          </cell>
          <cell r="H247">
            <v>2291136</v>
          </cell>
          <cell r="I247">
            <v>0</v>
          </cell>
          <cell r="J247">
            <v>22911361</v>
          </cell>
          <cell r="K247">
            <v>0</v>
          </cell>
          <cell r="L247">
            <v>0</v>
          </cell>
          <cell r="M247">
            <v>11455681</v>
          </cell>
          <cell r="N247">
            <v>22911361</v>
          </cell>
          <cell r="O247">
            <v>113511</v>
          </cell>
          <cell r="P247">
            <v>113511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193097</v>
          </cell>
          <cell r="V247">
            <v>0</v>
          </cell>
          <cell r="W247">
            <v>193097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304234</v>
          </cell>
          <cell r="AC247">
            <v>243387</v>
          </cell>
          <cell r="AD247">
            <v>60847</v>
          </cell>
          <cell r="AE247">
            <v>0</v>
          </cell>
          <cell r="AF247">
            <v>608468</v>
          </cell>
          <cell r="AG247">
            <v>147072</v>
          </cell>
          <cell r="AH247">
            <v>117658</v>
          </cell>
          <cell r="AI247">
            <v>29415</v>
          </cell>
          <cell r="AJ247">
            <v>0</v>
          </cell>
          <cell r="AK247">
            <v>294145</v>
          </cell>
          <cell r="AL247">
            <v>118000</v>
          </cell>
          <cell r="AM247">
            <v>94400</v>
          </cell>
          <cell r="AN247">
            <v>23600</v>
          </cell>
          <cell r="AO247">
            <v>0</v>
          </cell>
          <cell r="AP247">
            <v>236000</v>
          </cell>
          <cell r="AQ247">
            <v>3500</v>
          </cell>
          <cell r="AR247">
            <v>2800</v>
          </cell>
          <cell r="AS247">
            <v>700</v>
          </cell>
          <cell r="AT247">
            <v>0</v>
          </cell>
          <cell r="AU247">
            <v>7000</v>
          </cell>
          <cell r="AV247">
            <v>121500</v>
          </cell>
          <cell r="AW247">
            <v>97200</v>
          </cell>
          <cell r="AX247">
            <v>24300</v>
          </cell>
          <cell r="AY247">
            <v>0</v>
          </cell>
          <cell r="AZ247">
            <v>243000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237878</v>
          </cell>
          <cell r="BG247">
            <v>190303</v>
          </cell>
          <cell r="BH247">
            <v>47576</v>
          </cell>
          <cell r="BI247">
            <v>0</v>
          </cell>
          <cell r="BJ247">
            <v>475757</v>
          </cell>
          <cell r="BK247">
            <v>237878</v>
          </cell>
          <cell r="BL247">
            <v>190303</v>
          </cell>
          <cell r="BM247">
            <v>47576</v>
          </cell>
          <cell r="BN247">
            <v>0</v>
          </cell>
          <cell r="BO247">
            <v>475757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1035927</v>
          </cell>
          <cell r="BV247">
            <v>828742</v>
          </cell>
          <cell r="BW247">
            <v>207185</v>
          </cell>
          <cell r="BX247">
            <v>0</v>
          </cell>
          <cell r="BY247">
            <v>2071854</v>
          </cell>
          <cell r="BZ247">
            <v>1035927</v>
          </cell>
          <cell r="CA247">
            <v>828742</v>
          </cell>
          <cell r="CB247">
            <v>207185</v>
          </cell>
          <cell r="CC247">
            <v>0</v>
          </cell>
          <cell r="CD247">
            <v>2071854</v>
          </cell>
        </row>
        <row r="248">
          <cell r="A248">
            <v>241</v>
          </cell>
          <cell r="B248" t="str">
            <v>E2536</v>
          </cell>
          <cell r="C248" t="str">
            <v>SD</v>
          </cell>
          <cell r="D248" t="str">
            <v>EM</v>
          </cell>
          <cell r="E248" t="str">
            <v>South Kesteven</v>
          </cell>
          <cell r="F248">
            <v>18713864</v>
          </cell>
          <cell r="G248">
            <v>14971091</v>
          </cell>
          <cell r="H248">
            <v>3742773</v>
          </cell>
          <cell r="I248">
            <v>0</v>
          </cell>
          <cell r="J248">
            <v>37427728</v>
          </cell>
          <cell r="K248">
            <v>0</v>
          </cell>
          <cell r="L248">
            <v>0</v>
          </cell>
          <cell r="M248">
            <v>18713864</v>
          </cell>
          <cell r="N248">
            <v>37427728</v>
          </cell>
          <cell r="O248">
            <v>179287</v>
          </cell>
          <cell r="P248">
            <v>179287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870344</v>
          </cell>
          <cell r="AC248">
            <v>696276</v>
          </cell>
          <cell r="AD248">
            <v>174069</v>
          </cell>
          <cell r="AE248">
            <v>0</v>
          </cell>
          <cell r="AF248">
            <v>1740689</v>
          </cell>
          <cell r="AG248">
            <v>-368849</v>
          </cell>
          <cell r="AH248">
            <v>-295079</v>
          </cell>
          <cell r="AI248">
            <v>-73770</v>
          </cell>
          <cell r="AJ248">
            <v>0</v>
          </cell>
          <cell r="AK248">
            <v>-737698</v>
          </cell>
          <cell r="AL248">
            <v>237000</v>
          </cell>
          <cell r="AM248">
            <v>189600</v>
          </cell>
          <cell r="AN248">
            <v>47400</v>
          </cell>
          <cell r="AO248">
            <v>0</v>
          </cell>
          <cell r="AP248">
            <v>474000</v>
          </cell>
          <cell r="AQ248">
            <v>50500</v>
          </cell>
          <cell r="AR248">
            <v>40400</v>
          </cell>
          <cell r="AS248">
            <v>10100</v>
          </cell>
          <cell r="AT248">
            <v>0</v>
          </cell>
          <cell r="AU248">
            <v>101000</v>
          </cell>
          <cell r="AV248">
            <v>287500</v>
          </cell>
          <cell r="AW248">
            <v>230000</v>
          </cell>
          <cell r="AX248">
            <v>57500</v>
          </cell>
          <cell r="AY248">
            <v>0</v>
          </cell>
          <cell r="AZ248">
            <v>575000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173850</v>
          </cell>
          <cell r="BG248">
            <v>139080</v>
          </cell>
          <cell r="BH248">
            <v>34770</v>
          </cell>
          <cell r="BI248">
            <v>0</v>
          </cell>
          <cell r="BJ248">
            <v>347700</v>
          </cell>
          <cell r="BK248">
            <v>173850</v>
          </cell>
          <cell r="BL248">
            <v>139080</v>
          </cell>
          <cell r="BM248">
            <v>34770</v>
          </cell>
          <cell r="BN248">
            <v>0</v>
          </cell>
          <cell r="BO248">
            <v>347700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461790</v>
          </cell>
          <cell r="BV248">
            <v>369432</v>
          </cell>
          <cell r="BW248">
            <v>92358</v>
          </cell>
          <cell r="BX248">
            <v>0</v>
          </cell>
          <cell r="BY248">
            <v>923580</v>
          </cell>
          <cell r="BZ248">
            <v>461790</v>
          </cell>
          <cell r="CA248">
            <v>369432</v>
          </cell>
          <cell r="CB248">
            <v>92358</v>
          </cell>
          <cell r="CC248">
            <v>0</v>
          </cell>
          <cell r="CD248">
            <v>923580</v>
          </cell>
        </row>
        <row r="249">
          <cell r="A249">
            <v>242</v>
          </cell>
          <cell r="B249" t="str">
            <v>E0936</v>
          </cell>
          <cell r="C249" t="str">
            <v>SD</v>
          </cell>
          <cell r="D249" t="str">
            <v>NW</v>
          </cell>
          <cell r="E249" t="str">
            <v>South Lakeland</v>
          </cell>
          <cell r="F249">
            <v>18663581</v>
          </cell>
          <cell r="G249">
            <v>14930864</v>
          </cell>
          <cell r="H249">
            <v>3732716</v>
          </cell>
          <cell r="I249">
            <v>0</v>
          </cell>
          <cell r="J249">
            <v>37327161</v>
          </cell>
          <cell r="K249">
            <v>0</v>
          </cell>
          <cell r="L249">
            <v>0</v>
          </cell>
          <cell r="M249">
            <v>18663581</v>
          </cell>
          <cell r="N249">
            <v>37327161</v>
          </cell>
          <cell r="O249">
            <v>296593</v>
          </cell>
          <cell r="P249">
            <v>296593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725019.02</v>
          </cell>
          <cell r="AC249">
            <v>580015</v>
          </cell>
          <cell r="AD249">
            <v>145004</v>
          </cell>
          <cell r="AE249">
            <v>0</v>
          </cell>
          <cell r="AF249">
            <v>1450038.02</v>
          </cell>
          <cell r="AG249">
            <v>294592.59999999998</v>
          </cell>
          <cell r="AH249">
            <v>235674</v>
          </cell>
          <cell r="AI249">
            <v>58918</v>
          </cell>
          <cell r="AJ249">
            <v>0</v>
          </cell>
          <cell r="AK249">
            <v>589184.6</v>
          </cell>
          <cell r="AL249">
            <v>328677</v>
          </cell>
          <cell r="AM249">
            <v>262941</v>
          </cell>
          <cell r="AN249">
            <v>65735</v>
          </cell>
          <cell r="AO249">
            <v>0</v>
          </cell>
          <cell r="AP249">
            <v>657353</v>
          </cell>
          <cell r="AQ249">
            <v>72688.86</v>
          </cell>
          <cell r="AR249">
            <v>58152</v>
          </cell>
          <cell r="AS249">
            <v>14538</v>
          </cell>
          <cell r="AT249">
            <v>0</v>
          </cell>
          <cell r="AU249">
            <v>145378.85999999999</v>
          </cell>
          <cell r="AV249">
            <v>401365.86</v>
          </cell>
          <cell r="AW249">
            <v>321093</v>
          </cell>
          <cell r="AX249">
            <v>80273</v>
          </cell>
          <cell r="AY249">
            <v>0</v>
          </cell>
          <cell r="AZ249">
            <v>802731.86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266000</v>
          </cell>
          <cell r="BG249">
            <v>212800</v>
          </cell>
          <cell r="BH249">
            <v>53200</v>
          </cell>
          <cell r="BI249">
            <v>0</v>
          </cell>
          <cell r="BJ249">
            <v>532000</v>
          </cell>
          <cell r="BK249">
            <v>266000</v>
          </cell>
          <cell r="BL249">
            <v>212800</v>
          </cell>
          <cell r="BM249">
            <v>53200</v>
          </cell>
          <cell r="BN249">
            <v>0</v>
          </cell>
          <cell r="BO249">
            <v>532000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629000</v>
          </cell>
          <cell r="BV249">
            <v>503200</v>
          </cell>
          <cell r="BW249">
            <v>125800</v>
          </cell>
          <cell r="BX249">
            <v>0</v>
          </cell>
          <cell r="BY249">
            <v>1258000</v>
          </cell>
          <cell r="BZ249">
            <v>629000</v>
          </cell>
          <cell r="CA249">
            <v>503200</v>
          </cell>
          <cell r="CB249">
            <v>125800</v>
          </cell>
          <cell r="CC249">
            <v>0</v>
          </cell>
          <cell r="CD249">
            <v>1258000</v>
          </cell>
        </row>
        <row r="250">
          <cell r="A250">
            <v>243</v>
          </cell>
          <cell r="B250" t="str">
            <v>E2637</v>
          </cell>
          <cell r="C250" t="str">
            <v>SD</v>
          </cell>
          <cell r="D250" t="str">
            <v>E</v>
          </cell>
          <cell r="E250" t="str">
            <v>South Norfolk</v>
          </cell>
          <cell r="F250">
            <v>13457597</v>
          </cell>
          <cell r="G250">
            <v>10766078</v>
          </cell>
          <cell r="H250">
            <v>2691520</v>
          </cell>
          <cell r="I250">
            <v>0</v>
          </cell>
          <cell r="J250">
            <v>26915195</v>
          </cell>
          <cell r="K250">
            <v>0</v>
          </cell>
          <cell r="L250">
            <v>0</v>
          </cell>
          <cell r="M250">
            <v>13457597</v>
          </cell>
          <cell r="N250">
            <v>26915195</v>
          </cell>
          <cell r="O250">
            <v>148821</v>
          </cell>
          <cell r="P250">
            <v>148821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537468</v>
          </cell>
          <cell r="AC250">
            <v>429975</v>
          </cell>
          <cell r="AD250">
            <v>107494</v>
          </cell>
          <cell r="AE250">
            <v>0</v>
          </cell>
          <cell r="AF250">
            <v>1074937</v>
          </cell>
          <cell r="AG250">
            <v>94884</v>
          </cell>
          <cell r="AH250">
            <v>75908</v>
          </cell>
          <cell r="AI250">
            <v>18977</v>
          </cell>
          <cell r="AJ250">
            <v>0</v>
          </cell>
          <cell r="AK250">
            <v>189769</v>
          </cell>
          <cell r="AL250">
            <v>109892</v>
          </cell>
          <cell r="AM250">
            <v>87914</v>
          </cell>
          <cell r="AN250">
            <v>21979</v>
          </cell>
          <cell r="AO250">
            <v>0</v>
          </cell>
          <cell r="AP250">
            <v>219785</v>
          </cell>
          <cell r="AQ250">
            <v>61217</v>
          </cell>
          <cell r="AR250">
            <v>48974</v>
          </cell>
          <cell r="AS250">
            <v>12244</v>
          </cell>
          <cell r="AT250">
            <v>0</v>
          </cell>
          <cell r="AU250">
            <v>122435</v>
          </cell>
          <cell r="AV250">
            <v>171109</v>
          </cell>
          <cell r="AW250">
            <v>136888</v>
          </cell>
          <cell r="AX250">
            <v>34223</v>
          </cell>
          <cell r="AY250">
            <v>0</v>
          </cell>
          <cell r="AZ250">
            <v>342220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120262</v>
          </cell>
          <cell r="BG250">
            <v>96209</v>
          </cell>
          <cell r="BH250">
            <v>24052</v>
          </cell>
          <cell r="BI250">
            <v>0</v>
          </cell>
          <cell r="BJ250">
            <v>240523</v>
          </cell>
          <cell r="BK250">
            <v>120262</v>
          </cell>
          <cell r="BL250">
            <v>96209</v>
          </cell>
          <cell r="BM250">
            <v>24052</v>
          </cell>
          <cell r="BN250">
            <v>0</v>
          </cell>
          <cell r="BO250">
            <v>240523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356642</v>
          </cell>
          <cell r="BV250">
            <v>285314</v>
          </cell>
          <cell r="BW250">
            <v>71329</v>
          </cell>
          <cell r="BX250">
            <v>0</v>
          </cell>
          <cell r="BY250">
            <v>713285</v>
          </cell>
          <cell r="BZ250">
            <v>356642</v>
          </cell>
          <cell r="CA250">
            <v>285314</v>
          </cell>
          <cell r="CB250">
            <v>71329</v>
          </cell>
          <cell r="CC250">
            <v>0</v>
          </cell>
          <cell r="CD250">
            <v>713285</v>
          </cell>
        </row>
        <row r="251">
          <cell r="A251">
            <v>244</v>
          </cell>
          <cell r="B251" t="str">
            <v>E2836</v>
          </cell>
          <cell r="C251" t="str">
            <v>SD</v>
          </cell>
          <cell r="D251" t="str">
            <v>EM</v>
          </cell>
          <cell r="E251" t="str">
            <v>South Northamptonshire</v>
          </cell>
          <cell r="F251">
            <v>9546307</v>
          </cell>
          <cell r="G251">
            <v>7637046</v>
          </cell>
          <cell r="H251">
            <v>1909261</v>
          </cell>
          <cell r="I251">
            <v>0</v>
          </cell>
          <cell r="J251">
            <v>19092614</v>
          </cell>
          <cell r="K251">
            <v>0</v>
          </cell>
          <cell r="L251">
            <v>0</v>
          </cell>
          <cell r="M251">
            <v>9546307</v>
          </cell>
          <cell r="N251">
            <v>19092614</v>
          </cell>
          <cell r="O251">
            <v>106988</v>
          </cell>
          <cell r="P251">
            <v>106988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219235</v>
          </cell>
          <cell r="AC251">
            <v>175388</v>
          </cell>
          <cell r="AD251">
            <v>43847</v>
          </cell>
          <cell r="AE251">
            <v>0</v>
          </cell>
          <cell r="AF251">
            <v>438470</v>
          </cell>
          <cell r="AG251">
            <v>198530</v>
          </cell>
          <cell r="AH251">
            <v>158824</v>
          </cell>
          <cell r="AI251">
            <v>39706</v>
          </cell>
          <cell r="AJ251">
            <v>0</v>
          </cell>
          <cell r="AK251">
            <v>397060</v>
          </cell>
          <cell r="AL251">
            <v>80512.67</v>
          </cell>
          <cell r="AM251">
            <v>64409</v>
          </cell>
          <cell r="AN251">
            <v>16102</v>
          </cell>
          <cell r="AO251">
            <v>0</v>
          </cell>
          <cell r="AP251">
            <v>161023.67000000001</v>
          </cell>
          <cell r="AQ251">
            <v>44011</v>
          </cell>
          <cell r="AR251">
            <v>35208</v>
          </cell>
          <cell r="AS251">
            <v>8802</v>
          </cell>
          <cell r="AT251">
            <v>0</v>
          </cell>
          <cell r="AU251">
            <v>88021</v>
          </cell>
          <cell r="AV251">
            <v>124523.67</v>
          </cell>
          <cell r="AW251">
            <v>99617</v>
          </cell>
          <cell r="AX251">
            <v>24904</v>
          </cell>
          <cell r="AY251">
            <v>0</v>
          </cell>
          <cell r="AZ251">
            <v>249044.67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23250</v>
          </cell>
          <cell r="BG251">
            <v>18600</v>
          </cell>
          <cell r="BH251">
            <v>4650</v>
          </cell>
          <cell r="BI251">
            <v>0</v>
          </cell>
          <cell r="BJ251">
            <v>46500</v>
          </cell>
          <cell r="BK251">
            <v>23250</v>
          </cell>
          <cell r="BL251">
            <v>18600</v>
          </cell>
          <cell r="BM251">
            <v>4650</v>
          </cell>
          <cell r="BN251">
            <v>0</v>
          </cell>
          <cell r="BO251">
            <v>46500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313328</v>
          </cell>
          <cell r="BV251">
            <v>250662</v>
          </cell>
          <cell r="BW251">
            <v>62666</v>
          </cell>
          <cell r="BX251">
            <v>0</v>
          </cell>
          <cell r="BY251">
            <v>626656</v>
          </cell>
          <cell r="BZ251">
            <v>313328</v>
          </cell>
          <cell r="CA251">
            <v>250662</v>
          </cell>
          <cell r="CB251">
            <v>62666</v>
          </cell>
          <cell r="CC251">
            <v>0</v>
          </cell>
          <cell r="CD251">
            <v>626656</v>
          </cell>
        </row>
        <row r="252">
          <cell r="A252">
            <v>245</v>
          </cell>
          <cell r="B252" t="str">
            <v>E3133</v>
          </cell>
          <cell r="C252" t="str">
            <v>SD</v>
          </cell>
          <cell r="D252" t="str">
            <v>SE</v>
          </cell>
          <cell r="E252" t="str">
            <v>South Oxfordshire</v>
          </cell>
          <cell r="F252">
            <v>19900308</v>
          </cell>
          <cell r="G252">
            <v>15920247</v>
          </cell>
          <cell r="H252">
            <v>3980062</v>
          </cell>
          <cell r="I252">
            <v>0</v>
          </cell>
          <cell r="J252">
            <v>39800617</v>
          </cell>
          <cell r="K252">
            <v>0</v>
          </cell>
          <cell r="L252">
            <v>0</v>
          </cell>
          <cell r="M252">
            <v>19900308</v>
          </cell>
          <cell r="N252">
            <v>39800617</v>
          </cell>
          <cell r="O252">
            <v>186629</v>
          </cell>
          <cell r="P252">
            <v>186629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932667</v>
          </cell>
          <cell r="AC252">
            <v>746134</v>
          </cell>
          <cell r="AD252">
            <v>186534</v>
          </cell>
          <cell r="AE252">
            <v>0</v>
          </cell>
          <cell r="AF252">
            <v>1865335</v>
          </cell>
          <cell r="AG252">
            <v>397117</v>
          </cell>
          <cell r="AH252">
            <v>317694</v>
          </cell>
          <cell r="AI252">
            <v>79424</v>
          </cell>
          <cell r="AJ252">
            <v>0</v>
          </cell>
          <cell r="AK252">
            <v>794235</v>
          </cell>
          <cell r="AL252">
            <v>527795</v>
          </cell>
          <cell r="AM252">
            <v>422236</v>
          </cell>
          <cell r="AN252">
            <v>105559</v>
          </cell>
          <cell r="AO252">
            <v>0</v>
          </cell>
          <cell r="AP252">
            <v>1055590</v>
          </cell>
          <cell r="AQ252">
            <v>-108800</v>
          </cell>
          <cell r="AR252">
            <v>-87040</v>
          </cell>
          <cell r="AS252">
            <v>-21760</v>
          </cell>
          <cell r="AT252">
            <v>0</v>
          </cell>
          <cell r="AU252">
            <v>-217600</v>
          </cell>
          <cell r="AV252">
            <v>418995</v>
          </cell>
          <cell r="AW252">
            <v>335196</v>
          </cell>
          <cell r="AX252">
            <v>83799</v>
          </cell>
          <cell r="AY252">
            <v>0</v>
          </cell>
          <cell r="AZ252">
            <v>837990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128497</v>
          </cell>
          <cell r="BG252">
            <v>102798</v>
          </cell>
          <cell r="BH252">
            <v>25700</v>
          </cell>
          <cell r="BI252">
            <v>0</v>
          </cell>
          <cell r="BJ252">
            <v>256995</v>
          </cell>
          <cell r="BK252">
            <v>128497</v>
          </cell>
          <cell r="BL252">
            <v>102798</v>
          </cell>
          <cell r="BM252">
            <v>25700</v>
          </cell>
          <cell r="BN252">
            <v>0</v>
          </cell>
          <cell r="BO252">
            <v>256995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675762</v>
          </cell>
          <cell r="BV252">
            <v>540610</v>
          </cell>
          <cell r="BW252">
            <v>135153</v>
          </cell>
          <cell r="BX252">
            <v>0</v>
          </cell>
          <cell r="BY252">
            <v>1351525</v>
          </cell>
          <cell r="BZ252">
            <v>675762</v>
          </cell>
          <cell r="CA252">
            <v>540610</v>
          </cell>
          <cell r="CB252">
            <v>135153</v>
          </cell>
          <cell r="CC252">
            <v>0</v>
          </cell>
          <cell r="CD252">
            <v>1351525</v>
          </cell>
        </row>
        <row r="253">
          <cell r="A253">
            <v>246</v>
          </cell>
          <cell r="B253" t="str">
            <v>E2342</v>
          </cell>
          <cell r="C253" t="str">
            <v>SD</v>
          </cell>
          <cell r="D253" t="str">
            <v>NW</v>
          </cell>
          <cell r="E253" t="str">
            <v>South Ribble</v>
          </cell>
          <cell r="F253">
            <v>16125532</v>
          </cell>
          <cell r="G253">
            <v>12900426</v>
          </cell>
          <cell r="H253">
            <v>2902596</v>
          </cell>
          <cell r="I253">
            <v>322511</v>
          </cell>
          <cell r="J253">
            <v>32251065</v>
          </cell>
          <cell r="K253">
            <v>0</v>
          </cell>
          <cell r="L253">
            <v>0</v>
          </cell>
          <cell r="M253">
            <v>16125532</v>
          </cell>
          <cell r="N253">
            <v>32251065</v>
          </cell>
          <cell r="O253">
            <v>124367</v>
          </cell>
          <cell r="P253">
            <v>124367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603623.93999999994</v>
          </cell>
          <cell r="AC253">
            <v>482898</v>
          </cell>
          <cell r="AD253">
            <v>108652</v>
          </cell>
          <cell r="AE253">
            <v>12072</v>
          </cell>
          <cell r="AF253">
            <v>1207245.94</v>
          </cell>
          <cell r="AG253">
            <v>161645</v>
          </cell>
          <cell r="AH253">
            <v>129316</v>
          </cell>
          <cell r="AI253">
            <v>29096</v>
          </cell>
          <cell r="AJ253">
            <v>3233</v>
          </cell>
          <cell r="AK253">
            <v>323290</v>
          </cell>
          <cell r="AL253">
            <v>300906</v>
          </cell>
          <cell r="AM253">
            <v>240724</v>
          </cell>
          <cell r="AN253">
            <v>54163</v>
          </cell>
          <cell r="AO253">
            <v>6018</v>
          </cell>
          <cell r="AP253">
            <v>601811</v>
          </cell>
          <cell r="AQ253">
            <v>-67241</v>
          </cell>
          <cell r="AR253">
            <v>-53794</v>
          </cell>
          <cell r="AS253">
            <v>-12104</v>
          </cell>
          <cell r="AT253">
            <v>-1345</v>
          </cell>
          <cell r="AU253">
            <v>-134484</v>
          </cell>
          <cell r="AV253">
            <v>233665</v>
          </cell>
          <cell r="AW253">
            <v>186930</v>
          </cell>
          <cell r="AX253">
            <v>42059</v>
          </cell>
          <cell r="AY253">
            <v>4673</v>
          </cell>
          <cell r="AZ253">
            <v>467327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300000</v>
          </cell>
          <cell r="BG253">
            <v>240000</v>
          </cell>
          <cell r="BH253">
            <v>54000</v>
          </cell>
          <cell r="BI253">
            <v>6000</v>
          </cell>
          <cell r="BJ253">
            <v>600000</v>
          </cell>
          <cell r="BK253">
            <v>300000</v>
          </cell>
          <cell r="BL253">
            <v>240000</v>
          </cell>
          <cell r="BM253">
            <v>54000</v>
          </cell>
          <cell r="BN253">
            <v>6000</v>
          </cell>
          <cell r="BO253">
            <v>600000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950000</v>
          </cell>
          <cell r="BV253">
            <v>760000</v>
          </cell>
          <cell r="BW253">
            <v>171000</v>
          </cell>
          <cell r="BX253">
            <v>19000</v>
          </cell>
          <cell r="BY253">
            <v>1900000</v>
          </cell>
          <cell r="BZ253">
            <v>950000</v>
          </cell>
          <cell r="CA253">
            <v>760000</v>
          </cell>
          <cell r="CB253">
            <v>171000</v>
          </cell>
          <cell r="CC253">
            <v>19000</v>
          </cell>
          <cell r="CD253">
            <v>1900000</v>
          </cell>
        </row>
        <row r="254">
          <cell r="A254">
            <v>247</v>
          </cell>
          <cell r="B254" t="str">
            <v>E3334</v>
          </cell>
          <cell r="C254" t="str">
            <v>SD</v>
          </cell>
          <cell r="D254" t="str">
            <v>SW</v>
          </cell>
          <cell r="E254" t="str">
            <v>South Somerset</v>
          </cell>
          <cell r="F254">
            <v>19818964</v>
          </cell>
          <cell r="G254">
            <v>15855171</v>
          </cell>
          <cell r="H254">
            <v>3567414</v>
          </cell>
          <cell r="I254">
            <v>396379</v>
          </cell>
          <cell r="J254">
            <v>39637928</v>
          </cell>
          <cell r="K254">
            <v>0</v>
          </cell>
          <cell r="L254">
            <v>0</v>
          </cell>
          <cell r="M254">
            <v>19818964</v>
          </cell>
          <cell r="N254">
            <v>39637928</v>
          </cell>
          <cell r="O254">
            <v>223390</v>
          </cell>
          <cell r="P254">
            <v>223390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8101</v>
          </cell>
          <cell r="V254">
            <v>0</v>
          </cell>
          <cell r="W254">
            <v>8101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1446021</v>
          </cell>
          <cell r="AC254">
            <v>1156816</v>
          </cell>
          <cell r="AD254">
            <v>260284</v>
          </cell>
          <cell r="AE254">
            <v>28920</v>
          </cell>
          <cell r="AF254">
            <v>2892041</v>
          </cell>
          <cell r="AG254">
            <v>254793</v>
          </cell>
          <cell r="AH254">
            <v>203835</v>
          </cell>
          <cell r="AI254">
            <v>45863</v>
          </cell>
          <cell r="AJ254">
            <v>5096</v>
          </cell>
          <cell r="AK254">
            <v>509587</v>
          </cell>
          <cell r="AL254">
            <v>334150</v>
          </cell>
          <cell r="AM254">
            <v>267320</v>
          </cell>
          <cell r="AN254">
            <v>60147</v>
          </cell>
          <cell r="AO254">
            <v>6683</v>
          </cell>
          <cell r="AP254">
            <v>668300</v>
          </cell>
          <cell r="AQ254">
            <v>148550</v>
          </cell>
          <cell r="AR254">
            <v>118840</v>
          </cell>
          <cell r="AS254">
            <v>26739</v>
          </cell>
          <cell r="AT254">
            <v>2971</v>
          </cell>
          <cell r="AU254">
            <v>297100</v>
          </cell>
          <cell r="AV254">
            <v>482700</v>
          </cell>
          <cell r="AW254">
            <v>386160</v>
          </cell>
          <cell r="AX254">
            <v>86886</v>
          </cell>
          <cell r="AY254">
            <v>9654</v>
          </cell>
          <cell r="AZ254">
            <v>965400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245258</v>
          </cell>
          <cell r="BG254">
            <v>196206</v>
          </cell>
          <cell r="BH254">
            <v>44146</v>
          </cell>
          <cell r="BI254">
            <v>4905</v>
          </cell>
          <cell r="BJ254">
            <v>490515</v>
          </cell>
          <cell r="BK254">
            <v>245258</v>
          </cell>
          <cell r="BL254">
            <v>196206</v>
          </cell>
          <cell r="BM254">
            <v>44146</v>
          </cell>
          <cell r="BN254">
            <v>4905</v>
          </cell>
          <cell r="BO254">
            <v>490515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942775</v>
          </cell>
          <cell r="BV254">
            <v>754220</v>
          </cell>
          <cell r="BW254">
            <v>169699</v>
          </cell>
          <cell r="BX254">
            <v>18855</v>
          </cell>
          <cell r="BY254">
            <v>1885549</v>
          </cell>
          <cell r="BZ254">
            <v>942775</v>
          </cell>
          <cell r="CA254">
            <v>754220</v>
          </cell>
          <cell r="CB254">
            <v>169699</v>
          </cell>
          <cell r="CC254">
            <v>18855</v>
          </cell>
          <cell r="CD254">
            <v>1885549</v>
          </cell>
        </row>
        <row r="255">
          <cell r="A255">
            <v>248</v>
          </cell>
          <cell r="B255" t="str">
            <v>E3435</v>
          </cell>
          <cell r="C255" t="str">
            <v>SD</v>
          </cell>
          <cell r="D255" t="str">
            <v>WM</v>
          </cell>
          <cell r="E255" t="str">
            <v>South Staffordshire</v>
          </cell>
          <cell r="F255">
            <v>9574510</v>
          </cell>
          <cell r="G255">
            <v>7659608</v>
          </cell>
          <cell r="H255">
            <v>1723412</v>
          </cell>
          <cell r="I255">
            <v>191490</v>
          </cell>
          <cell r="J255">
            <v>19149020</v>
          </cell>
          <cell r="K255">
            <v>54035</v>
          </cell>
          <cell r="L255">
            <v>54035</v>
          </cell>
          <cell r="M255">
            <v>9520475</v>
          </cell>
          <cell r="N255">
            <v>19094985</v>
          </cell>
          <cell r="O255">
            <v>103528</v>
          </cell>
          <cell r="P255">
            <v>103528</v>
          </cell>
          <cell r="Q255">
            <v>494143</v>
          </cell>
          <cell r="R255">
            <v>494143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54035</v>
          </cell>
          <cell r="Y255">
            <v>0</v>
          </cell>
          <cell r="Z255">
            <v>0</v>
          </cell>
          <cell r="AA255">
            <v>54035</v>
          </cell>
          <cell r="AB255">
            <v>430327</v>
          </cell>
          <cell r="AC255">
            <v>344262</v>
          </cell>
          <cell r="AD255">
            <v>77459</v>
          </cell>
          <cell r="AE255">
            <v>8607</v>
          </cell>
          <cell r="AF255">
            <v>860655</v>
          </cell>
          <cell r="AG255">
            <v>85383</v>
          </cell>
          <cell r="AH255">
            <v>68306</v>
          </cell>
          <cell r="AI255">
            <v>15369</v>
          </cell>
          <cell r="AJ255">
            <v>1708</v>
          </cell>
          <cell r="AK255">
            <v>170766</v>
          </cell>
          <cell r="AL255">
            <v>230500</v>
          </cell>
          <cell r="AM255">
            <v>184400</v>
          </cell>
          <cell r="AN255">
            <v>41490</v>
          </cell>
          <cell r="AO255">
            <v>4610</v>
          </cell>
          <cell r="AP255">
            <v>461000</v>
          </cell>
          <cell r="AQ255">
            <v>-10000</v>
          </cell>
          <cell r="AR255">
            <v>-8000</v>
          </cell>
          <cell r="AS255">
            <v>-1800</v>
          </cell>
          <cell r="AT255">
            <v>-200</v>
          </cell>
          <cell r="AU255">
            <v>-20000</v>
          </cell>
          <cell r="AV255">
            <v>220500</v>
          </cell>
          <cell r="AW255">
            <v>176400</v>
          </cell>
          <cell r="AX255">
            <v>39690</v>
          </cell>
          <cell r="AY255">
            <v>4410</v>
          </cell>
          <cell r="AZ255">
            <v>441000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159240</v>
          </cell>
          <cell r="BG255">
            <v>127392</v>
          </cell>
          <cell r="BH255">
            <v>28663</v>
          </cell>
          <cell r="BI255">
            <v>3185</v>
          </cell>
          <cell r="BJ255">
            <v>318480</v>
          </cell>
          <cell r="BK255">
            <v>159240</v>
          </cell>
          <cell r="BL255">
            <v>127392</v>
          </cell>
          <cell r="BM255">
            <v>28663</v>
          </cell>
          <cell r="BN255">
            <v>3185</v>
          </cell>
          <cell r="BO255">
            <v>318480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477720</v>
          </cell>
          <cell r="BV255">
            <v>382176</v>
          </cell>
          <cell r="BW255">
            <v>85990</v>
          </cell>
          <cell r="BX255">
            <v>9554</v>
          </cell>
          <cell r="BY255">
            <v>955440</v>
          </cell>
          <cell r="BZ255">
            <v>477720</v>
          </cell>
          <cell r="CA255">
            <v>382176</v>
          </cell>
          <cell r="CB255">
            <v>85990</v>
          </cell>
          <cell r="CC255">
            <v>9554</v>
          </cell>
          <cell r="CD255">
            <v>955440</v>
          </cell>
        </row>
        <row r="256">
          <cell r="A256">
            <v>249</v>
          </cell>
          <cell r="B256" t="str">
            <v>E4504</v>
          </cell>
          <cell r="C256" t="str">
            <v>Met</v>
          </cell>
          <cell r="D256" t="str">
            <v>NE</v>
          </cell>
          <cell r="E256" t="str">
            <v>South Tyneside</v>
          </cell>
          <cell r="F256">
            <v>14055689</v>
          </cell>
          <cell r="G256">
            <v>13774575</v>
          </cell>
          <cell r="H256">
            <v>0</v>
          </cell>
          <cell r="I256">
            <v>281114</v>
          </cell>
          <cell r="J256">
            <v>28111378</v>
          </cell>
          <cell r="K256">
            <v>0</v>
          </cell>
          <cell r="L256">
            <v>0</v>
          </cell>
          <cell r="M256">
            <v>14055689</v>
          </cell>
          <cell r="N256">
            <v>28111378</v>
          </cell>
          <cell r="O256">
            <v>150312</v>
          </cell>
          <cell r="P256">
            <v>150312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599305</v>
          </cell>
          <cell r="AC256">
            <v>587318</v>
          </cell>
          <cell r="AD256">
            <v>0</v>
          </cell>
          <cell r="AE256">
            <v>11986</v>
          </cell>
          <cell r="AF256">
            <v>1198609</v>
          </cell>
          <cell r="AG256">
            <v>237277</v>
          </cell>
          <cell r="AH256">
            <v>232531</v>
          </cell>
          <cell r="AI256">
            <v>0</v>
          </cell>
          <cell r="AJ256">
            <v>4746</v>
          </cell>
          <cell r="AK256">
            <v>474554</v>
          </cell>
          <cell r="AL256">
            <v>226474.09</v>
          </cell>
          <cell r="AM256">
            <v>221945</v>
          </cell>
          <cell r="AN256">
            <v>0</v>
          </cell>
          <cell r="AO256">
            <v>4529</v>
          </cell>
          <cell r="AP256">
            <v>452948.09</v>
          </cell>
          <cell r="AQ256">
            <v>55070.84</v>
          </cell>
          <cell r="AR256">
            <v>53969</v>
          </cell>
          <cell r="AS256">
            <v>0</v>
          </cell>
          <cell r="AT256">
            <v>1101</v>
          </cell>
          <cell r="AU256">
            <v>110140.84</v>
          </cell>
          <cell r="AV256">
            <v>281544.93</v>
          </cell>
          <cell r="AW256">
            <v>275914</v>
          </cell>
          <cell r="AX256">
            <v>0</v>
          </cell>
          <cell r="AY256">
            <v>5630</v>
          </cell>
          <cell r="AZ256">
            <v>563088.93000000005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97602</v>
          </cell>
          <cell r="BG256">
            <v>95649</v>
          </cell>
          <cell r="BH256">
            <v>0</v>
          </cell>
          <cell r="BI256">
            <v>1952</v>
          </cell>
          <cell r="BJ256">
            <v>195203</v>
          </cell>
          <cell r="BK256">
            <v>97602</v>
          </cell>
          <cell r="BL256">
            <v>95649</v>
          </cell>
          <cell r="BM256">
            <v>0</v>
          </cell>
          <cell r="BN256">
            <v>1952</v>
          </cell>
          <cell r="BO256">
            <v>195203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242737</v>
          </cell>
          <cell r="BV256">
            <v>237882</v>
          </cell>
          <cell r="BW256">
            <v>0</v>
          </cell>
          <cell r="BX256">
            <v>4855</v>
          </cell>
          <cell r="BY256">
            <v>485474</v>
          </cell>
          <cell r="BZ256">
            <v>242737</v>
          </cell>
          <cell r="CA256">
            <v>237882</v>
          </cell>
          <cell r="CB256">
            <v>0</v>
          </cell>
          <cell r="CC256">
            <v>4855</v>
          </cell>
          <cell r="CD256">
            <v>485474</v>
          </cell>
        </row>
        <row r="257">
          <cell r="A257">
            <v>250</v>
          </cell>
          <cell r="B257" t="str">
            <v>E1702</v>
          </cell>
          <cell r="C257" t="str">
            <v>UA</v>
          </cell>
          <cell r="D257" t="str">
            <v>SE</v>
          </cell>
          <cell r="E257" t="str">
            <v>Southampton UA</v>
          </cell>
          <cell r="F257">
            <v>41644389</v>
          </cell>
          <cell r="G257">
            <v>40811502</v>
          </cell>
          <cell r="H257">
            <v>0</v>
          </cell>
          <cell r="I257">
            <v>832888</v>
          </cell>
          <cell r="J257">
            <v>83288779</v>
          </cell>
          <cell r="K257">
            <v>0</v>
          </cell>
          <cell r="L257">
            <v>0</v>
          </cell>
          <cell r="M257">
            <v>41644389</v>
          </cell>
          <cell r="N257">
            <v>83288779</v>
          </cell>
          <cell r="O257">
            <v>321850</v>
          </cell>
          <cell r="P257">
            <v>321850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1886832</v>
          </cell>
          <cell r="AC257">
            <v>1849095</v>
          </cell>
          <cell r="AD257">
            <v>0</v>
          </cell>
          <cell r="AE257">
            <v>37737</v>
          </cell>
          <cell r="AF257">
            <v>3773664</v>
          </cell>
          <cell r="AG257">
            <v>1481278</v>
          </cell>
          <cell r="AH257">
            <v>1451653</v>
          </cell>
          <cell r="AI257">
            <v>0</v>
          </cell>
          <cell r="AJ257">
            <v>29626</v>
          </cell>
          <cell r="AK257">
            <v>2962557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-107845</v>
          </cell>
          <cell r="AR257">
            <v>-105689</v>
          </cell>
          <cell r="AS257">
            <v>0</v>
          </cell>
          <cell r="AT257">
            <v>-2157</v>
          </cell>
          <cell r="AU257">
            <v>-215691</v>
          </cell>
          <cell r="AV257">
            <v>-107845</v>
          </cell>
          <cell r="AW257">
            <v>-105689</v>
          </cell>
          <cell r="AX257">
            <v>0</v>
          </cell>
          <cell r="AY257">
            <v>-2157</v>
          </cell>
          <cell r="AZ257">
            <v>-215691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2829488</v>
          </cell>
          <cell r="BG257">
            <v>2772899</v>
          </cell>
          <cell r="BH257">
            <v>0</v>
          </cell>
          <cell r="BI257">
            <v>56590</v>
          </cell>
          <cell r="BJ257">
            <v>5658977</v>
          </cell>
          <cell r="BK257">
            <v>2829488</v>
          </cell>
          <cell r="BL257">
            <v>2772899</v>
          </cell>
          <cell r="BM257">
            <v>0</v>
          </cell>
          <cell r="BN257">
            <v>56590</v>
          </cell>
          <cell r="BO257">
            <v>5658977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4743134</v>
          </cell>
          <cell r="BV257">
            <v>4648271</v>
          </cell>
          <cell r="BW257">
            <v>0</v>
          </cell>
          <cell r="BX257">
            <v>94863</v>
          </cell>
          <cell r="BY257">
            <v>9486268</v>
          </cell>
          <cell r="BZ257">
            <v>4743134</v>
          </cell>
          <cell r="CA257">
            <v>4648271</v>
          </cell>
          <cell r="CB257">
            <v>0</v>
          </cell>
          <cell r="CC257">
            <v>94863</v>
          </cell>
          <cell r="CD257">
            <v>9486268</v>
          </cell>
        </row>
        <row r="258">
          <cell r="A258">
            <v>251</v>
          </cell>
          <cell r="B258" t="str">
            <v>E1501</v>
          </cell>
          <cell r="C258" t="str">
            <v>UA</v>
          </cell>
          <cell r="D258" t="str">
            <v>E</v>
          </cell>
          <cell r="E258" t="str">
            <v>Southend-on-Sea UA</v>
          </cell>
          <cell r="F258">
            <v>21709915</v>
          </cell>
          <cell r="G258">
            <v>21275717</v>
          </cell>
          <cell r="H258">
            <v>0</v>
          </cell>
          <cell r="I258">
            <v>434198</v>
          </cell>
          <cell r="J258">
            <v>43419830</v>
          </cell>
          <cell r="K258">
            <v>0</v>
          </cell>
          <cell r="L258">
            <v>0</v>
          </cell>
          <cell r="M258">
            <v>21709915</v>
          </cell>
          <cell r="N258">
            <v>43419830</v>
          </cell>
          <cell r="O258">
            <v>238667</v>
          </cell>
          <cell r="P258">
            <v>238667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938842</v>
          </cell>
          <cell r="AC258">
            <v>920065</v>
          </cell>
          <cell r="AD258">
            <v>0</v>
          </cell>
          <cell r="AE258">
            <v>18777</v>
          </cell>
          <cell r="AF258">
            <v>1877684</v>
          </cell>
          <cell r="AG258">
            <v>373887.94</v>
          </cell>
          <cell r="AH258">
            <v>366411</v>
          </cell>
          <cell r="AI258">
            <v>0</v>
          </cell>
          <cell r="AJ258">
            <v>7478</v>
          </cell>
          <cell r="AK258">
            <v>747776.94</v>
          </cell>
          <cell r="AL258">
            <v>230309.26</v>
          </cell>
          <cell r="AM258">
            <v>225703</v>
          </cell>
          <cell r="AN258">
            <v>0</v>
          </cell>
          <cell r="AO258">
            <v>4606</v>
          </cell>
          <cell r="AP258">
            <v>460618.26</v>
          </cell>
          <cell r="AQ258">
            <v>196002.34</v>
          </cell>
          <cell r="AR258">
            <v>192082</v>
          </cell>
          <cell r="AS258">
            <v>0</v>
          </cell>
          <cell r="AT258">
            <v>3920</v>
          </cell>
          <cell r="AU258">
            <v>392004.34</v>
          </cell>
          <cell r="AV258">
            <v>426311.6</v>
          </cell>
          <cell r="AW258">
            <v>417785</v>
          </cell>
          <cell r="AX258">
            <v>0</v>
          </cell>
          <cell r="AY258">
            <v>8526</v>
          </cell>
          <cell r="AZ258">
            <v>852622.6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150217.89000000001</v>
          </cell>
          <cell r="BG258">
            <v>147213</v>
          </cell>
          <cell r="BH258">
            <v>0</v>
          </cell>
          <cell r="BI258">
            <v>3004</v>
          </cell>
          <cell r="BJ258">
            <v>300434.89</v>
          </cell>
          <cell r="BK258">
            <v>150217.89000000001</v>
          </cell>
          <cell r="BL258">
            <v>147213</v>
          </cell>
          <cell r="BM258">
            <v>0</v>
          </cell>
          <cell r="BN258">
            <v>3004</v>
          </cell>
          <cell r="BO258">
            <v>300434.89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591547.39</v>
          </cell>
          <cell r="BV258">
            <v>579717</v>
          </cell>
          <cell r="BW258">
            <v>0</v>
          </cell>
          <cell r="BX258">
            <v>11831</v>
          </cell>
          <cell r="BY258">
            <v>1183095.3899999999</v>
          </cell>
          <cell r="BZ258">
            <v>591547.39</v>
          </cell>
          <cell r="CA258">
            <v>579717</v>
          </cell>
          <cell r="CB258">
            <v>0</v>
          </cell>
          <cell r="CC258">
            <v>11831</v>
          </cell>
          <cell r="CD258">
            <v>1183095.3899999999</v>
          </cell>
        </row>
        <row r="259">
          <cell r="A259">
            <v>252</v>
          </cell>
          <cell r="B259" t="str">
            <v>E5019</v>
          </cell>
          <cell r="C259" t="str">
            <v>ILB</v>
          </cell>
          <cell r="D259" t="str">
            <v>L</v>
          </cell>
          <cell r="E259" t="str">
            <v>Southwark</v>
          </cell>
          <cell r="F259">
            <v>77145399</v>
          </cell>
          <cell r="G259">
            <v>46287239</v>
          </cell>
          <cell r="H259">
            <v>30858160</v>
          </cell>
          <cell r="I259">
            <v>0</v>
          </cell>
          <cell r="J259">
            <v>154290798</v>
          </cell>
          <cell r="K259">
            <v>0</v>
          </cell>
          <cell r="L259">
            <v>0</v>
          </cell>
          <cell r="M259">
            <v>77145399</v>
          </cell>
          <cell r="N259">
            <v>154290798</v>
          </cell>
          <cell r="O259">
            <v>655771</v>
          </cell>
          <cell r="P259">
            <v>655771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3965306</v>
          </cell>
          <cell r="AC259">
            <v>2379184</v>
          </cell>
          <cell r="AD259">
            <v>1586123</v>
          </cell>
          <cell r="AE259">
            <v>0</v>
          </cell>
          <cell r="AF259">
            <v>7930613</v>
          </cell>
          <cell r="AG259">
            <v>-4639966</v>
          </cell>
          <cell r="AH259">
            <v>-2783980</v>
          </cell>
          <cell r="AI259">
            <v>-1855987</v>
          </cell>
          <cell r="AJ259">
            <v>0</v>
          </cell>
          <cell r="AK259">
            <v>-9279933</v>
          </cell>
          <cell r="AL259">
            <v>1986010.33</v>
          </cell>
          <cell r="AM259">
            <v>1191606</v>
          </cell>
          <cell r="AN259">
            <v>794404</v>
          </cell>
          <cell r="AO259">
            <v>0</v>
          </cell>
          <cell r="AP259">
            <v>3972020.33</v>
          </cell>
          <cell r="AQ259">
            <v>73589</v>
          </cell>
          <cell r="AR259">
            <v>44154</v>
          </cell>
          <cell r="AS259">
            <v>29436</v>
          </cell>
          <cell r="AT259">
            <v>0</v>
          </cell>
          <cell r="AU259">
            <v>147179</v>
          </cell>
          <cell r="AV259">
            <v>2059599.33</v>
          </cell>
          <cell r="AW259">
            <v>1235760</v>
          </cell>
          <cell r="AX259">
            <v>823840</v>
          </cell>
          <cell r="AY259">
            <v>0</v>
          </cell>
          <cell r="AZ259">
            <v>4119199.33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3761070.64</v>
          </cell>
          <cell r="BG259">
            <v>2256642</v>
          </cell>
          <cell r="BH259">
            <v>1504428</v>
          </cell>
          <cell r="BI259">
            <v>0</v>
          </cell>
          <cell r="BJ259">
            <v>7522140.6399999997</v>
          </cell>
          <cell r="BK259">
            <v>3761070.64</v>
          </cell>
          <cell r="BL259">
            <v>2256642</v>
          </cell>
          <cell r="BM259">
            <v>1504428</v>
          </cell>
          <cell r="BN259">
            <v>0</v>
          </cell>
          <cell r="BO259">
            <v>7522140.6399999997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15708571</v>
          </cell>
          <cell r="BV259">
            <v>9425143</v>
          </cell>
          <cell r="BW259">
            <v>6283428</v>
          </cell>
          <cell r="BX259">
            <v>0</v>
          </cell>
          <cell r="BY259">
            <v>31417142</v>
          </cell>
          <cell r="BZ259">
            <v>15708571</v>
          </cell>
          <cell r="CA259">
            <v>9425143</v>
          </cell>
          <cell r="CB259">
            <v>6283428</v>
          </cell>
          <cell r="CC259">
            <v>0</v>
          </cell>
          <cell r="CD259">
            <v>31417142</v>
          </cell>
        </row>
        <row r="260">
          <cell r="A260">
            <v>253</v>
          </cell>
          <cell r="B260" t="str">
            <v>E3637</v>
          </cell>
          <cell r="C260" t="str">
            <v>SD</v>
          </cell>
          <cell r="D260" t="str">
            <v>SE</v>
          </cell>
          <cell r="E260" t="str">
            <v>Spelthorne</v>
          </cell>
          <cell r="F260">
            <v>18859450</v>
          </cell>
          <cell r="G260">
            <v>15087560</v>
          </cell>
          <cell r="H260">
            <v>3771890</v>
          </cell>
          <cell r="I260">
            <v>0</v>
          </cell>
          <cell r="J260">
            <v>37718900</v>
          </cell>
          <cell r="K260">
            <v>0</v>
          </cell>
          <cell r="L260">
            <v>0</v>
          </cell>
          <cell r="M260">
            <v>18859450</v>
          </cell>
          <cell r="N260">
            <v>37718900</v>
          </cell>
          <cell r="O260">
            <v>132328</v>
          </cell>
          <cell r="P260">
            <v>132328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408552</v>
          </cell>
          <cell r="AC260">
            <v>326841</v>
          </cell>
          <cell r="AD260">
            <v>81710</v>
          </cell>
          <cell r="AE260">
            <v>0</v>
          </cell>
          <cell r="AF260">
            <v>817103</v>
          </cell>
          <cell r="AG260">
            <v>471102</v>
          </cell>
          <cell r="AH260">
            <v>376882</v>
          </cell>
          <cell r="AI260">
            <v>94221</v>
          </cell>
          <cell r="AJ260">
            <v>0</v>
          </cell>
          <cell r="AK260">
            <v>942205</v>
          </cell>
          <cell r="AL260">
            <v>144950</v>
          </cell>
          <cell r="AM260">
            <v>115960</v>
          </cell>
          <cell r="AN260">
            <v>28990</v>
          </cell>
          <cell r="AO260">
            <v>0</v>
          </cell>
          <cell r="AP260">
            <v>289900</v>
          </cell>
          <cell r="AQ260">
            <v>-7500</v>
          </cell>
          <cell r="AR260">
            <v>-6000</v>
          </cell>
          <cell r="AS260">
            <v>-1500</v>
          </cell>
          <cell r="AT260">
            <v>0</v>
          </cell>
          <cell r="AU260">
            <v>-15000</v>
          </cell>
          <cell r="AV260">
            <v>137450</v>
          </cell>
          <cell r="AW260">
            <v>109960</v>
          </cell>
          <cell r="AX260">
            <v>27490</v>
          </cell>
          <cell r="AY260">
            <v>0</v>
          </cell>
          <cell r="AZ260">
            <v>274900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317292</v>
          </cell>
          <cell r="BG260">
            <v>253833</v>
          </cell>
          <cell r="BH260">
            <v>63458</v>
          </cell>
          <cell r="BI260">
            <v>0</v>
          </cell>
          <cell r="BJ260">
            <v>634583</v>
          </cell>
          <cell r="BK260">
            <v>317292</v>
          </cell>
          <cell r="BL260">
            <v>253833</v>
          </cell>
          <cell r="BM260">
            <v>63458</v>
          </cell>
          <cell r="BN260">
            <v>0</v>
          </cell>
          <cell r="BO260">
            <v>634583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991881</v>
          </cell>
          <cell r="BV260">
            <v>793505</v>
          </cell>
          <cell r="BW260">
            <v>198376</v>
          </cell>
          <cell r="BX260">
            <v>0</v>
          </cell>
          <cell r="BY260">
            <v>1983762</v>
          </cell>
          <cell r="BZ260">
            <v>991881</v>
          </cell>
          <cell r="CA260">
            <v>793505</v>
          </cell>
          <cell r="CB260">
            <v>198376</v>
          </cell>
          <cell r="CC260">
            <v>0</v>
          </cell>
          <cell r="CD260">
            <v>1983762</v>
          </cell>
        </row>
        <row r="261">
          <cell r="A261">
            <v>254</v>
          </cell>
          <cell r="B261" t="str">
            <v>E1936</v>
          </cell>
          <cell r="C261" t="str">
            <v>SD</v>
          </cell>
          <cell r="D261" t="str">
            <v>E</v>
          </cell>
          <cell r="E261" t="str">
            <v>St Albans</v>
          </cell>
          <cell r="F261">
            <v>29084083</v>
          </cell>
          <cell r="G261">
            <v>23267267</v>
          </cell>
          <cell r="H261">
            <v>5816817</v>
          </cell>
          <cell r="I261">
            <v>0</v>
          </cell>
          <cell r="J261">
            <v>58168167</v>
          </cell>
          <cell r="K261">
            <v>0</v>
          </cell>
          <cell r="L261">
            <v>0</v>
          </cell>
          <cell r="M261">
            <v>29084083</v>
          </cell>
          <cell r="N261">
            <v>58168167</v>
          </cell>
          <cell r="O261">
            <v>197970</v>
          </cell>
          <cell r="P261">
            <v>197970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1165487</v>
          </cell>
          <cell r="AC261">
            <v>932390</v>
          </cell>
          <cell r="AD261">
            <v>233098</v>
          </cell>
          <cell r="AE261">
            <v>0</v>
          </cell>
          <cell r="AF261">
            <v>2330975</v>
          </cell>
          <cell r="AG261">
            <v>281196</v>
          </cell>
          <cell r="AH261">
            <v>224956</v>
          </cell>
          <cell r="AI261">
            <v>56239</v>
          </cell>
          <cell r="AJ261">
            <v>0</v>
          </cell>
          <cell r="AK261">
            <v>562391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107000</v>
          </cell>
          <cell r="AR261">
            <v>85600</v>
          </cell>
          <cell r="AS261">
            <v>21400</v>
          </cell>
          <cell r="AT261">
            <v>0</v>
          </cell>
          <cell r="AU261">
            <v>214000</v>
          </cell>
          <cell r="AV261">
            <v>107000</v>
          </cell>
          <cell r="AW261">
            <v>85600</v>
          </cell>
          <cell r="AX261">
            <v>21400</v>
          </cell>
          <cell r="AY261">
            <v>0</v>
          </cell>
          <cell r="AZ261">
            <v>214000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575567.86</v>
          </cell>
          <cell r="BG261">
            <v>460454</v>
          </cell>
          <cell r="BH261">
            <v>115114</v>
          </cell>
          <cell r="BI261">
            <v>0</v>
          </cell>
          <cell r="BJ261">
            <v>1151135.8600000001</v>
          </cell>
          <cell r="BK261">
            <v>575567.86</v>
          </cell>
          <cell r="BL261">
            <v>460454</v>
          </cell>
          <cell r="BM261">
            <v>115114</v>
          </cell>
          <cell r="BN261">
            <v>0</v>
          </cell>
          <cell r="BO261">
            <v>1151135.8600000001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462447</v>
          </cell>
          <cell r="BV261">
            <v>369958</v>
          </cell>
          <cell r="BW261">
            <v>92490</v>
          </cell>
          <cell r="BX261">
            <v>0</v>
          </cell>
          <cell r="BY261">
            <v>924895</v>
          </cell>
          <cell r="BZ261">
            <v>462447</v>
          </cell>
          <cell r="CA261">
            <v>369958</v>
          </cell>
          <cell r="CB261">
            <v>92490</v>
          </cell>
          <cell r="CC261">
            <v>0</v>
          </cell>
          <cell r="CD261">
            <v>924895</v>
          </cell>
        </row>
        <row r="262">
          <cell r="A262">
            <v>255</v>
          </cell>
          <cell r="B262" t="str">
            <v>E3535</v>
          </cell>
          <cell r="C262" t="str">
            <v>SD</v>
          </cell>
          <cell r="D262" t="str">
            <v>E</v>
          </cell>
          <cell r="E262" t="str">
            <v>St Edmundsbury</v>
          </cell>
          <cell r="F262">
            <v>21782926</v>
          </cell>
          <cell r="G262">
            <v>17426341</v>
          </cell>
          <cell r="H262">
            <v>4356585</v>
          </cell>
          <cell r="I262">
            <v>0</v>
          </cell>
          <cell r="J262">
            <v>43565852</v>
          </cell>
          <cell r="K262">
            <v>0</v>
          </cell>
          <cell r="L262">
            <v>0</v>
          </cell>
          <cell r="M262">
            <v>21782926</v>
          </cell>
          <cell r="N262">
            <v>43565852</v>
          </cell>
          <cell r="O262">
            <v>164145</v>
          </cell>
          <cell r="P262">
            <v>164145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35841</v>
          </cell>
          <cell r="V262">
            <v>0</v>
          </cell>
          <cell r="W262">
            <v>35841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665113.93000000005</v>
          </cell>
          <cell r="AC262">
            <v>532091</v>
          </cell>
          <cell r="AD262">
            <v>133023</v>
          </cell>
          <cell r="AE262">
            <v>0</v>
          </cell>
          <cell r="AF262">
            <v>1330227.93</v>
          </cell>
          <cell r="AG262">
            <v>158252.60999999999</v>
          </cell>
          <cell r="AH262">
            <v>126601</v>
          </cell>
          <cell r="AI262">
            <v>31650</v>
          </cell>
          <cell r="AJ262">
            <v>0</v>
          </cell>
          <cell r="AK262">
            <v>316503.61</v>
          </cell>
          <cell r="AL262">
            <v>153250.84</v>
          </cell>
          <cell r="AM262">
            <v>122601</v>
          </cell>
          <cell r="AN262">
            <v>30650</v>
          </cell>
          <cell r="AO262">
            <v>0</v>
          </cell>
          <cell r="AP262">
            <v>306501.84000000003</v>
          </cell>
          <cell r="AQ262">
            <v>45329.61</v>
          </cell>
          <cell r="AR262">
            <v>36264</v>
          </cell>
          <cell r="AS262">
            <v>9066</v>
          </cell>
          <cell r="AT262">
            <v>0</v>
          </cell>
          <cell r="AU262">
            <v>90659.61</v>
          </cell>
          <cell r="AV262">
            <v>198580.45</v>
          </cell>
          <cell r="AW262">
            <v>158865</v>
          </cell>
          <cell r="AX262">
            <v>39716</v>
          </cell>
          <cell r="AY262">
            <v>0</v>
          </cell>
          <cell r="AZ262">
            <v>397161.45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190078</v>
          </cell>
          <cell r="BG262">
            <v>152063</v>
          </cell>
          <cell r="BH262">
            <v>38016</v>
          </cell>
          <cell r="BI262">
            <v>0</v>
          </cell>
          <cell r="BJ262">
            <v>380157</v>
          </cell>
          <cell r="BK262">
            <v>190078</v>
          </cell>
          <cell r="BL262">
            <v>152063</v>
          </cell>
          <cell r="BM262">
            <v>38016</v>
          </cell>
          <cell r="BN262">
            <v>0</v>
          </cell>
          <cell r="BO262">
            <v>380157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527858</v>
          </cell>
          <cell r="BV262">
            <v>422287</v>
          </cell>
          <cell r="BW262">
            <v>105572</v>
          </cell>
          <cell r="BX262">
            <v>0</v>
          </cell>
          <cell r="BY262">
            <v>1055717</v>
          </cell>
          <cell r="BZ262">
            <v>527858</v>
          </cell>
          <cell r="CA262">
            <v>422287</v>
          </cell>
          <cell r="CB262">
            <v>105572</v>
          </cell>
          <cell r="CC262">
            <v>0</v>
          </cell>
          <cell r="CD262">
            <v>1055717</v>
          </cell>
        </row>
        <row r="263">
          <cell r="A263">
            <v>256</v>
          </cell>
          <cell r="B263" t="str">
            <v>E4303</v>
          </cell>
          <cell r="C263" t="str">
            <v>Met</v>
          </cell>
          <cell r="D263" t="str">
            <v>NW</v>
          </cell>
          <cell r="E263" t="str">
            <v>St Helens</v>
          </cell>
          <cell r="F263">
            <v>23983639</v>
          </cell>
          <cell r="G263">
            <v>23503967</v>
          </cell>
          <cell r="H263">
            <v>0</v>
          </cell>
          <cell r="I263">
            <v>479673</v>
          </cell>
          <cell r="J263">
            <v>47967279</v>
          </cell>
          <cell r="K263">
            <v>0</v>
          </cell>
          <cell r="L263">
            <v>0</v>
          </cell>
          <cell r="M263">
            <v>23983639</v>
          </cell>
          <cell r="N263">
            <v>47967279</v>
          </cell>
          <cell r="O263">
            <v>195142</v>
          </cell>
          <cell r="P263">
            <v>195142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1774990</v>
          </cell>
          <cell r="AC263">
            <v>1739490</v>
          </cell>
          <cell r="AD263">
            <v>0</v>
          </cell>
          <cell r="AE263">
            <v>35500</v>
          </cell>
          <cell r="AF263">
            <v>3549980</v>
          </cell>
          <cell r="AG263">
            <v>444344</v>
          </cell>
          <cell r="AH263">
            <v>435458</v>
          </cell>
          <cell r="AI263">
            <v>0</v>
          </cell>
          <cell r="AJ263">
            <v>8887</v>
          </cell>
          <cell r="AK263">
            <v>888689</v>
          </cell>
          <cell r="AL263">
            <v>745008</v>
          </cell>
          <cell r="AM263">
            <v>730108</v>
          </cell>
          <cell r="AN263">
            <v>0</v>
          </cell>
          <cell r="AO263">
            <v>14900</v>
          </cell>
          <cell r="AP263">
            <v>1490016</v>
          </cell>
          <cell r="AQ263">
            <v>204465</v>
          </cell>
          <cell r="AR263">
            <v>200375</v>
          </cell>
          <cell r="AS263">
            <v>0</v>
          </cell>
          <cell r="AT263">
            <v>4089</v>
          </cell>
          <cell r="AU263">
            <v>408929</v>
          </cell>
          <cell r="AV263">
            <v>949473</v>
          </cell>
          <cell r="AW263">
            <v>930483</v>
          </cell>
          <cell r="AX263">
            <v>0</v>
          </cell>
          <cell r="AY263">
            <v>18989</v>
          </cell>
          <cell r="AZ263">
            <v>1898945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393488</v>
          </cell>
          <cell r="BG263">
            <v>385618</v>
          </cell>
          <cell r="BH263">
            <v>0</v>
          </cell>
          <cell r="BI263">
            <v>7870</v>
          </cell>
          <cell r="BJ263">
            <v>786976</v>
          </cell>
          <cell r="BK263">
            <v>393488</v>
          </cell>
          <cell r="BL263">
            <v>385618</v>
          </cell>
          <cell r="BM263">
            <v>0</v>
          </cell>
          <cell r="BN263">
            <v>7870</v>
          </cell>
          <cell r="BO263">
            <v>786976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1174859</v>
          </cell>
          <cell r="BV263">
            <v>1151362</v>
          </cell>
          <cell r="BW263">
            <v>0</v>
          </cell>
          <cell r="BX263">
            <v>23497</v>
          </cell>
          <cell r="BY263">
            <v>2349718</v>
          </cell>
          <cell r="BZ263">
            <v>1174859</v>
          </cell>
          <cell r="CA263">
            <v>1151362</v>
          </cell>
          <cell r="CB263">
            <v>0</v>
          </cell>
          <cell r="CC263">
            <v>23497</v>
          </cell>
          <cell r="CD263">
            <v>2349718</v>
          </cell>
        </row>
        <row r="264">
          <cell r="A264">
            <v>257</v>
          </cell>
          <cell r="B264" t="str">
            <v>E3436</v>
          </cell>
          <cell r="C264" t="str">
            <v>SD</v>
          </cell>
          <cell r="D264" t="str">
            <v>WM</v>
          </cell>
          <cell r="E264" t="str">
            <v>Stafford</v>
          </cell>
          <cell r="F264">
            <v>20894811</v>
          </cell>
          <cell r="G264">
            <v>16715848</v>
          </cell>
          <cell r="H264">
            <v>3761066</v>
          </cell>
          <cell r="I264">
            <v>417896</v>
          </cell>
          <cell r="J264">
            <v>41789621</v>
          </cell>
          <cell r="K264">
            <v>0</v>
          </cell>
          <cell r="L264">
            <v>0</v>
          </cell>
          <cell r="M264">
            <v>20894811</v>
          </cell>
          <cell r="N264">
            <v>41789621</v>
          </cell>
          <cell r="O264">
            <v>172645</v>
          </cell>
          <cell r="P264">
            <v>172645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821752</v>
          </cell>
          <cell r="AC264">
            <v>657401</v>
          </cell>
          <cell r="AD264">
            <v>147915</v>
          </cell>
          <cell r="AE264">
            <v>16435</v>
          </cell>
          <cell r="AF264">
            <v>1643503</v>
          </cell>
          <cell r="AG264">
            <v>35825</v>
          </cell>
          <cell r="AH264">
            <v>28659</v>
          </cell>
          <cell r="AI264">
            <v>6448</v>
          </cell>
          <cell r="AJ264">
            <v>716</v>
          </cell>
          <cell r="AK264">
            <v>71648</v>
          </cell>
          <cell r="AL264">
            <v>266500</v>
          </cell>
          <cell r="AM264">
            <v>213200</v>
          </cell>
          <cell r="AN264">
            <v>47970</v>
          </cell>
          <cell r="AO264">
            <v>5330</v>
          </cell>
          <cell r="AP264">
            <v>533000</v>
          </cell>
          <cell r="AQ264">
            <v>151109</v>
          </cell>
          <cell r="AR264">
            <v>120887</v>
          </cell>
          <cell r="AS264">
            <v>27200</v>
          </cell>
          <cell r="AT264">
            <v>3022</v>
          </cell>
          <cell r="AU264">
            <v>302218</v>
          </cell>
          <cell r="AV264">
            <v>417609</v>
          </cell>
          <cell r="AW264">
            <v>334087</v>
          </cell>
          <cell r="AX264">
            <v>75170</v>
          </cell>
          <cell r="AY264">
            <v>8352</v>
          </cell>
          <cell r="AZ264">
            <v>835218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222805</v>
          </cell>
          <cell r="BG264">
            <v>178244</v>
          </cell>
          <cell r="BH264">
            <v>40105</v>
          </cell>
          <cell r="BI264">
            <v>4456</v>
          </cell>
          <cell r="BJ264">
            <v>445610</v>
          </cell>
          <cell r="BK264">
            <v>222805</v>
          </cell>
          <cell r="BL264">
            <v>178244</v>
          </cell>
          <cell r="BM264">
            <v>40105</v>
          </cell>
          <cell r="BN264">
            <v>4456</v>
          </cell>
          <cell r="BO264">
            <v>445610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668424</v>
          </cell>
          <cell r="BV264">
            <v>534738</v>
          </cell>
          <cell r="BW264">
            <v>120316</v>
          </cell>
          <cell r="BX264">
            <v>13368</v>
          </cell>
          <cell r="BY264">
            <v>1336846</v>
          </cell>
          <cell r="BZ264">
            <v>668424</v>
          </cell>
          <cell r="CA264">
            <v>534738</v>
          </cell>
          <cell r="CB264">
            <v>120316</v>
          </cell>
          <cell r="CC264">
            <v>13368</v>
          </cell>
          <cell r="CD264">
            <v>1336846</v>
          </cell>
        </row>
        <row r="265">
          <cell r="A265">
            <v>258</v>
          </cell>
          <cell r="B265" t="str">
            <v>E3437</v>
          </cell>
          <cell r="C265" t="str">
            <v>SD</v>
          </cell>
          <cell r="D265" t="str">
            <v>WM</v>
          </cell>
          <cell r="E265" t="str">
            <v>Staffordshire Moorlands</v>
          </cell>
          <cell r="F265">
            <v>8598625</v>
          </cell>
          <cell r="G265">
            <v>6878901</v>
          </cell>
          <cell r="H265">
            <v>1547753</v>
          </cell>
          <cell r="I265">
            <v>171973</v>
          </cell>
          <cell r="J265">
            <v>17197252</v>
          </cell>
          <cell r="K265">
            <v>0</v>
          </cell>
          <cell r="L265">
            <v>0</v>
          </cell>
          <cell r="M265">
            <v>8598625</v>
          </cell>
          <cell r="N265">
            <v>17197252</v>
          </cell>
          <cell r="O265">
            <v>116953</v>
          </cell>
          <cell r="P265">
            <v>116953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281266</v>
          </cell>
          <cell r="AC265">
            <v>225013</v>
          </cell>
          <cell r="AD265">
            <v>50628</v>
          </cell>
          <cell r="AE265">
            <v>5625</v>
          </cell>
          <cell r="AF265">
            <v>562532</v>
          </cell>
          <cell r="AG265">
            <v>62662</v>
          </cell>
          <cell r="AH265">
            <v>50130</v>
          </cell>
          <cell r="AI265">
            <v>11279</v>
          </cell>
          <cell r="AJ265">
            <v>1253</v>
          </cell>
          <cell r="AK265">
            <v>125324</v>
          </cell>
          <cell r="AL265">
            <v>209964</v>
          </cell>
          <cell r="AM265">
            <v>167971</v>
          </cell>
          <cell r="AN265">
            <v>37794</v>
          </cell>
          <cell r="AO265">
            <v>4199</v>
          </cell>
          <cell r="AP265">
            <v>419928</v>
          </cell>
          <cell r="AQ265">
            <v>-12748</v>
          </cell>
          <cell r="AR265">
            <v>-10198</v>
          </cell>
          <cell r="AS265">
            <v>-2295</v>
          </cell>
          <cell r="AT265">
            <v>-255</v>
          </cell>
          <cell r="AU265">
            <v>-25496</v>
          </cell>
          <cell r="AV265">
            <v>197216</v>
          </cell>
          <cell r="AW265">
            <v>157773</v>
          </cell>
          <cell r="AX265">
            <v>35499</v>
          </cell>
          <cell r="AY265">
            <v>3944</v>
          </cell>
          <cell r="AZ265">
            <v>394432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55064</v>
          </cell>
          <cell r="BG265">
            <v>44050</v>
          </cell>
          <cell r="BH265">
            <v>9911</v>
          </cell>
          <cell r="BI265">
            <v>1101</v>
          </cell>
          <cell r="BJ265">
            <v>110126</v>
          </cell>
          <cell r="BK265">
            <v>55064</v>
          </cell>
          <cell r="BL265">
            <v>44050</v>
          </cell>
          <cell r="BM265">
            <v>9911</v>
          </cell>
          <cell r="BN265">
            <v>1101</v>
          </cell>
          <cell r="BO265">
            <v>110126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133747</v>
          </cell>
          <cell r="BV265">
            <v>106998</v>
          </cell>
          <cell r="BW265">
            <v>24075</v>
          </cell>
          <cell r="BX265">
            <v>2675</v>
          </cell>
          <cell r="BY265">
            <v>267495</v>
          </cell>
          <cell r="BZ265">
            <v>133747</v>
          </cell>
          <cell r="CA265">
            <v>106998</v>
          </cell>
          <cell r="CB265">
            <v>24075</v>
          </cell>
          <cell r="CC265">
            <v>2675</v>
          </cell>
          <cell r="CD265">
            <v>267495</v>
          </cell>
        </row>
        <row r="266">
          <cell r="A266">
            <v>259</v>
          </cell>
          <cell r="B266" t="str">
            <v>E1937</v>
          </cell>
          <cell r="C266" t="str">
            <v>SD</v>
          </cell>
          <cell r="D266" t="str">
            <v>E</v>
          </cell>
          <cell r="E266" t="str">
            <v>Stevenage</v>
          </cell>
          <cell r="F266">
            <v>22046608</v>
          </cell>
          <cell r="G266">
            <v>17637286</v>
          </cell>
          <cell r="H266">
            <v>4409322</v>
          </cell>
          <cell r="I266">
            <v>0</v>
          </cell>
          <cell r="J266">
            <v>44093216</v>
          </cell>
          <cell r="K266">
            <v>0</v>
          </cell>
          <cell r="L266">
            <v>0</v>
          </cell>
          <cell r="M266">
            <v>22046608</v>
          </cell>
          <cell r="N266">
            <v>44093216</v>
          </cell>
          <cell r="O266">
            <v>113077</v>
          </cell>
          <cell r="P266">
            <v>113077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1956520</v>
          </cell>
          <cell r="AC266">
            <v>1565216</v>
          </cell>
          <cell r="AD266">
            <v>391304</v>
          </cell>
          <cell r="AE266">
            <v>0</v>
          </cell>
          <cell r="AF266">
            <v>3913040</v>
          </cell>
          <cell r="AG266">
            <v>-621902.4</v>
          </cell>
          <cell r="AH266">
            <v>-497522</v>
          </cell>
          <cell r="AI266">
            <v>-124381</v>
          </cell>
          <cell r="AJ266">
            <v>0</v>
          </cell>
          <cell r="AK266">
            <v>-1243805.3999999999</v>
          </cell>
          <cell r="AL266">
            <v>862241</v>
          </cell>
          <cell r="AM266">
            <v>689792</v>
          </cell>
          <cell r="AN266">
            <v>172448</v>
          </cell>
          <cell r="AO266">
            <v>0</v>
          </cell>
          <cell r="AP266">
            <v>1724481</v>
          </cell>
          <cell r="AQ266">
            <v>444738</v>
          </cell>
          <cell r="AR266">
            <v>355790</v>
          </cell>
          <cell r="AS266">
            <v>88948</v>
          </cell>
          <cell r="AT266">
            <v>0</v>
          </cell>
          <cell r="AU266">
            <v>889476</v>
          </cell>
          <cell r="AV266">
            <v>1306979</v>
          </cell>
          <cell r="AW266">
            <v>1045582</v>
          </cell>
          <cell r="AX266">
            <v>261396</v>
          </cell>
          <cell r="AY266">
            <v>0</v>
          </cell>
          <cell r="AZ266">
            <v>2613957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403096</v>
          </cell>
          <cell r="BG266">
            <v>322476</v>
          </cell>
          <cell r="BH266">
            <v>80619</v>
          </cell>
          <cell r="BI266">
            <v>0</v>
          </cell>
          <cell r="BJ266">
            <v>806191</v>
          </cell>
          <cell r="BK266">
            <v>403096</v>
          </cell>
          <cell r="BL266">
            <v>322476</v>
          </cell>
          <cell r="BM266">
            <v>80619</v>
          </cell>
          <cell r="BN266">
            <v>0</v>
          </cell>
          <cell r="BO266">
            <v>806191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1384730</v>
          </cell>
          <cell r="BV266">
            <v>1107784</v>
          </cell>
          <cell r="BW266">
            <v>276946</v>
          </cell>
          <cell r="BX266">
            <v>0</v>
          </cell>
          <cell r="BY266">
            <v>2769460</v>
          </cell>
          <cell r="BZ266">
            <v>1384730</v>
          </cell>
          <cell r="CA266">
            <v>1107784</v>
          </cell>
          <cell r="CB266">
            <v>276946</v>
          </cell>
          <cell r="CC266">
            <v>0</v>
          </cell>
          <cell r="CD266">
            <v>2769460</v>
          </cell>
        </row>
        <row r="267">
          <cell r="A267">
            <v>260</v>
          </cell>
          <cell r="B267" t="str">
            <v>E4207</v>
          </cell>
          <cell r="C267" t="str">
            <v>Met</v>
          </cell>
          <cell r="D267" t="str">
            <v>NW</v>
          </cell>
          <cell r="E267" t="str">
            <v>Stockport</v>
          </cell>
          <cell r="F267">
            <v>42018222</v>
          </cell>
          <cell r="G267">
            <v>41177858</v>
          </cell>
          <cell r="H267">
            <v>0</v>
          </cell>
          <cell r="I267">
            <v>840364</v>
          </cell>
          <cell r="J267">
            <v>84036444</v>
          </cell>
          <cell r="K267">
            <v>0</v>
          </cell>
          <cell r="L267">
            <v>0</v>
          </cell>
          <cell r="M267">
            <v>42018222</v>
          </cell>
          <cell r="N267">
            <v>84036444</v>
          </cell>
          <cell r="O267">
            <v>429417</v>
          </cell>
          <cell r="P267">
            <v>429417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6065219</v>
          </cell>
          <cell r="AC267">
            <v>5943915</v>
          </cell>
          <cell r="AD267">
            <v>0</v>
          </cell>
          <cell r="AE267">
            <v>121304</v>
          </cell>
          <cell r="AF267">
            <v>12130438</v>
          </cell>
          <cell r="AG267">
            <v>-694694</v>
          </cell>
          <cell r="AH267">
            <v>-680801</v>
          </cell>
          <cell r="AI267">
            <v>0</v>
          </cell>
          <cell r="AJ267">
            <v>-13894</v>
          </cell>
          <cell r="AK267">
            <v>-1389389</v>
          </cell>
          <cell r="AL267">
            <v>1846880</v>
          </cell>
          <cell r="AM267">
            <v>1809943</v>
          </cell>
          <cell r="AN267">
            <v>0</v>
          </cell>
          <cell r="AO267">
            <v>36938</v>
          </cell>
          <cell r="AP267">
            <v>3693761</v>
          </cell>
          <cell r="AQ267">
            <v>-158933</v>
          </cell>
          <cell r="AR267">
            <v>-155755</v>
          </cell>
          <cell r="AS267">
            <v>0</v>
          </cell>
          <cell r="AT267">
            <v>-3179</v>
          </cell>
          <cell r="AU267">
            <v>-317867</v>
          </cell>
          <cell r="AV267">
            <v>1687947</v>
          </cell>
          <cell r="AW267">
            <v>1654188</v>
          </cell>
          <cell r="AX267">
            <v>0</v>
          </cell>
          <cell r="AY267">
            <v>33759</v>
          </cell>
          <cell r="AZ267">
            <v>3375894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505793</v>
          </cell>
          <cell r="BG267">
            <v>495677</v>
          </cell>
          <cell r="BH267">
            <v>0</v>
          </cell>
          <cell r="BI267">
            <v>10116</v>
          </cell>
          <cell r="BJ267">
            <v>1011586</v>
          </cell>
          <cell r="BK267">
            <v>505793</v>
          </cell>
          <cell r="BL267">
            <v>495677</v>
          </cell>
          <cell r="BM267">
            <v>0</v>
          </cell>
          <cell r="BN267">
            <v>10116</v>
          </cell>
          <cell r="BO267">
            <v>1011586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1464659</v>
          </cell>
          <cell r="BV267">
            <v>1435365</v>
          </cell>
          <cell r="BW267">
            <v>0</v>
          </cell>
          <cell r="BX267">
            <v>29293</v>
          </cell>
          <cell r="BY267">
            <v>2929317</v>
          </cell>
          <cell r="BZ267">
            <v>1464659</v>
          </cell>
          <cell r="CA267">
            <v>1435365</v>
          </cell>
          <cell r="CB267">
            <v>0</v>
          </cell>
          <cell r="CC267">
            <v>29293</v>
          </cell>
          <cell r="CD267">
            <v>2929317</v>
          </cell>
        </row>
        <row r="268">
          <cell r="A268">
            <v>261</v>
          </cell>
          <cell r="B268" t="str">
            <v>E0704</v>
          </cell>
          <cell r="C268" t="str">
            <v>UA</v>
          </cell>
          <cell r="D268" t="str">
            <v>NE</v>
          </cell>
          <cell r="E268" t="str">
            <v>Stockton-on-Tees UA</v>
          </cell>
          <cell r="F268">
            <v>38357352</v>
          </cell>
          <cell r="G268">
            <v>37590204</v>
          </cell>
          <cell r="H268">
            <v>0</v>
          </cell>
          <cell r="I268">
            <v>767147</v>
          </cell>
          <cell r="J268">
            <v>76714703</v>
          </cell>
          <cell r="K268">
            <v>34962</v>
          </cell>
          <cell r="L268">
            <v>34962</v>
          </cell>
          <cell r="M268">
            <v>38322390</v>
          </cell>
          <cell r="N268">
            <v>76679741</v>
          </cell>
          <cell r="O268">
            <v>236341</v>
          </cell>
          <cell r="P268">
            <v>236341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34263</v>
          </cell>
          <cell r="Y268">
            <v>0</v>
          </cell>
          <cell r="Z268">
            <v>699</v>
          </cell>
          <cell r="AA268">
            <v>34962</v>
          </cell>
          <cell r="AB268">
            <v>605584</v>
          </cell>
          <cell r="AC268">
            <v>593472</v>
          </cell>
          <cell r="AD268">
            <v>0</v>
          </cell>
          <cell r="AE268">
            <v>12112</v>
          </cell>
          <cell r="AF268">
            <v>1211168</v>
          </cell>
          <cell r="AG268">
            <v>735456</v>
          </cell>
          <cell r="AH268">
            <v>720746</v>
          </cell>
          <cell r="AI268">
            <v>0</v>
          </cell>
          <cell r="AJ268">
            <v>14709</v>
          </cell>
          <cell r="AK268">
            <v>1470911</v>
          </cell>
          <cell r="AL268">
            <v>462500</v>
          </cell>
          <cell r="AM268">
            <v>453250</v>
          </cell>
          <cell r="AN268">
            <v>0</v>
          </cell>
          <cell r="AO268">
            <v>9250</v>
          </cell>
          <cell r="AP268">
            <v>925000</v>
          </cell>
          <cell r="AQ268">
            <v>41259</v>
          </cell>
          <cell r="AR268">
            <v>40434</v>
          </cell>
          <cell r="AS268">
            <v>0</v>
          </cell>
          <cell r="AT268">
            <v>825</v>
          </cell>
          <cell r="AU268">
            <v>82518</v>
          </cell>
          <cell r="AV268">
            <v>503759</v>
          </cell>
          <cell r="AW268">
            <v>493684</v>
          </cell>
          <cell r="AX268">
            <v>0</v>
          </cell>
          <cell r="AY268">
            <v>10075</v>
          </cell>
          <cell r="AZ268">
            <v>1007518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603822</v>
          </cell>
          <cell r="BG268">
            <v>591746</v>
          </cell>
          <cell r="BH268">
            <v>0</v>
          </cell>
          <cell r="BI268">
            <v>12076</v>
          </cell>
          <cell r="BJ268">
            <v>1207644</v>
          </cell>
          <cell r="BK268">
            <v>603822</v>
          </cell>
          <cell r="BL268">
            <v>591746</v>
          </cell>
          <cell r="BM268">
            <v>0</v>
          </cell>
          <cell r="BN268">
            <v>12076</v>
          </cell>
          <cell r="BO268">
            <v>1207644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917652</v>
          </cell>
          <cell r="BV268">
            <v>899298</v>
          </cell>
          <cell r="BW268">
            <v>0</v>
          </cell>
          <cell r="BX268">
            <v>18353</v>
          </cell>
          <cell r="BY268">
            <v>1835303</v>
          </cell>
          <cell r="BZ268">
            <v>917652</v>
          </cell>
          <cell r="CA268">
            <v>899298</v>
          </cell>
          <cell r="CB268">
            <v>0</v>
          </cell>
          <cell r="CC268">
            <v>18353</v>
          </cell>
          <cell r="CD268">
            <v>1835303</v>
          </cell>
        </row>
        <row r="269">
          <cell r="A269">
            <v>262</v>
          </cell>
          <cell r="B269" t="str">
            <v>E3401</v>
          </cell>
          <cell r="C269" t="str">
            <v>UA</v>
          </cell>
          <cell r="D269" t="str">
            <v>WM</v>
          </cell>
          <cell r="E269" t="str">
            <v>Stoke-on-Trent UA</v>
          </cell>
          <cell r="F269">
            <v>37437334</v>
          </cell>
          <cell r="G269">
            <v>36688588</v>
          </cell>
          <cell r="H269">
            <v>0</v>
          </cell>
          <cell r="I269">
            <v>748747</v>
          </cell>
          <cell r="J269">
            <v>74874669</v>
          </cell>
          <cell r="K269">
            <v>0</v>
          </cell>
          <cell r="L269">
            <v>0</v>
          </cell>
          <cell r="M269">
            <v>37437334</v>
          </cell>
          <cell r="N269">
            <v>74874669</v>
          </cell>
          <cell r="O269">
            <v>366370</v>
          </cell>
          <cell r="P269">
            <v>366370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2335870</v>
          </cell>
          <cell r="AC269">
            <v>2289152</v>
          </cell>
          <cell r="AD269">
            <v>0</v>
          </cell>
          <cell r="AE269">
            <v>46717</v>
          </cell>
          <cell r="AF269">
            <v>4671739</v>
          </cell>
          <cell r="AG269">
            <v>2487769</v>
          </cell>
          <cell r="AH269">
            <v>2438014</v>
          </cell>
          <cell r="AI269">
            <v>0</v>
          </cell>
          <cell r="AJ269">
            <v>49755</v>
          </cell>
          <cell r="AK269">
            <v>4975538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-310500</v>
          </cell>
          <cell r="AR269">
            <v>-304290</v>
          </cell>
          <cell r="AS269">
            <v>0</v>
          </cell>
          <cell r="AT269">
            <v>-6210</v>
          </cell>
          <cell r="AU269">
            <v>-621000</v>
          </cell>
          <cell r="AV269">
            <v>-310500</v>
          </cell>
          <cell r="AW269">
            <v>-304290</v>
          </cell>
          <cell r="AX269">
            <v>0</v>
          </cell>
          <cell r="AY269">
            <v>-6210</v>
          </cell>
          <cell r="AZ269">
            <v>-621000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1150000</v>
          </cell>
          <cell r="BG269">
            <v>1127000</v>
          </cell>
          <cell r="BH269">
            <v>0</v>
          </cell>
          <cell r="BI269">
            <v>23000</v>
          </cell>
          <cell r="BJ269">
            <v>2300000</v>
          </cell>
          <cell r="BK269">
            <v>1150000</v>
          </cell>
          <cell r="BL269">
            <v>1127000</v>
          </cell>
          <cell r="BM269">
            <v>0</v>
          </cell>
          <cell r="BN269">
            <v>23000</v>
          </cell>
          <cell r="BO269">
            <v>2300000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3000000</v>
          </cell>
          <cell r="BV269">
            <v>2940000</v>
          </cell>
          <cell r="BW269">
            <v>0</v>
          </cell>
          <cell r="BX269">
            <v>60000</v>
          </cell>
          <cell r="BY269">
            <v>6000000</v>
          </cell>
          <cell r="BZ269">
            <v>3000000</v>
          </cell>
          <cell r="CA269">
            <v>2940000</v>
          </cell>
          <cell r="CB269">
            <v>0</v>
          </cell>
          <cell r="CC269">
            <v>60000</v>
          </cell>
          <cell r="CD269">
            <v>6000000</v>
          </cell>
        </row>
        <row r="270">
          <cell r="A270">
            <v>263</v>
          </cell>
          <cell r="B270" t="str">
            <v>E3734</v>
          </cell>
          <cell r="C270" t="str">
            <v>SD</v>
          </cell>
          <cell r="D270" t="str">
            <v>WM</v>
          </cell>
          <cell r="E270" t="str">
            <v>Stratford-on-Avon</v>
          </cell>
          <cell r="F270">
            <v>24314692</v>
          </cell>
          <cell r="G270">
            <v>19451753</v>
          </cell>
          <cell r="H270">
            <v>4862938</v>
          </cell>
          <cell r="I270">
            <v>0</v>
          </cell>
          <cell r="J270">
            <v>48629383</v>
          </cell>
          <cell r="K270">
            <v>0</v>
          </cell>
          <cell r="L270">
            <v>0</v>
          </cell>
          <cell r="M270">
            <v>24314692</v>
          </cell>
          <cell r="N270">
            <v>48629383</v>
          </cell>
          <cell r="O270">
            <v>217406</v>
          </cell>
          <cell r="P270">
            <v>217406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319443</v>
          </cell>
          <cell r="AC270">
            <v>255555</v>
          </cell>
          <cell r="AD270">
            <v>63889</v>
          </cell>
          <cell r="AE270">
            <v>0</v>
          </cell>
          <cell r="AF270">
            <v>638887</v>
          </cell>
          <cell r="AG270">
            <v>373367</v>
          </cell>
          <cell r="AH270">
            <v>298694</v>
          </cell>
          <cell r="AI270">
            <v>74674</v>
          </cell>
          <cell r="AJ270">
            <v>0</v>
          </cell>
          <cell r="AK270">
            <v>746735</v>
          </cell>
          <cell r="AL270">
            <v>198597</v>
          </cell>
          <cell r="AM270">
            <v>158877</v>
          </cell>
          <cell r="AN270">
            <v>39719</v>
          </cell>
          <cell r="AO270">
            <v>0</v>
          </cell>
          <cell r="AP270">
            <v>397193</v>
          </cell>
          <cell r="AQ270">
            <v>9426</v>
          </cell>
          <cell r="AR270">
            <v>7541</v>
          </cell>
          <cell r="AS270">
            <v>1885</v>
          </cell>
          <cell r="AT270">
            <v>0</v>
          </cell>
          <cell r="AU270">
            <v>18852</v>
          </cell>
          <cell r="AV270">
            <v>208023</v>
          </cell>
          <cell r="AW270">
            <v>166418</v>
          </cell>
          <cell r="AX270">
            <v>41604</v>
          </cell>
          <cell r="AY270">
            <v>0</v>
          </cell>
          <cell r="AZ270">
            <v>416045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284534</v>
          </cell>
          <cell r="BG270">
            <v>227628</v>
          </cell>
          <cell r="BH270">
            <v>56907</v>
          </cell>
          <cell r="BI270">
            <v>0</v>
          </cell>
          <cell r="BJ270">
            <v>569069</v>
          </cell>
          <cell r="BK270">
            <v>284534</v>
          </cell>
          <cell r="BL270">
            <v>227628</v>
          </cell>
          <cell r="BM270">
            <v>56907</v>
          </cell>
          <cell r="BN270">
            <v>0</v>
          </cell>
          <cell r="BO270">
            <v>569069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1026999</v>
          </cell>
          <cell r="BV270">
            <v>821599</v>
          </cell>
          <cell r="BW270">
            <v>205400</v>
          </cell>
          <cell r="BX270">
            <v>0</v>
          </cell>
          <cell r="BY270">
            <v>2053998</v>
          </cell>
          <cell r="BZ270">
            <v>1026999</v>
          </cell>
          <cell r="CA270">
            <v>821599</v>
          </cell>
          <cell r="CB270">
            <v>205400</v>
          </cell>
          <cell r="CC270">
            <v>0</v>
          </cell>
          <cell r="CD270">
            <v>2053998</v>
          </cell>
        </row>
        <row r="271">
          <cell r="A271">
            <v>264</v>
          </cell>
          <cell r="B271" t="str">
            <v>E1635</v>
          </cell>
          <cell r="C271" t="str">
            <v>SD</v>
          </cell>
          <cell r="D271" t="str">
            <v>SW</v>
          </cell>
          <cell r="E271" t="str">
            <v>Stroud</v>
          </cell>
          <cell r="F271">
            <v>11562668</v>
          </cell>
          <cell r="G271">
            <v>9250134</v>
          </cell>
          <cell r="H271">
            <v>2312534</v>
          </cell>
          <cell r="I271">
            <v>0</v>
          </cell>
          <cell r="J271">
            <v>23125336</v>
          </cell>
          <cell r="K271">
            <v>0</v>
          </cell>
          <cell r="L271">
            <v>0</v>
          </cell>
          <cell r="M271">
            <v>11562668</v>
          </cell>
          <cell r="N271">
            <v>23125336</v>
          </cell>
          <cell r="O271">
            <v>157553</v>
          </cell>
          <cell r="P271">
            <v>157553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550</v>
          </cell>
          <cell r="V271">
            <v>0</v>
          </cell>
          <cell r="W271">
            <v>550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443262.48</v>
          </cell>
          <cell r="AC271">
            <v>354610</v>
          </cell>
          <cell r="AD271">
            <v>88652</v>
          </cell>
          <cell r="AE271">
            <v>0</v>
          </cell>
          <cell r="AF271">
            <v>886524.48</v>
          </cell>
          <cell r="AG271">
            <v>142271.66</v>
          </cell>
          <cell r="AH271">
            <v>113817</v>
          </cell>
          <cell r="AI271">
            <v>28454</v>
          </cell>
          <cell r="AJ271">
            <v>0</v>
          </cell>
          <cell r="AK271">
            <v>284542.65999999997</v>
          </cell>
          <cell r="AL271">
            <v>132522.45000000001</v>
          </cell>
          <cell r="AM271">
            <v>106019</v>
          </cell>
          <cell r="AN271">
            <v>26505</v>
          </cell>
          <cell r="AO271">
            <v>0</v>
          </cell>
          <cell r="AP271">
            <v>265046.45</v>
          </cell>
          <cell r="AQ271">
            <v>29627.8</v>
          </cell>
          <cell r="AR271">
            <v>23703</v>
          </cell>
          <cell r="AS271">
            <v>5926</v>
          </cell>
          <cell r="AT271">
            <v>0</v>
          </cell>
          <cell r="AU271">
            <v>59256.800000000003</v>
          </cell>
          <cell r="AV271">
            <v>162150.25</v>
          </cell>
          <cell r="AW271">
            <v>129722</v>
          </cell>
          <cell r="AX271">
            <v>32431</v>
          </cell>
          <cell r="AY271">
            <v>0</v>
          </cell>
          <cell r="AZ271">
            <v>324303.25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153705</v>
          </cell>
          <cell r="BG271">
            <v>122964</v>
          </cell>
          <cell r="BH271">
            <v>30741</v>
          </cell>
          <cell r="BI271">
            <v>0</v>
          </cell>
          <cell r="BJ271">
            <v>307410</v>
          </cell>
          <cell r="BK271">
            <v>153705</v>
          </cell>
          <cell r="BL271">
            <v>122964</v>
          </cell>
          <cell r="BM271">
            <v>30741</v>
          </cell>
          <cell r="BN271">
            <v>0</v>
          </cell>
          <cell r="BO271">
            <v>307410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237666</v>
          </cell>
          <cell r="BV271">
            <v>190133</v>
          </cell>
          <cell r="BW271">
            <v>47533</v>
          </cell>
          <cell r="BX271">
            <v>0</v>
          </cell>
          <cell r="BY271">
            <v>475332</v>
          </cell>
          <cell r="BZ271">
            <v>237666</v>
          </cell>
          <cell r="CA271">
            <v>190133</v>
          </cell>
          <cell r="CB271">
            <v>47533</v>
          </cell>
          <cell r="CC271">
            <v>0</v>
          </cell>
          <cell r="CD271">
            <v>475332</v>
          </cell>
        </row>
        <row r="272">
          <cell r="A272">
            <v>265</v>
          </cell>
          <cell r="B272" t="str">
            <v>E3536</v>
          </cell>
          <cell r="C272" t="str">
            <v>SD</v>
          </cell>
          <cell r="D272" t="str">
            <v>E</v>
          </cell>
          <cell r="E272" t="str">
            <v>Suffolk Coastal</v>
          </cell>
          <cell r="F272">
            <v>24429852</v>
          </cell>
          <cell r="G272">
            <v>19543881</v>
          </cell>
          <cell r="H272">
            <v>4885970</v>
          </cell>
          <cell r="I272">
            <v>0</v>
          </cell>
          <cell r="J272">
            <v>48859703</v>
          </cell>
          <cell r="K272">
            <v>0</v>
          </cell>
          <cell r="L272">
            <v>0</v>
          </cell>
          <cell r="M272">
            <v>24429852</v>
          </cell>
          <cell r="N272">
            <v>48859703</v>
          </cell>
          <cell r="O272">
            <v>277838</v>
          </cell>
          <cell r="P272">
            <v>277838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333834</v>
          </cell>
          <cell r="AC272">
            <v>267068</v>
          </cell>
          <cell r="AD272">
            <v>66767</v>
          </cell>
          <cell r="AE272">
            <v>0</v>
          </cell>
          <cell r="AF272">
            <v>667669</v>
          </cell>
          <cell r="AG272">
            <v>-178882</v>
          </cell>
          <cell r="AH272">
            <v>-143106</v>
          </cell>
          <cell r="AI272">
            <v>-35777</v>
          </cell>
          <cell r="AJ272">
            <v>0</v>
          </cell>
          <cell r="AK272">
            <v>-357765</v>
          </cell>
          <cell r="AL272">
            <v>152014</v>
          </cell>
          <cell r="AM272">
            <v>121612</v>
          </cell>
          <cell r="AN272">
            <v>30403</v>
          </cell>
          <cell r="AO272">
            <v>0</v>
          </cell>
          <cell r="AP272">
            <v>304029</v>
          </cell>
          <cell r="AQ272">
            <v>22159</v>
          </cell>
          <cell r="AR272">
            <v>17728</v>
          </cell>
          <cell r="AS272">
            <v>4432</v>
          </cell>
          <cell r="AT272">
            <v>0</v>
          </cell>
          <cell r="AU272">
            <v>44319</v>
          </cell>
          <cell r="AV272">
            <v>174173</v>
          </cell>
          <cell r="AW272">
            <v>139340</v>
          </cell>
          <cell r="AX272">
            <v>34835</v>
          </cell>
          <cell r="AY272">
            <v>0</v>
          </cell>
          <cell r="AZ272">
            <v>348348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2325742</v>
          </cell>
          <cell r="BG272">
            <v>1860593</v>
          </cell>
          <cell r="BH272">
            <v>465148</v>
          </cell>
          <cell r="BI272">
            <v>0</v>
          </cell>
          <cell r="BJ272">
            <v>4651483</v>
          </cell>
          <cell r="BK272">
            <v>2325742</v>
          </cell>
          <cell r="BL272">
            <v>1860593</v>
          </cell>
          <cell r="BM272">
            <v>465148</v>
          </cell>
          <cell r="BN272">
            <v>0</v>
          </cell>
          <cell r="BO272">
            <v>4651483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6804842</v>
          </cell>
          <cell r="BV272">
            <v>5443873</v>
          </cell>
          <cell r="BW272">
            <v>1360968</v>
          </cell>
          <cell r="BX272">
            <v>0</v>
          </cell>
          <cell r="BY272">
            <v>13609683</v>
          </cell>
          <cell r="BZ272">
            <v>6804842</v>
          </cell>
          <cell r="CA272">
            <v>5443873</v>
          </cell>
          <cell r="CB272">
            <v>1360968</v>
          </cell>
          <cell r="CC272">
            <v>0</v>
          </cell>
          <cell r="CD272">
            <v>13609683</v>
          </cell>
        </row>
        <row r="273">
          <cell r="A273">
            <v>266</v>
          </cell>
          <cell r="B273" t="str">
            <v>E4505</v>
          </cell>
          <cell r="C273" t="str">
            <v>Met</v>
          </cell>
          <cell r="D273" t="str">
            <v>NE</v>
          </cell>
          <cell r="E273" t="str">
            <v>Sunderland</v>
          </cell>
          <cell r="F273">
            <v>40094601</v>
          </cell>
          <cell r="G273">
            <v>39292709</v>
          </cell>
          <cell r="H273">
            <v>0</v>
          </cell>
          <cell r="I273">
            <v>801892</v>
          </cell>
          <cell r="J273">
            <v>80189202</v>
          </cell>
          <cell r="K273">
            <v>28390</v>
          </cell>
          <cell r="L273">
            <v>28390</v>
          </cell>
          <cell r="M273">
            <v>40066211</v>
          </cell>
          <cell r="N273">
            <v>80160812</v>
          </cell>
          <cell r="O273">
            <v>333443</v>
          </cell>
          <cell r="P273">
            <v>333443</v>
          </cell>
          <cell r="Q273">
            <v>570350</v>
          </cell>
          <cell r="R273">
            <v>570350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28390</v>
          </cell>
          <cell r="Y273">
            <v>0</v>
          </cell>
          <cell r="Z273">
            <v>0</v>
          </cell>
          <cell r="AA273">
            <v>28390</v>
          </cell>
          <cell r="AB273">
            <v>4191174</v>
          </cell>
          <cell r="AC273">
            <v>4107351</v>
          </cell>
          <cell r="AD273">
            <v>0</v>
          </cell>
          <cell r="AE273">
            <v>83823</v>
          </cell>
          <cell r="AF273">
            <v>8382348</v>
          </cell>
          <cell r="AG273">
            <v>292289</v>
          </cell>
          <cell r="AH273">
            <v>286444</v>
          </cell>
          <cell r="AI273">
            <v>0</v>
          </cell>
          <cell r="AJ273">
            <v>5846</v>
          </cell>
          <cell r="AK273">
            <v>584579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407491</v>
          </cell>
          <cell r="AR273">
            <v>399342</v>
          </cell>
          <cell r="AS273">
            <v>0</v>
          </cell>
          <cell r="AT273">
            <v>8150</v>
          </cell>
          <cell r="AU273">
            <v>814983</v>
          </cell>
          <cell r="AV273">
            <v>407491</v>
          </cell>
          <cell r="AW273">
            <v>399342</v>
          </cell>
          <cell r="AX273">
            <v>0</v>
          </cell>
          <cell r="AY273">
            <v>8150</v>
          </cell>
          <cell r="AZ273">
            <v>814983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926976</v>
          </cell>
          <cell r="BG273">
            <v>908436</v>
          </cell>
          <cell r="BH273">
            <v>0</v>
          </cell>
          <cell r="BI273">
            <v>18540</v>
          </cell>
          <cell r="BJ273">
            <v>1853952</v>
          </cell>
          <cell r="BK273">
            <v>926976</v>
          </cell>
          <cell r="BL273">
            <v>908436</v>
          </cell>
          <cell r="BM273">
            <v>0</v>
          </cell>
          <cell r="BN273">
            <v>18540</v>
          </cell>
          <cell r="BO273">
            <v>1853952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2955680</v>
          </cell>
          <cell r="BV273">
            <v>2896567</v>
          </cell>
          <cell r="BW273">
            <v>0</v>
          </cell>
          <cell r="BX273">
            <v>59114</v>
          </cell>
          <cell r="BY273">
            <v>5911361</v>
          </cell>
          <cell r="BZ273">
            <v>2955680</v>
          </cell>
          <cell r="CA273">
            <v>2896567</v>
          </cell>
          <cell r="CB273">
            <v>0</v>
          </cell>
          <cell r="CC273">
            <v>59114</v>
          </cell>
          <cell r="CD273">
            <v>5911361</v>
          </cell>
        </row>
        <row r="274">
          <cell r="A274">
            <v>267</v>
          </cell>
          <cell r="B274" t="str">
            <v>E3638</v>
          </cell>
          <cell r="C274" t="str">
            <v>SD</v>
          </cell>
          <cell r="D274" t="str">
            <v>SE</v>
          </cell>
          <cell r="E274" t="str">
            <v>Surrey Heath</v>
          </cell>
          <cell r="F274">
            <v>15896472</v>
          </cell>
          <cell r="G274">
            <v>12717178</v>
          </cell>
          <cell r="H274">
            <v>3179295</v>
          </cell>
          <cell r="I274">
            <v>0</v>
          </cell>
          <cell r="J274">
            <v>31792945</v>
          </cell>
          <cell r="K274">
            <v>0</v>
          </cell>
          <cell r="L274">
            <v>0</v>
          </cell>
          <cell r="M274">
            <v>15896472</v>
          </cell>
          <cell r="N274">
            <v>31792945</v>
          </cell>
          <cell r="O274">
            <v>122476</v>
          </cell>
          <cell r="P274">
            <v>122476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1123217</v>
          </cell>
          <cell r="AC274">
            <v>898574</v>
          </cell>
          <cell r="AD274">
            <v>224643</v>
          </cell>
          <cell r="AE274">
            <v>0</v>
          </cell>
          <cell r="AF274">
            <v>2246434</v>
          </cell>
          <cell r="AG274">
            <v>487174</v>
          </cell>
          <cell r="AH274">
            <v>389740</v>
          </cell>
          <cell r="AI274">
            <v>97435</v>
          </cell>
          <cell r="AJ274">
            <v>0</v>
          </cell>
          <cell r="AK274">
            <v>974349</v>
          </cell>
          <cell r="AL274">
            <v>337000</v>
          </cell>
          <cell r="AM274">
            <v>269600</v>
          </cell>
          <cell r="AN274">
            <v>67400</v>
          </cell>
          <cell r="AO274">
            <v>0</v>
          </cell>
          <cell r="AP274">
            <v>674000</v>
          </cell>
          <cell r="AQ274">
            <v>151000</v>
          </cell>
          <cell r="AR274">
            <v>120800</v>
          </cell>
          <cell r="AS274">
            <v>30200</v>
          </cell>
          <cell r="AT274">
            <v>0</v>
          </cell>
          <cell r="AU274">
            <v>302000</v>
          </cell>
          <cell r="AV274">
            <v>488000</v>
          </cell>
          <cell r="AW274">
            <v>390400</v>
          </cell>
          <cell r="AX274">
            <v>97600</v>
          </cell>
          <cell r="AY274">
            <v>0</v>
          </cell>
          <cell r="AZ274">
            <v>976000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180000</v>
          </cell>
          <cell r="BG274">
            <v>144000</v>
          </cell>
          <cell r="BH274">
            <v>36000</v>
          </cell>
          <cell r="BI274">
            <v>0</v>
          </cell>
          <cell r="BJ274">
            <v>360000</v>
          </cell>
          <cell r="BK274">
            <v>180000</v>
          </cell>
          <cell r="BL274">
            <v>144000</v>
          </cell>
          <cell r="BM274">
            <v>36000</v>
          </cell>
          <cell r="BN274">
            <v>0</v>
          </cell>
          <cell r="BO274">
            <v>360000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520000</v>
          </cell>
          <cell r="BV274">
            <v>416000</v>
          </cell>
          <cell r="BW274">
            <v>104000</v>
          </cell>
          <cell r="BX274">
            <v>0</v>
          </cell>
          <cell r="BY274">
            <v>1040000</v>
          </cell>
          <cell r="BZ274">
            <v>520000</v>
          </cell>
          <cell r="CA274">
            <v>416000</v>
          </cell>
          <cell r="CB274">
            <v>104000</v>
          </cell>
          <cell r="CC274">
            <v>0</v>
          </cell>
          <cell r="CD274">
            <v>1040000</v>
          </cell>
        </row>
        <row r="275">
          <cell r="A275">
            <v>268</v>
          </cell>
          <cell r="B275" t="str">
            <v>E5048</v>
          </cell>
          <cell r="C275" t="str">
            <v>OLB</v>
          </cell>
          <cell r="D275" t="str">
            <v>L</v>
          </cell>
          <cell r="E275" t="str">
            <v>Sutton</v>
          </cell>
          <cell r="F275">
            <v>23346406</v>
          </cell>
          <cell r="G275">
            <v>14007844</v>
          </cell>
          <cell r="H275">
            <v>9338563</v>
          </cell>
          <cell r="I275">
            <v>0</v>
          </cell>
          <cell r="J275">
            <v>46692813</v>
          </cell>
          <cell r="K275">
            <v>0</v>
          </cell>
          <cell r="L275">
            <v>0</v>
          </cell>
          <cell r="M275">
            <v>23346406</v>
          </cell>
          <cell r="N275">
            <v>46692813</v>
          </cell>
          <cell r="O275">
            <v>209603</v>
          </cell>
          <cell r="P275">
            <v>209603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1409931</v>
          </cell>
          <cell r="AC275">
            <v>845958</v>
          </cell>
          <cell r="AD275">
            <v>563972</v>
          </cell>
          <cell r="AE275">
            <v>0</v>
          </cell>
          <cell r="AF275">
            <v>2819861</v>
          </cell>
          <cell r="AG275">
            <v>-396891</v>
          </cell>
          <cell r="AH275">
            <v>-238135</v>
          </cell>
          <cell r="AI275">
            <v>-158757</v>
          </cell>
          <cell r="AJ275">
            <v>0</v>
          </cell>
          <cell r="AK275">
            <v>-793783</v>
          </cell>
          <cell r="AL275">
            <v>500974</v>
          </cell>
          <cell r="AM275">
            <v>300585</v>
          </cell>
          <cell r="AN275">
            <v>200390</v>
          </cell>
          <cell r="AO275">
            <v>0</v>
          </cell>
          <cell r="AP275">
            <v>1001949</v>
          </cell>
          <cell r="AQ275">
            <v>-50876</v>
          </cell>
          <cell r="AR275">
            <v>-30526</v>
          </cell>
          <cell r="AS275">
            <v>-20351</v>
          </cell>
          <cell r="AT275">
            <v>0</v>
          </cell>
          <cell r="AU275">
            <v>-101753</v>
          </cell>
          <cell r="AV275">
            <v>450098</v>
          </cell>
          <cell r="AW275">
            <v>270059</v>
          </cell>
          <cell r="AX275">
            <v>180039</v>
          </cell>
          <cell r="AY275">
            <v>0</v>
          </cell>
          <cell r="AZ275">
            <v>900196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1081897</v>
          </cell>
          <cell r="BG275">
            <v>649138</v>
          </cell>
          <cell r="BH275">
            <v>432759</v>
          </cell>
          <cell r="BI275">
            <v>0</v>
          </cell>
          <cell r="BJ275">
            <v>2163794</v>
          </cell>
          <cell r="BK275">
            <v>1081897</v>
          </cell>
          <cell r="BL275">
            <v>649138</v>
          </cell>
          <cell r="BM275">
            <v>432759</v>
          </cell>
          <cell r="BN275">
            <v>0</v>
          </cell>
          <cell r="BO275">
            <v>2163794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5000</v>
          </cell>
          <cell r="BV275">
            <v>3000</v>
          </cell>
          <cell r="BW275">
            <v>2000</v>
          </cell>
          <cell r="BX275">
            <v>0</v>
          </cell>
          <cell r="BY275">
            <v>10000</v>
          </cell>
          <cell r="BZ275">
            <v>5000</v>
          </cell>
          <cell r="CA275">
            <v>3000</v>
          </cell>
          <cell r="CB275">
            <v>2000</v>
          </cell>
          <cell r="CC275">
            <v>0</v>
          </cell>
          <cell r="CD275">
            <v>10000</v>
          </cell>
        </row>
        <row r="276">
          <cell r="A276">
            <v>269</v>
          </cell>
          <cell r="B276" t="str">
            <v>E2241</v>
          </cell>
          <cell r="C276" t="str">
            <v>SD</v>
          </cell>
          <cell r="D276" t="str">
            <v>SE</v>
          </cell>
          <cell r="E276" t="str">
            <v>Swale</v>
          </cell>
          <cell r="F276">
            <v>19367907</v>
          </cell>
          <cell r="G276">
            <v>15494325</v>
          </cell>
          <cell r="H276">
            <v>3486223</v>
          </cell>
          <cell r="I276">
            <v>387358</v>
          </cell>
          <cell r="J276">
            <v>38735813</v>
          </cell>
          <cell r="K276">
            <v>0</v>
          </cell>
          <cell r="L276">
            <v>0</v>
          </cell>
          <cell r="M276">
            <v>19367907</v>
          </cell>
          <cell r="N276">
            <v>38735813</v>
          </cell>
          <cell r="O276">
            <v>176909</v>
          </cell>
          <cell r="P276">
            <v>176909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1075632</v>
          </cell>
          <cell r="AC276">
            <v>860506</v>
          </cell>
          <cell r="AD276">
            <v>193614</v>
          </cell>
          <cell r="AE276">
            <v>21513</v>
          </cell>
          <cell r="AF276">
            <v>2151265</v>
          </cell>
          <cell r="AG276">
            <v>445883</v>
          </cell>
          <cell r="AH276">
            <v>356707</v>
          </cell>
          <cell r="AI276">
            <v>80259</v>
          </cell>
          <cell r="AJ276">
            <v>8918</v>
          </cell>
          <cell r="AK276">
            <v>891767</v>
          </cell>
          <cell r="AL276">
            <v>798461</v>
          </cell>
          <cell r="AM276">
            <v>638768</v>
          </cell>
          <cell r="AN276">
            <v>143723</v>
          </cell>
          <cell r="AO276">
            <v>15969</v>
          </cell>
          <cell r="AP276">
            <v>1596921</v>
          </cell>
          <cell r="AQ276">
            <v>161345</v>
          </cell>
          <cell r="AR276">
            <v>129076</v>
          </cell>
          <cell r="AS276">
            <v>29042</v>
          </cell>
          <cell r="AT276">
            <v>3227</v>
          </cell>
          <cell r="AU276">
            <v>322690</v>
          </cell>
          <cell r="AV276">
            <v>959806</v>
          </cell>
          <cell r="AW276">
            <v>767844</v>
          </cell>
          <cell r="AX276">
            <v>172765</v>
          </cell>
          <cell r="AY276">
            <v>19196</v>
          </cell>
          <cell r="AZ276">
            <v>1919611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179802</v>
          </cell>
          <cell r="BG276">
            <v>143842</v>
          </cell>
          <cell r="BH276">
            <v>32364</v>
          </cell>
          <cell r="BI276">
            <v>3596</v>
          </cell>
          <cell r="BJ276">
            <v>359604</v>
          </cell>
          <cell r="BK276">
            <v>179802</v>
          </cell>
          <cell r="BL276">
            <v>143842</v>
          </cell>
          <cell r="BM276">
            <v>32364</v>
          </cell>
          <cell r="BN276">
            <v>3596</v>
          </cell>
          <cell r="BO276">
            <v>359604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1027208</v>
          </cell>
          <cell r="BV276">
            <v>821767</v>
          </cell>
          <cell r="BW276">
            <v>184898</v>
          </cell>
          <cell r="BX276">
            <v>20544</v>
          </cell>
          <cell r="BY276">
            <v>2054417</v>
          </cell>
          <cell r="BZ276">
            <v>1027208</v>
          </cell>
          <cell r="CA276">
            <v>821767</v>
          </cell>
          <cell r="CB276">
            <v>184898</v>
          </cell>
          <cell r="CC276">
            <v>20544</v>
          </cell>
          <cell r="CD276">
            <v>2054417</v>
          </cell>
        </row>
        <row r="277">
          <cell r="A277">
            <v>270</v>
          </cell>
          <cell r="B277" t="str">
            <v>E3901</v>
          </cell>
          <cell r="C277" t="str">
            <v>UA</v>
          </cell>
          <cell r="D277" t="str">
            <v>SW</v>
          </cell>
          <cell r="E277" t="str">
            <v>Swindon UA</v>
          </cell>
          <cell r="F277">
            <v>48497256</v>
          </cell>
          <cell r="G277">
            <v>47527311</v>
          </cell>
          <cell r="H277">
            <v>0</v>
          </cell>
          <cell r="I277">
            <v>969945</v>
          </cell>
          <cell r="J277">
            <v>96994512</v>
          </cell>
          <cell r="K277">
            <v>0</v>
          </cell>
          <cell r="L277">
            <v>0</v>
          </cell>
          <cell r="M277">
            <v>48497256</v>
          </cell>
          <cell r="N277">
            <v>96994512</v>
          </cell>
          <cell r="O277">
            <v>273630</v>
          </cell>
          <cell r="P277">
            <v>273630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1722448.81</v>
          </cell>
          <cell r="AC277">
            <v>1688000</v>
          </cell>
          <cell r="AD277">
            <v>0</v>
          </cell>
          <cell r="AE277">
            <v>34449</v>
          </cell>
          <cell r="AF277">
            <v>3444897.81</v>
          </cell>
          <cell r="AG277">
            <v>661925.77</v>
          </cell>
          <cell r="AH277">
            <v>648686</v>
          </cell>
          <cell r="AI277">
            <v>0</v>
          </cell>
          <cell r="AJ277">
            <v>13238</v>
          </cell>
          <cell r="AK277">
            <v>1323849.77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22315.43</v>
          </cell>
          <cell r="AR277">
            <v>21869</v>
          </cell>
          <cell r="AS277">
            <v>0</v>
          </cell>
          <cell r="AT277">
            <v>446</v>
          </cell>
          <cell r="AU277">
            <v>44630.43</v>
          </cell>
          <cell r="AV277">
            <v>22315.43</v>
          </cell>
          <cell r="AW277">
            <v>21869</v>
          </cell>
          <cell r="AX277">
            <v>0</v>
          </cell>
          <cell r="AY277">
            <v>446</v>
          </cell>
          <cell r="AZ277">
            <v>44630.43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624434</v>
          </cell>
          <cell r="BG277">
            <v>611946</v>
          </cell>
          <cell r="BH277">
            <v>0</v>
          </cell>
          <cell r="BI277">
            <v>12489</v>
          </cell>
          <cell r="BJ277">
            <v>1248869</v>
          </cell>
          <cell r="BK277">
            <v>624434</v>
          </cell>
          <cell r="BL277">
            <v>611946</v>
          </cell>
          <cell r="BM277">
            <v>0</v>
          </cell>
          <cell r="BN277">
            <v>12489</v>
          </cell>
          <cell r="BO277">
            <v>1248869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1284785</v>
          </cell>
          <cell r="BV277">
            <v>1259089</v>
          </cell>
          <cell r="BW277">
            <v>0</v>
          </cell>
          <cell r="BX277">
            <v>25696</v>
          </cell>
          <cell r="BY277">
            <v>2569570</v>
          </cell>
          <cell r="BZ277">
            <v>1284785</v>
          </cell>
          <cell r="CA277">
            <v>1259089</v>
          </cell>
          <cell r="CB277">
            <v>0</v>
          </cell>
          <cell r="CC277">
            <v>25696</v>
          </cell>
          <cell r="CD277">
            <v>2569570</v>
          </cell>
        </row>
        <row r="278">
          <cell r="A278">
            <v>271</v>
          </cell>
          <cell r="B278" t="str">
            <v>E4208</v>
          </cell>
          <cell r="C278" t="str">
            <v>Met</v>
          </cell>
          <cell r="D278" t="str">
            <v>NW</v>
          </cell>
          <cell r="E278" t="str">
            <v>Tameside</v>
          </cell>
          <cell r="F278">
            <v>26307589</v>
          </cell>
          <cell r="G278">
            <v>25781438</v>
          </cell>
          <cell r="H278">
            <v>0</v>
          </cell>
          <cell r="I278">
            <v>526152</v>
          </cell>
          <cell r="J278">
            <v>52615179</v>
          </cell>
          <cell r="K278">
            <v>0</v>
          </cell>
          <cell r="L278">
            <v>0</v>
          </cell>
          <cell r="M278">
            <v>26307589</v>
          </cell>
          <cell r="N278">
            <v>52615179</v>
          </cell>
          <cell r="O278">
            <v>300092</v>
          </cell>
          <cell r="P278">
            <v>300092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2904255.67</v>
          </cell>
          <cell r="AC278">
            <v>2846170</v>
          </cell>
          <cell r="AD278">
            <v>0</v>
          </cell>
          <cell r="AE278">
            <v>58085</v>
          </cell>
          <cell r="AF278">
            <v>5808510.6699999999</v>
          </cell>
          <cell r="AG278">
            <v>485616.17</v>
          </cell>
          <cell r="AH278">
            <v>475903</v>
          </cell>
          <cell r="AI278">
            <v>0</v>
          </cell>
          <cell r="AJ278">
            <v>9712</v>
          </cell>
          <cell r="AK278">
            <v>971231.17</v>
          </cell>
          <cell r="AL278">
            <v>727145.88</v>
          </cell>
          <cell r="AM278">
            <v>712604</v>
          </cell>
          <cell r="AN278">
            <v>0</v>
          </cell>
          <cell r="AO278">
            <v>14543</v>
          </cell>
          <cell r="AP278">
            <v>1454292.88</v>
          </cell>
          <cell r="AQ278">
            <v>460502.06</v>
          </cell>
          <cell r="AR278">
            <v>451291</v>
          </cell>
          <cell r="AS278">
            <v>0</v>
          </cell>
          <cell r="AT278">
            <v>9210</v>
          </cell>
          <cell r="AU278">
            <v>921003.06</v>
          </cell>
          <cell r="AV278">
            <v>1187647.94</v>
          </cell>
          <cell r="AW278">
            <v>1163895</v>
          </cell>
          <cell r="AX278">
            <v>0</v>
          </cell>
          <cell r="AY278">
            <v>23753</v>
          </cell>
          <cell r="AZ278">
            <v>2375295.94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457029</v>
          </cell>
          <cell r="BG278">
            <v>447889</v>
          </cell>
          <cell r="BH278">
            <v>0</v>
          </cell>
          <cell r="BI278">
            <v>9141</v>
          </cell>
          <cell r="BJ278">
            <v>914059</v>
          </cell>
          <cell r="BK278">
            <v>457029</v>
          </cell>
          <cell r="BL278">
            <v>447889</v>
          </cell>
          <cell r="BM278">
            <v>0</v>
          </cell>
          <cell r="BN278">
            <v>9141</v>
          </cell>
          <cell r="BO278">
            <v>914059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1226113</v>
          </cell>
          <cell r="BV278">
            <v>1201591</v>
          </cell>
          <cell r="BW278">
            <v>0</v>
          </cell>
          <cell r="BX278">
            <v>24522</v>
          </cell>
          <cell r="BY278">
            <v>2452226</v>
          </cell>
          <cell r="BZ278">
            <v>1226113</v>
          </cell>
          <cell r="CA278">
            <v>1201591</v>
          </cell>
          <cell r="CB278">
            <v>0</v>
          </cell>
          <cell r="CC278">
            <v>24522</v>
          </cell>
          <cell r="CD278">
            <v>2452226</v>
          </cell>
        </row>
        <row r="279">
          <cell r="A279">
            <v>272</v>
          </cell>
          <cell r="B279" t="str">
            <v>E3439</v>
          </cell>
          <cell r="C279" t="str">
            <v>SD</v>
          </cell>
          <cell r="D279" t="str">
            <v>WM</v>
          </cell>
          <cell r="E279" t="str">
            <v>Tamworth</v>
          </cell>
          <cell r="F279">
            <v>15866523</v>
          </cell>
          <cell r="G279">
            <v>12693218</v>
          </cell>
          <cell r="H279">
            <v>2855974</v>
          </cell>
          <cell r="I279">
            <v>317330</v>
          </cell>
          <cell r="J279">
            <v>31733045</v>
          </cell>
          <cell r="K279">
            <v>0</v>
          </cell>
          <cell r="L279">
            <v>0</v>
          </cell>
          <cell r="M279">
            <v>15866523</v>
          </cell>
          <cell r="N279">
            <v>31733045</v>
          </cell>
          <cell r="O279">
            <v>92458</v>
          </cell>
          <cell r="P279">
            <v>92458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418054</v>
          </cell>
          <cell r="AC279">
            <v>334444</v>
          </cell>
          <cell r="AD279">
            <v>75250</v>
          </cell>
          <cell r="AE279">
            <v>8361</v>
          </cell>
          <cell r="AF279">
            <v>836109</v>
          </cell>
          <cell r="AG279">
            <v>300674</v>
          </cell>
          <cell r="AH279">
            <v>240539</v>
          </cell>
          <cell r="AI279">
            <v>54121</v>
          </cell>
          <cell r="AJ279">
            <v>6013</v>
          </cell>
          <cell r="AK279">
            <v>601347</v>
          </cell>
          <cell r="AL279">
            <v>394541</v>
          </cell>
          <cell r="AM279">
            <v>315632</v>
          </cell>
          <cell r="AN279">
            <v>71017</v>
          </cell>
          <cell r="AO279">
            <v>7891</v>
          </cell>
          <cell r="AP279">
            <v>789081</v>
          </cell>
          <cell r="AQ279">
            <v>-16428.240000000002</v>
          </cell>
          <cell r="AR279">
            <v>-13142</v>
          </cell>
          <cell r="AS279">
            <v>-2957</v>
          </cell>
          <cell r="AT279">
            <v>-329</v>
          </cell>
          <cell r="AU279">
            <v>-32856.239999999998</v>
          </cell>
          <cell r="AV279">
            <v>378112.76</v>
          </cell>
          <cell r="AW279">
            <v>302490</v>
          </cell>
          <cell r="AX279">
            <v>68060</v>
          </cell>
          <cell r="AY279">
            <v>7562</v>
          </cell>
          <cell r="AZ279">
            <v>756224.76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136977</v>
          </cell>
          <cell r="BG279">
            <v>109582</v>
          </cell>
          <cell r="BH279">
            <v>24656</v>
          </cell>
          <cell r="BI279">
            <v>2740</v>
          </cell>
          <cell r="BJ279">
            <v>273955</v>
          </cell>
          <cell r="BK279">
            <v>136977</v>
          </cell>
          <cell r="BL279">
            <v>109582</v>
          </cell>
          <cell r="BM279">
            <v>24656</v>
          </cell>
          <cell r="BN279">
            <v>2740</v>
          </cell>
          <cell r="BO279">
            <v>273955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354097</v>
          </cell>
          <cell r="BV279">
            <v>283278</v>
          </cell>
          <cell r="BW279">
            <v>63737</v>
          </cell>
          <cell r="BX279">
            <v>7082</v>
          </cell>
          <cell r="BY279">
            <v>708194</v>
          </cell>
          <cell r="BZ279">
            <v>354097</v>
          </cell>
          <cell r="CA279">
            <v>283278</v>
          </cell>
          <cell r="CB279">
            <v>63737</v>
          </cell>
          <cell r="CC279">
            <v>7082</v>
          </cell>
          <cell r="CD279">
            <v>708194</v>
          </cell>
        </row>
        <row r="280">
          <cell r="A280">
            <v>273</v>
          </cell>
          <cell r="B280" t="str">
            <v>E3639</v>
          </cell>
          <cell r="C280" t="str">
            <v>SD</v>
          </cell>
          <cell r="D280" t="str">
            <v>SE</v>
          </cell>
          <cell r="E280" t="str">
            <v>Tandridge</v>
          </cell>
          <cell r="F280">
            <v>9579747</v>
          </cell>
          <cell r="G280">
            <v>7663798</v>
          </cell>
          <cell r="H280">
            <v>1915949</v>
          </cell>
          <cell r="I280">
            <v>0</v>
          </cell>
          <cell r="J280">
            <v>19159494</v>
          </cell>
          <cell r="K280">
            <v>0</v>
          </cell>
          <cell r="L280">
            <v>0</v>
          </cell>
          <cell r="M280">
            <v>9579747</v>
          </cell>
          <cell r="N280">
            <v>19159494</v>
          </cell>
          <cell r="O280">
            <v>129595</v>
          </cell>
          <cell r="P280">
            <v>129595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329786.53999999998</v>
          </cell>
          <cell r="AC280">
            <v>263829</v>
          </cell>
          <cell r="AD280">
            <v>65957</v>
          </cell>
          <cell r="AE280">
            <v>0</v>
          </cell>
          <cell r="AF280">
            <v>659572.54</v>
          </cell>
          <cell r="AG280">
            <v>201552</v>
          </cell>
          <cell r="AH280">
            <v>161241</v>
          </cell>
          <cell r="AI280">
            <v>40310</v>
          </cell>
          <cell r="AJ280">
            <v>0</v>
          </cell>
          <cell r="AK280">
            <v>403103</v>
          </cell>
          <cell r="AL280">
            <v>52058.85</v>
          </cell>
          <cell r="AM280">
            <v>41648</v>
          </cell>
          <cell r="AN280">
            <v>10412</v>
          </cell>
          <cell r="AO280">
            <v>0</v>
          </cell>
          <cell r="AP280">
            <v>104118.85</v>
          </cell>
          <cell r="AQ280">
            <v>51090</v>
          </cell>
          <cell r="AR280">
            <v>40872</v>
          </cell>
          <cell r="AS280">
            <v>10218</v>
          </cell>
          <cell r="AT280">
            <v>0</v>
          </cell>
          <cell r="AU280">
            <v>102180</v>
          </cell>
          <cell r="AV280">
            <v>103148.85</v>
          </cell>
          <cell r="AW280">
            <v>82520</v>
          </cell>
          <cell r="AX280">
            <v>20630</v>
          </cell>
          <cell r="AY280">
            <v>0</v>
          </cell>
          <cell r="AZ280">
            <v>206298.85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85000</v>
          </cell>
          <cell r="BG280">
            <v>68000</v>
          </cell>
          <cell r="BH280">
            <v>17000</v>
          </cell>
          <cell r="BI280">
            <v>0</v>
          </cell>
          <cell r="BJ280">
            <v>170000</v>
          </cell>
          <cell r="BK280">
            <v>85000</v>
          </cell>
          <cell r="BL280">
            <v>68000</v>
          </cell>
          <cell r="BM280">
            <v>17000</v>
          </cell>
          <cell r="BN280">
            <v>0</v>
          </cell>
          <cell r="BO280">
            <v>170000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295000</v>
          </cell>
          <cell r="BV280">
            <v>236000</v>
          </cell>
          <cell r="BW280">
            <v>59000</v>
          </cell>
          <cell r="BX280">
            <v>0</v>
          </cell>
          <cell r="BY280">
            <v>590000</v>
          </cell>
          <cell r="BZ280">
            <v>295000</v>
          </cell>
          <cell r="CA280">
            <v>236000</v>
          </cell>
          <cell r="CB280">
            <v>59000</v>
          </cell>
          <cell r="CC280">
            <v>0</v>
          </cell>
          <cell r="CD280">
            <v>590000</v>
          </cell>
        </row>
        <row r="281">
          <cell r="A281">
            <v>274</v>
          </cell>
          <cell r="B281" t="str">
            <v>E3333</v>
          </cell>
          <cell r="C281" t="str">
            <v>SD</v>
          </cell>
          <cell r="D281" t="str">
            <v>SW</v>
          </cell>
          <cell r="E281" t="str">
            <v>Taunton Deane</v>
          </cell>
          <cell r="F281">
            <v>17808141</v>
          </cell>
          <cell r="G281">
            <v>14246513</v>
          </cell>
          <cell r="H281">
            <v>3205465</v>
          </cell>
          <cell r="I281">
            <v>356163</v>
          </cell>
          <cell r="J281">
            <v>35616282</v>
          </cell>
          <cell r="K281">
            <v>0</v>
          </cell>
          <cell r="L281">
            <v>0</v>
          </cell>
          <cell r="M281">
            <v>17808141</v>
          </cell>
          <cell r="N281">
            <v>35616282</v>
          </cell>
          <cell r="O281">
            <v>163257</v>
          </cell>
          <cell r="P281">
            <v>163257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29894</v>
          </cell>
          <cell r="V281">
            <v>0</v>
          </cell>
          <cell r="W281">
            <v>29894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605269</v>
          </cell>
          <cell r="AC281">
            <v>484215</v>
          </cell>
          <cell r="AD281">
            <v>108948</v>
          </cell>
          <cell r="AE281">
            <v>12105</v>
          </cell>
          <cell r="AF281">
            <v>1210537</v>
          </cell>
          <cell r="AG281">
            <v>353281.34</v>
          </cell>
          <cell r="AH281">
            <v>282626</v>
          </cell>
          <cell r="AI281">
            <v>63591</v>
          </cell>
          <cell r="AJ281">
            <v>7066</v>
          </cell>
          <cell r="AK281">
            <v>706564.34</v>
          </cell>
          <cell r="AL281">
            <v>81021</v>
          </cell>
          <cell r="AM281">
            <v>64816</v>
          </cell>
          <cell r="AN281">
            <v>14584</v>
          </cell>
          <cell r="AO281">
            <v>1620</v>
          </cell>
          <cell r="AP281">
            <v>162041</v>
          </cell>
          <cell r="AQ281">
            <v>127828</v>
          </cell>
          <cell r="AR281">
            <v>102262</v>
          </cell>
          <cell r="AS281">
            <v>23009</v>
          </cell>
          <cell r="AT281">
            <v>2557</v>
          </cell>
          <cell r="AU281">
            <v>255656</v>
          </cell>
          <cell r="AV281">
            <v>208849</v>
          </cell>
          <cell r="AW281">
            <v>167078</v>
          </cell>
          <cell r="AX281">
            <v>37593</v>
          </cell>
          <cell r="AY281">
            <v>4177</v>
          </cell>
          <cell r="AZ281">
            <v>417697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481150</v>
          </cell>
          <cell r="BG281">
            <v>384920</v>
          </cell>
          <cell r="BH281">
            <v>86607</v>
          </cell>
          <cell r="BI281">
            <v>9623</v>
          </cell>
          <cell r="BJ281">
            <v>962300</v>
          </cell>
          <cell r="BK281">
            <v>481150</v>
          </cell>
          <cell r="BL281">
            <v>384920</v>
          </cell>
          <cell r="BM281">
            <v>86607</v>
          </cell>
          <cell r="BN281">
            <v>9623</v>
          </cell>
          <cell r="BO281">
            <v>962300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989866</v>
          </cell>
          <cell r="BV281">
            <v>791892</v>
          </cell>
          <cell r="BW281">
            <v>178176</v>
          </cell>
          <cell r="BX281">
            <v>19797</v>
          </cell>
          <cell r="BY281">
            <v>1979731</v>
          </cell>
          <cell r="BZ281">
            <v>989866</v>
          </cell>
          <cell r="CA281">
            <v>791892</v>
          </cell>
          <cell r="CB281">
            <v>178176</v>
          </cell>
          <cell r="CC281">
            <v>19797</v>
          </cell>
          <cell r="CD281">
            <v>1979731</v>
          </cell>
        </row>
        <row r="282">
          <cell r="A282">
            <v>275</v>
          </cell>
          <cell r="B282" t="str">
            <v>E1137</v>
          </cell>
          <cell r="C282" t="str">
            <v>SD</v>
          </cell>
          <cell r="D282" t="str">
            <v>SW</v>
          </cell>
          <cell r="E282" t="str">
            <v>Teignbridge</v>
          </cell>
          <cell r="F282">
            <v>15051513</v>
          </cell>
          <cell r="G282">
            <v>12041210</v>
          </cell>
          <cell r="H282">
            <v>2709272</v>
          </cell>
          <cell r="I282">
            <v>301030</v>
          </cell>
          <cell r="J282">
            <v>30103025</v>
          </cell>
          <cell r="K282">
            <v>0</v>
          </cell>
          <cell r="L282">
            <v>0</v>
          </cell>
          <cell r="M282">
            <v>15051513</v>
          </cell>
          <cell r="N282">
            <v>30103025</v>
          </cell>
          <cell r="O282">
            <v>193085</v>
          </cell>
          <cell r="P282">
            <v>193085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402781</v>
          </cell>
          <cell r="AC282">
            <v>322226</v>
          </cell>
          <cell r="AD282">
            <v>72501</v>
          </cell>
          <cell r="AE282">
            <v>8056</v>
          </cell>
          <cell r="AF282">
            <v>805564</v>
          </cell>
          <cell r="AG282">
            <v>242830</v>
          </cell>
          <cell r="AH282">
            <v>194264</v>
          </cell>
          <cell r="AI282">
            <v>43709</v>
          </cell>
          <cell r="AJ282">
            <v>4857</v>
          </cell>
          <cell r="AK282">
            <v>485660</v>
          </cell>
          <cell r="AL282">
            <v>200000</v>
          </cell>
          <cell r="AM282">
            <v>160000</v>
          </cell>
          <cell r="AN282">
            <v>36000</v>
          </cell>
          <cell r="AO282">
            <v>4000</v>
          </cell>
          <cell r="AP282">
            <v>400000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200000</v>
          </cell>
          <cell r="AW282">
            <v>160000</v>
          </cell>
          <cell r="AX282">
            <v>36000</v>
          </cell>
          <cell r="AY282">
            <v>4000</v>
          </cell>
          <cell r="AZ282">
            <v>400000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58830</v>
          </cell>
          <cell r="BG282">
            <v>47065</v>
          </cell>
          <cell r="BH282">
            <v>10590</v>
          </cell>
          <cell r="BI282">
            <v>1177</v>
          </cell>
          <cell r="BJ282">
            <v>117662</v>
          </cell>
          <cell r="BK282">
            <v>58830</v>
          </cell>
          <cell r="BL282">
            <v>47065</v>
          </cell>
          <cell r="BM282">
            <v>10590</v>
          </cell>
          <cell r="BN282">
            <v>1177</v>
          </cell>
          <cell r="BO282">
            <v>117662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117663</v>
          </cell>
          <cell r="BV282">
            <v>94130</v>
          </cell>
          <cell r="BW282">
            <v>21179</v>
          </cell>
          <cell r="BX282">
            <v>2353</v>
          </cell>
          <cell r="BY282">
            <v>235325</v>
          </cell>
          <cell r="BZ282">
            <v>117663</v>
          </cell>
          <cell r="CA282">
            <v>94130</v>
          </cell>
          <cell r="CB282">
            <v>21179</v>
          </cell>
          <cell r="CC282">
            <v>2353</v>
          </cell>
          <cell r="CD282">
            <v>235325</v>
          </cell>
        </row>
        <row r="283">
          <cell r="A283">
            <v>276</v>
          </cell>
          <cell r="B283" t="str">
            <v>E3201</v>
          </cell>
          <cell r="C283" t="str">
            <v>UA</v>
          </cell>
          <cell r="D283" t="str">
            <v>WM</v>
          </cell>
          <cell r="E283" t="str">
            <v>Telford &amp; Wrekin UA</v>
          </cell>
          <cell r="F283">
            <v>31238358</v>
          </cell>
          <cell r="G283">
            <v>30613590</v>
          </cell>
          <cell r="H283">
            <v>0</v>
          </cell>
          <cell r="I283">
            <v>624767</v>
          </cell>
          <cell r="J283">
            <v>62476715</v>
          </cell>
          <cell r="K283">
            <v>0</v>
          </cell>
          <cell r="L283">
            <v>0</v>
          </cell>
          <cell r="M283">
            <v>31238358</v>
          </cell>
          <cell r="N283">
            <v>62476715</v>
          </cell>
          <cell r="O283">
            <v>212679</v>
          </cell>
          <cell r="P283">
            <v>212679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1595848.21</v>
          </cell>
          <cell r="AC283">
            <v>1563931</v>
          </cell>
          <cell r="AD283">
            <v>0</v>
          </cell>
          <cell r="AE283">
            <v>31917</v>
          </cell>
          <cell r="AF283">
            <v>3191696.21</v>
          </cell>
          <cell r="AG283">
            <v>797442.26</v>
          </cell>
          <cell r="AH283">
            <v>781493</v>
          </cell>
          <cell r="AI283">
            <v>0</v>
          </cell>
          <cell r="AJ283">
            <v>15949</v>
          </cell>
          <cell r="AK283">
            <v>1594884.26</v>
          </cell>
          <cell r="AL283">
            <v>517000</v>
          </cell>
          <cell r="AM283">
            <v>506660</v>
          </cell>
          <cell r="AN283">
            <v>0</v>
          </cell>
          <cell r="AO283">
            <v>10340</v>
          </cell>
          <cell r="AP283">
            <v>1034000</v>
          </cell>
          <cell r="AQ283">
            <v>126000</v>
          </cell>
          <cell r="AR283">
            <v>123480</v>
          </cell>
          <cell r="AS283">
            <v>0</v>
          </cell>
          <cell r="AT283">
            <v>2520</v>
          </cell>
          <cell r="AU283">
            <v>252000</v>
          </cell>
          <cell r="AV283">
            <v>643000</v>
          </cell>
          <cell r="AW283">
            <v>630140</v>
          </cell>
          <cell r="AX283">
            <v>0</v>
          </cell>
          <cell r="AY283">
            <v>12860</v>
          </cell>
          <cell r="AZ283">
            <v>1286000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862000</v>
          </cell>
          <cell r="BG283">
            <v>844760</v>
          </cell>
          <cell r="BH283">
            <v>0</v>
          </cell>
          <cell r="BI283">
            <v>17240</v>
          </cell>
          <cell r="BJ283">
            <v>1724000</v>
          </cell>
          <cell r="BK283">
            <v>862000</v>
          </cell>
          <cell r="BL283">
            <v>844760</v>
          </cell>
          <cell r="BM283">
            <v>0</v>
          </cell>
          <cell r="BN283">
            <v>17240</v>
          </cell>
          <cell r="BO283">
            <v>1724000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1190000</v>
          </cell>
          <cell r="BV283">
            <v>1166200</v>
          </cell>
          <cell r="BW283">
            <v>0</v>
          </cell>
          <cell r="BX283">
            <v>23800</v>
          </cell>
          <cell r="BY283">
            <v>2380000</v>
          </cell>
          <cell r="BZ283">
            <v>1190000</v>
          </cell>
          <cell r="CA283">
            <v>1166200</v>
          </cell>
          <cell r="CB283">
            <v>0</v>
          </cell>
          <cell r="CC283">
            <v>23800</v>
          </cell>
          <cell r="CD283">
            <v>2380000</v>
          </cell>
        </row>
        <row r="284">
          <cell r="A284">
            <v>277</v>
          </cell>
          <cell r="B284" t="str">
            <v>E1542</v>
          </cell>
          <cell r="C284" t="str">
            <v>SD</v>
          </cell>
          <cell r="D284" t="str">
            <v>E</v>
          </cell>
          <cell r="E284" t="str">
            <v>Tendring</v>
          </cell>
          <cell r="F284">
            <v>12017219</v>
          </cell>
          <cell r="G284">
            <v>9613775</v>
          </cell>
          <cell r="H284">
            <v>2163099</v>
          </cell>
          <cell r="I284">
            <v>240344</v>
          </cell>
          <cell r="J284">
            <v>24034437</v>
          </cell>
          <cell r="K284">
            <v>0</v>
          </cell>
          <cell r="L284">
            <v>0</v>
          </cell>
          <cell r="M284">
            <v>12017219</v>
          </cell>
          <cell r="N284">
            <v>24034437</v>
          </cell>
          <cell r="O284">
            <v>292364</v>
          </cell>
          <cell r="P284">
            <v>292364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54662</v>
          </cell>
          <cell r="V284">
            <v>0</v>
          </cell>
          <cell r="W284">
            <v>54662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257851</v>
          </cell>
          <cell r="AC284">
            <v>206280</v>
          </cell>
          <cell r="AD284">
            <v>46413</v>
          </cell>
          <cell r="AE284">
            <v>5157</v>
          </cell>
          <cell r="AF284">
            <v>515701</v>
          </cell>
          <cell r="AG284">
            <v>263837</v>
          </cell>
          <cell r="AH284">
            <v>211070</v>
          </cell>
          <cell r="AI284">
            <v>47491</v>
          </cell>
          <cell r="AJ284">
            <v>5277</v>
          </cell>
          <cell r="AK284">
            <v>527675</v>
          </cell>
          <cell r="AL284">
            <v>215000</v>
          </cell>
          <cell r="AM284">
            <v>172000</v>
          </cell>
          <cell r="AN284">
            <v>38700</v>
          </cell>
          <cell r="AO284">
            <v>4300</v>
          </cell>
          <cell r="AP284">
            <v>430000</v>
          </cell>
          <cell r="AQ284">
            <v>-155409</v>
          </cell>
          <cell r="AR284">
            <v>-124326</v>
          </cell>
          <cell r="AS284">
            <v>-27973</v>
          </cell>
          <cell r="AT284">
            <v>-3108</v>
          </cell>
          <cell r="AU284">
            <v>-310816</v>
          </cell>
          <cell r="AV284">
            <v>59591</v>
          </cell>
          <cell r="AW284">
            <v>47674</v>
          </cell>
          <cell r="AX284">
            <v>10727</v>
          </cell>
          <cell r="AY284">
            <v>1192</v>
          </cell>
          <cell r="AZ284">
            <v>119184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236500</v>
          </cell>
          <cell r="BG284">
            <v>189200</v>
          </cell>
          <cell r="BH284">
            <v>42570</v>
          </cell>
          <cell r="BI284">
            <v>4730</v>
          </cell>
          <cell r="BJ284">
            <v>473000</v>
          </cell>
          <cell r="BK284">
            <v>236500</v>
          </cell>
          <cell r="BL284">
            <v>189200</v>
          </cell>
          <cell r="BM284">
            <v>42570</v>
          </cell>
          <cell r="BN284">
            <v>4730</v>
          </cell>
          <cell r="BO284">
            <v>473000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552500</v>
          </cell>
          <cell r="BV284">
            <v>442000</v>
          </cell>
          <cell r="BW284">
            <v>99450</v>
          </cell>
          <cell r="BX284">
            <v>11050</v>
          </cell>
          <cell r="BY284">
            <v>1105000</v>
          </cell>
          <cell r="BZ284">
            <v>552500</v>
          </cell>
          <cell r="CA284">
            <v>442000</v>
          </cell>
          <cell r="CB284">
            <v>99450</v>
          </cell>
          <cell r="CC284">
            <v>11050</v>
          </cell>
          <cell r="CD284">
            <v>1105000</v>
          </cell>
        </row>
        <row r="285">
          <cell r="A285">
            <v>278</v>
          </cell>
          <cell r="B285" t="str">
            <v>E1742</v>
          </cell>
          <cell r="C285" t="str">
            <v>SD</v>
          </cell>
          <cell r="D285" t="str">
            <v>SE</v>
          </cell>
          <cell r="E285" t="str">
            <v>Test Valley</v>
          </cell>
          <cell r="F285">
            <v>22020428</v>
          </cell>
          <cell r="G285">
            <v>17616342</v>
          </cell>
          <cell r="H285">
            <v>3963677</v>
          </cell>
          <cell r="I285">
            <v>440409</v>
          </cell>
          <cell r="J285">
            <v>44040856</v>
          </cell>
          <cell r="K285">
            <v>0</v>
          </cell>
          <cell r="L285">
            <v>0</v>
          </cell>
          <cell r="M285">
            <v>22020428</v>
          </cell>
          <cell r="N285">
            <v>44040856</v>
          </cell>
          <cell r="O285">
            <v>183929</v>
          </cell>
          <cell r="P285">
            <v>183929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1678981</v>
          </cell>
          <cell r="AC285">
            <v>1343185</v>
          </cell>
          <cell r="AD285">
            <v>302217</v>
          </cell>
          <cell r="AE285">
            <v>33580</v>
          </cell>
          <cell r="AF285">
            <v>3357963</v>
          </cell>
          <cell r="AG285">
            <v>530042</v>
          </cell>
          <cell r="AH285">
            <v>424033</v>
          </cell>
          <cell r="AI285">
            <v>95407</v>
          </cell>
          <cell r="AJ285">
            <v>10601</v>
          </cell>
          <cell r="AK285">
            <v>1060083</v>
          </cell>
          <cell r="AL285">
            <v>526776</v>
          </cell>
          <cell r="AM285">
            <v>421421</v>
          </cell>
          <cell r="AN285">
            <v>94820</v>
          </cell>
          <cell r="AO285">
            <v>10536</v>
          </cell>
          <cell r="AP285">
            <v>1053553</v>
          </cell>
          <cell r="AQ285">
            <v>-101638</v>
          </cell>
          <cell r="AR285">
            <v>-81311</v>
          </cell>
          <cell r="AS285">
            <v>-18295</v>
          </cell>
          <cell r="AT285">
            <v>-2033</v>
          </cell>
          <cell r="AU285">
            <v>-203277</v>
          </cell>
          <cell r="AV285">
            <v>425138</v>
          </cell>
          <cell r="AW285">
            <v>340110</v>
          </cell>
          <cell r="AX285">
            <v>76525</v>
          </cell>
          <cell r="AY285">
            <v>8503</v>
          </cell>
          <cell r="AZ285">
            <v>850276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449777</v>
          </cell>
          <cell r="BG285">
            <v>359822</v>
          </cell>
          <cell r="BH285">
            <v>80960</v>
          </cell>
          <cell r="BI285">
            <v>8996</v>
          </cell>
          <cell r="BJ285">
            <v>899555</v>
          </cell>
          <cell r="BK285">
            <v>449777</v>
          </cell>
          <cell r="BL285">
            <v>359822</v>
          </cell>
          <cell r="BM285">
            <v>80960</v>
          </cell>
          <cell r="BN285">
            <v>8996</v>
          </cell>
          <cell r="BO285">
            <v>899555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1367645</v>
          </cell>
          <cell r="BV285">
            <v>1094116</v>
          </cell>
          <cell r="BW285">
            <v>246176</v>
          </cell>
          <cell r="BX285">
            <v>27353</v>
          </cell>
          <cell r="BY285">
            <v>2735290</v>
          </cell>
          <cell r="BZ285">
            <v>1367645</v>
          </cell>
          <cell r="CA285">
            <v>1094116</v>
          </cell>
          <cell r="CB285">
            <v>246176</v>
          </cell>
          <cell r="CC285">
            <v>27353</v>
          </cell>
          <cell r="CD285">
            <v>2735290</v>
          </cell>
        </row>
        <row r="286">
          <cell r="A286">
            <v>279</v>
          </cell>
          <cell r="B286" t="str">
            <v>E1636</v>
          </cell>
          <cell r="C286" t="str">
            <v>SD</v>
          </cell>
          <cell r="D286" t="str">
            <v>SW</v>
          </cell>
          <cell r="E286" t="str">
            <v>Tewkesbury</v>
          </cell>
          <cell r="F286">
            <v>16187854</v>
          </cell>
          <cell r="G286">
            <v>12950283</v>
          </cell>
          <cell r="H286">
            <v>3237571</v>
          </cell>
          <cell r="I286">
            <v>0</v>
          </cell>
          <cell r="J286">
            <v>32375708</v>
          </cell>
          <cell r="K286">
            <v>0</v>
          </cell>
          <cell r="L286">
            <v>0</v>
          </cell>
          <cell r="M286">
            <v>16187854</v>
          </cell>
          <cell r="N286">
            <v>32375708</v>
          </cell>
          <cell r="O286">
            <v>124701</v>
          </cell>
          <cell r="P286">
            <v>124701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443459.85</v>
          </cell>
          <cell r="AC286">
            <v>354768</v>
          </cell>
          <cell r="AD286">
            <v>88692</v>
          </cell>
          <cell r="AE286">
            <v>0</v>
          </cell>
          <cell r="AF286">
            <v>886919.85</v>
          </cell>
          <cell r="AG286">
            <v>-177877.63</v>
          </cell>
          <cell r="AH286">
            <v>-142303</v>
          </cell>
          <cell r="AI286">
            <v>-35576</v>
          </cell>
          <cell r="AJ286">
            <v>0</v>
          </cell>
          <cell r="AK286">
            <v>-355756.63</v>
          </cell>
          <cell r="AL286">
            <v>95500</v>
          </cell>
          <cell r="AM286">
            <v>76400</v>
          </cell>
          <cell r="AN286">
            <v>19100</v>
          </cell>
          <cell r="AO286">
            <v>0</v>
          </cell>
          <cell r="AP286">
            <v>191000</v>
          </cell>
          <cell r="AQ286">
            <v>13000</v>
          </cell>
          <cell r="AR286">
            <v>10400</v>
          </cell>
          <cell r="AS286">
            <v>2600</v>
          </cell>
          <cell r="AT286">
            <v>0</v>
          </cell>
          <cell r="AU286">
            <v>26000</v>
          </cell>
          <cell r="AV286">
            <v>108500</v>
          </cell>
          <cell r="AW286">
            <v>86800</v>
          </cell>
          <cell r="AX286">
            <v>21700</v>
          </cell>
          <cell r="AY286">
            <v>0</v>
          </cell>
          <cell r="AZ286">
            <v>217000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182935</v>
          </cell>
          <cell r="BG286">
            <v>146348</v>
          </cell>
          <cell r="BH286">
            <v>36587</v>
          </cell>
          <cell r="BI286">
            <v>0</v>
          </cell>
          <cell r="BJ286">
            <v>365870</v>
          </cell>
          <cell r="BK286">
            <v>182935</v>
          </cell>
          <cell r="BL286">
            <v>146348</v>
          </cell>
          <cell r="BM286">
            <v>36587</v>
          </cell>
          <cell r="BN286">
            <v>0</v>
          </cell>
          <cell r="BO286">
            <v>365870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1283033</v>
          </cell>
          <cell r="BV286">
            <v>1026426</v>
          </cell>
          <cell r="BW286">
            <v>256607</v>
          </cell>
          <cell r="BX286">
            <v>0</v>
          </cell>
          <cell r="BY286">
            <v>2566066</v>
          </cell>
          <cell r="BZ286">
            <v>1283033</v>
          </cell>
          <cell r="CA286">
            <v>1026426</v>
          </cell>
          <cell r="CB286">
            <v>256607</v>
          </cell>
          <cell r="CC286">
            <v>0</v>
          </cell>
          <cell r="CD286">
            <v>2566066</v>
          </cell>
        </row>
        <row r="287">
          <cell r="A287">
            <v>280</v>
          </cell>
          <cell r="B287" t="str">
            <v>E2242</v>
          </cell>
          <cell r="C287" t="str">
            <v>SD</v>
          </cell>
          <cell r="D287" t="str">
            <v>SE</v>
          </cell>
          <cell r="E287" t="str">
            <v>Thanet</v>
          </cell>
          <cell r="F287">
            <v>14977572</v>
          </cell>
          <cell r="G287">
            <v>11982058</v>
          </cell>
          <cell r="H287">
            <v>2695963</v>
          </cell>
          <cell r="I287">
            <v>299551</v>
          </cell>
          <cell r="J287">
            <v>29955144</v>
          </cell>
          <cell r="K287">
            <v>0</v>
          </cell>
          <cell r="L287">
            <v>0</v>
          </cell>
          <cell r="M287">
            <v>14977572</v>
          </cell>
          <cell r="N287">
            <v>29955144</v>
          </cell>
          <cell r="O287">
            <v>191907</v>
          </cell>
          <cell r="P287">
            <v>191907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1036825</v>
          </cell>
          <cell r="AC287">
            <v>829460</v>
          </cell>
          <cell r="AD287">
            <v>186628</v>
          </cell>
          <cell r="AE287">
            <v>20736</v>
          </cell>
          <cell r="AF287">
            <v>2073649</v>
          </cell>
          <cell r="AG287">
            <v>684532</v>
          </cell>
          <cell r="AH287">
            <v>547626</v>
          </cell>
          <cell r="AI287">
            <v>123216</v>
          </cell>
          <cell r="AJ287">
            <v>13691</v>
          </cell>
          <cell r="AK287">
            <v>1369065</v>
          </cell>
          <cell r="AL287">
            <v>571061</v>
          </cell>
          <cell r="AM287">
            <v>456848</v>
          </cell>
          <cell r="AN287">
            <v>102791</v>
          </cell>
          <cell r="AO287">
            <v>11421</v>
          </cell>
          <cell r="AP287">
            <v>1142121</v>
          </cell>
          <cell r="AQ287">
            <v>-28728</v>
          </cell>
          <cell r="AR287">
            <v>-22983</v>
          </cell>
          <cell r="AS287">
            <v>-5171</v>
          </cell>
          <cell r="AT287">
            <v>-575</v>
          </cell>
          <cell r="AU287">
            <v>-57457</v>
          </cell>
          <cell r="AV287">
            <v>542333</v>
          </cell>
          <cell r="AW287">
            <v>433865</v>
          </cell>
          <cell r="AX287">
            <v>97620</v>
          </cell>
          <cell r="AY287">
            <v>10846</v>
          </cell>
          <cell r="AZ287">
            <v>1084664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186931</v>
          </cell>
          <cell r="BG287">
            <v>149546</v>
          </cell>
          <cell r="BH287">
            <v>33648</v>
          </cell>
          <cell r="BI287">
            <v>3739</v>
          </cell>
          <cell r="BJ287">
            <v>373864</v>
          </cell>
          <cell r="BK287">
            <v>186931</v>
          </cell>
          <cell r="BL287">
            <v>149546</v>
          </cell>
          <cell r="BM287">
            <v>33648</v>
          </cell>
          <cell r="BN287">
            <v>3739</v>
          </cell>
          <cell r="BO287">
            <v>373864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67209</v>
          </cell>
          <cell r="BV287">
            <v>53767</v>
          </cell>
          <cell r="BW287">
            <v>12098</v>
          </cell>
          <cell r="BX287">
            <v>1344</v>
          </cell>
          <cell r="BY287">
            <v>134418</v>
          </cell>
          <cell r="BZ287">
            <v>67209</v>
          </cell>
          <cell r="CA287">
            <v>53767</v>
          </cell>
          <cell r="CB287">
            <v>12098</v>
          </cell>
          <cell r="CC287">
            <v>1344</v>
          </cell>
          <cell r="CD287">
            <v>134418</v>
          </cell>
        </row>
        <row r="288">
          <cell r="A288">
            <v>281</v>
          </cell>
          <cell r="B288" t="str">
            <v>E1938</v>
          </cell>
          <cell r="C288" t="str">
            <v>SD</v>
          </cell>
          <cell r="D288" t="str">
            <v>E</v>
          </cell>
          <cell r="E288" t="str">
            <v>Three Rivers</v>
          </cell>
          <cell r="F288">
            <v>12642027</v>
          </cell>
          <cell r="G288">
            <v>10113622</v>
          </cell>
          <cell r="H288">
            <v>2528406</v>
          </cell>
          <cell r="I288">
            <v>0</v>
          </cell>
          <cell r="J288">
            <v>25284055</v>
          </cell>
          <cell r="K288">
            <v>0</v>
          </cell>
          <cell r="L288">
            <v>0</v>
          </cell>
          <cell r="M288">
            <v>12642027</v>
          </cell>
          <cell r="N288">
            <v>25284055</v>
          </cell>
          <cell r="O288">
            <v>101285</v>
          </cell>
          <cell r="P288">
            <v>101285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921231</v>
          </cell>
          <cell r="AC288">
            <v>736985</v>
          </cell>
          <cell r="AD288">
            <v>184246</v>
          </cell>
          <cell r="AE288">
            <v>0</v>
          </cell>
          <cell r="AF288">
            <v>1842462</v>
          </cell>
          <cell r="AG288">
            <v>-663792</v>
          </cell>
          <cell r="AH288">
            <v>-531033</v>
          </cell>
          <cell r="AI288">
            <v>-132758</v>
          </cell>
          <cell r="AJ288">
            <v>0</v>
          </cell>
          <cell r="AK288">
            <v>-1327583</v>
          </cell>
          <cell r="AL288">
            <v>471000</v>
          </cell>
          <cell r="AM288">
            <v>376800</v>
          </cell>
          <cell r="AN288">
            <v>94200</v>
          </cell>
          <cell r="AO288">
            <v>0</v>
          </cell>
          <cell r="AP288">
            <v>942000</v>
          </cell>
          <cell r="AQ288">
            <v>30500</v>
          </cell>
          <cell r="AR288">
            <v>24400</v>
          </cell>
          <cell r="AS288">
            <v>6100</v>
          </cell>
          <cell r="AT288">
            <v>0</v>
          </cell>
          <cell r="AU288">
            <v>61000</v>
          </cell>
          <cell r="AV288">
            <v>501500</v>
          </cell>
          <cell r="AW288">
            <v>401200</v>
          </cell>
          <cell r="AX288">
            <v>100300</v>
          </cell>
          <cell r="AY288">
            <v>0</v>
          </cell>
          <cell r="AZ288">
            <v>1003000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177821</v>
          </cell>
          <cell r="BG288">
            <v>142256</v>
          </cell>
          <cell r="BH288">
            <v>35564</v>
          </cell>
          <cell r="BI288">
            <v>0</v>
          </cell>
          <cell r="BJ288">
            <v>355641</v>
          </cell>
          <cell r="BK288">
            <v>177821</v>
          </cell>
          <cell r="BL288">
            <v>142256</v>
          </cell>
          <cell r="BM288">
            <v>35564</v>
          </cell>
          <cell r="BN288">
            <v>0</v>
          </cell>
          <cell r="BO288">
            <v>355641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465933</v>
          </cell>
          <cell r="BV288">
            <v>372746</v>
          </cell>
          <cell r="BW288">
            <v>93187</v>
          </cell>
          <cell r="BX288">
            <v>0</v>
          </cell>
          <cell r="BY288">
            <v>931866</v>
          </cell>
          <cell r="BZ288">
            <v>465933</v>
          </cell>
          <cell r="CA288">
            <v>372746</v>
          </cell>
          <cell r="CB288">
            <v>93187</v>
          </cell>
          <cell r="CC288">
            <v>0</v>
          </cell>
          <cell r="CD288">
            <v>931866</v>
          </cell>
        </row>
        <row r="289">
          <cell r="A289">
            <v>282</v>
          </cell>
          <cell r="B289" t="str">
            <v>E1502</v>
          </cell>
          <cell r="C289" t="str">
            <v>UA</v>
          </cell>
          <cell r="D289" t="str">
            <v>E</v>
          </cell>
          <cell r="E289" t="str">
            <v>Thurrock UA</v>
          </cell>
          <cell r="F289">
            <v>43606860</v>
          </cell>
          <cell r="G289">
            <v>42734722</v>
          </cell>
          <cell r="H289">
            <v>0</v>
          </cell>
          <cell r="I289">
            <v>872137</v>
          </cell>
          <cell r="J289">
            <v>87213719</v>
          </cell>
          <cell r="K289">
            <v>0</v>
          </cell>
          <cell r="L289">
            <v>0</v>
          </cell>
          <cell r="M289">
            <v>43606860</v>
          </cell>
          <cell r="N289">
            <v>87213719</v>
          </cell>
          <cell r="O289">
            <v>222500</v>
          </cell>
          <cell r="P289">
            <v>222500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1184132</v>
          </cell>
          <cell r="AC289">
            <v>1160450</v>
          </cell>
          <cell r="AD289">
            <v>0</v>
          </cell>
          <cell r="AE289">
            <v>23683</v>
          </cell>
          <cell r="AF289">
            <v>2368265</v>
          </cell>
          <cell r="AG289">
            <v>64432</v>
          </cell>
          <cell r="AH289">
            <v>63144</v>
          </cell>
          <cell r="AI289">
            <v>0</v>
          </cell>
          <cell r="AJ289">
            <v>1289</v>
          </cell>
          <cell r="AK289">
            <v>128865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131424</v>
          </cell>
          <cell r="AR289">
            <v>128795</v>
          </cell>
          <cell r="AS289">
            <v>0</v>
          </cell>
          <cell r="AT289">
            <v>2628</v>
          </cell>
          <cell r="AU289">
            <v>262847</v>
          </cell>
          <cell r="AV289">
            <v>131424</v>
          </cell>
          <cell r="AW289">
            <v>128795</v>
          </cell>
          <cell r="AX289">
            <v>0</v>
          </cell>
          <cell r="AY289">
            <v>2628</v>
          </cell>
          <cell r="AZ289">
            <v>262847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1910548</v>
          </cell>
          <cell r="BG289">
            <v>1872338</v>
          </cell>
          <cell r="BH289">
            <v>0</v>
          </cell>
          <cell r="BI289">
            <v>38211</v>
          </cell>
          <cell r="BJ289">
            <v>3821097</v>
          </cell>
          <cell r="BK289">
            <v>1910548</v>
          </cell>
          <cell r="BL289">
            <v>1872338</v>
          </cell>
          <cell r="BM289">
            <v>0</v>
          </cell>
          <cell r="BN289">
            <v>38211</v>
          </cell>
          <cell r="BO289">
            <v>3821097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4587989</v>
          </cell>
          <cell r="BV289">
            <v>4496229</v>
          </cell>
          <cell r="BW289">
            <v>0</v>
          </cell>
          <cell r="BX289">
            <v>91760</v>
          </cell>
          <cell r="BY289">
            <v>9175978</v>
          </cell>
          <cell r="BZ289">
            <v>4587989</v>
          </cell>
          <cell r="CA289">
            <v>4496229</v>
          </cell>
          <cell r="CB289">
            <v>0</v>
          </cell>
          <cell r="CC289">
            <v>91760</v>
          </cell>
          <cell r="CD289">
            <v>9175978</v>
          </cell>
        </row>
        <row r="290">
          <cell r="A290">
            <v>283</v>
          </cell>
          <cell r="B290" t="str">
            <v>E2243</v>
          </cell>
          <cell r="C290" t="str">
            <v>SD</v>
          </cell>
          <cell r="D290" t="str">
            <v>SE</v>
          </cell>
          <cell r="E290" t="str">
            <v>Tonbridge &amp; Malling</v>
          </cell>
          <cell r="F290">
            <v>24558214</v>
          </cell>
          <cell r="G290">
            <v>19646572</v>
          </cell>
          <cell r="H290">
            <v>4420479</v>
          </cell>
          <cell r="I290">
            <v>491164</v>
          </cell>
          <cell r="J290">
            <v>49116429</v>
          </cell>
          <cell r="K290">
            <v>0</v>
          </cell>
          <cell r="L290">
            <v>0</v>
          </cell>
          <cell r="M290">
            <v>24558214</v>
          </cell>
          <cell r="N290">
            <v>49116429</v>
          </cell>
          <cell r="O290">
            <v>168018</v>
          </cell>
          <cell r="P290">
            <v>168018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861119</v>
          </cell>
          <cell r="AC290">
            <v>688894</v>
          </cell>
          <cell r="AD290">
            <v>155001</v>
          </cell>
          <cell r="AE290">
            <v>17222</v>
          </cell>
          <cell r="AF290">
            <v>1722236</v>
          </cell>
          <cell r="AG290">
            <v>979528</v>
          </cell>
          <cell r="AH290">
            <v>783623</v>
          </cell>
          <cell r="AI290">
            <v>176315</v>
          </cell>
          <cell r="AJ290">
            <v>19591</v>
          </cell>
          <cell r="AK290">
            <v>1959057</v>
          </cell>
          <cell r="AL290">
            <v>165000</v>
          </cell>
          <cell r="AM290">
            <v>132000</v>
          </cell>
          <cell r="AN290">
            <v>29700</v>
          </cell>
          <cell r="AO290">
            <v>3300</v>
          </cell>
          <cell r="AP290">
            <v>330000</v>
          </cell>
          <cell r="AQ290">
            <v>40000</v>
          </cell>
          <cell r="AR290">
            <v>32000</v>
          </cell>
          <cell r="AS290">
            <v>7200</v>
          </cell>
          <cell r="AT290">
            <v>800</v>
          </cell>
          <cell r="AU290">
            <v>80000</v>
          </cell>
          <cell r="AV290">
            <v>205000</v>
          </cell>
          <cell r="AW290">
            <v>164000</v>
          </cell>
          <cell r="AX290">
            <v>36900</v>
          </cell>
          <cell r="AY290">
            <v>4100</v>
          </cell>
          <cell r="AZ290">
            <v>410000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267500</v>
          </cell>
          <cell r="BG290">
            <v>214000</v>
          </cell>
          <cell r="BH290">
            <v>48150</v>
          </cell>
          <cell r="BI290">
            <v>5350</v>
          </cell>
          <cell r="BJ290">
            <v>535000</v>
          </cell>
          <cell r="BK290">
            <v>267500</v>
          </cell>
          <cell r="BL290">
            <v>214000</v>
          </cell>
          <cell r="BM290">
            <v>48150</v>
          </cell>
          <cell r="BN290">
            <v>5350</v>
          </cell>
          <cell r="BO290">
            <v>535000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802500</v>
          </cell>
          <cell r="BV290">
            <v>642000</v>
          </cell>
          <cell r="BW290">
            <v>144450</v>
          </cell>
          <cell r="BX290">
            <v>16050</v>
          </cell>
          <cell r="BY290">
            <v>1605000</v>
          </cell>
          <cell r="BZ290">
            <v>802500</v>
          </cell>
          <cell r="CA290">
            <v>642000</v>
          </cell>
          <cell r="CB290">
            <v>144450</v>
          </cell>
          <cell r="CC290">
            <v>16050</v>
          </cell>
          <cell r="CD290">
            <v>1605000</v>
          </cell>
        </row>
        <row r="291">
          <cell r="A291">
            <v>284</v>
          </cell>
          <cell r="B291" t="str">
            <v>E1102</v>
          </cell>
          <cell r="C291" t="str">
            <v>UA</v>
          </cell>
          <cell r="D291" t="str">
            <v>SW</v>
          </cell>
          <cell r="E291" t="str">
            <v>Torbay UA</v>
          </cell>
          <cell r="F291">
            <v>16309385</v>
          </cell>
          <cell r="G291">
            <v>15983198</v>
          </cell>
          <cell r="H291">
            <v>0</v>
          </cell>
          <cell r="I291">
            <v>326188</v>
          </cell>
          <cell r="J291">
            <v>32618771</v>
          </cell>
          <cell r="K291">
            <v>0</v>
          </cell>
          <cell r="L291">
            <v>0</v>
          </cell>
          <cell r="M291">
            <v>16309385</v>
          </cell>
          <cell r="N291">
            <v>32618771</v>
          </cell>
          <cell r="O291">
            <v>206989</v>
          </cell>
          <cell r="P291">
            <v>206989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774653</v>
          </cell>
          <cell r="AC291">
            <v>759159</v>
          </cell>
          <cell r="AD291">
            <v>0</v>
          </cell>
          <cell r="AE291">
            <v>15493</v>
          </cell>
          <cell r="AF291">
            <v>1549305</v>
          </cell>
          <cell r="AG291">
            <v>-208548.65</v>
          </cell>
          <cell r="AH291">
            <v>-204377</v>
          </cell>
          <cell r="AI291">
            <v>0</v>
          </cell>
          <cell r="AJ291">
            <v>-4171</v>
          </cell>
          <cell r="AK291">
            <v>-417096.65</v>
          </cell>
          <cell r="AL291">
            <v>332791</v>
          </cell>
          <cell r="AM291">
            <v>326135</v>
          </cell>
          <cell r="AN291">
            <v>0</v>
          </cell>
          <cell r="AO291">
            <v>6656</v>
          </cell>
          <cell r="AP291">
            <v>665582</v>
          </cell>
          <cell r="AQ291">
            <v>123042</v>
          </cell>
          <cell r="AR291">
            <v>120582</v>
          </cell>
          <cell r="AS291">
            <v>0</v>
          </cell>
          <cell r="AT291">
            <v>2461</v>
          </cell>
          <cell r="AU291">
            <v>246085</v>
          </cell>
          <cell r="AV291">
            <v>455833</v>
          </cell>
          <cell r="AW291">
            <v>446717</v>
          </cell>
          <cell r="AX291">
            <v>0</v>
          </cell>
          <cell r="AY291">
            <v>9117</v>
          </cell>
          <cell r="AZ291">
            <v>911667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360377</v>
          </cell>
          <cell r="BG291">
            <v>353170</v>
          </cell>
          <cell r="BH291">
            <v>0</v>
          </cell>
          <cell r="BI291">
            <v>7208</v>
          </cell>
          <cell r="BJ291">
            <v>720755</v>
          </cell>
          <cell r="BK291">
            <v>360377</v>
          </cell>
          <cell r="BL291">
            <v>353170</v>
          </cell>
          <cell r="BM291">
            <v>0</v>
          </cell>
          <cell r="BN291">
            <v>7208</v>
          </cell>
          <cell r="BO291">
            <v>720755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903202</v>
          </cell>
          <cell r="BV291">
            <v>885137</v>
          </cell>
          <cell r="BW291">
            <v>0</v>
          </cell>
          <cell r="BX291">
            <v>18064</v>
          </cell>
          <cell r="BY291">
            <v>1806403</v>
          </cell>
          <cell r="BZ291">
            <v>903202</v>
          </cell>
          <cell r="CA291">
            <v>885137</v>
          </cell>
          <cell r="CB291">
            <v>0</v>
          </cell>
          <cell r="CC291">
            <v>18064</v>
          </cell>
          <cell r="CD291">
            <v>1806403</v>
          </cell>
        </row>
        <row r="292">
          <cell r="A292">
            <v>285</v>
          </cell>
          <cell r="B292" t="str">
            <v>E1139</v>
          </cell>
          <cell r="C292" t="str">
            <v>SD</v>
          </cell>
          <cell r="D292" t="str">
            <v>SW</v>
          </cell>
          <cell r="E292" t="str">
            <v>Torridge</v>
          </cell>
          <cell r="F292">
            <v>4837019</v>
          </cell>
          <cell r="G292">
            <v>3869615</v>
          </cell>
          <cell r="H292">
            <v>870663</v>
          </cell>
          <cell r="I292">
            <v>96740</v>
          </cell>
          <cell r="J292">
            <v>9674037</v>
          </cell>
          <cell r="K292">
            <v>0</v>
          </cell>
          <cell r="L292">
            <v>0</v>
          </cell>
          <cell r="M292">
            <v>4837019</v>
          </cell>
          <cell r="N292">
            <v>9674037</v>
          </cell>
          <cell r="O292">
            <v>121660</v>
          </cell>
          <cell r="P292">
            <v>121660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51309</v>
          </cell>
          <cell r="V292">
            <v>0</v>
          </cell>
          <cell r="W292">
            <v>51309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166034</v>
          </cell>
          <cell r="AC292">
            <v>132827</v>
          </cell>
          <cell r="AD292">
            <v>29886</v>
          </cell>
          <cell r="AE292">
            <v>3321</v>
          </cell>
          <cell r="AF292">
            <v>332068</v>
          </cell>
          <cell r="AG292">
            <v>68080</v>
          </cell>
          <cell r="AH292">
            <v>54465</v>
          </cell>
          <cell r="AI292">
            <v>12255</v>
          </cell>
          <cell r="AJ292">
            <v>1362</v>
          </cell>
          <cell r="AK292">
            <v>136162</v>
          </cell>
          <cell r="AL292">
            <v>37367</v>
          </cell>
          <cell r="AM292">
            <v>29893</v>
          </cell>
          <cell r="AN292">
            <v>6726</v>
          </cell>
          <cell r="AO292">
            <v>747</v>
          </cell>
          <cell r="AP292">
            <v>74733</v>
          </cell>
          <cell r="AQ292">
            <v>17340</v>
          </cell>
          <cell r="AR292">
            <v>13872</v>
          </cell>
          <cell r="AS292">
            <v>3121</v>
          </cell>
          <cell r="AT292">
            <v>347</v>
          </cell>
          <cell r="AU292">
            <v>34680</v>
          </cell>
          <cell r="AV292">
            <v>54707</v>
          </cell>
          <cell r="AW292">
            <v>43765</v>
          </cell>
          <cell r="AX292">
            <v>9847</v>
          </cell>
          <cell r="AY292">
            <v>1094</v>
          </cell>
          <cell r="AZ292">
            <v>109413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84078</v>
          </cell>
          <cell r="BG292">
            <v>67262</v>
          </cell>
          <cell r="BH292">
            <v>15134</v>
          </cell>
          <cell r="BI292">
            <v>1682</v>
          </cell>
          <cell r="BJ292">
            <v>168156</v>
          </cell>
          <cell r="BK292">
            <v>84078</v>
          </cell>
          <cell r="BL292">
            <v>67262</v>
          </cell>
          <cell r="BM292">
            <v>15134</v>
          </cell>
          <cell r="BN292">
            <v>1682</v>
          </cell>
          <cell r="BO292">
            <v>168156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232999</v>
          </cell>
          <cell r="BV292">
            <v>186399</v>
          </cell>
          <cell r="BW292">
            <v>41940</v>
          </cell>
          <cell r="BX292">
            <v>4660</v>
          </cell>
          <cell r="BY292">
            <v>465998</v>
          </cell>
          <cell r="BZ292">
            <v>232999</v>
          </cell>
          <cell r="CA292">
            <v>186399</v>
          </cell>
          <cell r="CB292">
            <v>41940</v>
          </cell>
          <cell r="CC292">
            <v>4660</v>
          </cell>
          <cell r="CD292">
            <v>465998</v>
          </cell>
        </row>
        <row r="293">
          <cell r="A293">
            <v>286</v>
          </cell>
          <cell r="B293" t="str">
            <v>E5020</v>
          </cell>
          <cell r="C293" t="str">
            <v>ILB</v>
          </cell>
          <cell r="D293" t="str">
            <v>L</v>
          </cell>
          <cell r="E293" t="str">
            <v>Tower Hamlets</v>
          </cell>
          <cell r="F293">
            <v>160430926</v>
          </cell>
          <cell r="G293">
            <v>96258556</v>
          </cell>
          <cell r="H293">
            <v>64172371</v>
          </cell>
          <cell r="I293">
            <v>0</v>
          </cell>
          <cell r="J293">
            <v>320861853</v>
          </cell>
          <cell r="K293">
            <v>0</v>
          </cell>
          <cell r="L293">
            <v>0</v>
          </cell>
          <cell r="M293">
            <v>160430926</v>
          </cell>
          <cell r="N293">
            <v>320861853</v>
          </cell>
          <cell r="O293">
            <v>944275</v>
          </cell>
          <cell r="P293">
            <v>944275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6218382</v>
          </cell>
          <cell r="AC293">
            <v>3731029</v>
          </cell>
          <cell r="AD293">
            <v>2487353</v>
          </cell>
          <cell r="AE293">
            <v>0</v>
          </cell>
          <cell r="AF293">
            <v>12436764</v>
          </cell>
          <cell r="AG293">
            <v>11474601</v>
          </cell>
          <cell r="AH293">
            <v>6884761</v>
          </cell>
          <cell r="AI293">
            <v>4589840</v>
          </cell>
          <cell r="AJ293">
            <v>0</v>
          </cell>
          <cell r="AK293">
            <v>22949202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1391939</v>
          </cell>
          <cell r="AR293">
            <v>835163</v>
          </cell>
          <cell r="AS293">
            <v>556776</v>
          </cell>
          <cell r="AT293">
            <v>0</v>
          </cell>
          <cell r="AU293">
            <v>2783878</v>
          </cell>
          <cell r="AV293">
            <v>1391939</v>
          </cell>
          <cell r="AW293">
            <v>835163</v>
          </cell>
          <cell r="AX293">
            <v>556776</v>
          </cell>
          <cell r="AY293">
            <v>0</v>
          </cell>
          <cell r="AZ293">
            <v>2783878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3750000</v>
          </cell>
          <cell r="BG293">
            <v>2250000</v>
          </cell>
          <cell r="BH293">
            <v>1500000</v>
          </cell>
          <cell r="BI293">
            <v>0</v>
          </cell>
          <cell r="BJ293">
            <v>7500000</v>
          </cell>
          <cell r="BK293">
            <v>3750000</v>
          </cell>
          <cell r="BL293">
            <v>2250000</v>
          </cell>
          <cell r="BM293">
            <v>1500000</v>
          </cell>
          <cell r="BN293">
            <v>0</v>
          </cell>
          <cell r="BO293">
            <v>7500000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10000000</v>
          </cell>
          <cell r="BV293">
            <v>6000000</v>
          </cell>
          <cell r="BW293">
            <v>4000000</v>
          </cell>
          <cell r="BX293">
            <v>0</v>
          </cell>
          <cell r="BY293">
            <v>20000000</v>
          </cell>
          <cell r="BZ293">
            <v>10000000</v>
          </cell>
          <cell r="CA293">
            <v>6000000</v>
          </cell>
          <cell r="CB293">
            <v>4000000</v>
          </cell>
          <cell r="CC293">
            <v>0</v>
          </cell>
          <cell r="CD293">
            <v>20000000</v>
          </cell>
        </row>
        <row r="294">
          <cell r="A294">
            <v>287</v>
          </cell>
          <cell r="B294" t="str">
            <v>E4209</v>
          </cell>
          <cell r="C294" t="str">
            <v>Met</v>
          </cell>
          <cell r="D294" t="str">
            <v>NW</v>
          </cell>
          <cell r="E294" t="str">
            <v>Trafford</v>
          </cell>
          <cell r="F294">
            <v>59968148</v>
          </cell>
          <cell r="G294">
            <v>58768786</v>
          </cell>
          <cell r="H294">
            <v>0</v>
          </cell>
          <cell r="I294">
            <v>1199363</v>
          </cell>
          <cell r="J294">
            <v>119936297</v>
          </cell>
          <cell r="K294">
            <v>0</v>
          </cell>
          <cell r="L294">
            <v>0</v>
          </cell>
          <cell r="M294">
            <v>59968148</v>
          </cell>
          <cell r="N294">
            <v>119936297</v>
          </cell>
          <cell r="O294">
            <v>452163</v>
          </cell>
          <cell r="P294">
            <v>452163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73476</v>
          </cell>
          <cell r="V294">
            <v>0</v>
          </cell>
          <cell r="W294">
            <v>73476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3138621.69</v>
          </cell>
          <cell r="AC294">
            <v>3075848</v>
          </cell>
          <cell r="AD294">
            <v>0</v>
          </cell>
          <cell r="AE294">
            <v>62772</v>
          </cell>
          <cell r="AF294">
            <v>6277241.6900000004</v>
          </cell>
          <cell r="AG294">
            <v>2464223.77</v>
          </cell>
          <cell r="AH294">
            <v>2414938</v>
          </cell>
          <cell r="AI294">
            <v>0</v>
          </cell>
          <cell r="AJ294">
            <v>49284</v>
          </cell>
          <cell r="AK294">
            <v>4928445.7699999996</v>
          </cell>
          <cell r="AL294">
            <v>1770777.63</v>
          </cell>
          <cell r="AM294">
            <v>1735362</v>
          </cell>
          <cell r="AN294">
            <v>0</v>
          </cell>
          <cell r="AO294">
            <v>35416</v>
          </cell>
          <cell r="AP294">
            <v>3541555.63</v>
          </cell>
          <cell r="AQ294">
            <v>74190.78</v>
          </cell>
          <cell r="AR294">
            <v>72707</v>
          </cell>
          <cell r="AS294">
            <v>0</v>
          </cell>
          <cell r="AT294">
            <v>1484</v>
          </cell>
          <cell r="AU294">
            <v>148381.78</v>
          </cell>
          <cell r="AV294">
            <v>1844968.41</v>
          </cell>
          <cell r="AW294">
            <v>1808069</v>
          </cell>
          <cell r="AX294">
            <v>0</v>
          </cell>
          <cell r="AY294">
            <v>36900</v>
          </cell>
          <cell r="AZ294">
            <v>3689937.41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4705390</v>
          </cell>
          <cell r="BG294">
            <v>4611282</v>
          </cell>
          <cell r="BH294">
            <v>0</v>
          </cell>
          <cell r="BI294">
            <v>94108</v>
          </cell>
          <cell r="BJ294">
            <v>9410780</v>
          </cell>
          <cell r="BK294">
            <v>4705390</v>
          </cell>
          <cell r="BL294">
            <v>4611282</v>
          </cell>
          <cell r="BM294">
            <v>0</v>
          </cell>
          <cell r="BN294">
            <v>94108</v>
          </cell>
          <cell r="BO294">
            <v>9410780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13706050</v>
          </cell>
          <cell r="BV294">
            <v>13431929</v>
          </cell>
          <cell r="BW294">
            <v>0</v>
          </cell>
          <cell r="BX294">
            <v>274121</v>
          </cell>
          <cell r="BY294">
            <v>27412100</v>
          </cell>
          <cell r="BZ294">
            <v>13706050</v>
          </cell>
          <cell r="CA294">
            <v>13431929</v>
          </cell>
          <cell r="CB294">
            <v>0</v>
          </cell>
          <cell r="CC294">
            <v>274121</v>
          </cell>
          <cell r="CD294">
            <v>27412100</v>
          </cell>
        </row>
        <row r="295">
          <cell r="A295">
            <v>288</v>
          </cell>
          <cell r="B295" t="str">
            <v>E2244</v>
          </cell>
          <cell r="C295" t="str">
            <v>SD</v>
          </cell>
          <cell r="D295" t="str">
            <v>SE</v>
          </cell>
          <cell r="E295" t="str">
            <v>Tunbridge Wells</v>
          </cell>
          <cell r="F295">
            <v>23828402</v>
          </cell>
          <cell r="G295">
            <v>19062722</v>
          </cell>
          <cell r="H295">
            <v>4289112</v>
          </cell>
          <cell r="I295">
            <v>476568</v>
          </cell>
          <cell r="J295">
            <v>47656804</v>
          </cell>
          <cell r="K295">
            <v>0</v>
          </cell>
          <cell r="L295">
            <v>0</v>
          </cell>
          <cell r="M295">
            <v>23828402</v>
          </cell>
          <cell r="N295">
            <v>47656804</v>
          </cell>
          <cell r="O295">
            <v>181431</v>
          </cell>
          <cell r="P295">
            <v>181431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1023075</v>
          </cell>
          <cell r="AC295">
            <v>818460</v>
          </cell>
          <cell r="AD295">
            <v>184153</v>
          </cell>
          <cell r="AE295">
            <v>20461</v>
          </cell>
          <cell r="AF295">
            <v>2046149</v>
          </cell>
          <cell r="AG295">
            <v>487655</v>
          </cell>
          <cell r="AH295">
            <v>390124</v>
          </cell>
          <cell r="AI295">
            <v>87778</v>
          </cell>
          <cell r="AJ295">
            <v>9753</v>
          </cell>
          <cell r="AK295">
            <v>975310</v>
          </cell>
          <cell r="AL295">
            <v>733469</v>
          </cell>
          <cell r="AM295">
            <v>586776</v>
          </cell>
          <cell r="AN295">
            <v>132025</v>
          </cell>
          <cell r="AO295">
            <v>14669</v>
          </cell>
          <cell r="AP295">
            <v>1466939</v>
          </cell>
          <cell r="AQ295">
            <v>217059</v>
          </cell>
          <cell r="AR295">
            <v>173648</v>
          </cell>
          <cell r="AS295">
            <v>39071</v>
          </cell>
          <cell r="AT295">
            <v>4341</v>
          </cell>
          <cell r="AU295">
            <v>434119</v>
          </cell>
          <cell r="AV295">
            <v>950528</v>
          </cell>
          <cell r="AW295">
            <v>760424</v>
          </cell>
          <cell r="AX295">
            <v>171096</v>
          </cell>
          <cell r="AY295">
            <v>19010</v>
          </cell>
          <cell r="AZ295">
            <v>1901058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279466</v>
          </cell>
          <cell r="BG295">
            <v>223573</v>
          </cell>
          <cell r="BH295">
            <v>50304</v>
          </cell>
          <cell r="BI295">
            <v>5589</v>
          </cell>
          <cell r="BJ295">
            <v>558932</v>
          </cell>
          <cell r="BK295">
            <v>279466</v>
          </cell>
          <cell r="BL295">
            <v>223573</v>
          </cell>
          <cell r="BM295">
            <v>50304</v>
          </cell>
          <cell r="BN295">
            <v>5589</v>
          </cell>
          <cell r="BO295">
            <v>558932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597874</v>
          </cell>
          <cell r="BV295">
            <v>478298</v>
          </cell>
          <cell r="BW295">
            <v>107617</v>
          </cell>
          <cell r="BX295">
            <v>11957</v>
          </cell>
          <cell r="BY295">
            <v>1195746</v>
          </cell>
          <cell r="BZ295">
            <v>597874</v>
          </cell>
          <cell r="CA295">
            <v>478298</v>
          </cell>
          <cell r="CB295">
            <v>107617</v>
          </cell>
          <cell r="CC295">
            <v>11957</v>
          </cell>
          <cell r="CD295">
            <v>1195746</v>
          </cell>
        </row>
        <row r="296">
          <cell r="A296">
            <v>289</v>
          </cell>
          <cell r="B296" t="str">
            <v>E1544</v>
          </cell>
          <cell r="C296" t="str">
            <v>SD</v>
          </cell>
          <cell r="D296" t="str">
            <v>E</v>
          </cell>
          <cell r="E296" t="str">
            <v>Uttlesford</v>
          </cell>
          <cell r="F296">
            <v>14458674</v>
          </cell>
          <cell r="G296">
            <v>11566938</v>
          </cell>
          <cell r="H296">
            <v>2602561</v>
          </cell>
          <cell r="I296">
            <v>289173</v>
          </cell>
          <cell r="J296">
            <v>28917346</v>
          </cell>
          <cell r="K296">
            <v>0</v>
          </cell>
          <cell r="L296">
            <v>0</v>
          </cell>
          <cell r="M296">
            <v>14458674</v>
          </cell>
          <cell r="N296">
            <v>28917346</v>
          </cell>
          <cell r="O296">
            <v>138241</v>
          </cell>
          <cell r="P296">
            <v>138241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434307</v>
          </cell>
          <cell r="AC296">
            <v>347446</v>
          </cell>
          <cell r="AD296">
            <v>78175</v>
          </cell>
          <cell r="AE296">
            <v>8686</v>
          </cell>
          <cell r="AF296">
            <v>868614</v>
          </cell>
          <cell r="AG296">
            <v>185691</v>
          </cell>
          <cell r="AH296">
            <v>148553</v>
          </cell>
          <cell r="AI296">
            <v>33424</v>
          </cell>
          <cell r="AJ296">
            <v>3714</v>
          </cell>
          <cell r="AK296">
            <v>371382</v>
          </cell>
          <cell r="AL296">
            <v>195037</v>
          </cell>
          <cell r="AM296">
            <v>156030</v>
          </cell>
          <cell r="AN296">
            <v>35107</v>
          </cell>
          <cell r="AO296">
            <v>3901</v>
          </cell>
          <cell r="AP296">
            <v>390075</v>
          </cell>
          <cell r="AQ296">
            <v>-2115</v>
          </cell>
          <cell r="AR296">
            <v>-1692</v>
          </cell>
          <cell r="AS296">
            <v>-381</v>
          </cell>
          <cell r="AT296">
            <v>-42</v>
          </cell>
          <cell r="AU296">
            <v>-4230</v>
          </cell>
          <cell r="AV296">
            <v>192922</v>
          </cell>
          <cell r="AW296">
            <v>154338</v>
          </cell>
          <cell r="AX296">
            <v>34726</v>
          </cell>
          <cell r="AY296">
            <v>3859</v>
          </cell>
          <cell r="AZ296">
            <v>385845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1598948</v>
          </cell>
          <cell r="BG296">
            <v>1279158</v>
          </cell>
          <cell r="BH296">
            <v>287811</v>
          </cell>
          <cell r="BI296">
            <v>31979</v>
          </cell>
          <cell r="BJ296">
            <v>3197896</v>
          </cell>
          <cell r="BK296">
            <v>1598948</v>
          </cell>
          <cell r="BL296">
            <v>1279158</v>
          </cell>
          <cell r="BM296">
            <v>287811</v>
          </cell>
          <cell r="BN296">
            <v>31979</v>
          </cell>
          <cell r="BO296">
            <v>3197896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4163343</v>
          </cell>
          <cell r="BV296">
            <v>3330675</v>
          </cell>
          <cell r="BW296">
            <v>749402</v>
          </cell>
          <cell r="BX296">
            <v>83267</v>
          </cell>
          <cell r="BY296">
            <v>8326687</v>
          </cell>
          <cell r="BZ296">
            <v>4163343</v>
          </cell>
          <cell r="CA296">
            <v>3330675</v>
          </cell>
          <cell r="CB296">
            <v>749402</v>
          </cell>
          <cell r="CC296">
            <v>83267</v>
          </cell>
          <cell r="CD296">
            <v>8326687</v>
          </cell>
        </row>
        <row r="297">
          <cell r="A297">
            <v>290</v>
          </cell>
          <cell r="B297" t="str">
            <v>E3134</v>
          </cell>
          <cell r="C297" t="str">
            <v>SD</v>
          </cell>
          <cell r="D297" t="str">
            <v>SE</v>
          </cell>
          <cell r="E297" t="str">
            <v>Vale of White Horse</v>
          </cell>
          <cell r="F297">
            <v>23228030</v>
          </cell>
          <cell r="G297">
            <v>18582424</v>
          </cell>
          <cell r="H297">
            <v>4645606</v>
          </cell>
          <cell r="I297">
            <v>0</v>
          </cell>
          <cell r="J297">
            <v>46456060</v>
          </cell>
          <cell r="K297">
            <v>268150</v>
          </cell>
          <cell r="L297">
            <v>268150</v>
          </cell>
          <cell r="M297">
            <v>22959880</v>
          </cell>
          <cell r="N297">
            <v>46187910</v>
          </cell>
          <cell r="O297">
            <v>189424</v>
          </cell>
          <cell r="P297">
            <v>189424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268150</v>
          </cell>
          <cell r="Y297">
            <v>0</v>
          </cell>
          <cell r="Z297">
            <v>0</v>
          </cell>
          <cell r="AA297">
            <v>268150</v>
          </cell>
          <cell r="AB297">
            <v>622643</v>
          </cell>
          <cell r="AC297">
            <v>498114</v>
          </cell>
          <cell r="AD297">
            <v>124529</v>
          </cell>
          <cell r="AE297">
            <v>0</v>
          </cell>
          <cell r="AF297">
            <v>1245286</v>
          </cell>
          <cell r="AG297">
            <v>165838</v>
          </cell>
          <cell r="AH297">
            <v>132671</v>
          </cell>
          <cell r="AI297">
            <v>33168</v>
          </cell>
          <cell r="AJ297">
            <v>0</v>
          </cell>
          <cell r="AK297">
            <v>331677</v>
          </cell>
          <cell r="AL297">
            <v>342790</v>
          </cell>
          <cell r="AM297">
            <v>274232</v>
          </cell>
          <cell r="AN297">
            <v>68558</v>
          </cell>
          <cell r="AO297">
            <v>0</v>
          </cell>
          <cell r="AP297">
            <v>685580</v>
          </cell>
          <cell r="AQ297">
            <v>-62850</v>
          </cell>
          <cell r="AR297">
            <v>-50280</v>
          </cell>
          <cell r="AS297">
            <v>-12570</v>
          </cell>
          <cell r="AT297">
            <v>0</v>
          </cell>
          <cell r="AU297">
            <v>-125700</v>
          </cell>
          <cell r="AV297">
            <v>279940</v>
          </cell>
          <cell r="AW297">
            <v>223952</v>
          </cell>
          <cell r="AX297">
            <v>55988</v>
          </cell>
          <cell r="AY297">
            <v>0</v>
          </cell>
          <cell r="AZ297">
            <v>559880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539978</v>
          </cell>
          <cell r="BG297">
            <v>431983</v>
          </cell>
          <cell r="BH297">
            <v>107996</v>
          </cell>
          <cell r="BI297">
            <v>0</v>
          </cell>
          <cell r="BJ297">
            <v>1079957</v>
          </cell>
          <cell r="BK297">
            <v>539978</v>
          </cell>
          <cell r="BL297">
            <v>431983</v>
          </cell>
          <cell r="BM297">
            <v>107996</v>
          </cell>
          <cell r="BN297">
            <v>0</v>
          </cell>
          <cell r="BO297">
            <v>1079957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2390415</v>
          </cell>
          <cell r="BV297">
            <v>1912332</v>
          </cell>
          <cell r="BW297">
            <v>478083</v>
          </cell>
          <cell r="BX297">
            <v>0</v>
          </cell>
          <cell r="BY297">
            <v>4780830</v>
          </cell>
          <cell r="BZ297">
            <v>2390415</v>
          </cell>
          <cell r="CA297">
            <v>1912332</v>
          </cell>
          <cell r="CB297">
            <v>478083</v>
          </cell>
          <cell r="CC297">
            <v>0</v>
          </cell>
          <cell r="CD297">
            <v>4780830</v>
          </cell>
        </row>
        <row r="298">
          <cell r="A298">
            <v>291</v>
          </cell>
          <cell r="B298" t="str">
            <v>E4705</v>
          </cell>
          <cell r="C298" t="str">
            <v>Met</v>
          </cell>
          <cell r="D298" t="str">
            <v>YH</v>
          </cell>
          <cell r="E298" t="str">
            <v>Wakefield</v>
          </cell>
          <cell r="F298">
            <v>56581625</v>
          </cell>
          <cell r="G298">
            <v>55449993</v>
          </cell>
          <cell r="H298">
            <v>0</v>
          </cell>
          <cell r="I298">
            <v>1131633</v>
          </cell>
          <cell r="J298">
            <v>113163251</v>
          </cell>
          <cell r="K298">
            <v>0</v>
          </cell>
          <cell r="L298">
            <v>0</v>
          </cell>
          <cell r="M298">
            <v>56581625</v>
          </cell>
          <cell r="N298">
            <v>113163251</v>
          </cell>
          <cell r="O298">
            <v>457961</v>
          </cell>
          <cell r="P298">
            <v>457961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822415.43</v>
          </cell>
          <cell r="AC298">
            <v>805966</v>
          </cell>
          <cell r="AD298">
            <v>0</v>
          </cell>
          <cell r="AE298">
            <v>16448</v>
          </cell>
          <cell r="AF298">
            <v>1644829.43</v>
          </cell>
          <cell r="AG298">
            <v>534430.53</v>
          </cell>
          <cell r="AH298">
            <v>523743</v>
          </cell>
          <cell r="AI298">
            <v>0</v>
          </cell>
          <cell r="AJ298">
            <v>10689</v>
          </cell>
          <cell r="AK298">
            <v>1068862.53</v>
          </cell>
          <cell r="AL298">
            <v>702268.02</v>
          </cell>
          <cell r="AM298">
            <v>688223</v>
          </cell>
          <cell r="AN298">
            <v>0</v>
          </cell>
          <cell r="AO298">
            <v>14045</v>
          </cell>
          <cell r="AP298">
            <v>1404536.02</v>
          </cell>
          <cell r="AQ298">
            <v>-192268.02</v>
          </cell>
          <cell r="AR298">
            <v>-188423</v>
          </cell>
          <cell r="AS298">
            <v>0</v>
          </cell>
          <cell r="AT298">
            <v>-3845</v>
          </cell>
          <cell r="AU298">
            <v>-384536.02</v>
          </cell>
          <cell r="AV298">
            <v>510000</v>
          </cell>
          <cell r="AW298">
            <v>499800</v>
          </cell>
          <cell r="AX298">
            <v>0</v>
          </cell>
          <cell r="AY298">
            <v>10200</v>
          </cell>
          <cell r="AZ298">
            <v>1020000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559082</v>
          </cell>
          <cell r="BG298">
            <v>547901</v>
          </cell>
          <cell r="BH298">
            <v>0</v>
          </cell>
          <cell r="BI298">
            <v>11182</v>
          </cell>
          <cell r="BJ298">
            <v>1118165</v>
          </cell>
          <cell r="BK298">
            <v>559082</v>
          </cell>
          <cell r="BL298">
            <v>547901</v>
          </cell>
          <cell r="BM298">
            <v>0</v>
          </cell>
          <cell r="BN298">
            <v>11182</v>
          </cell>
          <cell r="BO298">
            <v>1118165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1602435</v>
          </cell>
          <cell r="BV298">
            <v>1570387</v>
          </cell>
          <cell r="BW298">
            <v>0</v>
          </cell>
          <cell r="BX298">
            <v>32049</v>
          </cell>
          <cell r="BY298">
            <v>3204871</v>
          </cell>
          <cell r="BZ298">
            <v>1602435</v>
          </cell>
          <cell r="CA298">
            <v>1570387</v>
          </cell>
          <cell r="CB298">
            <v>0</v>
          </cell>
          <cell r="CC298">
            <v>32049</v>
          </cell>
          <cell r="CD298">
            <v>3204871</v>
          </cell>
        </row>
        <row r="299">
          <cell r="A299">
            <v>292</v>
          </cell>
          <cell r="B299" t="str">
            <v>E4606</v>
          </cell>
          <cell r="C299" t="str">
            <v>Met</v>
          </cell>
          <cell r="D299" t="str">
            <v>WM</v>
          </cell>
          <cell r="E299" t="str">
            <v>Walsall</v>
          </cell>
          <cell r="F299">
            <v>32033825</v>
          </cell>
          <cell r="G299">
            <v>31393148</v>
          </cell>
          <cell r="H299">
            <v>0</v>
          </cell>
          <cell r="I299">
            <v>640676</v>
          </cell>
          <cell r="J299">
            <v>64067649</v>
          </cell>
          <cell r="K299">
            <v>0</v>
          </cell>
          <cell r="L299">
            <v>0</v>
          </cell>
          <cell r="M299">
            <v>32033825</v>
          </cell>
          <cell r="N299">
            <v>64067649</v>
          </cell>
          <cell r="O299">
            <v>344295</v>
          </cell>
          <cell r="P299">
            <v>344295</v>
          </cell>
          <cell r="Q299">
            <v>30666</v>
          </cell>
          <cell r="R299">
            <v>30666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3086627</v>
          </cell>
          <cell r="AC299">
            <v>3024894</v>
          </cell>
          <cell r="AD299">
            <v>0</v>
          </cell>
          <cell r="AE299">
            <v>61733</v>
          </cell>
          <cell r="AF299">
            <v>6173254</v>
          </cell>
          <cell r="AG299">
            <v>754608</v>
          </cell>
          <cell r="AH299">
            <v>739515</v>
          </cell>
          <cell r="AI299">
            <v>0</v>
          </cell>
          <cell r="AJ299">
            <v>15092</v>
          </cell>
          <cell r="AK299">
            <v>1509215</v>
          </cell>
          <cell r="AL299">
            <v>1257002</v>
          </cell>
          <cell r="AM299">
            <v>1231861</v>
          </cell>
          <cell r="AN299">
            <v>0</v>
          </cell>
          <cell r="AO299">
            <v>25140</v>
          </cell>
          <cell r="AP299">
            <v>2514003</v>
          </cell>
          <cell r="AQ299">
            <v>95147</v>
          </cell>
          <cell r="AR299">
            <v>93245</v>
          </cell>
          <cell r="AS299">
            <v>0</v>
          </cell>
          <cell r="AT299">
            <v>1903</v>
          </cell>
          <cell r="AU299">
            <v>190295</v>
          </cell>
          <cell r="AV299">
            <v>1352149</v>
          </cell>
          <cell r="AW299">
            <v>1325106</v>
          </cell>
          <cell r="AX299">
            <v>0</v>
          </cell>
          <cell r="AY299">
            <v>27043</v>
          </cell>
          <cell r="AZ299">
            <v>2704298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507537</v>
          </cell>
          <cell r="BG299">
            <v>497387</v>
          </cell>
          <cell r="BH299">
            <v>0</v>
          </cell>
          <cell r="BI299">
            <v>10151</v>
          </cell>
          <cell r="BJ299">
            <v>1015075</v>
          </cell>
          <cell r="BK299">
            <v>507537</v>
          </cell>
          <cell r="BL299">
            <v>497387</v>
          </cell>
          <cell r="BM299">
            <v>0</v>
          </cell>
          <cell r="BN299">
            <v>10151</v>
          </cell>
          <cell r="BO299">
            <v>1015075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1406234</v>
          </cell>
          <cell r="BV299">
            <v>1378110</v>
          </cell>
          <cell r="BW299">
            <v>0</v>
          </cell>
          <cell r="BX299">
            <v>28125</v>
          </cell>
          <cell r="BY299">
            <v>2812469</v>
          </cell>
          <cell r="BZ299">
            <v>1406234</v>
          </cell>
          <cell r="CA299">
            <v>1378110</v>
          </cell>
          <cell r="CB299">
            <v>0</v>
          </cell>
          <cell r="CC299">
            <v>28125</v>
          </cell>
          <cell r="CD299">
            <v>2812469</v>
          </cell>
        </row>
        <row r="300">
          <cell r="A300">
            <v>293</v>
          </cell>
          <cell r="B300" t="str">
            <v>E5049</v>
          </cell>
          <cell r="C300" t="str">
            <v>OLB</v>
          </cell>
          <cell r="D300" t="str">
            <v>L</v>
          </cell>
          <cell r="E300" t="str">
            <v>Waltham Forest</v>
          </cell>
          <cell r="F300">
            <v>27362306</v>
          </cell>
          <cell r="G300">
            <v>16417383</v>
          </cell>
          <cell r="H300">
            <v>10944922</v>
          </cell>
          <cell r="I300">
            <v>0</v>
          </cell>
          <cell r="J300">
            <v>54724611</v>
          </cell>
          <cell r="K300">
            <v>0</v>
          </cell>
          <cell r="L300">
            <v>0</v>
          </cell>
          <cell r="M300">
            <v>27362306</v>
          </cell>
          <cell r="N300">
            <v>54724611</v>
          </cell>
          <cell r="O300">
            <v>292541</v>
          </cell>
          <cell r="P300">
            <v>292541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3247041</v>
          </cell>
          <cell r="AC300">
            <v>1948225</v>
          </cell>
          <cell r="AD300">
            <v>1298817</v>
          </cell>
          <cell r="AE300">
            <v>0</v>
          </cell>
          <cell r="AF300">
            <v>6494083</v>
          </cell>
          <cell r="AG300">
            <v>878347</v>
          </cell>
          <cell r="AH300">
            <v>527008</v>
          </cell>
          <cell r="AI300">
            <v>351339</v>
          </cell>
          <cell r="AJ300">
            <v>0</v>
          </cell>
          <cell r="AK300">
            <v>1756694</v>
          </cell>
          <cell r="AL300">
            <v>1221149</v>
          </cell>
          <cell r="AM300">
            <v>732690</v>
          </cell>
          <cell r="AN300">
            <v>488460</v>
          </cell>
          <cell r="AO300">
            <v>0</v>
          </cell>
          <cell r="AP300">
            <v>2442299</v>
          </cell>
          <cell r="AQ300">
            <v>532794</v>
          </cell>
          <cell r="AR300">
            <v>319676</v>
          </cell>
          <cell r="AS300">
            <v>213117</v>
          </cell>
          <cell r="AT300">
            <v>0</v>
          </cell>
          <cell r="AU300">
            <v>1065587</v>
          </cell>
          <cell r="AV300">
            <v>1753943</v>
          </cell>
          <cell r="AW300">
            <v>1052366</v>
          </cell>
          <cell r="AX300">
            <v>701577</v>
          </cell>
          <cell r="AY300">
            <v>0</v>
          </cell>
          <cell r="AZ300">
            <v>3507886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244657</v>
          </cell>
          <cell r="BG300">
            <v>146794</v>
          </cell>
          <cell r="BH300">
            <v>97863</v>
          </cell>
          <cell r="BI300">
            <v>0</v>
          </cell>
          <cell r="BJ300">
            <v>489314</v>
          </cell>
          <cell r="BK300">
            <v>244657</v>
          </cell>
          <cell r="BL300">
            <v>146794</v>
          </cell>
          <cell r="BM300">
            <v>97863</v>
          </cell>
          <cell r="BN300">
            <v>0</v>
          </cell>
          <cell r="BO300">
            <v>489314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236407</v>
          </cell>
          <cell r="BV300">
            <v>141844</v>
          </cell>
          <cell r="BW300">
            <v>94563</v>
          </cell>
          <cell r="BX300">
            <v>0</v>
          </cell>
          <cell r="BY300">
            <v>472814</v>
          </cell>
          <cell r="BZ300">
            <v>236407</v>
          </cell>
          <cell r="CA300">
            <v>141844</v>
          </cell>
          <cell r="CB300">
            <v>94563</v>
          </cell>
          <cell r="CC300">
            <v>0</v>
          </cell>
          <cell r="CD300">
            <v>472814</v>
          </cell>
        </row>
        <row r="301">
          <cell r="A301">
            <v>294</v>
          </cell>
          <cell r="B301" t="str">
            <v>E5021</v>
          </cell>
          <cell r="C301" t="str">
            <v>ILB</v>
          </cell>
          <cell r="D301" t="str">
            <v>L</v>
          </cell>
          <cell r="E301" t="str">
            <v>Wandsworth</v>
          </cell>
          <cell r="F301">
            <v>47526429</v>
          </cell>
          <cell r="G301">
            <v>28515858</v>
          </cell>
          <cell r="H301">
            <v>19010572</v>
          </cell>
          <cell r="I301">
            <v>0</v>
          </cell>
          <cell r="J301">
            <v>95052859</v>
          </cell>
          <cell r="K301">
            <v>0</v>
          </cell>
          <cell r="L301">
            <v>0</v>
          </cell>
          <cell r="M301">
            <v>47526429</v>
          </cell>
          <cell r="N301">
            <v>95052859</v>
          </cell>
          <cell r="O301">
            <v>484461</v>
          </cell>
          <cell r="P301">
            <v>484461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1922674</v>
          </cell>
          <cell r="AC301">
            <v>1153605</v>
          </cell>
          <cell r="AD301">
            <v>769070</v>
          </cell>
          <cell r="AE301">
            <v>0</v>
          </cell>
          <cell r="AF301">
            <v>3845349</v>
          </cell>
          <cell r="AG301">
            <v>669094</v>
          </cell>
          <cell r="AH301">
            <v>401457</v>
          </cell>
          <cell r="AI301">
            <v>267638</v>
          </cell>
          <cell r="AJ301">
            <v>0</v>
          </cell>
          <cell r="AK301">
            <v>1338189</v>
          </cell>
          <cell r="AL301">
            <v>1048000</v>
          </cell>
          <cell r="AM301">
            <v>628800</v>
          </cell>
          <cell r="AN301">
            <v>419200</v>
          </cell>
          <cell r="AO301">
            <v>0</v>
          </cell>
          <cell r="AP301">
            <v>2096000</v>
          </cell>
          <cell r="AQ301">
            <v>246500</v>
          </cell>
          <cell r="AR301">
            <v>147900</v>
          </cell>
          <cell r="AS301">
            <v>98600</v>
          </cell>
          <cell r="AT301">
            <v>0</v>
          </cell>
          <cell r="AU301">
            <v>493000</v>
          </cell>
          <cell r="AV301">
            <v>1294500</v>
          </cell>
          <cell r="AW301">
            <v>776700</v>
          </cell>
          <cell r="AX301">
            <v>517800</v>
          </cell>
          <cell r="AY301">
            <v>0</v>
          </cell>
          <cell r="AZ301">
            <v>2589000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735934</v>
          </cell>
          <cell r="BG301">
            <v>441560</v>
          </cell>
          <cell r="BH301">
            <v>294373</v>
          </cell>
          <cell r="BI301">
            <v>0</v>
          </cell>
          <cell r="BJ301">
            <v>1471867</v>
          </cell>
          <cell r="BK301">
            <v>735934</v>
          </cell>
          <cell r="BL301">
            <v>441560</v>
          </cell>
          <cell r="BM301">
            <v>294373</v>
          </cell>
          <cell r="BN301">
            <v>0</v>
          </cell>
          <cell r="BO301">
            <v>1471867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2221306</v>
          </cell>
          <cell r="BV301">
            <v>1332784</v>
          </cell>
          <cell r="BW301">
            <v>888522</v>
          </cell>
          <cell r="BX301">
            <v>0</v>
          </cell>
          <cell r="BY301">
            <v>4442612</v>
          </cell>
          <cell r="BZ301">
            <v>2221306</v>
          </cell>
          <cell r="CA301">
            <v>1332784</v>
          </cell>
          <cell r="CB301">
            <v>888522</v>
          </cell>
          <cell r="CC301">
            <v>0</v>
          </cell>
          <cell r="CD301">
            <v>4442612</v>
          </cell>
        </row>
        <row r="302">
          <cell r="A302">
            <v>295</v>
          </cell>
          <cell r="B302" t="str">
            <v>E0602</v>
          </cell>
          <cell r="C302" t="str">
            <v>UA</v>
          </cell>
          <cell r="D302" t="str">
            <v>NW</v>
          </cell>
          <cell r="E302" t="str">
            <v>Warrington UA</v>
          </cell>
          <cell r="F302">
            <v>48177038</v>
          </cell>
          <cell r="G302">
            <v>47213497</v>
          </cell>
          <cell r="H302">
            <v>0</v>
          </cell>
          <cell r="I302">
            <v>963541</v>
          </cell>
          <cell r="J302">
            <v>96354076</v>
          </cell>
          <cell r="K302">
            <v>0</v>
          </cell>
          <cell r="L302">
            <v>0</v>
          </cell>
          <cell r="M302">
            <v>48177038</v>
          </cell>
          <cell r="N302">
            <v>96354076</v>
          </cell>
          <cell r="O302">
            <v>308145</v>
          </cell>
          <cell r="P302">
            <v>308145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5469626.79</v>
          </cell>
          <cell r="AC302">
            <v>5360234</v>
          </cell>
          <cell r="AD302">
            <v>0</v>
          </cell>
          <cell r="AE302">
            <v>109393</v>
          </cell>
          <cell r="AF302">
            <v>10939253.699999999</v>
          </cell>
          <cell r="AG302">
            <v>-773806.42</v>
          </cell>
          <cell r="AH302">
            <v>-758330</v>
          </cell>
          <cell r="AI302">
            <v>0</v>
          </cell>
          <cell r="AJ302">
            <v>-15476</v>
          </cell>
          <cell r="AK302">
            <v>-1547612.4</v>
          </cell>
          <cell r="AL302">
            <v>2146660</v>
          </cell>
          <cell r="AM302">
            <v>2103727</v>
          </cell>
          <cell r="AN302">
            <v>0</v>
          </cell>
          <cell r="AO302">
            <v>42933</v>
          </cell>
          <cell r="AP302">
            <v>4293320</v>
          </cell>
          <cell r="AQ302">
            <v>1335890.0900000001</v>
          </cell>
          <cell r="AR302">
            <v>1309172</v>
          </cell>
          <cell r="AS302">
            <v>0</v>
          </cell>
          <cell r="AT302">
            <v>26718</v>
          </cell>
          <cell r="AU302">
            <v>2671780.09</v>
          </cell>
          <cell r="AV302">
            <v>3482550.09</v>
          </cell>
          <cell r="AW302">
            <v>3412899</v>
          </cell>
          <cell r="AX302">
            <v>0</v>
          </cell>
          <cell r="AY302">
            <v>69651</v>
          </cell>
          <cell r="AZ302">
            <v>6965100.0899999999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2065092</v>
          </cell>
          <cell r="BV302">
            <v>2023791</v>
          </cell>
          <cell r="BW302">
            <v>0</v>
          </cell>
          <cell r="BX302">
            <v>41302</v>
          </cell>
          <cell r="BY302">
            <v>4130185</v>
          </cell>
          <cell r="BZ302">
            <v>2065092</v>
          </cell>
          <cell r="CA302">
            <v>2023791</v>
          </cell>
          <cell r="CB302">
            <v>0</v>
          </cell>
          <cell r="CC302">
            <v>41302</v>
          </cell>
          <cell r="CD302">
            <v>4130185</v>
          </cell>
        </row>
        <row r="303">
          <cell r="A303">
            <v>296</v>
          </cell>
          <cell r="B303" t="str">
            <v>E3735</v>
          </cell>
          <cell r="C303" t="str">
            <v>SD</v>
          </cell>
          <cell r="D303" t="str">
            <v>WM</v>
          </cell>
          <cell r="E303" t="str">
            <v>Warwick</v>
          </cell>
          <cell r="F303">
            <v>30039279</v>
          </cell>
          <cell r="G303">
            <v>24031424</v>
          </cell>
          <cell r="H303">
            <v>6007856</v>
          </cell>
          <cell r="I303">
            <v>0</v>
          </cell>
          <cell r="J303">
            <v>60078559</v>
          </cell>
          <cell r="K303">
            <v>0</v>
          </cell>
          <cell r="L303">
            <v>0</v>
          </cell>
          <cell r="M303">
            <v>30039279</v>
          </cell>
          <cell r="N303">
            <v>60078559</v>
          </cell>
          <cell r="O303">
            <v>212678</v>
          </cell>
          <cell r="P303">
            <v>212678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573617</v>
          </cell>
          <cell r="AC303">
            <v>458894</v>
          </cell>
          <cell r="AD303">
            <v>114724</v>
          </cell>
          <cell r="AE303">
            <v>0</v>
          </cell>
          <cell r="AF303">
            <v>1147235</v>
          </cell>
          <cell r="AG303">
            <v>367627.54</v>
          </cell>
          <cell r="AH303">
            <v>294102</v>
          </cell>
          <cell r="AI303">
            <v>73526</v>
          </cell>
          <cell r="AJ303">
            <v>0</v>
          </cell>
          <cell r="AK303">
            <v>735255.54</v>
          </cell>
          <cell r="AL303">
            <v>375000</v>
          </cell>
          <cell r="AM303">
            <v>300000</v>
          </cell>
          <cell r="AN303">
            <v>75000</v>
          </cell>
          <cell r="AO303">
            <v>0</v>
          </cell>
          <cell r="AP303">
            <v>750000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375000</v>
          </cell>
          <cell r="AW303">
            <v>300000</v>
          </cell>
          <cell r="AX303">
            <v>75000</v>
          </cell>
          <cell r="AY303">
            <v>0</v>
          </cell>
          <cell r="AZ303">
            <v>750000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964437</v>
          </cell>
          <cell r="BG303">
            <v>771549</v>
          </cell>
          <cell r="BH303">
            <v>192887</v>
          </cell>
          <cell r="BI303">
            <v>0</v>
          </cell>
          <cell r="BJ303">
            <v>1928873</v>
          </cell>
          <cell r="BK303">
            <v>964437</v>
          </cell>
          <cell r="BL303">
            <v>771549</v>
          </cell>
          <cell r="BM303">
            <v>192887</v>
          </cell>
          <cell r="BN303">
            <v>0</v>
          </cell>
          <cell r="BO303">
            <v>1928873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2312142</v>
          </cell>
          <cell r="BV303">
            <v>1849713</v>
          </cell>
          <cell r="BW303">
            <v>462428</v>
          </cell>
          <cell r="BX303">
            <v>0</v>
          </cell>
          <cell r="BY303">
            <v>4624283</v>
          </cell>
          <cell r="BZ303">
            <v>2312142</v>
          </cell>
          <cell r="CA303">
            <v>1849713</v>
          </cell>
          <cell r="CB303">
            <v>462428</v>
          </cell>
          <cell r="CC303">
            <v>0</v>
          </cell>
          <cell r="CD303">
            <v>4624283</v>
          </cell>
        </row>
        <row r="304">
          <cell r="A304">
            <v>297</v>
          </cell>
          <cell r="B304" t="str">
            <v>E1939</v>
          </cell>
          <cell r="C304" t="str">
            <v>SD</v>
          </cell>
          <cell r="D304" t="str">
            <v>E</v>
          </cell>
          <cell r="E304" t="str">
            <v>Watford</v>
          </cell>
          <cell r="F304">
            <v>27559994</v>
          </cell>
          <cell r="G304">
            <v>22047995</v>
          </cell>
          <cell r="H304">
            <v>5511999</v>
          </cell>
          <cell r="I304">
            <v>0</v>
          </cell>
          <cell r="J304">
            <v>55119988</v>
          </cell>
          <cell r="K304">
            <v>0</v>
          </cell>
          <cell r="L304">
            <v>0</v>
          </cell>
          <cell r="M304">
            <v>27559994</v>
          </cell>
          <cell r="N304">
            <v>55119988</v>
          </cell>
          <cell r="O304">
            <v>205695</v>
          </cell>
          <cell r="P304">
            <v>205695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2451989</v>
          </cell>
          <cell r="AC304">
            <v>1961591</v>
          </cell>
          <cell r="AD304">
            <v>490398</v>
          </cell>
          <cell r="AE304">
            <v>0</v>
          </cell>
          <cell r="AF304">
            <v>4903978</v>
          </cell>
          <cell r="AG304">
            <v>-1132380</v>
          </cell>
          <cell r="AH304">
            <v>-905904</v>
          </cell>
          <cell r="AI304">
            <v>-226476</v>
          </cell>
          <cell r="AJ304">
            <v>0</v>
          </cell>
          <cell r="AK304">
            <v>-2264760</v>
          </cell>
          <cell r="AL304">
            <v>955000</v>
          </cell>
          <cell r="AM304">
            <v>764000</v>
          </cell>
          <cell r="AN304">
            <v>191000</v>
          </cell>
          <cell r="AO304">
            <v>0</v>
          </cell>
          <cell r="AP304">
            <v>1910000</v>
          </cell>
          <cell r="AQ304">
            <v>67000</v>
          </cell>
          <cell r="AR304">
            <v>53600</v>
          </cell>
          <cell r="AS304">
            <v>13400</v>
          </cell>
          <cell r="AT304">
            <v>0</v>
          </cell>
          <cell r="AU304">
            <v>134000</v>
          </cell>
          <cell r="AV304">
            <v>1022000</v>
          </cell>
          <cell r="AW304">
            <v>817600</v>
          </cell>
          <cell r="AX304">
            <v>204400</v>
          </cell>
          <cell r="AY304">
            <v>0</v>
          </cell>
          <cell r="AZ304">
            <v>2044000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802632</v>
          </cell>
          <cell r="BG304">
            <v>642105</v>
          </cell>
          <cell r="BH304">
            <v>160526</v>
          </cell>
          <cell r="BI304">
            <v>0</v>
          </cell>
          <cell r="BJ304">
            <v>1605263</v>
          </cell>
          <cell r="BK304">
            <v>802632</v>
          </cell>
          <cell r="BL304">
            <v>642105</v>
          </cell>
          <cell r="BM304">
            <v>160526</v>
          </cell>
          <cell r="BN304">
            <v>0</v>
          </cell>
          <cell r="BO304">
            <v>1605263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2216949</v>
          </cell>
          <cell r="BV304">
            <v>1773559</v>
          </cell>
          <cell r="BW304">
            <v>443390</v>
          </cell>
          <cell r="BX304">
            <v>0</v>
          </cell>
          <cell r="BY304">
            <v>4433898</v>
          </cell>
          <cell r="BZ304">
            <v>2216949</v>
          </cell>
          <cell r="CA304">
            <v>1773559</v>
          </cell>
          <cell r="CB304">
            <v>443390</v>
          </cell>
          <cell r="CC304">
            <v>0</v>
          </cell>
          <cell r="CD304">
            <v>4433898</v>
          </cell>
        </row>
        <row r="305">
          <cell r="A305">
            <v>298</v>
          </cell>
          <cell r="B305" t="str">
            <v>E3537</v>
          </cell>
          <cell r="C305" t="str">
            <v>SD</v>
          </cell>
          <cell r="D305" t="str">
            <v>E</v>
          </cell>
          <cell r="E305" t="str">
            <v>Waveney</v>
          </cell>
          <cell r="F305">
            <v>12757902</v>
          </cell>
          <cell r="G305">
            <v>10206322</v>
          </cell>
          <cell r="H305">
            <v>2551580</v>
          </cell>
          <cell r="I305">
            <v>0</v>
          </cell>
          <cell r="J305">
            <v>25515804</v>
          </cell>
          <cell r="K305">
            <v>0</v>
          </cell>
          <cell r="L305">
            <v>0</v>
          </cell>
          <cell r="M305">
            <v>12757902</v>
          </cell>
          <cell r="N305">
            <v>25515804</v>
          </cell>
          <cell r="O305">
            <v>204116</v>
          </cell>
          <cell r="P305">
            <v>204116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591727.66</v>
          </cell>
          <cell r="AC305">
            <v>473382</v>
          </cell>
          <cell r="AD305">
            <v>118345</v>
          </cell>
          <cell r="AE305">
            <v>0</v>
          </cell>
          <cell r="AF305">
            <v>1183454.6599999999</v>
          </cell>
          <cell r="AG305">
            <v>-321452</v>
          </cell>
          <cell r="AH305">
            <v>-257162</v>
          </cell>
          <cell r="AI305">
            <v>-64290</v>
          </cell>
          <cell r="AJ305">
            <v>0</v>
          </cell>
          <cell r="AK305">
            <v>-642904</v>
          </cell>
          <cell r="AL305">
            <v>137000</v>
          </cell>
          <cell r="AM305">
            <v>109600</v>
          </cell>
          <cell r="AN305">
            <v>27400</v>
          </cell>
          <cell r="AO305">
            <v>0</v>
          </cell>
          <cell r="AP305">
            <v>274000</v>
          </cell>
          <cell r="AQ305">
            <v>152500</v>
          </cell>
          <cell r="AR305">
            <v>122000</v>
          </cell>
          <cell r="AS305">
            <v>30500</v>
          </cell>
          <cell r="AT305">
            <v>0</v>
          </cell>
          <cell r="AU305">
            <v>305000</v>
          </cell>
          <cell r="AV305">
            <v>289500</v>
          </cell>
          <cell r="AW305">
            <v>231600</v>
          </cell>
          <cell r="AX305">
            <v>57900</v>
          </cell>
          <cell r="AY305">
            <v>0</v>
          </cell>
          <cell r="AZ305">
            <v>579000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2004</v>
          </cell>
          <cell r="BG305">
            <v>1603</v>
          </cell>
          <cell r="BH305">
            <v>401</v>
          </cell>
          <cell r="BI305">
            <v>0</v>
          </cell>
          <cell r="BJ305">
            <v>4008</v>
          </cell>
          <cell r="BK305">
            <v>2004</v>
          </cell>
          <cell r="BL305">
            <v>1603</v>
          </cell>
          <cell r="BM305">
            <v>401</v>
          </cell>
          <cell r="BN305">
            <v>0</v>
          </cell>
          <cell r="BO305">
            <v>4008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560648</v>
          </cell>
          <cell r="BV305">
            <v>448518</v>
          </cell>
          <cell r="BW305">
            <v>112130</v>
          </cell>
          <cell r="BX305">
            <v>0</v>
          </cell>
          <cell r="BY305">
            <v>1121296</v>
          </cell>
          <cell r="BZ305">
            <v>560648</v>
          </cell>
          <cell r="CA305">
            <v>448518</v>
          </cell>
          <cell r="CB305">
            <v>112130</v>
          </cell>
          <cell r="CC305">
            <v>0</v>
          </cell>
          <cell r="CD305">
            <v>1121296</v>
          </cell>
        </row>
        <row r="306">
          <cell r="A306">
            <v>299</v>
          </cell>
          <cell r="B306" t="str">
            <v>E3640</v>
          </cell>
          <cell r="C306" t="str">
            <v>SD</v>
          </cell>
          <cell r="D306" t="str">
            <v>SE</v>
          </cell>
          <cell r="E306" t="str">
            <v>Waverley</v>
          </cell>
          <cell r="F306">
            <v>17558322</v>
          </cell>
          <cell r="G306">
            <v>14046658</v>
          </cell>
          <cell r="H306">
            <v>3511664</v>
          </cell>
          <cell r="I306">
            <v>0</v>
          </cell>
          <cell r="J306">
            <v>35116644</v>
          </cell>
          <cell r="K306">
            <v>0</v>
          </cell>
          <cell r="L306">
            <v>0</v>
          </cell>
          <cell r="M306">
            <v>17558322</v>
          </cell>
          <cell r="N306">
            <v>35116644</v>
          </cell>
          <cell r="O306">
            <v>181490</v>
          </cell>
          <cell r="P306">
            <v>181490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1101187.8999999999</v>
          </cell>
          <cell r="AC306">
            <v>880950</v>
          </cell>
          <cell r="AD306">
            <v>220237</v>
          </cell>
          <cell r="AE306">
            <v>0</v>
          </cell>
          <cell r="AF306">
            <v>2202374.9</v>
          </cell>
          <cell r="AG306">
            <v>388602.63</v>
          </cell>
          <cell r="AH306">
            <v>310882</v>
          </cell>
          <cell r="AI306">
            <v>77721</v>
          </cell>
          <cell r="AJ306">
            <v>0</v>
          </cell>
          <cell r="AK306">
            <v>777205.63</v>
          </cell>
          <cell r="AL306">
            <v>115000</v>
          </cell>
          <cell r="AM306">
            <v>92000</v>
          </cell>
          <cell r="AN306">
            <v>23000</v>
          </cell>
          <cell r="AO306">
            <v>0</v>
          </cell>
          <cell r="AP306">
            <v>230000</v>
          </cell>
          <cell r="AQ306">
            <v>69687</v>
          </cell>
          <cell r="AR306">
            <v>55749</v>
          </cell>
          <cell r="AS306">
            <v>13937</v>
          </cell>
          <cell r="AT306">
            <v>0</v>
          </cell>
          <cell r="AU306">
            <v>139373</v>
          </cell>
          <cell r="AV306">
            <v>184687</v>
          </cell>
          <cell r="AW306">
            <v>147749</v>
          </cell>
          <cell r="AX306">
            <v>36937</v>
          </cell>
          <cell r="AY306">
            <v>0</v>
          </cell>
          <cell r="AZ306">
            <v>369373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290</v>
          </cell>
          <cell r="BG306">
            <v>232</v>
          </cell>
          <cell r="BH306">
            <v>58</v>
          </cell>
          <cell r="BI306">
            <v>0</v>
          </cell>
          <cell r="BJ306">
            <v>580</v>
          </cell>
          <cell r="BK306">
            <v>290</v>
          </cell>
          <cell r="BL306">
            <v>232</v>
          </cell>
          <cell r="BM306">
            <v>58</v>
          </cell>
          <cell r="BN306">
            <v>0</v>
          </cell>
          <cell r="BO306">
            <v>580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269190</v>
          </cell>
          <cell r="BV306">
            <v>215352</v>
          </cell>
          <cell r="BW306">
            <v>53838</v>
          </cell>
          <cell r="BX306">
            <v>0</v>
          </cell>
          <cell r="BY306">
            <v>538380</v>
          </cell>
          <cell r="BZ306">
            <v>269190</v>
          </cell>
          <cell r="CA306">
            <v>215352</v>
          </cell>
          <cell r="CB306">
            <v>53838</v>
          </cell>
          <cell r="CC306">
            <v>0</v>
          </cell>
          <cell r="CD306">
            <v>538380</v>
          </cell>
        </row>
        <row r="307">
          <cell r="A307">
            <v>300</v>
          </cell>
          <cell r="B307" t="str">
            <v>E1437</v>
          </cell>
          <cell r="C307" t="str">
            <v>SD</v>
          </cell>
          <cell r="D307" t="str">
            <v>SE</v>
          </cell>
          <cell r="E307" t="str">
            <v>Wealden</v>
          </cell>
          <cell r="F307">
            <v>13992298</v>
          </cell>
          <cell r="G307">
            <v>11193838</v>
          </cell>
          <cell r="H307">
            <v>2518614</v>
          </cell>
          <cell r="I307">
            <v>279846</v>
          </cell>
          <cell r="J307">
            <v>27984596</v>
          </cell>
          <cell r="K307">
            <v>0</v>
          </cell>
          <cell r="L307">
            <v>0</v>
          </cell>
          <cell r="M307">
            <v>13992298</v>
          </cell>
          <cell r="N307">
            <v>27984596</v>
          </cell>
          <cell r="O307">
            <v>207210</v>
          </cell>
          <cell r="P307">
            <v>207210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726078</v>
          </cell>
          <cell r="AC307">
            <v>580862</v>
          </cell>
          <cell r="AD307">
            <v>130694</v>
          </cell>
          <cell r="AE307">
            <v>14522</v>
          </cell>
          <cell r="AF307">
            <v>1452156</v>
          </cell>
          <cell r="AG307">
            <v>226880</v>
          </cell>
          <cell r="AH307">
            <v>181505</v>
          </cell>
          <cell r="AI307">
            <v>40839</v>
          </cell>
          <cell r="AJ307">
            <v>4538</v>
          </cell>
          <cell r="AK307">
            <v>453762</v>
          </cell>
          <cell r="AL307">
            <v>433839</v>
          </cell>
          <cell r="AM307">
            <v>347071</v>
          </cell>
          <cell r="AN307">
            <v>78091</v>
          </cell>
          <cell r="AO307">
            <v>8677</v>
          </cell>
          <cell r="AP307">
            <v>867678</v>
          </cell>
          <cell r="AQ307">
            <v>-300469</v>
          </cell>
          <cell r="AR307">
            <v>-240376</v>
          </cell>
          <cell r="AS307">
            <v>-54085</v>
          </cell>
          <cell r="AT307">
            <v>-6009</v>
          </cell>
          <cell r="AU307">
            <v>-600939</v>
          </cell>
          <cell r="AV307">
            <v>133370</v>
          </cell>
          <cell r="AW307">
            <v>106695</v>
          </cell>
          <cell r="AX307">
            <v>24006</v>
          </cell>
          <cell r="AY307">
            <v>2668</v>
          </cell>
          <cell r="AZ307">
            <v>266739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119814</v>
          </cell>
          <cell r="BG307">
            <v>95851</v>
          </cell>
          <cell r="BH307">
            <v>21566</v>
          </cell>
          <cell r="BI307">
            <v>2396</v>
          </cell>
          <cell r="BJ307">
            <v>239627</v>
          </cell>
          <cell r="BK307">
            <v>119814</v>
          </cell>
          <cell r="BL307">
            <v>95851</v>
          </cell>
          <cell r="BM307">
            <v>21566</v>
          </cell>
          <cell r="BN307">
            <v>2396</v>
          </cell>
          <cell r="BO307">
            <v>239627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311464</v>
          </cell>
          <cell r="BV307">
            <v>249171</v>
          </cell>
          <cell r="BW307">
            <v>56064</v>
          </cell>
          <cell r="BX307">
            <v>6229</v>
          </cell>
          <cell r="BY307">
            <v>622928</v>
          </cell>
          <cell r="BZ307">
            <v>311464</v>
          </cell>
          <cell r="CA307">
            <v>249171</v>
          </cell>
          <cell r="CB307">
            <v>56064</v>
          </cell>
          <cell r="CC307">
            <v>6229</v>
          </cell>
          <cell r="CD307">
            <v>622928</v>
          </cell>
        </row>
        <row r="308">
          <cell r="A308">
            <v>301</v>
          </cell>
          <cell r="B308" t="str">
            <v>E2837</v>
          </cell>
          <cell r="C308" t="str">
            <v>SD</v>
          </cell>
          <cell r="D308" t="str">
            <v>EM</v>
          </cell>
          <cell r="E308" t="str">
            <v>Wellingborough</v>
          </cell>
          <cell r="F308">
            <v>13854054</v>
          </cell>
          <cell r="G308">
            <v>11083243</v>
          </cell>
          <cell r="H308">
            <v>2770811</v>
          </cell>
          <cell r="I308">
            <v>0</v>
          </cell>
          <cell r="J308">
            <v>27708108</v>
          </cell>
          <cell r="K308">
            <v>0</v>
          </cell>
          <cell r="L308">
            <v>0</v>
          </cell>
          <cell r="M308">
            <v>13854054</v>
          </cell>
          <cell r="N308">
            <v>27708108</v>
          </cell>
          <cell r="O308">
            <v>113391</v>
          </cell>
          <cell r="P308">
            <v>113391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299847.58</v>
          </cell>
          <cell r="AC308">
            <v>239877</v>
          </cell>
          <cell r="AD308">
            <v>59969</v>
          </cell>
          <cell r="AE308">
            <v>0</v>
          </cell>
          <cell r="AF308">
            <v>599693.57999999996</v>
          </cell>
          <cell r="AG308">
            <v>144642</v>
          </cell>
          <cell r="AH308">
            <v>115714</v>
          </cell>
          <cell r="AI308">
            <v>28928</v>
          </cell>
          <cell r="AJ308">
            <v>0</v>
          </cell>
          <cell r="AK308">
            <v>289284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-6350</v>
          </cell>
          <cell r="AR308">
            <v>-5080</v>
          </cell>
          <cell r="AS308">
            <v>-1270</v>
          </cell>
          <cell r="AT308">
            <v>0</v>
          </cell>
          <cell r="AU308">
            <v>-12700</v>
          </cell>
          <cell r="AV308">
            <v>-6350</v>
          </cell>
          <cell r="AW308">
            <v>-5080</v>
          </cell>
          <cell r="AX308">
            <v>-1270</v>
          </cell>
          <cell r="AY308">
            <v>0</v>
          </cell>
          <cell r="AZ308">
            <v>-12700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2692.62</v>
          </cell>
          <cell r="BG308">
            <v>2155</v>
          </cell>
          <cell r="BH308">
            <v>539</v>
          </cell>
          <cell r="BI308">
            <v>0</v>
          </cell>
          <cell r="BJ308">
            <v>5386.62</v>
          </cell>
          <cell r="BK308">
            <v>2692.62</v>
          </cell>
          <cell r="BL308">
            <v>2155</v>
          </cell>
          <cell r="BM308">
            <v>539</v>
          </cell>
          <cell r="BN308">
            <v>0</v>
          </cell>
          <cell r="BO308">
            <v>5386.62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99629.18</v>
          </cell>
          <cell r="BV308">
            <v>79703</v>
          </cell>
          <cell r="BW308">
            <v>19926</v>
          </cell>
          <cell r="BX308">
            <v>0</v>
          </cell>
          <cell r="BY308">
            <v>199258.18</v>
          </cell>
          <cell r="BZ308">
            <v>99629.18</v>
          </cell>
          <cell r="CA308">
            <v>79703</v>
          </cell>
          <cell r="CB308">
            <v>19926</v>
          </cell>
          <cell r="CC308">
            <v>0</v>
          </cell>
          <cell r="CD308">
            <v>199258.18</v>
          </cell>
        </row>
        <row r="309">
          <cell r="A309">
            <v>302</v>
          </cell>
          <cell r="B309" t="str">
            <v>E1940</v>
          </cell>
          <cell r="C309" t="str">
            <v>SD</v>
          </cell>
          <cell r="D309" t="str">
            <v>E</v>
          </cell>
          <cell r="E309" t="str">
            <v>Welwyn Hatfield</v>
          </cell>
          <cell r="F309">
            <v>27528886</v>
          </cell>
          <cell r="G309">
            <v>22023109</v>
          </cell>
          <cell r="H309">
            <v>5505777</v>
          </cell>
          <cell r="I309">
            <v>0</v>
          </cell>
          <cell r="J309">
            <v>55057772</v>
          </cell>
          <cell r="K309">
            <v>0</v>
          </cell>
          <cell r="L309">
            <v>0</v>
          </cell>
          <cell r="M309">
            <v>27528886</v>
          </cell>
          <cell r="N309">
            <v>55057772</v>
          </cell>
          <cell r="O309">
            <v>151424</v>
          </cell>
          <cell r="P309">
            <v>151424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449275.61</v>
          </cell>
          <cell r="AC309">
            <v>359421</v>
          </cell>
          <cell r="AD309">
            <v>89855</v>
          </cell>
          <cell r="AE309">
            <v>0</v>
          </cell>
          <cell r="AF309">
            <v>898551.61</v>
          </cell>
          <cell r="AG309">
            <v>5876.33</v>
          </cell>
          <cell r="AH309">
            <v>4701</v>
          </cell>
          <cell r="AI309">
            <v>1175</v>
          </cell>
          <cell r="AJ309">
            <v>0</v>
          </cell>
          <cell r="AK309">
            <v>11752.33</v>
          </cell>
          <cell r="AL309">
            <v>110309.71</v>
          </cell>
          <cell r="AM309">
            <v>88248</v>
          </cell>
          <cell r="AN309">
            <v>22062</v>
          </cell>
          <cell r="AO309">
            <v>0</v>
          </cell>
          <cell r="AP309">
            <v>220619.71</v>
          </cell>
          <cell r="AQ309">
            <v>-20262.64</v>
          </cell>
          <cell r="AR309">
            <v>-16210</v>
          </cell>
          <cell r="AS309">
            <v>-4052</v>
          </cell>
          <cell r="AT309">
            <v>0</v>
          </cell>
          <cell r="AU309">
            <v>-40524.639999999999</v>
          </cell>
          <cell r="AV309">
            <v>90047.07</v>
          </cell>
          <cell r="AW309">
            <v>72038</v>
          </cell>
          <cell r="AX309">
            <v>18010</v>
          </cell>
          <cell r="AY309">
            <v>0</v>
          </cell>
          <cell r="AZ309">
            <v>180095.07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176997.52</v>
          </cell>
          <cell r="BG309">
            <v>141597</v>
          </cell>
          <cell r="BH309">
            <v>35399</v>
          </cell>
          <cell r="BI309">
            <v>0</v>
          </cell>
          <cell r="BJ309">
            <v>353993.52</v>
          </cell>
          <cell r="BK309">
            <v>176997.52</v>
          </cell>
          <cell r="BL309">
            <v>141597</v>
          </cell>
          <cell r="BM309">
            <v>35399</v>
          </cell>
          <cell r="BN309">
            <v>0</v>
          </cell>
          <cell r="BO309">
            <v>353993.52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519629.2</v>
          </cell>
          <cell r="BV309">
            <v>415704</v>
          </cell>
          <cell r="BW309">
            <v>103926</v>
          </cell>
          <cell r="BX309">
            <v>0</v>
          </cell>
          <cell r="BY309">
            <v>1039259.2</v>
          </cell>
          <cell r="BZ309">
            <v>519629.2</v>
          </cell>
          <cell r="CA309">
            <v>415704</v>
          </cell>
          <cell r="CB309">
            <v>103926</v>
          </cell>
          <cell r="CC309">
            <v>0</v>
          </cell>
          <cell r="CD309">
            <v>1039259.2</v>
          </cell>
        </row>
        <row r="310">
          <cell r="A310">
            <v>303</v>
          </cell>
          <cell r="B310" t="str">
            <v>E0302</v>
          </cell>
          <cell r="C310" t="str">
            <v>UA</v>
          </cell>
          <cell r="D310" t="str">
            <v>SE</v>
          </cell>
          <cell r="E310" t="str">
            <v>West Berkshire UA</v>
          </cell>
          <cell r="F310">
            <v>39387015</v>
          </cell>
          <cell r="G310">
            <v>38599274</v>
          </cell>
          <cell r="H310">
            <v>0</v>
          </cell>
          <cell r="I310">
            <v>787740</v>
          </cell>
          <cell r="J310">
            <v>78774029</v>
          </cell>
          <cell r="K310">
            <v>0</v>
          </cell>
          <cell r="L310">
            <v>0</v>
          </cell>
          <cell r="M310">
            <v>39387015</v>
          </cell>
          <cell r="N310">
            <v>78774029</v>
          </cell>
          <cell r="O310">
            <v>257520</v>
          </cell>
          <cell r="P310">
            <v>257520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986306</v>
          </cell>
          <cell r="AC310">
            <v>966579</v>
          </cell>
          <cell r="AD310">
            <v>0</v>
          </cell>
          <cell r="AE310">
            <v>19726</v>
          </cell>
          <cell r="AF310">
            <v>1972611</v>
          </cell>
          <cell r="AG310">
            <v>924758</v>
          </cell>
          <cell r="AH310">
            <v>906263</v>
          </cell>
          <cell r="AI310">
            <v>0</v>
          </cell>
          <cell r="AJ310">
            <v>18495</v>
          </cell>
          <cell r="AK310">
            <v>1849516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-250000</v>
          </cell>
          <cell r="AR310">
            <v>-245000</v>
          </cell>
          <cell r="AS310">
            <v>0</v>
          </cell>
          <cell r="AT310">
            <v>-5000</v>
          </cell>
          <cell r="AU310">
            <v>-500000</v>
          </cell>
          <cell r="AV310">
            <v>-250000</v>
          </cell>
          <cell r="AW310">
            <v>-245000</v>
          </cell>
          <cell r="AX310">
            <v>0</v>
          </cell>
          <cell r="AY310">
            <v>-5000</v>
          </cell>
          <cell r="AZ310">
            <v>-500000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150000</v>
          </cell>
          <cell r="BG310">
            <v>147000</v>
          </cell>
          <cell r="BH310">
            <v>0</v>
          </cell>
          <cell r="BI310">
            <v>3000</v>
          </cell>
          <cell r="BJ310">
            <v>300000</v>
          </cell>
          <cell r="BK310">
            <v>150000</v>
          </cell>
          <cell r="BL310">
            <v>147000</v>
          </cell>
          <cell r="BM310">
            <v>0</v>
          </cell>
          <cell r="BN310">
            <v>3000</v>
          </cell>
          <cell r="BO310">
            <v>300000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195000</v>
          </cell>
          <cell r="BV310">
            <v>191100</v>
          </cell>
          <cell r="BW310">
            <v>0</v>
          </cell>
          <cell r="BX310">
            <v>3900</v>
          </cell>
          <cell r="BY310">
            <v>390000</v>
          </cell>
          <cell r="BZ310">
            <v>195000</v>
          </cell>
          <cell r="CA310">
            <v>191100</v>
          </cell>
          <cell r="CB310">
            <v>0</v>
          </cell>
          <cell r="CC310">
            <v>3900</v>
          </cell>
          <cell r="CD310">
            <v>390000</v>
          </cell>
        </row>
        <row r="311">
          <cell r="A311">
            <v>304</v>
          </cell>
          <cell r="B311" t="str">
            <v>E1140</v>
          </cell>
          <cell r="C311" t="str">
            <v>SD</v>
          </cell>
          <cell r="D311" t="str">
            <v>SW</v>
          </cell>
          <cell r="E311" t="str">
            <v>West Devon</v>
          </cell>
          <cell r="F311">
            <v>5015583</v>
          </cell>
          <cell r="G311">
            <v>4012466</v>
          </cell>
          <cell r="H311">
            <v>902805</v>
          </cell>
          <cell r="I311">
            <v>100312</v>
          </cell>
          <cell r="J311">
            <v>10031166</v>
          </cell>
          <cell r="K311">
            <v>0</v>
          </cell>
          <cell r="L311">
            <v>0</v>
          </cell>
          <cell r="M311">
            <v>5015583</v>
          </cell>
          <cell r="N311">
            <v>10031166</v>
          </cell>
          <cell r="O311">
            <v>84591</v>
          </cell>
          <cell r="P311">
            <v>84591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270333</v>
          </cell>
          <cell r="AC311">
            <v>216267</v>
          </cell>
          <cell r="AD311">
            <v>48660</v>
          </cell>
          <cell r="AE311">
            <v>5407</v>
          </cell>
          <cell r="AF311">
            <v>540667</v>
          </cell>
          <cell r="AG311">
            <v>11462</v>
          </cell>
          <cell r="AH311">
            <v>9169</v>
          </cell>
          <cell r="AI311">
            <v>2063</v>
          </cell>
          <cell r="AJ311">
            <v>229</v>
          </cell>
          <cell r="AK311">
            <v>22923</v>
          </cell>
          <cell r="AL311">
            <v>130345</v>
          </cell>
          <cell r="AM311">
            <v>104276</v>
          </cell>
          <cell r="AN311">
            <v>23462</v>
          </cell>
          <cell r="AO311">
            <v>2607</v>
          </cell>
          <cell r="AP311">
            <v>260690</v>
          </cell>
          <cell r="AQ311">
            <v>-89212</v>
          </cell>
          <cell r="AR311">
            <v>-71370</v>
          </cell>
          <cell r="AS311">
            <v>-16058</v>
          </cell>
          <cell r="AT311">
            <v>-1784</v>
          </cell>
          <cell r="AU311">
            <v>-178424</v>
          </cell>
          <cell r="AV311">
            <v>41133</v>
          </cell>
          <cell r="AW311">
            <v>32906</v>
          </cell>
          <cell r="AX311">
            <v>7404</v>
          </cell>
          <cell r="AY311">
            <v>823</v>
          </cell>
          <cell r="AZ311">
            <v>82266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44419</v>
          </cell>
          <cell r="BG311">
            <v>35535</v>
          </cell>
          <cell r="BH311">
            <v>7995</v>
          </cell>
          <cell r="BI311">
            <v>888</v>
          </cell>
          <cell r="BJ311">
            <v>88837</v>
          </cell>
          <cell r="BK311">
            <v>44419</v>
          </cell>
          <cell r="BL311">
            <v>35535</v>
          </cell>
          <cell r="BM311">
            <v>7995</v>
          </cell>
          <cell r="BN311">
            <v>888</v>
          </cell>
          <cell r="BO311">
            <v>88837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139453</v>
          </cell>
          <cell r="BV311">
            <v>111562</v>
          </cell>
          <cell r="BW311">
            <v>25101</v>
          </cell>
          <cell r="BX311">
            <v>2789</v>
          </cell>
          <cell r="BY311">
            <v>278905</v>
          </cell>
          <cell r="BZ311">
            <v>139453</v>
          </cell>
          <cell r="CA311">
            <v>111562</v>
          </cell>
          <cell r="CB311">
            <v>25101</v>
          </cell>
          <cell r="CC311">
            <v>2789</v>
          </cell>
          <cell r="CD311">
            <v>278905</v>
          </cell>
        </row>
        <row r="312">
          <cell r="A312">
            <v>305</v>
          </cell>
          <cell r="B312" t="str">
            <v>E1237</v>
          </cell>
          <cell r="C312" t="str">
            <v>SD</v>
          </cell>
          <cell r="D312" t="str">
            <v>SW</v>
          </cell>
          <cell r="E312" t="str">
            <v>West Dorset</v>
          </cell>
          <cell r="F312">
            <v>13842419</v>
          </cell>
          <cell r="G312">
            <v>11073935</v>
          </cell>
          <cell r="H312">
            <v>2491635</v>
          </cell>
          <cell r="I312">
            <v>276848</v>
          </cell>
          <cell r="J312">
            <v>27684837</v>
          </cell>
          <cell r="K312">
            <v>0</v>
          </cell>
          <cell r="L312">
            <v>0</v>
          </cell>
          <cell r="M312">
            <v>13842419</v>
          </cell>
          <cell r="N312">
            <v>27684837</v>
          </cell>
          <cell r="O312">
            <v>204819</v>
          </cell>
          <cell r="P312">
            <v>204819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892708.27</v>
          </cell>
          <cell r="AC312">
            <v>714167</v>
          </cell>
          <cell r="AD312">
            <v>160688</v>
          </cell>
          <cell r="AE312">
            <v>17854</v>
          </cell>
          <cell r="AF312">
            <v>1785417.27</v>
          </cell>
          <cell r="AG312">
            <v>157975.93</v>
          </cell>
          <cell r="AH312">
            <v>126381</v>
          </cell>
          <cell r="AI312">
            <v>28436</v>
          </cell>
          <cell r="AJ312">
            <v>3160</v>
          </cell>
          <cell r="AK312">
            <v>315952.93</v>
          </cell>
          <cell r="AL312">
            <v>769000</v>
          </cell>
          <cell r="AM312">
            <v>615200</v>
          </cell>
          <cell r="AN312">
            <v>138420</v>
          </cell>
          <cell r="AO312">
            <v>15380</v>
          </cell>
          <cell r="AP312">
            <v>1538000</v>
          </cell>
          <cell r="AQ312">
            <v>-38000</v>
          </cell>
          <cell r="AR312">
            <v>-30400</v>
          </cell>
          <cell r="AS312">
            <v>-6840</v>
          </cell>
          <cell r="AT312">
            <v>-760</v>
          </cell>
          <cell r="AU312">
            <v>-76000</v>
          </cell>
          <cell r="AV312">
            <v>731000</v>
          </cell>
          <cell r="AW312">
            <v>584800</v>
          </cell>
          <cell r="AX312">
            <v>131580</v>
          </cell>
          <cell r="AY312">
            <v>14620</v>
          </cell>
          <cell r="AZ312">
            <v>1462000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203158</v>
          </cell>
          <cell r="BG312">
            <v>162527</v>
          </cell>
          <cell r="BH312">
            <v>36569</v>
          </cell>
          <cell r="BI312">
            <v>4063</v>
          </cell>
          <cell r="BJ312">
            <v>406317</v>
          </cell>
          <cell r="BK312">
            <v>203158</v>
          </cell>
          <cell r="BL312">
            <v>162527</v>
          </cell>
          <cell r="BM312">
            <v>36569</v>
          </cell>
          <cell r="BN312">
            <v>4063</v>
          </cell>
          <cell r="BO312">
            <v>406317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578220</v>
          </cell>
          <cell r="BV312">
            <v>462576</v>
          </cell>
          <cell r="BW312">
            <v>104080</v>
          </cell>
          <cell r="BX312">
            <v>11564</v>
          </cell>
          <cell r="BY312">
            <v>1156440</v>
          </cell>
          <cell r="BZ312">
            <v>578220</v>
          </cell>
          <cell r="CA312">
            <v>462576</v>
          </cell>
          <cell r="CB312">
            <v>104080</v>
          </cell>
          <cell r="CC312">
            <v>11564</v>
          </cell>
          <cell r="CD312">
            <v>1156440</v>
          </cell>
        </row>
        <row r="313">
          <cell r="A313">
            <v>306</v>
          </cell>
          <cell r="B313" t="str">
            <v>E2343</v>
          </cell>
          <cell r="C313" t="str">
            <v>SD</v>
          </cell>
          <cell r="D313" t="str">
            <v>NW</v>
          </cell>
          <cell r="E313" t="str">
            <v>West Lancashire</v>
          </cell>
          <cell r="F313">
            <v>13703425</v>
          </cell>
          <cell r="G313">
            <v>10962740</v>
          </cell>
          <cell r="H313">
            <v>2466616</v>
          </cell>
          <cell r="I313">
            <v>274068</v>
          </cell>
          <cell r="J313">
            <v>27406849</v>
          </cell>
          <cell r="K313">
            <v>0</v>
          </cell>
          <cell r="L313">
            <v>0</v>
          </cell>
          <cell r="M313">
            <v>13703425</v>
          </cell>
          <cell r="N313">
            <v>27406849</v>
          </cell>
          <cell r="O313">
            <v>134046</v>
          </cell>
          <cell r="P313">
            <v>134046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2416708</v>
          </cell>
          <cell r="AC313">
            <v>1933367</v>
          </cell>
          <cell r="AD313">
            <v>435008</v>
          </cell>
          <cell r="AE313">
            <v>48334</v>
          </cell>
          <cell r="AF313">
            <v>4833417</v>
          </cell>
          <cell r="AG313">
            <v>454370</v>
          </cell>
          <cell r="AH313">
            <v>363495</v>
          </cell>
          <cell r="AI313">
            <v>81786</v>
          </cell>
          <cell r="AJ313">
            <v>9087</v>
          </cell>
          <cell r="AK313">
            <v>908738</v>
          </cell>
          <cell r="AL313">
            <v>500723</v>
          </cell>
          <cell r="AM313">
            <v>400578</v>
          </cell>
          <cell r="AN313">
            <v>90130</v>
          </cell>
          <cell r="AO313">
            <v>10014</v>
          </cell>
          <cell r="AP313">
            <v>1001445</v>
          </cell>
          <cell r="AQ313">
            <v>207297</v>
          </cell>
          <cell r="AR313">
            <v>165838</v>
          </cell>
          <cell r="AS313">
            <v>37314</v>
          </cell>
          <cell r="AT313">
            <v>4146</v>
          </cell>
          <cell r="AU313">
            <v>414595</v>
          </cell>
          <cell r="AV313">
            <v>708020</v>
          </cell>
          <cell r="AW313">
            <v>566416</v>
          </cell>
          <cell r="AX313">
            <v>127444</v>
          </cell>
          <cell r="AY313">
            <v>14160</v>
          </cell>
          <cell r="AZ313">
            <v>1416040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278017</v>
          </cell>
          <cell r="BG313">
            <v>222414</v>
          </cell>
          <cell r="BH313">
            <v>50043</v>
          </cell>
          <cell r="BI313">
            <v>5560</v>
          </cell>
          <cell r="BJ313">
            <v>556034</v>
          </cell>
          <cell r="BK313">
            <v>278017</v>
          </cell>
          <cell r="BL313">
            <v>222414</v>
          </cell>
          <cell r="BM313">
            <v>50043</v>
          </cell>
          <cell r="BN313">
            <v>5560</v>
          </cell>
          <cell r="BO313">
            <v>556034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794919</v>
          </cell>
          <cell r="BV313">
            <v>635936</v>
          </cell>
          <cell r="BW313">
            <v>143086</v>
          </cell>
          <cell r="BX313">
            <v>15898</v>
          </cell>
          <cell r="BY313">
            <v>1589839</v>
          </cell>
          <cell r="BZ313">
            <v>794919</v>
          </cell>
          <cell r="CA313">
            <v>635936</v>
          </cell>
          <cell r="CB313">
            <v>143086</v>
          </cell>
          <cell r="CC313">
            <v>15898</v>
          </cell>
          <cell r="CD313">
            <v>1589839</v>
          </cell>
        </row>
        <row r="314">
          <cell r="A314">
            <v>307</v>
          </cell>
          <cell r="B314" t="str">
            <v>E2537</v>
          </cell>
          <cell r="C314" t="str">
            <v>SD</v>
          </cell>
          <cell r="D314" t="str">
            <v>EM</v>
          </cell>
          <cell r="E314" t="str">
            <v>West Lindsey</v>
          </cell>
          <cell r="F314">
            <v>6956187</v>
          </cell>
          <cell r="G314">
            <v>5564950</v>
          </cell>
          <cell r="H314">
            <v>1391237</v>
          </cell>
          <cell r="I314">
            <v>0</v>
          </cell>
          <cell r="J314">
            <v>13912374</v>
          </cell>
          <cell r="K314">
            <v>0</v>
          </cell>
          <cell r="L314">
            <v>0</v>
          </cell>
          <cell r="M314">
            <v>6956187</v>
          </cell>
          <cell r="N314">
            <v>13912374</v>
          </cell>
          <cell r="O314">
            <v>105838</v>
          </cell>
          <cell r="P314">
            <v>105838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264952.96999999997</v>
          </cell>
          <cell r="AC314">
            <v>211963</v>
          </cell>
          <cell r="AD314">
            <v>52991</v>
          </cell>
          <cell r="AE314">
            <v>0</v>
          </cell>
          <cell r="AF314">
            <v>529906.97</v>
          </cell>
          <cell r="AG314">
            <v>228973.63</v>
          </cell>
          <cell r="AH314">
            <v>183179</v>
          </cell>
          <cell r="AI314">
            <v>45795</v>
          </cell>
          <cell r="AJ314">
            <v>0</v>
          </cell>
          <cell r="AK314">
            <v>457947.63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-4894</v>
          </cell>
          <cell r="AR314">
            <v>-3915</v>
          </cell>
          <cell r="AS314">
            <v>-979</v>
          </cell>
          <cell r="AT314">
            <v>0</v>
          </cell>
          <cell r="AU314">
            <v>-9788</v>
          </cell>
          <cell r="AV314">
            <v>-4894</v>
          </cell>
          <cell r="AW314">
            <v>-3915</v>
          </cell>
          <cell r="AX314">
            <v>-979</v>
          </cell>
          <cell r="AY314">
            <v>0</v>
          </cell>
          <cell r="AZ314">
            <v>-9788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60218</v>
          </cell>
          <cell r="BG314">
            <v>48174</v>
          </cell>
          <cell r="BH314">
            <v>12044</v>
          </cell>
          <cell r="BI314">
            <v>0</v>
          </cell>
          <cell r="BJ314">
            <v>120436</v>
          </cell>
          <cell r="BK314">
            <v>60218</v>
          </cell>
          <cell r="BL314">
            <v>48174</v>
          </cell>
          <cell r="BM314">
            <v>12044</v>
          </cell>
          <cell r="BN314">
            <v>0</v>
          </cell>
          <cell r="BO314">
            <v>120436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186922</v>
          </cell>
          <cell r="BV314">
            <v>149537</v>
          </cell>
          <cell r="BW314">
            <v>37384</v>
          </cell>
          <cell r="BX314">
            <v>0</v>
          </cell>
          <cell r="BY314">
            <v>373843</v>
          </cell>
          <cell r="BZ314">
            <v>186922</v>
          </cell>
          <cell r="CA314">
            <v>149537</v>
          </cell>
          <cell r="CB314">
            <v>37384</v>
          </cell>
          <cell r="CC314">
            <v>0</v>
          </cell>
          <cell r="CD314">
            <v>373843</v>
          </cell>
        </row>
        <row r="315">
          <cell r="A315">
            <v>308</v>
          </cell>
          <cell r="B315" t="str">
            <v>E3135</v>
          </cell>
          <cell r="C315" t="str">
            <v>SD</v>
          </cell>
          <cell r="D315" t="str">
            <v>SE</v>
          </cell>
          <cell r="E315" t="str">
            <v>West Oxfordshire</v>
          </cell>
          <cell r="F315">
            <v>15227853</v>
          </cell>
          <cell r="G315">
            <v>12182282</v>
          </cell>
          <cell r="H315">
            <v>3045571</v>
          </cell>
          <cell r="I315">
            <v>0</v>
          </cell>
          <cell r="J315">
            <v>30455706</v>
          </cell>
          <cell r="K315">
            <v>0</v>
          </cell>
          <cell r="L315">
            <v>0</v>
          </cell>
          <cell r="M315">
            <v>15227853</v>
          </cell>
          <cell r="N315">
            <v>30455706</v>
          </cell>
          <cell r="O315">
            <v>163678</v>
          </cell>
          <cell r="P315">
            <v>163678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448471.97</v>
          </cell>
          <cell r="AC315">
            <v>358777</v>
          </cell>
          <cell r="AD315">
            <v>89694</v>
          </cell>
          <cell r="AE315">
            <v>0</v>
          </cell>
          <cell r="AF315">
            <v>896942.97</v>
          </cell>
          <cell r="AG315">
            <v>219883</v>
          </cell>
          <cell r="AH315">
            <v>175906</v>
          </cell>
          <cell r="AI315">
            <v>43977</v>
          </cell>
          <cell r="AJ315">
            <v>0</v>
          </cell>
          <cell r="AK315">
            <v>439766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49917</v>
          </cell>
          <cell r="AR315">
            <v>39934</v>
          </cell>
          <cell r="AS315">
            <v>9983</v>
          </cell>
          <cell r="AT315">
            <v>0</v>
          </cell>
          <cell r="AU315">
            <v>99834</v>
          </cell>
          <cell r="AV315">
            <v>49917</v>
          </cell>
          <cell r="AW315">
            <v>39934</v>
          </cell>
          <cell r="AX315">
            <v>9983</v>
          </cell>
          <cell r="AY315">
            <v>0</v>
          </cell>
          <cell r="AZ315">
            <v>99834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154657</v>
          </cell>
          <cell r="BG315">
            <v>123725</v>
          </cell>
          <cell r="BH315">
            <v>30931</v>
          </cell>
          <cell r="BI315">
            <v>0</v>
          </cell>
          <cell r="BJ315">
            <v>309313</v>
          </cell>
          <cell r="BK315">
            <v>154657</v>
          </cell>
          <cell r="BL315">
            <v>123725</v>
          </cell>
          <cell r="BM315">
            <v>30931</v>
          </cell>
          <cell r="BN315">
            <v>0</v>
          </cell>
          <cell r="BO315">
            <v>309313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934969</v>
          </cell>
          <cell r="BV315">
            <v>747976</v>
          </cell>
          <cell r="BW315">
            <v>186994</v>
          </cell>
          <cell r="BX315">
            <v>0</v>
          </cell>
          <cell r="BY315">
            <v>1869939</v>
          </cell>
          <cell r="BZ315">
            <v>934969</v>
          </cell>
          <cell r="CA315">
            <v>747976</v>
          </cell>
          <cell r="CB315">
            <v>186994</v>
          </cell>
          <cell r="CC315">
            <v>0</v>
          </cell>
          <cell r="CD315">
            <v>1869939</v>
          </cell>
        </row>
        <row r="316">
          <cell r="A316">
            <v>309</v>
          </cell>
          <cell r="B316" t="str">
            <v>E3335</v>
          </cell>
          <cell r="C316" t="str">
            <v>SD</v>
          </cell>
          <cell r="D316" t="str">
            <v>SW</v>
          </cell>
          <cell r="E316" t="str">
            <v>West Somerset</v>
          </cell>
          <cell r="F316">
            <v>5235339</v>
          </cell>
          <cell r="G316">
            <v>4188271</v>
          </cell>
          <cell r="H316">
            <v>942361</v>
          </cell>
          <cell r="I316">
            <v>104707</v>
          </cell>
          <cell r="J316">
            <v>10470678</v>
          </cell>
          <cell r="K316">
            <v>0</v>
          </cell>
          <cell r="L316">
            <v>0</v>
          </cell>
          <cell r="M316">
            <v>5235339</v>
          </cell>
          <cell r="N316">
            <v>10470678</v>
          </cell>
          <cell r="O316">
            <v>74427</v>
          </cell>
          <cell r="P316">
            <v>74427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209452</v>
          </cell>
          <cell r="AC316">
            <v>167562</v>
          </cell>
          <cell r="AD316">
            <v>37701</v>
          </cell>
          <cell r="AE316">
            <v>4189</v>
          </cell>
          <cell r="AF316">
            <v>418904</v>
          </cell>
          <cell r="AG316">
            <v>68336</v>
          </cell>
          <cell r="AH316">
            <v>54668</v>
          </cell>
          <cell r="AI316">
            <v>12300</v>
          </cell>
          <cell r="AJ316">
            <v>1367</v>
          </cell>
          <cell r="AK316">
            <v>136671</v>
          </cell>
          <cell r="AL316">
            <v>37500</v>
          </cell>
          <cell r="AM316">
            <v>30000</v>
          </cell>
          <cell r="AN316">
            <v>6750</v>
          </cell>
          <cell r="AO316">
            <v>750</v>
          </cell>
          <cell r="AP316">
            <v>75000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37500</v>
          </cell>
          <cell r="AW316">
            <v>30000</v>
          </cell>
          <cell r="AX316">
            <v>6750</v>
          </cell>
          <cell r="AY316">
            <v>750</v>
          </cell>
          <cell r="AZ316">
            <v>75000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232050</v>
          </cell>
          <cell r="BG316">
            <v>185640</v>
          </cell>
          <cell r="BH316">
            <v>41769</v>
          </cell>
          <cell r="BI316">
            <v>4641</v>
          </cell>
          <cell r="BJ316">
            <v>464100</v>
          </cell>
          <cell r="BK316">
            <v>232050</v>
          </cell>
          <cell r="BL316">
            <v>185640</v>
          </cell>
          <cell r="BM316">
            <v>41769</v>
          </cell>
          <cell r="BN316">
            <v>4641</v>
          </cell>
          <cell r="BO316">
            <v>464100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692700</v>
          </cell>
          <cell r="BV316">
            <v>554160</v>
          </cell>
          <cell r="BW316">
            <v>124686</v>
          </cell>
          <cell r="BX316">
            <v>13854</v>
          </cell>
          <cell r="BY316">
            <v>1385400</v>
          </cell>
          <cell r="BZ316">
            <v>692700</v>
          </cell>
          <cell r="CA316">
            <v>554160</v>
          </cell>
          <cell r="CB316">
            <v>124686</v>
          </cell>
          <cell r="CC316">
            <v>13854</v>
          </cell>
          <cell r="CD316">
            <v>1385400</v>
          </cell>
        </row>
        <row r="317">
          <cell r="A317">
            <v>310</v>
          </cell>
          <cell r="B317" t="str">
            <v>E5022</v>
          </cell>
          <cell r="C317" t="str">
            <v>ILB</v>
          </cell>
          <cell r="D317" t="str">
            <v>L</v>
          </cell>
          <cell r="E317" t="str">
            <v>Westminster</v>
          </cell>
          <cell r="F317">
            <v>766742787</v>
          </cell>
          <cell r="G317">
            <v>460045672</v>
          </cell>
          <cell r="H317">
            <v>306697115</v>
          </cell>
          <cell r="I317">
            <v>0</v>
          </cell>
          <cell r="J317">
            <v>1533485574</v>
          </cell>
          <cell r="K317">
            <v>0</v>
          </cell>
          <cell r="L317">
            <v>0</v>
          </cell>
          <cell r="M317">
            <v>766742787</v>
          </cell>
          <cell r="N317">
            <v>1533485574</v>
          </cell>
          <cell r="O317">
            <v>3180114</v>
          </cell>
          <cell r="P317">
            <v>3180114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25593196</v>
          </cell>
          <cell r="AC317">
            <v>15355917</v>
          </cell>
          <cell r="AD317">
            <v>10237278</v>
          </cell>
          <cell r="AE317">
            <v>0</v>
          </cell>
          <cell r="AF317">
            <v>51186391</v>
          </cell>
          <cell r="AG317">
            <v>25429312</v>
          </cell>
          <cell r="AH317">
            <v>15257588</v>
          </cell>
          <cell r="AI317">
            <v>10171725</v>
          </cell>
          <cell r="AJ317">
            <v>0</v>
          </cell>
          <cell r="AK317">
            <v>50858625</v>
          </cell>
          <cell r="AL317">
            <v>15359822</v>
          </cell>
          <cell r="AM317">
            <v>9215894</v>
          </cell>
          <cell r="AN317">
            <v>6143929</v>
          </cell>
          <cell r="AO317">
            <v>0</v>
          </cell>
          <cell r="AP317">
            <v>30719645</v>
          </cell>
          <cell r="AQ317">
            <v>710000</v>
          </cell>
          <cell r="AR317">
            <v>426000</v>
          </cell>
          <cell r="AS317">
            <v>284000</v>
          </cell>
          <cell r="AT317">
            <v>0</v>
          </cell>
          <cell r="AU317">
            <v>1420000</v>
          </cell>
          <cell r="AV317">
            <v>16069822</v>
          </cell>
          <cell r="AW317">
            <v>9641894</v>
          </cell>
          <cell r="AX317">
            <v>6427929</v>
          </cell>
          <cell r="AY317">
            <v>0</v>
          </cell>
          <cell r="AZ317">
            <v>32139645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19147594</v>
          </cell>
          <cell r="BG317">
            <v>11488557</v>
          </cell>
          <cell r="BH317">
            <v>7659038</v>
          </cell>
          <cell r="BI317">
            <v>0</v>
          </cell>
          <cell r="BJ317">
            <v>38295189</v>
          </cell>
          <cell r="BK317">
            <v>19147594</v>
          </cell>
          <cell r="BL317">
            <v>11488557</v>
          </cell>
          <cell r="BM317">
            <v>7659038</v>
          </cell>
          <cell r="BN317">
            <v>0</v>
          </cell>
          <cell r="BO317">
            <v>38295189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62444749</v>
          </cell>
          <cell r="BV317">
            <v>37466849</v>
          </cell>
          <cell r="BW317">
            <v>24977899</v>
          </cell>
          <cell r="BX317">
            <v>0</v>
          </cell>
          <cell r="BY317">
            <v>124889497</v>
          </cell>
          <cell r="BZ317">
            <v>62444749</v>
          </cell>
          <cell r="CA317">
            <v>37466849</v>
          </cell>
          <cell r="CB317">
            <v>24977899</v>
          </cell>
          <cell r="CC317">
            <v>0</v>
          </cell>
          <cell r="CD317">
            <v>124889497</v>
          </cell>
        </row>
        <row r="318">
          <cell r="A318">
            <v>311</v>
          </cell>
          <cell r="B318" t="str">
            <v>E1238</v>
          </cell>
          <cell r="C318" t="str">
            <v>SD</v>
          </cell>
          <cell r="D318" t="str">
            <v>SW</v>
          </cell>
          <cell r="E318" t="str">
            <v>Weymouth &amp; Portland</v>
          </cell>
          <cell r="F318">
            <v>6963139</v>
          </cell>
          <cell r="G318">
            <v>5570511</v>
          </cell>
          <cell r="H318">
            <v>1253365</v>
          </cell>
          <cell r="I318">
            <v>139263</v>
          </cell>
          <cell r="J318">
            <v>13926278</v>
          </cell>
          <cell r="K318">
            <v>0</v>
          </cell>
          <cell r="L318">
            <v>0</v>
          </cell>
          <cell r="M318">
            <v>6963139</v>
          </cell>
          <cell r="N318">
            <v>13926278</v>
          </cell>
          <cell r="O318">
            <v>107439</v>
          </cell>
          <cell r="P318">
            <v>107439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922382.75</v>
          </cell>
          <cell r="AC318">
            <v>737907</v>
          </cell>
          <cell r="AD318">
            <v>166029</v>
          </cell>
          <cell r="AE318">
            <v>18448</v>
          </cell>
          <cell r="AF318">
            <v>1844766.75</v>
          </cell>
          <cell r="AG318">
            <v>126244.05</v>
          </cell>
          <cell r="AH318">
            <v>100996</v>
          </cell>
          <cell r="AI318">
            <v>22724</v>
          </cell>
          <cell r="AJ318">
            <v>2525</v>
          </cell>
          <cell r="AK318">
            <v>252489.05</v>
          </cell>
          <cell r="AL318">
            <v>610500</v>
          </cell>
          <cell r="AM318">
            <v>488400</v>
          </cell>
          <cell r="AN318">
            <v>109890</v>
          </cell>
          <cell r="AO318">
            <v>12210</v>
          </cell>
          <cell r="AP318">
            <v>1221000</v>
          </cell>
          <cell r="AQ318">
            <v>200500</v>
          </cell>
          <cell r="AR318">
            <v>160400</v>
          </cell>
          <cell r="AS318">
            <v>36090</v>
          </cell>
          <cell r="AT318">
            <v>4010</v>
          </cell>
          <cell r="AU318">
            <v>401000</v>
          </cell>
          <cell r="AV318">
            <v>811000</v>
          </cell>
          <cell r="AW318">
            <v>648800</v>
          </cell>
          <cell r="AX318">
            <v>145980</v>
          </cell>
          <cell r="AY318">
            <v>16220</v>
          </cell>
          <cell r="AZ318">
            <v>1622000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114811</v>
          </cell>
          <cell r="BG318">
            <v>91848</v>
          </cell>
          <cell r="BH318">
            <v>20666</v>
          </cell>
          <cell r="BI318">
            <v>2296</v>
          </cell>
          <cell r="BJ318">
            <v>229621</v>
          </cell>
          <cell r="BK318">
            <v>114811</v>
          </cell>
          <cell r="BL318">
            <v>91848</v>
          </cell>
          <cell r="BM318">
            <v>20666</v>
          </cell>
          <cell r="BN318">
            <v>2296</v>
          </cell>
          <cell r="BO318">
            <v>229621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281088</v>
          </cell>
          <cell r="BV318">
            <v>224870</v>
          </cell>
          <cell r="BW318">
            <v>50596</v>
          </cell>
          <cell r="BX318">
            <v>5622</v>
          </cell>
          <cell r="BY318">
            <v>562176</v>
          </cell>
          <cell r="BZ318">
            <v>281088</v>
          </cell>
          <cell r="CA318">
            <v>224870</v>
          </cell>
          <cell r="CB318">
            <v>50596</v>
          </cell>
          <cell r="CC318">
            <v>5622</v>
          </cell>
          <cell r="CD318">
            <v>562176</v>
          </cell>
        </row>
        <row r="319">
          <cell r="A319">
            <v>312</v>
          </cell>
          <cell r="B319" t="str">
            <v>E4210</v>
          </cell>
          <cell r="C319" t="str">
            <v>Met</v>
          </cell>
          <cell r="D319" t="str">
            <v>NW</v>
          </cell>
          <cell r="E319" t="str">
            <v>Wigan</v>
          </cell>
          <cell r="F319">
            <v>36531569</v>
          </cell>
          <cell r="G319">
            <v>35800938</v>
          </cell>
          <cell r="H319">
            <v>0</v>
          </cell>
          <cell r="I319">
            <v>730631</v>
          </cell>
          <cell r="J319">
            <v>73063138</v>
          </cell>
          <cell r="K319">
            <v>0</v>
          </cell>
          <cell r="L319">
            <v>0</v>
          </cell>
          <cell r="M319">
            <v>36531569</v>
          </cell>
          <cell r="N319">
            <v>73063138</v>
          </cell>
          <cell r="O319">
            <v>387575</v>
          </cell>
          <cell r="P319">
            <v>387575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3535141</v>
          </cell>
          <cell r="AC319">
            <v>3464439</v>
          </cell>
          <cell r="AD319">
            <v>0</v>
          </cell>
          <cell r="AE319">
            <v>70703</v>
          </cell>
          <cell r="AF319">
            <v>7070283</v>
          </cell>
          <cell r="AG319">
            <v>117989</v>
          </cell>
          <cell r="AH319">
            <v>115629</v>
          </cell>
          <cell r="AI319">
            <v>0</v>
          </cell>
          <cell r="AJ319">
            <v>2360</v>
          </cell>
          <cell r="AK319">
            <v>235978</v>
          </cell>
          <cell r="AL319">
            <v>2860750</v>
          </cell>
          <cell r="AM319">
            <v>0</v>
          </cell>
          <cell r="AN319">
            <v>0</v>
          </cell>
          <cell r="AO319">
            <v>28896</v>
          </cell>
          <cell r="AP319">
            <v>2889646</v>
          </cell>
          <cell r="AQ319">
            <v>897530</v>
          </cell>
          <cell r="AR319">
            <v>879580</v>
          </cell>
          <cell r="AS319">
            <v>0</v>
          </cell>
          <cell r="AT319">
            <v>17951</v>
          </cell>
          <cell r="AU319">
            <v>1795061</v>
          </cell>
          <cell r="AV319">
            <v>3758280</v>
          </cell>
          <cell r="AW319">
            <v>879580</v>
          </cell>
          <cell r="AX319">
            <v>0</v>
          </cell>
          <cell r="AY319">
            <v>46847</v>
          </cell>
          <cell r="AZ319">
            <v>4684707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1080404</v>
          </cell>
          <cell r="BG319">
            <v>1058795</v>
          </cell>
          <cell r="BH319">
            <v>0</v>
          </cell>
          <cell r="BI319">
            <v>21608</v>
          </cell>
          <cell r="BJ319">
            <v>2160807</v>
          </cell>
          <cell r="BK319">
            <v>1080404</v>
          </cell>
          <cell r="BL319">
            <v>1058795</v>
          </cell>
          <cell r="BM319">
            <v>0</v>
          </cell>
          <cell r="BN319">
            <v>21608</v>
          </cell>
          <cell r="BO319">
            <v>2160807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836173</v>
          </cell>
          <cell r="BV319">
            <v>819450</v>
          </cell>
          <cell r="BW319">
            <v>0</v>
          </cell>
          <cell r="BX319">
            <v>16723</v>
          </cell>
          <cell r="BY319">
            <v>1672346</v>
          </cell>
          <cell r="BZ319">
            <v>836173</v>
          </cell>
          <cell r="CA319">
            <v>819450</v>
          </cell>
          <cell r="CB319">
            <v>0</v>
          </cell>
          <cell r="CC319">
            <v>16723</v>
          </cell>
          <cell r="CD319">
            <v>1672346</v>
          </cell>
        </row>
        <row r="320">
          <cell r="A320">
            <v>313</v>
          </cell>
          <cell r="B320" t="str">
            <v>E3902</v>
          </cell>
          <cell r="C320" t="str">
            <v>UA</v>
          </cell>
          <cell r="D320" t="str">
            <v>SW</v>
          </cell>
          <cell r="E320" t="str">
            <v>Wiltshire UA</v>
          </cell>
          <cell r="F320">
            <v>65683188</v>
          </cell>
          <cell r="G320">
            <v>64369524</v>
          </cell>
          <cell r="H320">
            <v>0</v>
          </cell>
          <cell r="I320">
            <v>1313664</v>
          </cell>
          <cell r="J320">
            <v>131366376</v>
          </cell>
          <cell r="K320">
            <v>0</v>
          </cell>
          <cell r="L320">
            <v>0</v>
          </cell>
          <cell r="M320">
            <v>65683188</v>
          </cell>
          <cell r="N320">
            <v>131366376</v>
          </cell>
          <cell r="O320">
            <v>617775</v>
          </cell>
          <cell r="P320">
            <v>617775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87473</v>
          </cell>
          <cell r="V320">
            <v>0</v>
          </cell>
          <cell r="W320">
            <v>87473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3398001.76</v>
          </cell>
          <cell r="AC320">
            <v>3330041</v>
          </cell>
          <cell r="AD320">
            <v>0</v>
          </cell>
          <cell r="AE320">
            <v>67960</v>
          </cell>
          <cell r="AF320">
            <v>6796002.7599999998</v>
          </cell>
          <cell r="AG320">
            <v>962046</v>
          </cell>
          <cell r="AH320">
            <v>942806</v>
          </cell>
          <cell r="AI320">
            <v>0</v>
          </cell>
          <cell r="AJ320">
            <v>19241</v>
          </cell>
          <cell r="AK320">
            <v>1924093</v>
          </cell>
          <cell r="AL320">
            <v>575250</v>
          </cell>
          <cell r="AM320">
            <v>563745</v>
          </cell>
          <cell r="AN320">
            <v>0</v>
          </cell>
          <cell r="AO320">
            <v>11505</v>
          </cell>
          <cell r="AP320">
            <v>1150500</v>
          </cell>
          <cell r="AQ320">
            <v>-111100</v>
          </cell>
          <cell r="AR320">
            <v>-108878</v>
          </cell>
          <cell r="AS320">
            <v>0</v>
          </cell>
          <cell r="AT320">
            <v>-2222</v>
          </cell>
          <cell r="AU320">
            <v>-222200</v>
          </cell>
          <cell r="AV320">
            <v>464150</v>
          </cell>
          <cell r="AW320">
            <v>454867</v>
          </cell>
          <cell r="AX320">
            <v>0</v>
          </cell>
          <cell r="AY320">
            <v>9283</v>
          </cell>
          <cell r="AZ320">
            <v>928300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538957</v>
          </cell>
          <cell r="BG320">
            <v>528178</v>
          </cell>
          <cell r="BH320">
            <v>0</v>
          </cell>
          <cell r="BI320">
            <v>10779</v>
          </cell>
          <cell r="BJ320">
            <v>1077914</v>
          </cell>
          <cell r="BK320">
            <v>538957</v>
          </cell>
          <cell r="BL320">
            <v>528178</v>
          </cell>
          <cell r="BM320">
            <v>0</v>
          </cell>
          <cell r="BN320">
            <v>10779</v>
          </cell>
          <cell r="BO320">
            <v>1077914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1000921</v>
          </cell>
          <cell r="BV320">
            <v>980902</v>
          </cell>
          <cell r="BW320">
            <v>0</v>
          </cell>
          <cell r="BX320">
            <v>20018</v>
          </cell>
          <cell r="BY320">
            <v>2001841</v>
          </cell>
          <cell r="BZ320">
            <v>1000921</v>
          </cell>
          <cell r="CA320">
            <v>980902</v>
          </cell>
          <cell r="CB320">
            <v>0</v>
          </cell>
          <cell r="CC320">
            <v>20018</v>
          </cell>
          <cell r="CD320">
            <v>2001841</v>
          </cell>
        </row>
        <row r="321">
          <cell r="A321">
            <v>314</v>
          </cell>
          <cell r="B321" t="str">
            <v>E1743</v>
          </cell>
          <cell r="C321" t="str">
            <v>SD</v>
          </cell>
          <cell r="D321" t="str">
            <v>SE</v>
          </cell>
          <cell r="E321" t="str">
            <v>Winchester</v>
          </cell>
          <cell r="F321">
            <v>25445258</v>
          </cell>
          <cell r="G321">
            <v>20356206</v>
          </cell>
          <cell r="H321">
            <v>4580146</v>
          </cell>
          <cell r="I321">
            <v>508905</v>
          </cell>
          <cell r="J321">
            <v>50890515</v>
          </cell>
          <cell r="K321">
            <v>0</v>
          </cell>
          <cell r="L321">
            <v>0</v>
          </cell>
          <cell r="M321">
            <v>25445258</v>
          </cell>
          <cell r="N321">
            <v>50890515</v>
          </cell>
          <cell r="O321">
            <v>190784</v>
          </cell>
          <cell r="P321">
            <v>190784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1064311.6200000001</v>
          </cell>
          <cell r="AC321">
            <v>851449</v>
          </cell>
          <cell r="AD321">
            <v>191576</v>
          </cell>
          <cell r="AE321">
            <v>21286</v>
          </cell>
          <cell r="AF321">
            <v>2128622.62</v>
          </cell>
          <cell r="AG321">
            <v>247352.42</v>
          </cell>
          <cell r="AH321">
            <v>197882</v>
          </cell>
          <cell r="AI321">
            <v>44523</v>
          </cell>
          <cell r="AJ321">
            <v>4947</v>
          </cell>
          <cell r="AK321">
            <v>494704.42</v>
          </cell>
          <cell r="AL321">
            <v>469509</v>
          </cell>
          <cell r="AM321">
            <v>375608</v>
          </cell>
          <cell r="AN321">
            <v>84512</v>
          </cell>
          <cell r="AO321">
            <v>9390</v>
          </cell>
          <cell r="AP321">
            <v>939019</v>
          </cell>
          <cell r="AQ321">
            <v>114553</v>
          </cell>
          <cell r="AR321">
            <v>91642</v>
          </cell>
          <cell r="AS321">
            <v>20619</v>
          </cell>
          <cell r="AT321">
            <v>2291</v>
          </cell>
          <cell r="AU321">
            <v>229105</v>
          </cell>
          <cell r="AV321">
            <v>584062</v>
          </cell>
          <cell r="AW321">
            <v>467250</v>
          </cell>
          <cell r="AX321">
            <v>105131</v>
          </cell>
          <cell r="AY321">
            <v>11681</v>
          </cell>
          <cell r="AZ321">
            <v>1168124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1429816</v>
          </cell>
          <cell r="BG321">
            <v>1143852</v>
          </cell>
          <cell r="BH321">
            <v>257367</v>
          </cell>
          <cell r="BI321">
            <v>28596</v>
          </cell>
          <cell r="BJ321">
            <v>2859631</v>
          </cell>
          <cell r="BK321">
            <v>1429816</v>
          </cell>
          <cell r="BL321">
            <v>1143852</v>
          </cell>
          <cell r="BM321">
            <v>257367</v>
          </cell>
          <cell r="BN321">
            <v>28596</v>
          </cell>
          <cell r="BO321">
            <v>2859631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</row>
        <row r="322">
          <cell r="A322">
            <v>315</v>
          </cell>
          <cell r="B322" t="str">
            <v>E0305</v>
          </cell>
          <cell r="C322" t="str">
            <v>UA</v>
          </cell>
          <cell r="D322" t="str">
            <v>SE</v>
          </cell>
          <cell r="E322" t="str">
            <v>Windsor &amp; Maidenhead UA</v>
          </cell>
          <cell r="F322">
            <v>35669316</v>
          </cell>
          <cell r="G322">
            <v>34955930</v>
          </cell>
          <cell r="H322">
            <v>0</v>
          </cell>
          <cell r="I322">
            <v>713386</v>
          </cell>
          <cell r="J322">
            <v>71338632</v>
          </cell>
          <cell r="K322">
            <v>0</v>
          </cell>
          <cell r="L322">
            <v>0</v>
          </cell>
          <cell r="M322">
            <v>35669316</v>
          </cell>
          <cell r="N322">
            <v>71338632</v>
          </cell>
          <cell r="O322">
            <v>251201</v>
          </cell>
          <cell r="P322">
            <v>251201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2472556.44</v>
          </cell>
          <cell r="AC322">
            <v>2423106</v>
          </cell>
          <cell r="AD322">
            <v>0</v>
          </cell>
          <cell r="AE322">
            <v>49451</v>
          </cell>
          <cell r="AF322">
            <v>4945113.4400000004</v>
          </cell>
          <cell r="AG322">
            <v>533615.49</v>
          </cell>
          <cell r="AH322">
            <v>522943</v>
          </cell>
          <cell r="AI322">
            <v>0</v>
          </cell>
          <cell r="AJ322">
            <v>10672</v>
          </cell>
          <cell r="AK322">
            <v>1067230.49</v>
          </cell>
          <cell r="AL322">
            <v>1086204.93</v>
          </cell>
          <cell r="AM322">
            <v>1064480</v>
          </cell>
          <cell r="AN322">
            <v>0</v>
          </cell>
          <cell r="AO322">
            <v>21724</v>
          </cell>
          <cell r="AP322">
            <v>2172408.9300000002</v>
          </cell>
          <cell r="AQ322">
            <v>35227.17</v>
          </cell>
          <cell r="AR322">
            <v>34523</v>
          </cell>
          <cell r="AS322">
            <v>0</v>
          </cell>
          <cell r="AT322">
            <v>705</v>
          </cell>
          <cell r="AU322">
            <v>70455.17</v>
          </cell>
          <cell r="AV322">
            <v>1121432.1000000001</v>
          </cell>
          <cell r="AW322">
            <v>1099003</v>
          </cell>
          <cell r="AX322">
            <v>0</v>
          </cell>
          <cell r="AY322">
            <v>22429</v>
          </cell>
          <cell r="AZ322">
            <v>2242864.1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665271</v>
          </cell>
          <cell r="BG322">
            <v>651966</v>
          </cell>
          <cell r="BH322">
            <v>0</v>
          </cell>
          <cell r="BI322">
            <v>13305</v>
          </cell>
          <cell r="BJ322">
            <v>1330542</v>
          </cell>
          <cell r="BK322">
            <v>665271</v>
          </cell>
          <cell r="BL322">
            <v>651966</v>
          </cell>
          <cell r="BM322">
            <v>0</v>
          </cell>
          <cell r="BN322">
            <v>13305</v>
          </cell>
          <cell r="BO322">
            <v>1330542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1836164</v>
          </cell>
          <cell r="BV322">
            <v>1799440</v>
          </cell>
          <cell r="BW322">
            <v>0</v>
          </cell>
          <cell r="BX322">
            <v>36723</v>
          </cell>
          <cell r="BY322">
            <v>3672327</v>
          </cell>
          <cell r="BZ322">
            <v>1836164</v>
          </cell>
          <cell r="CA322">
            <v>1799440</v>
          </cell>
          <cell r="CB322">
            <v>0</v>
          </cell>
          <cell r="CC322">
            <v>36723</v>
          </cell>
          <cell r="CD322">
            <v>3672327</v>
          </cell>
        </row>
        <row r="323">
          <cell r="A323">
            <v>316</v>
          </cell>
          <cell r="B323" t="str">
            <v>E4305</v>
          </cell>
          <cell r="C323" t="str">
            <v>Met</v>
          </cell>
          <cell r="D323" t="str">
            <v>NW</v>
          </cell>
          <cell r="E323" t="str">
            <v>Wirral</v>
          </cell>
          <cell r="F323">
            <v>31468182</v>
          </cell>
          <cell r="G323">
            <v>30838818</v>
          </cell>
          <cell r="H323">
            <v>0</v>
          </cell>
          <cell r="I323">
            <v>629364</v>
          </cell>
          <cell r="J323">
            <v>62936364</v>
          </cell>
          <cell r="K323">
            <v>0</v>
          </cell>
          <cell r="L323">
            <v>0</v>
          </cell>
          <cell r="M323">
            <v>31468182</v>
          </cell>
          <cell r="N323">
            <v>62936364</v>
          </cell>
          <cell r="O323">
            <v>339810</v>
          </cell>
          <cell r="P323">
            <v>339810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3217507.89</v>
          </cell>
          <cell r="AC323">
            <v>3153158</v>
          </cell>
          <cell r="AD323">
            <v>0</v>
          </cell>
          <cell r="AE323">
            <v>64350</v>
          </cell>
          <cell r="AF323">
            <v>6435015.8899999997</v>
          </cell>
          <cell r="AG323">
            <v>513810</v>
          </cell>
          <cell r="AH323">
            <v>503534</v>
          </cell>
          <cell r="AI323">
            <v>0</v>
          </cell>
          <cell r="AJ323">
            <v>10276</v>
          </cell>
          <cell r="AK323">
            <v>1027620</v>
          </cell>
          <cell r="AL323">
            <v>1515027</v>
          </cell>
          <cell r="AM323">
            <v>1484726</v>
          </cell>
          <cell r="AN323">
            <v>0</v>
          </cell>
          <cell r="AO323">
            <v>30301</v>
          </cell>
          <cell r="AP323">
            <v>3030054</v>
          </cell>
          <cell r="AQ323">
            <v>281624</v>
          </cell>
          <cell r="AR323">
            <v>275992</v>
          </cell>
          <cell r="AS323">
            <v>0</v>
          </cell>
          <cell r="AT323">
            <v>5632</v>
          </cell>
          <cell r="AU323">
            <v>563248</v>
          </cell>
          <cell r="AV323">
            <v>1796651</v>
          </cell>
          <cell r="AW323">
            <v>1760718</v>
          </cell>
          <cell r="AX323">
            <v>0</v>
          </cell>
          <cell r="AY323">
            <v>35933</v>
          </cell>
          <cell r="AZ323">
            <v>3593302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414019</v>
          </cell>
          <cell r="BG323">
            <v>405738</v>
          </cell>
          <cell r="BH323">
            <v>0</v>
          </cell>
          <cell r="BI323">
            <v>8280</v>
          </cell>
          <cell r="BJ323">
            <v>828037</v>
          </cell>
          <cell r="BK323">
            <v>414019</v>
          </cell>
          <cell r="BL323">
            <v>405738</v>
          </cell>
          <cell r="BM323">
            <v>0</v>
          </cell>
          <cell r="BN323">
            <v>8280</v>
          </cell>
          <cell r="BO323">
            <v>828037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1181903</v>
          </cell>
          <cell r="BV323">
            <v>1158264</v>
          </cell>
          <cell r="BW323">
            <v>0</v>
          </cell>
          <cell r="BX323">
            <v>23638</v>
          </cell>
          <cell r="BY323">
            <v>2363805</v>
          </cell>
          <cell r="BZ323">
            <v>1181903</v>
          </cell>
          <cell r="CA323">
            <v>1158264</v>
          </cell>
          <cell r="CB323">
            <v>0</v>
          </cell>
          <cell r="CC323">
            <v>23638</v>
          </cell>
          <cell r="CD323">
            <v>2363805</v>
          </cell>
        </row>
        <row r="324">
          <cell r="A324">
            <v>317</v>
          </cell>
          <cell r="B324" t="str">
            <v>E3641</v>
          </cell>
          <cell r="C324" t="str">
            <v>SD</v>
          </cell>
          <cell r="D324" t="str">
            <v>SE</v>
          </cell>
          <cell r="E324" t="str">
            <v>Woking</v>
          </cell>
          <cell r="F324">
            <v>19335196</v>
          </cell>
          <cell r="G324">
            <v>15468156</v>
          </cell>
          <cell r="H324">
            <v>3867039</v>
          </cell>
          <cell r="I324">
            <v>0</v>
          </cell>
          <cell r="J324">
            <v>38670391</v>
          </cell>
          <cell r="K324">
            <v>0</v>
          </cell>
          <cell r="L324">
            <v>0</v>
          </cell>
          <cell r="M324">
            <v>19335196</v>
          </cell>
          <cell r="N324">
            <v>38670391</v>
          </cell>
          <cell r="O324">
            <v>135670</v>
          </cell>
          <cell r="P324">
            <v>135670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679547.69</v>
          </cell>
          <cell r="AC324">
            <v>543638</v>
          </cell>
          <cell r="AD324">
            <v>135909</v>
          </cell>
          <cell r="AE324">
            <v>0</v>
          </cell>
          <cell r="AF324">
            <v>1359094.69</v>
          </cell>
          <cell r="AG324">
            <v>528835</v>
          </cell>
          <cell r="AH324">
            <v>423068</v>
          </cell>
          <cell r="AI324">
            <v>105767</v>
          </cell>
          <cell r="AJ324">
            <v>0</v>
          </cell>
          <cell r="AK324">
            <v>1057670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33000</v>
          </cell>
          <cell r="AR324">
            <v>26400</v>
          </cell>
          <cell r="AS324">
            <v>6600</v>
          </cell>
          <cell r="AT324">
            <v>0</v>
          </cell>
          <cell r="AU324">
            <v>66000</v>
          </cell>
          <cell r="AV324">
            <v>33000</v>
          </cell>
          <cell r="AW324">
            <v>26400</v>
          </cell>
          <cell r="AX324">
            <v>6600</v>
          </cell>
          <cell r="AY324">
            <v>0</v>
          </cell>
          <cell r="AZ324">
            <v>66000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838500</v>
          </cell>
          <cell r="BG324">
            <v>670800</v>
          </cell>
          <cell r="BH324">
            <v>167700</v>
          </cell>
          <cell r="BI324">
            <v>0</v>
          </cell>
          <cell r="BJ324">
            <v>1677000</v>
          </cell>
          <cell r="BK324">
            <v>838500</v>
          </cell>
          <cell r="BL324">
            <v>670800</v>
          </cell>
          <cell r="BM324">
            <v>167700</v>
          </cell>
          <cell r="BN324">
            <v>0</v>
          </cell>
          <cell r="BO324">
            <v>1677000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1676500</v>
          </cell>
          <cell r="BV324">
            <v>1341200</v>
          </cell>
          <cell r="BW324">
            <v>335300</v>
          </cell>
          <cell r="BX324">
            <v>0</v>
          </cell>
          <cell r="BY324">
            <v>3353000</v>
          </cell>
          <cell r="BZ324">
            <v>1676500</v>
          </cell>
          <cell r="CA324">
            <v>1341200</v>
          </cell>
          <cell r="CB324">
            <v>335300</v>
          </cell>
          <cell r="CC324">
            <v>0</v>
          </cell>
          <cell r="CD324">
            <v>3353000</v>
          </cell>
        </row>
        <row r="325">
          <cell r="A325">
            <v>318</v>
          </cell>
          <cell r="B325" t="str">
            <v>E0306</v>
          </cell>
          <cell r="C325" t="str">
            <v>UA</v>
          </cell>
          <cell r="D325" t="str">
            <v>SE</v>
          </cell>
          <cell r="E325" t="str">
            <v>Wokingham UA</v>
          </cell>
          <cell r="F325">
            <v>25481682</v>
          </cell>
          <cell r="G325">
            <v>24972048</v>
          </cell>
          <cell r="H325">
            <v>0</v>
          </cell>
          <cell r="I325">
            <v>509634</v>
          </cell>
          <cell r="J325">
            <v>50963364</v>
          </cell>
          <cell r="K325">
            <v>0</v>
          </cell>
          <cell r="L325">
            <v>0</v>
          </cell>
          <cell r="M325">
            <v>25481682</v>
          </cell>
          <cell r="N325">
            <v>50963364</v>
          </cell>
          <cell r="O325">
            <v>181184</v>
          </cell>
          <cell r="P325">
            <v>181184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1140192</v>
          </cell>
          <cell r="AC325">
            <v>1117389</v>
          </cell>
          <cell r="AD325">
            <v>0</v>
          </cell>
          <cell r="AE325">
            <v>22804</v>
          </cell>
          <cell r="AF325">
            <v>2280385</v>
          </cell>
          <cell r="AG325">
            <v>1343165</v>
          </cell>
          <cell r="AH325">
            <v>1316301</v>
          </cell>
          <cell r="AI325">
            <v>0</v>
          </cell>
          <cell r="AJ325">
            <v>26863</v>
          </cell>
          <cell r="AK325">
            <v>2686329</v>
          </cell>
          <cell r="AL325">
            <v>128062</v>
          </cell>
          <cell r="AM325">
            <v>125501</v>
          </cell>
          <cell r="AN325">
            <v>0</v>
          </cell>
          <cell r="AO325">
            <v>2561</v>
          </cell>
          <cell r="AP325">
            <v>256124</v>
          </cell>
          <cell r="AQ325">
            <v>246938</v>
          </cell>
          <cell r="AR325">
            <v>241999</v>
          </cell>
          <cell r="AS325">
            <v>0</v>
          </cell>
          <cell r="AT325">
            <v>4939</v>
          </cell>
          <cell r="AU325">
            <v>493876</v>
          </cell>
          <cell r="AV325">
            <v>375000</v>
          </cell>
          <cell r="AW325">
            <v>367500</v>
          </cell>
          <cell r="AX325">
            <v>0</v>
          </cell>
          <cell r="AY325">
            <v>7500</v>
          </cell>
          <cell r="AZ325">
            <v>750000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625000</v>
          </cell>
          <cell r="BG325">
            <v>612500</v>
          </cell>
          <cell r="BH325">
            <v>0</v>
          </cell>
          <cell r="BI325">
            <v>12500</v>
          </cell>
          <cell r="BJ325">
            <v>1250000</v>
          </cell>
          <cell r="BK325">
            <v>625000</v>
          </cell>
          <cell r="BL325">
            <v>612500</v>
          </cell>
          <cell r="BM325">
            <v>0</v>
          </cell>
          <cell r="BN325">
            <v>12500</v>
          </cell>
          <cell r="BO325">
            <v>1250000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</row>
        <row r="326">
          <cell r="A326">
            <v>319</v>
          </cell>
          <cell r="B326" t="str">
            <v>E4607</v>
          </cell>
          <cell r="C326" t="str">
            <v>Met</v>
          </cell>
          <cell r="D326" t="str">
            <v>WM</v>
          </cell>
          <cell r="E326" t="str">
            <v>Wolverhampton</v>
          </cell>
          <cell r="F326">
            <v>35804685</v>
          </cell>
          <cell r="G326">
            <v>35088592</v>
          </cell>
          <cell r="H326">
            <v>0</v>
          </cell>
          <cell r="I326">
            <v>716094</v>
          </cell>
          <cell r="J326">
            <v>71609371</v>
          </cell>
          <cell r="K326">
            <v>0</v>
          </cell>
          <cell r="L326">
            <v>0</v>
          </cell>
          <cell r="M326">
            <v>35804685</v>
          </cell>
          <cell r="N326">
            <v>71609371</v>
          </cell>
          <cell r="O326">
            <v>348621</v>
          </cell>
          <cell r="P326">
            <v>348621</v>
          </cell>
          <cell r="Q326">
            <v>140</v>
          </cell>
          <cell r="R326">
            <v>140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3533906</v>
          </cell>
          <cell r="AC326">
            <v>3463227</v>
          </cell>
          <cell r="AD326">
            <v>0</v>
          </cell>
          <cell r="AE326">
            <v>70678</v>
          </cell>
          <cell r="AF326">
            <v>7067811</v>
          </cell>
          <cell r="AG326">
            <v>194446</v>
          </cell>
          <cell r="AH326">
            <v>190558</v>
          </cell>
          <cell r="AI326">
            <v>0</v>
          </cell>
          <cell r="AJ326">
            <v>3889</v>
          </cell>
          <cell r="AK326">
            <v>388893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1297499</v>
          </cell>
          <cell r="AR326">
            <v>1271549</v>
          </cell>
          <cell r="AS326">
            <v>0</v>
          </cell>
          <cell r="AT326">
            <v>25950</v>
          </cell>
          <cell r="AU326">
            <v>2594998</v>
          </cell>
          <cell r="AV326">
            <v>1297499</v>
          </cell>
          <cell r="AW326">
            <v>1271549</v>
          </cell>
          <cell r="AX326">
            <v>0</v>
          </cell>
          <cell r="AY326">
            <v>25950</v>
          </cell>
          <cell r="AZ326">
            <v>2594998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454435</v>
          </cell>
          <cell r="BG326">
            <v>445346</v>
          </cell>
          <cell r="BH326">
            <v>0</v>
          </cell>
          <cell r="BI326">
            <v>9089</v>
          </cell>
          <cell r="BJ326">
            <v>908870</v>
          </cell>
          <cell r="BK326">
            <v>454435</v>
          </cell>
          <cell r="BL326">
            <v>445346</v>
          </cell>
          <cell r="BM326">
            <v>0</v>
          </cell>
          <cell r="BN326">
            <v>9089</v>
          </cell>
          <cell r="BO326">
            <v>908870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331742</v>
          </cell>
          <cell r="BV326">
            <v>325107</v>
          </cell>
          <cell r="BW326">
            <v>0</v>
          </cell>
          <cell r="BX326">
            <v>6635</v>
          </cell>
          <cell r="BY326">
            <v>663484</v>
          </cell>
          <cell r="BZ326">
            <v>331742</v>
          </cell>
          <cell r="CA326">
            <v>325107</v>
          </cell>
          <cell r="CB326">
            <v>0</v>
          </cell>
          <cell r="CC326">
            <v>6635</v>
          </cell>
          <cell r="CD326">
            <v>663484</v>
          </cell>
        </row>
        <row r="327">
          <cell r="A327">
            <v>320</v>
          </cell>
          <cell r="B327" t="str">
            <v>E1837</v>
          </cell>
          <cell r="C327" t="str">
            <v>SD</v>
          </cell>
          <cell r="D327" t="str">
            <v>WM</v>
          </cell>
          <cell r="E327" t="str">
            <v>Worcester</v>
          </cell>
          <cell r="F327">
            <v>18698972</v>
          </cell>
          <cell r="G327">
            <v>14959178</v>
          </cell>
          <cell r="H327">
            <v>3365815</v>
          </cell>
          <cell r="I327">
            <v>373979</v>
          </cell>
          <cell r="J327">
            <v>37397944</v>
          </cell>
          <cell r="K327">
            <v>0</v>
          </cell>
          <cell r="L327">
            <v>0</v>
          </cell>
          <cell r="M327">
            <v>18698972</v>
          </cell>
          <cell r="N327">
            <v>37397944</v>
          </cell>
          <cell r="O327">
            <v>140483</v>
          </cell>
          <cell r="P327">
            <v>140483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616964</v>
          </cell>
          <cell r="AC327">
            <v>493572</v>
          </cell>
          <cell r="AD327">
            <v>111054</v>
          </cell>
          <cell r="AE327">
            <v>12339</v>
          </cell>
          <cell r="AF327">
            <v>1233929</v>
          </cell>
          <cell r="AG327">
            <v>316283</v>
          </cell>
          <cell r="AH327">
            <v>253027</v>
          </cell>
          <cell r="AI327">
            <v>56931</v>
          </cell>
          <cell r="AJ327">
            <v>6326</v>
          </cell>
          <cell r="AK327">
            <v>632567</v>
          </cell>
          <cell r="AL327">
            <v>147384</v>
          </cell>
          <cell r="AM327">
            <v>117907</v>
          </cell>
          <cell r="AN327">
            <v>26529</v>
          </cell>
          <cell r="AO327">
            <v>2948</v>
          </cell>
          <cell r="AP327">
            <v>294768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147384</v>
          </cell>
          <cell r="AW327">
            <v>117907</v>
          </cell>
          <cell r="AX327">
            <v>26529</v>
          </cell>
          <cell r="AY327">
            <v>2948</v>
          </cell>
          <cell r="AZ327">
            <v>294768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271963</v>
          </cell>
          <cell r="BG327">
            <v>217570</v>
          </cell>
          <cell r="BH327">
            <v>48953</v>
          </cell>
          <cell r="BI327">
            <v>5439</v>
          </cell>
          <cell r="BJ327">
            <v>543925</v>
          </cell>
          <cell r="BK327">
            <v>271963</v>
          </cell>
          <cell r="BL327">
            <v>217570</v>
          </cell>
          <cell r="BM327">
            <v>48953</v>
          </cell>
          <cell r="BN327">
            <v>5439</v>
          </cell>
          <cell r="BO327">
            <v>543925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792248</v>
          </cell>
          <cell r="BV327">
            <v>633799</v>
          </cell>
          <cell r="BW327">
            <v>142605</v>
          </cell>
          <cell r="BX327">
            <v>15845</v>
          </cell>
          <cell r="BY327">
            <v>1584497</v>
          </cell>
          <cell r="BZ327">
            <v>792248</v>
          </cell>
          <cell r="CA327">
            <v>633799</v>
          </cell>
          <cell r="CB327">
            <v>142605</v>
          </cell>
          <cell r="CC327">
            <v>15845</v>
          </cell>
          <cell r="CD327">
            <v>1584497</v>
          </cell>
        </row>
        <row r="328">
          <cell r="A328">
            <v>321</v>
          </cell>
          <cell r="B328" t="str">
            <v>E3837</v>
          </cell>
          <cell r="C328" t="str">
            <v>SD</v>
          </cell>
          <cell r="D328" t="str">
            <v>SE</v>
          </cell>
          <cell r="E328" t="str">
            <v>Worthing</v>
          </cell>
          <cell r="F328">
            <v>14724783</v>
          </cell>
          <cell r="G328">
            <v>11779826</v>
          </cell>
          <cell r="H328">
            <v>2944957</v>
          </cell>
          <cell r="I328">
            <v>0</v>
          </cell>
          <cell r="J328">
            <v>29449566</v>
          </cell>
          <cell r="K328">
            <v>0</v>
          </cell>
          <cell r="L328">
            <v>0</v>
          </cell>
          <cell r="M328">
            <v>14724783</v>
          </cell>
          <cell r="N328">
            <v>29449566</v>
          </cell>
          <cell r="O328">
            <v>133297</v>
          </cell>
          <cell r="P328">
            <v>133297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777797</v>
          </cell>
          <cell r="AC328">
            <v>622237</v>
          </cell>
          <cell r="AD328">
            <v>155559</v>
          </cell>
          <cell r="AE328">
            <v>0</v>
          </cell>
          <cell r="AF328">
            <v>1555593</v>
          </cell>
          <cell r="AG328">
            <v>-61766</v>
          </cell>
          <cell r="AH328">
            <v>-49412</v>
          </cell>
          <cell r="AI328">
            <v>-12353</v>
          </cell>
          <cell r="AJ328">
            <v>0</v>
          </cell>
          <cell r="AK328">
            <v>-123531</v>
          </cell>
          <cell r="AL328">
            <v>414526</v>
          </cell>
          <cell r="AM328">
            <v>331620</v>
          </cell>
          <cell r="AN328">
            <v>82905</v>
          </cell>
          <cell r="AO328">
            <v>0</v>
          </cell>
          <cell r="AP328">
            <v>829051</v>
          </cell>
          <cell r="AQ328">
            <v>-14486</v>
          </cell>
          <cell r="AR328">
            <v>-11588</v>
          </cell>
          <cell r="AS328">
            <v>-2897</v>
          </cell>
          <cell r="AT328">
            <v>0</v>
          </cell>
          <cell r="AU328">
            <v>-28971</v>
          </cell>
          <cell r="AV328">
            <v>400040</v>
          </cell>
          <cell r="AW328">
            <v>320032</v>
          </cell>
          <cell r="AX328">
            <v>80008</v>
          </cell>
          <cell r="AY328">
            <v>0</v>
          </cell>
          <cell r="AZ328">
            <v>800080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279009</v>
          </cell>
          <cell r="BG328">
            <v>223208</v>
          </cell>
          <cell r="BH328">
            <v>55802</v>
          </cell>
          <cell r="BI328">
            <v>0</v>
          </cell>
          <cell r="BJ328">
            <v>558019</v>
          </cell>
          <cell r="BK328">
            <v>279009</v>
          </cell>
          <cell r="BL328">
            <v>223208</v>
          </cell>
          <cell r="BM328">
            <v>55802</v>
          </cell>
          <cell r="BN328">
            <v>0</v>
          </cell>
          <cell r="BO328">
            <v>558019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546380</v>
          </cell>
          <cell r="BV328">
            <v>437104</v>
          </cell>
          <cell r="BW328">
            <v>109276</v>
          </cell>
          <cell r="BX328">
            <v>0</v>
          </cell>
          <cell r="BY328">
            <v>1092760</v>
          </cell>
          <cell r="BZ328">
            <v>546380</v>
          </cell>
          <cell r="CA328">
            <v>437104</v>
          </cell>
          <cell r="CB328">
            <v>109276</v>
          </cell>
          <cell r="CC328">
            <v>0</v>
          </cell>
          <cell r="CD328">
            <v>1092760</v>
          </cell>
        </row>
        <row r="329">
          <cell r="A329">
            <v>322</v>
          </cell>
          <cell r="B329" t="str">
            <v>E1838</v>
          </cell>
          <cell r="C329" t="str">
            <v>SD</v>
          </cell>
          <cell r="D329" t="str">
            <v>WM</v>
          </cell>
          <cell r="E329" t="str">
            <v>Wychavon</v>
          </cell>
          <cell r="F329">
            <v>18407681</v>
          </cell>
          <cell r="G329">
            <v>14726146</v>
          </cell>
          <cell r="H329">
            <v>3313383</v>
          </cell>
          <cell r="I329">
            <v>368154</v>
          </cell>
          <cell r="J329">
            <v>36815364</v>
          </cell>
          <cell r="K329">
            <v>0</v>
          </cell>
          <cell r="L329">
            <v>0</v>
          </cell>
          <cell r="M329">
            <v>18407681</v>
          </cell>
          <cell r="N329">
            <v>36815364</v>
          </cell>
          <cell r="O329">
            <v>188368</v>
          </cell>
          <cell r="P329">
            <v>188368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214302</v>
          </cell>
          <cell r="AC329">
            <v>171442</v>
          </cell>
          <cell r="AD329">
            <v>38574</v>
          </cell>
          <cell r="AE329">
            <v>4286</v>
          </cell>
          <cell r="AF329">
            <v>428604</v>
          </cell>
          <cell r="AG329">
            <v>238436</v>
          </cell>
          <cell r="AH329">
            <v>190749</v>
          </cell>
          <cell r="AI329">
            <v>42919</v>
          </cell>
          <cell r="AJ329">
            <v>4769</v>
          </cell>
          <cell r="AK329">
            <v>476873</v>
          </cell>
          <cell r="AL329">
            <v>97500</v>
          </cell>
          <cell r="AM329">
            <v>78000</v>
          </cell>
          <cell r="AN329">
            <v>17550</v>
          </cell>
          <cell r="AO329">
            <v>1950</v>
          </cell>
          <cell r="AP329">
            <v>195000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97500</v>
          </cell>
          <cell r="AW329">
            <v>78000</v>
          </cell>
          <cell r="AX329">
            <v>17550</v>
          </cell>
          <cell r="AY329">
            <v>1950</v>
          </cell>
          <cell r="AZ329">
            <v>195000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183014</v>
          </cell>
          <cell r="BG329">
            <v>146411</v>
          </cell>
          <cell r="BH329">
            <v>32942</v>
          </cell>
          <cell r="BI329">
            <v>3660</v>
          </cell>
          <cell r="BJ329">
            <v>366027</v>
          </cell>
          <cell r="BK329">
            <v>183014</v>
          </cell>
          <cell r="BL329">
            <v>146411</v>
          </cell>
          <cell r="BM329">
            <v>32942</v>
          </cell>
          <cell r="BN329">
            <v>3660</v>
          </cell>
          <cell r="BO329">
            <v>366027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589447</v>
          </cell>
          <cell r="BV329">
            <v>471557</v>
          </cell>
          <cell r="BW329">
            <v>106100</v>
          </cell>
          <cell r="BX329">
            <v>11789</v>
          </cell>
          <cell r="BY329">
            <v>1178893</v>
          </cell>
          <cell r="BZ329">
            <v>589447</v>
          </cell>
          <cell r="CA329">
            <v>471557</v>
          </cell>
          <cell r="CB329">
            <v>106100</v>
          </cell>
          <cell r="CC329">
            <v>11789</v>
          </cell>
          <cell r="CD329">
            <v>1178893</v>
          </cell>
        </row>
        <row r="330">
          <cell r="A330">
            <v>323</v>
          </cell>
          <cell r="B330" t="str">
            <v>E0435</v>
          </cell>
          <cell r="C330" t="str">
            <v>SD</v>
          </cell>
          <cell r="D330" t="str">
            <v>SE</v>
          </cell>
          <cell r="E330" t="str">
            <v>Wycombe</v>
          </cell>
          <cell r="F330">
            <v>31352421</v>
          </cell>
          <cell r="G330">
            <v>25081936</v>
          </cell>
          <cell r="H330">
            <v>5643436</v>
          </cell>
          <cell r="I330">
            <v>627048</v>
          </cell>
          <cell r="J330">
            <v>62704841</v>
          </cell>
          <cell r="K330">
            <v>0</v>
          </cell>
          <cell r="L330">
            <v>0</v>
          </cell>
          <cell r="M330">
            <v>31352421</v>
          </cell>
          <cell r="N330">
            <v>62704841</v>
          </cell>
          <cell r="O330">
            <v>248843</v>
          </cell>
          <cell r="P330">
            <v>248843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1561197</v>
          </cell>
          <cell r="AC330">
            <v>1248958</v>
          </cell>
          <cell r="AD330">
            <v>281015</v>
          </cell>
          <cell r="AE330">
            <v>31224</v>
          </cell>
          <cell r="AF330">
            <v>3122394</v>
          </cell>
          <cell r="AG330">
            <v>717769.53</v>
          </cell>
          <cell r="AH330">
            <v>574215</v>
          </cell>
          <cell r="AI330">
            <v>129198</v>
          </cell>
          <cell r="AJ330">
            <v>14355</v>
          </cell>
          <cell r="AK330">
            <v>1435537.53</v>
          </cell>
          <cell r="AL330">
            <v>948631</v>
          </cell>
          <cell r="AM330">
            <v>758904</v>
          </cell>
          <cell r="AN330">
            <v>170753</v>
          </cell>
          <cell r="AO330">
            <v>18973</v>
          </cell>
          <cell r="AP330">
            <v>1897261</v>
          </cell>
          <cell r="AQ330">
            <v>105000</v>
          </cell>
          <cell r="AR330">
            <v>84000</v>
          </cell>
          <cell r="AS330">
            <v>18900</v>
          </cell>
          <cell r="AT330">
            <v>2100</v>
          </cell>
          <cell r="AU330">
            <v>210000</v>
          </cell>
          <cell r="AV330">
            <v>1053631</v>
          </cell>
          <cell r="AW330">
            <v>842904</v>
          </cell>
          <cell r="AX330">
            <v>189653</v>
          </cell>
          <cell r="AY330">
            <v>21073</v>
          </cell>
          <cell r="AZ330">
            <v>2107261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2559540</v>
          </cell>
          <cell r="BG330">
            <v>2047632</v>
          </cell>
          <cell r="BH330">
            <v>460717</v>
          </cell>
          <cell r="BI330">
            <v>51191</v>
          </cell>
          <cell r="BJ330">
            <v>5119080</v>
          </cell>
          <cell r="BK330">
            <v>2559540</v>
          </cell>
          <cell r="BL330">
            <v>2047632</v>
          </cell>
          <cell r="BM330">
            <v>460717</v>
          </cell>
          <cell r="BN330">
            <v>51191</v>
          </cell>
          <cell r="BO330">
            <v>5119080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</row>
        <row r="331">
          <cell r="A331">
            <v>324</v>
          </cell>
          <cell r="B331" t="str">
            <v>E2344</v>
          </cell>
          <cell r="C331" t="str">
            <v>SD</v>
          </cell>
          <cell r="D331" t="str">
            <v>NW</v>
          </cell>
          <cell r="E331" t="str">
            <v>Wyre</v>
          </cell>
          <cell r="F331">
            <v>12656714</v>
          </cell>
          <cell r="G331">
            <v>10125371</v>
          </cell>
          <cell r="H331">
            <v>2278209</v>
          </cell>
          <cell r="I331">
            <v>253134</v>
          </cell>
          <cell r="J331">
            <v>25313428</v>
          </cell>
          <cell r="K331">
            <v>0</v>
          </cell>
          <cell r="L331">
            <v>0</v>
          </cell>
          <cell r="M331">
            <v>12656714</v>
          </cell>
          <cell r="N331">
            <v>25313428</v>
          </cell>
          <cell r="O331">
            <v>154556</v>
          </cell>
          <cell r="P331">
            <v>154556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474068</v>
          </cell>
          <cell r="AC331">
            <v>379254</v>
          </cell>
          <cell r="AD331">
            <v>85332</v>
          </cell>
          <cell r="AE331">
            <v>9481</v>
          </cell>
          <cell r="AF331">
            <v>948135</v>
          </cell>
          <cell r="AG331">
            <v>231076</v>
          </cell>
          <cell r="AH331">
            <v>184861</v>
          </cell>
          <cell r="AI331">
            <v>41594</v>
          </cell>
          <cell r="AJ331">
            <v>4622</v>
          </cell>
          <cell r="AK331">
            <v>462153</v>
          </cell>
          <cell r="AL331">
            <v>116537.95</v>
          </cell>
          <cell r="AM331">
            <v>93230</v>
          </cell>
          <cell r="AN331">
            <v>20977</v>
          </cell>
          <cell r="AO331">
            <v>2331</v>
          </cell>
          <cell r="AP331">
            <v>233075.95</v>
          </cell>
          <cell r="AQ331">
            <v>75070.899999999994</v>
          </cell>
          <cell r="AR331">
            <v>60057</v>
          </cell>
          <cell r="AS331">
            <v>13513</v>
          </cell>
          <cell r="AT331">
            <v>1501</v>
          </cell>
          <cell r="AU331">
            <v>150141.9</v>
          </cell>
          <cell r="AV331">
            <v>191608.85</v>
          </cell>
          <cell r="AW331">
            <v>153287</v>
          </cell>
          <cell r="AX331">
            <v>34490</v>
          </cell>
          <cell r="AY331">
            <v>3832</v>
          </cell>
          <cell r="AZ331">
            <v>383217.85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154507.51</v>
          </cell>
          <cell r="BG331">
            <v>123606</v>
          </cell>
          <cell r="BH331">
            <v>27811</v>
          </cell>
          <cell r="BI331">
            <v>3090</v>
          </cell>
          <cell r="BJ331">
            <v>309014.51</v>
          </cell>
          <cell r="BK331">
            <v>154507.51</v>
          </cell>
          <cell r="BL331">
            <v>123606</v>
          </cell>
          <cell r="BM331">
            <v>27811</v>
          </cell>
          <cell r="BN331">
            <v>3090</v>
          </cell>
          <cell r="BO331">
            <v>309014.51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404536.17</v>
          </cell>
          <cell r="BV331">
            <v>323629</v>
          </cell>
          <cell r="BW331">
            <v>72817</v>
          </cell>
          <cell r="BX331">
            <v>8091</v>
          </cell>
          <cell r="BY331">
            <v>809073.17</v>
          </cell>
          <cell r="BZ331">
            <v>404536.17</v>
          </cell>
          <cell r="CA331">
            <v>323629</v>
          </cell>
          <cell r="CB331">
            <v>72817</v>
          </cell>
          <cell r="CC331">
            <v>8091</v>
          </cell>
          <cell r="CD331">
            <v>809073.17</v>
          </cell>
        </row>
        <row r="332">
          <cell r="A332">
            <v>325</v>
          </cell>
          <cell r="B332" t="str">
            <v>E1839</v>
          </cell>
          <cell r="C332" t="str">
            <v>SD</v>
          </cell>
          <cell r="D332" t="str">
            <v>WM</v>
          </cell>
          <cell r="E332" t="str">
            <v>Wyre Forest</v>
          </cell>
          <cell r="F332">
            <v>13108825</v>
          </cell>
          <cell r="G332">
            <v>10487059</v>
          </cell>
          <cell r="H332">
            <v>2359588</v>
          </cell>
          <cell r="I332">
            <v>262176</v>
          </cell>
          <cell r="J332">
            <v>26217648</v>
          </cell>
          <cell r="K332">
            <v>0</v>
          </cell>
          <cell r="L332">
            <v>0</v>
          </cell>
          <cell r="M332">
            <v>13108825</v>
          </cell>
          <cell r="N332">
            <v>26217648</v>
          </cell>
          <cell r="O332">
            <v>137574</v>
          </cell>
          <cell r="P332">
            <v>137574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1132349</v>
          </cell>
          <cell r="AC332">
            <v>905880</v>
          </cell>
          <cell r="AD332">
            <v>203823</v>
          </cell>
          <cell r="AE332">
            <v>22647</v>
          </cell>
          <cell r="AF332">
            <v>2264699</v>
          </cell>
          <cell r="AG332">
            <v>95237</v>
          </cell>
          <cell r="AH332">
            <v>76190</v>
          </cell>
          <cell r="AI332">
            <v>17143</v>
          </cell>
          <cell r="AJ332">
            <v>1905</v>
          </cell>
          <cell r="AK332">
            <v>190475</v>
          </cell>
          <cell r="AL332">
            <v>634976</v>
          </cell>
          <cell r="AM332">
            <v>507982</v>
          </cell>
          <cell r="AN332">
            <v>114296</v>
          </cell>
          <cell r="AO332">
            <v>12700</v>
          </cell>
          <cell r="AP332">
            <v>1269954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634976</v>
          </cell>
          <cell r="AW332">
            <v>507982</v>
          </cell>
          <cell r="AX332">
            <v>114296</v>
          </cell>
          <cell r="AY332">
            <v>12700</v>
          </cell>
          <cell r="AZ332">
            <v>1269954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161258</v>
          </cell>
          <cell r="BG332">
            <v>129006</v>
          </cell>
          <cell r="BH332">
            <v>29026</v>
          </cell>
          <cell r="BI332">
            <v>3225</v>
          </cell>
          <cell r="BJ332">
            <v>322515</v>
          </cell>
          <cell r="BK332">
            <v>161258</v>
          </cell>
          <cell r="BL332">
            <v>129006</v>
          </cell>
          <cell r="BM332">
            <v>29026</v>
          </cell>
          <cell r="BN332">
            <v>3225</v>
          </cell>
          <cell r="BO332">
            <v>322515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451446</v>
          </cell>
          <cell r="BV332">
            <v>361157</v>
          </cell>
          <cell r="BW332">
            <v>81260</v>
          </cell>
          <cell r="BX332">
            <v>9029</v>
          </cell>
          <cell r="BY332">
            <v>902892</v>
          </cell>
          <cell r="BZ332">
            <v>451446</v>
          </cell>
          <cell r="CA332">
            <v>361157</v>
          </cell>
          <cell r="CB332">
            <v>81260</v>
          </cell>
          <cell r="CC332">
            <v>9029</v>
          </cell>
          <cell r="CD332">
            <v>902892</v>
          </cell>
        </row>
        <row r="333">
          <cell r="A333">
            <v>326</v>
          </cell>
          <cell r="B333" t="str">
            <v>E2701</v>
          </cell>
          <cell r="C333" t="str">
            <v>UA</v>
          </cell>
          <cell r="D333" t="str">
            <v>YH</v>
          </cell>
          <cell r="E333" t="str">
            <v>York UA</v>
          </cell>
          <cell r="F333">
            <v>41437088</v>
          </cell>
          <cell r="G333">
            <v>40608347</v>
          </cell>
          <cell r="H333">
            <v>0</v>
          </cell>
          <cell r="I333">
            <v>828742</v>
          </cell>
          <cell r="J333">
            <v>82874177</v>
          </cell>
          <cell r="K333">
            <v>0</v>
          </cell>
          <cell r="L333">
            <v>0</v>
          </cell>
          <cell r="M333">
            <v>41437088</v>
          </cell>
          <cell r="N333">
            <v>82874177</v>
          </cell>
          <cell r="O333">
            <v>295938</v>
          </cell>
          <cell r="P333">
            <v>295938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1881040.41</v>
          </cell>
          <cell r="AC333">
            <v>1843420</v>
          </cell>
          <cell r="AD333">
            <v>0</v>
          </cell>
          <cell r="AE333">
            <v>37621</v>
          </cell>
          <cell r="AF333">
            <v>3762081.41</v>
          </cell>
          <cell r="AG333">
            <v>615177.38</v>
          </cell>
          <cell r="AH333">
            <v>602875</v>
          </cell>
          <cell r="AI333">
            <v>0</v>
          </cell>
          <cell r="AJ333">
            <v>12304</v>
          </cell>
          <cell r="AK333">
            <v>1230356.3799999999</v>
          </cell>
          <cell r="AL333">
            <v>1232175.76</v>
          </cell>
          <cell r="AM333">
            <v>1207531</v>
          </cell>
          <cell r="AN333">
            <v>0</v>
          </cell>
          <cell r="AO333">
            <v>24643</v>
          </cell>
          <cell r="AP333">
            <v>2464349.7599999998</v>
          </cell>
          <cell r="AQ333">
            <v>-181907</v>
          </cell>
          <cell r="AR333">
            <v>-178268</v>
          </cell>
          <cell r="AS333">
            <v>0</v>
          </cell>
          <cell r="AT333">
            <v>-3638</v>
          </cell>
          <cell r="AU333">
            <v>-363813</v>
          </cell>
          <cell r="AV333">
            <v>1050268.76</v>
          </cell>
          <cell r="AW333">
            <v>1029263</v>
          </cell>
          <cell r="AX333">
            <v>0</v>
          </cell>
          <cell r="AY333">
            <v>21005</v>
          </cell>
          <cell r="AZ333">
            <v>2100536.7599999998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1636969</v>
          </cell>
          <cell r="BG333">
            <v>1604229</v>
          </cell>
          <cell r="BH333">
            <v>0</v>
          </cell>
          <cell r="BI333">
            <v>32739</v>
          </cell>
          <cell r="BJ333">
            <v>3273937</v>
          </cell>
          <cell r="BK333">
            <v>1636969</v>
          </cell>
          <cell r="BL333">
            <v>1604229</v>
          </cell>
          <cell r="BM333">
            <v>0</v>
          </cell>
          <cell r="BN333">
            <v>32739</v>
          </cell>
          <cell r="BO333">
            <v>3273937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4454227</v>
          </cell>
          <cell r="BV333">
            <v>4365143</v>
          </cell>
          <cell r="BW333">
            <v>0</v>
          </cell>
          <cell r="BX333">
            <v>89085</v>
          </cell>
          <cell r="BY333">
            <v>8908455</v>
          </cell>
          <cell r="BZ333">
            <v>4454227</v>
          </cell>
          <cell r="CA333">
            <v>4365143</v>
          </cell>
          <cell r="CB333">
            <v>0</v>
          </cell>
          <cell r="CC333">
            <v>89085</v>
          </cell>
          <cell r="CD333">
            <v>8908455</v>
          </cell>
        </row>
        <row r="334">
          <cell r="A334">
            <v>327</v>
          </cell>
          <cell r="D334" t="str">
            <v>E</v>
          </cell>
          <cell r="E334" t="str">
            <v>England</v>
          </cell>
          <cell r="F334">
            <v>10270685042</v>
          </cell>
          <cell r="G334">
            <v>8322006890</v>
          </cell>
          <cell r="H334">
            <v>1834529387</v>
          </cell>
          <cell r="I334">
            <v>114148756</v>
          </cell>
          <cell r="J334">
            <v>20541370075</v>
          </cell>
          <cell r="K334">
            <v>6849309</v>
          </cell>
          <cell r="L334">
            <v>6849309</v>
          </cell>
          <cell r="M334">
            <v>10263835733</v>
          </cell>
          <cell r="N334">
            <v>20534520766</v>
          </cell>
          <cell r="O334">
            <v>84126680</v>
          </cell>
          <cell r="P334">
            <v>84126680</v>
          </cell>
          <cell r="Q334">
            <v>2727861</v>
          </cell>
          <cell r="R334">
            <v>2727861</v>
          </cell>
          <cell r="S334">
            <v>1132971</v>
          </cell>
          <cell r="T334">
            <v>1132971</v>
          </cell>
          <cell r="U334">
            <v>3595456</v>
          </cell>
          <cell r="V334">
            <v>0</v>
          </cell>
          <cell r="W334">
            <v>3595456</v>
          </cell>
          <cell r="X334">
            <v>6672653</v>
          </cell>
          <cell r="Y334">
            <v>156733</v>
          </cell>
          <cell r="Z334">
            <v>19923</v>
          </cell>
          <cell r="AA334">
            <v>6849309</v>
          </cell>
          <cell r="AB334">
            <v>620348573.45000005</v>
          </cell>
          <cell r="AC334">
            <v>519923197</v>
          </cell>
          <cell r="AD334">
            <v>92604228</v>
          </cell>
          <cell r="AE334">
            <v>7821168</v>
          </cell>
          <cell r="AF334">
            <v>1240697166.2200003</v>
          </cell>
          <cell r="AG334">
            <v>235455300.57000005</v>
          </cell>
          <cell r="AH334">
            <v>185191252</v>
          </cell>
          <cell r="AI334">
            <v>47948229</v>
          </cell>
          <cell r="AJ334">
            <v>2315826</v>
          </cell>
          <cell r="AK334">
            <v>470910607.76000023</v>
          </cell>
          <cell r="AL334">
            <v>271252996.88999999</v>
          </cell>
          <cell r="AM334">
            <v>221180370</v>
          </cell>
          <cell r="AN334">
            <v>43692015</v>
          </cell>
          <cell r="AO334">
            <v>3548777</v>
          </cell>
          <cell r="AP334">
            <v>539674158.8599999</v>
          </cell>
          <cell r="AQ334">
            <v>45020933.070000008</v>
          </cell>
          <cell r="AR334">
            <v>37197612</v>
          </cell>
          <cell r="AS334">
            <v>7244735</v>
          </cell>
          <cell r="AT334">
            <v>516042</v>
          </cell>
          <cell r="AU334">
            <v>89979322.14000003</v>
          </cell>
          <cell r="AV334">
            <v>316273929.9199999</v>
          </cell>
          <cell r="AW334">
            <v>258377982</v>
          </cell>
          <cell r="AX334">
            <v>50936750</v>
          </cell>
          <cell r="AY334">
            <v>4064819</v>
          </cell>
          <cell r="AZ334">
            <v>629653480.92000043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239316919.66</v>
          </cell>
          <cell r="BG334">
            <v>195417867</v>
          </cell>
          <cell r="BH334">
            <v>41109826</v>
          </cell>
          <cell r="BI334">
            <v>2789211</v>
          </cell>
          <cell r="BJ334">
            <v>478633823.65999991</v>
          </cell>
          <cell r="BK334">
            <v>239316919.66</v>
          </cell>
          <cell r="BL334">
            <v>195417867</v>
          </cell>
          <cell r="BM334">
            <v>41109826</v>
          </cell>
          <cell r="BN334">
            <v>2789211</v>
          </cell>
          <cell r="BO334">
            <v>478633823.65999991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633074077.97000003</v>
          </cell>
          <cell r="BV334">
            <v>511325157</v>
          </cell>
          <cell r="BW334">
            <v>114953821</v>
          </cell>
          <cell r="BX334">
            <v>6795113</v>
          </cell>
          <cell r="BY334">
            <v>1266148168.8900003</v>
          </cell>
          <cell r="BZ334">
            <v>633074077.97000003</v>
          </cell>
          <cell r="CA334">
            <v>511325157</v>
          </cell>
          <cell r="CB334">
            <v>114953821</v>
          </cell>
          <cell r="CC334">
            <v>6795113</v>
          </cell>
          <cell r="CD334">
            <v>1266148168.8900003</v>
          </cell>
        </row>
        <row r="335">
          <cell r="A335">
            <v>328</v>
          </cell>
          <cell r="D335" t="str">
            <v>ILB</v>
          </cell>
          <cell r="E335" t="str">
            <v>Inner London Boroughs</v>
          </cell>
          <cell r="F335">
            <v>2054036181</v>
          </cell>
          <cell r="G335">
            <v>1232421708</v>
          </cell>
          <cell r="H335">
            <v>821614471</v>
          </cell>
          <cell r="I335">
            <v>0</v>
          </cell>
          <cell r="J335">
            <v>4108072360</v>
          </cell>
          <cell r="K335">
            <v>0</v>
          </cell>
          <cell r="L335">
            <v>0</v>
          </cell>
          <cell r="M335">
            <v>2054036181</v>
          </cell>
          <cell r="N335">
            <v>4108072360</v>
          </cell>
          <cell r="O335">
            <v>11553579</v>
          </cell>
          <cell r="P335">
            <v>11553579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60284</v>
          </cell>
          <cell r="V335">
            <v>0</v>
          </cell>
          <cell r="W335">
            <v>60284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96125732.900000006</v>
          </cell>
          <cell r="AC335">
            <v>57675441</v>
          </cell>
          <cell r="AD335">
            <v>38450297</v>
          </cell>
          <cell r="AE335">
            <v>0</v>
          </cell>
          <cell r="AF335">
            <v>192251470.90000001</v>
          </cell>
          <cell r="AG335">
            <v>58495170.899999999</v>
          </cell>
          <cell r="AH335">
            <v>35097104</v>
          </cell>
          <cell r="AI335">
            <v>23398069</v>
          </cell>
          <cell r="AJ335">
            <v>0</v>
          </cell>
          <cell r="AK335">
            <v>116990344</v>
          </cell>
          <cell r="AL335">
            <v>46646058.899999999</v>
          </cell>
          <cell r="AM335">
            <v>27987636</v>
          </cell>
          <cell r="AN335">
            <v>18658423</v>
          </cell>
          <cell r="AO335">
            <v>0</v>
          </cell>
          <cell r="AP335">
            <v>93292117.870000005</v>
          </cell>
          <cell r="AQ335">
            <v>7237661</v>
          </cell>
          <cell r="AR335">
            <v>4342600</v>
          </cell>
          <cell r="AS335">
            <v>2895065</v>
          </cell>
          <cell r="AT335">
            <v>0</v>
          </cell>
          <cell r="AU335">
            <v>14475326</v>
          </cell>
          <cell r="AV335">
            <v>53883719.869999997</v>
          </cell>
          <cell r="AW335">
            <v>32330236</v>
          </cell>
          <cell r="AX335">
            <v>21553488</v>
          </cell>
          <cell r="AY335">
            <v>0</v>
          </cell>
          <cell r="AZ335">
            <v>107767443.87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57481963.439999998</v>
          </cell>
          <cell r="BG335">
            <v>34489179</v>
          </cell>
          <cell r="BH335">
            <v>22992784</v>
          </cell>
          <cell r="BI335">
            <v>0</v>
          </cell>
          <cell r="BJ335">
            <v>114963926.44</v>
          </cell>
          <cell r="BK335">
            <v>57481963.439999998</v>
          </cell>
          <cell r="BL335">
            <v>34489179</v>
          </cell>
          <cell r="BM335">
            <v>22992784</v>
          </cell>
          <cell r="BN335">
            <v>0</v>
          </cell>
          <cell r="BO335">
            <v>114963926.44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171134465.25</v>
          </cell>
          <cell r="BV335">
            <v>102680679</v>
          </cell>
          <cell r="BW335">
            <v>68453784</v>
          </cell>
          <cell r="BX335">
            <v>0</v>
          </cell>
          <cell r="BY335">
            <v>342268928.25</v>
          </cell>
          <cell r="BZ335">
            <v>171134465.25</v>
          </cell>
          <cell r="CA335">
            <v>102680679</v>
          </cell>
          <cell r="CB335">
            <v>68453784</v>
          </cell>
          <cell r="CC335">
            <v>0</v>
          </cell>
          <cell r="CD335">
            <v>342268928.25</v>
          </cell>
        </row>
        <row r="336">
          <cell r="A336">
            <v>329</v>
          </cell>
          <cell r="D336" t="str">
            <v>OLB</v>
          </cell>
          <cell r="E336" t="str">
            <v>Outer London Boroughs</v>
          </cell>
          <cell r="F336">
            <v>931451670</v>
          </cell>
          <cell r="G336">
            <v>558871005</v>
          </cell>
          <cell r="H336">
            <v>372580672</v>
          </cell>
          <cell r="I336">
            <v>0</v>
          </cell>
          <cell r="J336">
            <v>1862903347</v>
          </cell>
          <cell r="K336">
            <v>101389</v>
          </cell>
          <cell r="L336">
            <v>101389</v>
          </cell>
          <cell r="M336">
            <v>931350281</v>
          </cell>
          <cell r="N336">
            <v>1862801958</v>
          </cell>
          <cell r="O336">
            <v>6844759</v>
          </cell>
          <cell r="P336">
            <v>6844759</v>
          </cell>
          <cell r="Q336">
            <v>173688</v>
          </cell>
          <cell r="R336">
            <v>173688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101389</v>
          </cell>
          <cell r="Y336">
            <v>0</v>
          </cell>
          <cell r="Z336">
            <v>0</v>
          </cell>
          <cell r="AA336">
            <v>101389</v>
          </cell>
          <cell r="AB336">
            <v>72439664.189999998</v>
          </cell>
          <cell r="AC336">
            <v>43463799</v>
          </cell>
          <cell r="AD336">
            <v>28975867</v>
          </cell>
          <cell r="AE336">
            <v>0</v>
          </cell>
          <cell r="AF336">
            <v>144879330.12</v>
          </cell>
          <cell r="AG336">
            <v>37322624.489999995</v>
          </cell>
          <cell r="AH336">
            <v>22393575</v>
          </cell>
          <cell r="AI336">
            <v>14929049</v>
          </cell>
          <cell r="AJ336">
            <v>0</v>
          </cell>
          <cell r="AK336">
            <v>74645248.469999999</v>
          </cell>
          <cell r="AL336">
            <v>25749705.420000002</v>
          </cell>
          <cell r="AM336">
            <v>15449825</v>
          </cell>
          <cell r="AN336">
            <v>10299883</v>
          </cell>
          <cell r="AO336">
            <v>0</v>
          </cell>
          <cell r="AP336">
            <v>51499413.420000002</v>
          </cell>
          <cell r="AQ336">
            <v>6085664.3399999999</v>
          </cell>
          <cell r="AR336">
            <v>3651400</v>
          </cell>
          <cell r="AS336">
            <v>2434265</v>
          </cell>
          <cell r="AT336">
            <v>0</v>
          </cell>
          <cell r="AU336">
            <v>12171329.34</v>
          </cell>
          <cell r="AV336">
            <v>31835369.759999998</v>
          </cell>
          <cell r="AW336">
            <v>19101225</v>
          </cell>
          <cell r="AX336">
            <v>12734148</v>
          </cell>
          <cell r="AY336">
            <v>0</v>
          </cell>
          <cell r="AZ336">
            <v>63670742.760000005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14489810.66</v>
          </cell>
          <cell r="BG336">
            <v>8693888</v>
          </cell>
          <cell r="BH336">
            <v>5795926</v>
          </cell>
          <cell r="BI336">
            <v>0</v>
          </cell>
          <cell r="BJ336">
            <v>28979624.66</v>
          </cell>
          <cell r="BK336">
            <v>14489810.66</v>
          </cell>
          <cell r="BL336">
            <v>8693888</v>
          </cell>
          <cell r="BM336">
            <v>5795926</v>
          </cell>
          <cell r="BN336">
            <v>0</v>
          </cell>
          <cell r="BO336">
            <v>28979624.66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38005431.359999999</v>
          </cell>
          <cell r="BV336">
            <v>22803259</v>
          </cell>
          <cell r="BW336">
            <v>15202175</v>
          </cell>
          <cell r="BX336">
            <v>0</v>
          </cell>
          <cell r="BY336">
            <v>76010865.359999999</v>
          </cell>
          <cell r="BZ336">
            <v>38005431.359999999</v>
          </cell>
          <cell r="CA336">
            <v>22803259</v>
          </cell>
          <cell r="CB336">
            <v>15202175</v>
          </cell>
          <cell r="CC336">
            <v>0</v>
          </cell>
          <cell r="CD336">
            <v>76010865.359999999</v>
          </cell>
        </row>
        <row r="337">
          <cell r="A337">
            <v>330</v>
          </cell>
          <cell r="D337" t="str">
            <v>Met</v>
          </cell>
          <cell r="E337" t="str">
            <v>Metropolitan Districts</v>
          </cell>
          <cell r="F337">
            <v>1791503789</v>
          </cell>
          <cell r="G337">
            <v>1755673714</v>
          </cell>
          <cell r="H337">
            <v>0</v>
          </cell>
          <cell r="I337">
            <v>35830078</v>
          </cell>
          <cell r="J337">
            <v>3583007581</v>
          </cell>
          <cell r="K337">
            <v>1394930</v>
          </cell>
          <cell r="L337">
            <v>1394930</v>
          </cell>
          <cell r="M337">
            <v>1790108859</v>
          </cell>
          <cell r="N337">
            <v>3581612651</v>
          </cell>
          <cell r="O337">
            <v>16816671</v>
          </cell>
          <cell r="P337">
            <v>16816671</v>
          </cell>
          <cell r="Q337">
            <v>1353287</v>
          </cell>
          <cell r="R337">
            <v>1353287</v>
          </cell>
          <cell r="S337">
            <v>1132971</v>
          </cell>
          <cell r="T337">
            <v>1132971</v>
          </cell>
          <cell r="U337">
            <v>188916</v>
          </cell>
          <cell r="V337">
            <v>0</v>
          </cell>
          <cell r="W337">
            <v>188916</v>
          </cell>
          <cell r="X337">
            <v>1394930</v>
          </cell>
          <cell r="Y337">
            <v>0</v>
          </cell>
          <cell r="Z337">
            <v>0</v>
          </cell>
          <cell r="AA337">
            <v>1394930</v>
          </cell>
          <cell r="AB337">
            <v>197067466.66</v>
          </cell>
          <cell r="AC337">
            <v>193126117</v>
          </cell>
          <cell r="AD337">
            <v>0</v>
          </cell>
          <cell r="AE337">
            <v>3941348</v>
          </cell>
          <cell r="AF337">
            <v>394134931.59000003</v>
          </cell>
          <cell r="AG337">
            <v>52698542.56000001</v>
          </cell>
          <cell r="AH337">
            <v>51644570</v>
          </cell>
          <cell r="AI337">
            <v>0</v>
          </cell>
          <cell r="AJ337">
            <v>1053970</v>
          </cell>
          <cell r="AK337">
            <v>105397082.56</v>
          </cell>
          <cell r="AL337">
            <v>79433825.709999993</v>
          </cell>
          <cell r="AM337">
            <v>75041617</v>
          </cell>
          <cell r="AN337">
            <v>0</v>
          </cell>
          <cell r="AO337">
            <v>1560358</v>
          </cell>
          <cell r="AP337">
            <v>156035800.71000001</v>
          </cell>
          <cell r="AQ337">
            <v>14924900.66</v>
          </cell>
          <cell r="AR337">
            <v>14595740</v>
          </cell>
          <cell r="AS337">
            <v>0</v>
          </cell>
          <cell r="AT337">
            <v>266586</v>
          </cell>
          <cell r="AU337">
            <v>29787226.66</v>
          </cell>
          <cell r="AV337">
            <v>94358726.370000005</v>
          </cell>
          <cell r="AW337">
            <v>89637357</v>
          </cell>
          <cell r="AX337">
            <v>0</v>
          </cell>
          <cell r="AY337">
            <v>1826944</v>
          </cell>
          <cell r="AZ337">
            <v>185823027.37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57427503.719999999</v>
          </cell>
          <cell r="BG337">
            <v>56278956</v>
          </cell>
          <cell r="BH337">
            <v>0</v>
          </cell>
          <cell r="BI337">
            <v>1148553</v>
          </cell>
          <cell r="BJ337">
            <v>114855012.72</v>
          </cell>
          <cell r="BK337">
            <v>57427503.719999999</v>
          </cell>
          <cell r="BL337">
            <v>56278956</v>
          </cell>
          <cell r="BM337">
            <v>0</v>
          </cell>
          <cell r="BN337">
            <v>1148553</v>
          </cell>
          <cell r="BO337">
            <v>114855012.72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143003595.78</v>
          </cell>
          <cell r="BV337">
            <v>140143524</v>
          </cell>
          <cell r="BW337">
            <v>0</v>
          </cell>
          <cell r="BX337">
            <v>2860072</v>
          </cell>
          <cell r="BY337">
            <v>286007191.69999999</v>
          </cell>
          <cell r="BZ337">
            <v>143003595.78</v>
          </cell>
          <cell r="CA337">
            <v>140143524</v>
          </cell>
          <cell r="CB337">
            <v>0</v>
          </cell>
          <cell r="CC337">
            <v>2860072</v>
          </cell>
          <cell r="CD337">
            <v>286007191.69999999</v>
          </cell>
        </row>
        <row r="338">
          <cell r="A338">
            <v>331</v>
          </cell>
          <cell r="D338" t="str">
            <v>UA</v>
          </cell>
          <cell r="E338" t="str">
            <v>Unitary Authorities</v>
          </cell>
          <cell r="F338">
            <v>2098163100</v>
          </cell>
          <cell r="G338">
            <v>2058616235</v>
          </cell>
          <cell r="H338">
            <v>0</v>
          </cell>
          <cell r="I338">
            <v>39546868</v>
          </cell>
          <cell r="J338">
            <v>4196326203</v>
          </cell>
          <cell r="K338">
            <v>995637</v>
          </cell>
          <cell r="L338">
            <v>995637</v>
          </cell>
          <cell r="M338">
            <v>2097167463</v>
          </cell>
          <cell r="N338">
            <v>4195330566</v>
          </cell>
          <cell r="O338">
            <v>17774280</v>
          </cell>
          <cell r="P338">
            <v>17774280</v>
          </cell>
          <cell r="Q338">
            <v>11720</v>
          </cell>
          <cell r="R338">
            <v>11720</v>
          </cell>
          <cell r="S338">
            <v>0</v>
          </cell>
          <cell r="T338">
            <v>0</v>
          </cell>
          <cell r="U338">
            <v>1652154</v>
          </cell>
          <cell r="V338">
            <v>0</v>
          </cell>
          <cell r="W338">
            <v>1652154</v>
          </cell>
          <cell r="X338">
            <v>993129</v>
          </cell>
          <cell r="Y338">
            <v>0</v>
          </cell>
          <cell r="Z338">
            <v>2508</v>
          </cell>
          <cell r="AA338">
            <v>995637</v>
          </cell>
          <cell r="AB338">
            <v>120807466.94000001</v>
          </cell>
          <cell r="AC338">
            <v>118531240</v>
          </cell>
          <cell r="AD338">
            <v>0</v>
          </cell>
          <cell r="AE338">
            <v>2276234</v>
          </cell>
          <cell r="AF338">
            <v>241614940.84999996</v>
          </cell>
          <cell r="AG338">
            <v>35830395.030000001</v>
          </cell>
          <cell r="AH338">
            <v>35169142</v>
          </cell>
          <cell r="AI338">
            <v>0</v>
          </cell>
          <cell r="AJ338">
            <v>661252</v>
          </cell>
          <cell r="AK338">
            <v>71660789.049999982</v>
          </cell>
          <cell r="AL338">
            <v>39511440.200000003</v>
          </cell>
          <cell r="AM338">
            <v>38771715</v>
          </cell>
          <cell r="AN338">
            <v>0</v>
          </cell>
          <cell r="AO338">
            <v>739725</v>
          </cell>
          <cell r="AP338">
            <v>79022880.200000018</v>
          </cell>
          <cell r="AQ338">
            <v>6540405.5799999982</v>
          </cell>
          <cell r="AR338">
            <v>6422020</v>
          </cell>
          <cell r="AS338">
            <v>0</v>
          </cell>
          <cell r="AT338">
            <v>118388</v>
          </cell>
          <cell r="AU338">
            <v>13080813.649999999</v>
          </cell>
          <cell r="AV338">
            <v>46051845.780000001</v>
          </cell>
          <cell r="AW338">
            <v>45193735</v>
          </cell>
          <cell r="AX338">
            <v>0</v>
          </cell>
          <cell r="AY338">
            <v>858113</v>
          </cell>
          <cell r="AZ338">
            <v>92103693.780000016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44359284.770000003</v>
          </cell>
          <cell r="BG338">
            <v>43509169</v>
          </cell>
          <cell r="BH338">
            <v>0</v>
          </cell>
          <cell r="BI338">
            <v>850115</v>
          </cell>
          <cell r="BJ338">
            <v>88718568.769999996</v>
          </cell>
          <cell r="BK338">
            <v>44359284.770000003</v>
          </cell>
          <cell r="BL338">
            <v>43509169</v>
          </cell>
          <cell r="BM338">
            <v>0</v>
          </cell>
          <cell r="BN338">
            <v>850115</v>
          </cell>
          <cell r="BO338">
            <v>88718568.769999996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115678534.14999999</v>
          </cell>
          <cell r="BV338">
            <v>113496052</v>
          </cell>
          <cell r="BW338">
            <v>0</v>
          </cell>
          <cell r="BX338">
            <v>2182483</v>
          </cell>
          <cell r="BY338">
            <v>231357069.15000001</v>
          </cell>
          <cell r="BZ338">
            <v>115678534.14999999</v>
          </cell>
          <cell r="CA338">
            <v>113496052</v>
          </cell>
          <cell r="CB338">
            <v>0</v>
          </cell>
          <cell r="CC338">
            <v>2182483</v>
          </cell>
          <cell r="CD338">
            <v>231357069.15000001</v>
          </cell>
        </row>
        <row r="339">
          <cell r="A339">
            <v>332</v>
          </cell>
          <cell r="D339" t="str">
            <v>SD</v>
          </cell>
          <cell r="E339" t="str">
            <v>Shire Districts</v>
          </cell>
          <cell r="F339">
            <v>3395530302</v>
          </cell>
          <cell r="G339">
            <v>2716424228</v>
          </cell>
          <cell r="H339">
            <v>640334244</v>
          </cell>
          <cell r="I339">
            <v>38771810</v>
          </cell>
          <cell r="J339">
            <v>6791060584</v>
          </cell>
          <cell r="K339">
            <v>4357353</v>
          </cell>
          <cell r="L339">
            <v>4357353</v>
          </cell>
          <cell r="M339">
            <v>3391172949</v>
          </cell>
          <cell r="N339">
            <v>6786703231</v>
          </cell>
          <cell r="O339">
            <v>31137391</v>
          </cell>
          <cell r="P339">
            <v>31137391</v>
          </cell>
          <cell r="Q339">
            <v>1189166</v>
          </cell>
          <cell r="R339">
            <v>1189166</v>
          </cell>
          <cell r="S339">
            <v>0</v>
          </cell>
          <cell r="T339">
            <v>0</v>
          </cell>
          <cell r="U339">
            <v>1694102</v>
          </cell>
          <cell r="V339">
            <v>0</v>
          </cell>
          <cell r="W339">
            <v>1694102</v>
          </cell>
          <cell r="X339">
            <v>4183205</v>
          </cell>
          <cell r="Y339">
            <v>156733</v>
          </cell>
          <cell r="Z339">
            <v>17415</v>
          </cell>
          <cell r="AA339">
            <v>4357353</v>
          </cell>
          <cell r="AB339">
            <v>133908242.76000001</v>
          </cell>
          <cell r="AC339">
            <v>107126600</v>
          </cell>
          <cell r="AD339">
            <v>25178064</v>
          </cell>
          <cell r="AE339">
            <v>1603586</v>
          </cell>
          <cell r="AF339">
            <v>267816492.76000002</v>
          </cell>
          <cell r="AG339">
            <v>51108567.590000018</v>
          </cell>
          <cell r="AH339">
            <v>40886861</v>
          </cell>
          <cell r="AI339">
            <v>9621111</v>
          </cell>
          <cell r="AJ339">
            <v>600604</v>
          </cell>
          <cell r="AK339">
            <v>102217143.67999996</v>
          </cell>
          <cell r="AL339">
            <v>79911966.659999996</v>
          </cell>
          <cell r="AM339">
            <v>63929577</v>
          </cell>
          <cell r="AN339">
            <v>14733709</v>
          </cell>
          <cell r="AO339">
            <v>1248694</v>
          </cell>
          <cell r="AP339">
            <v>159823946.65999997</v>
          </cell>
          <cell r="AQ339">
            <v>10232301.49</v>
          </cell>
          <cell r="AR339">
            <v>8185852</v>
          </cell>
          <cell r="AS339">
            <v>1915405</v>
          </cell>
          <cell r="AT339">
            <v>131068</v>
          </cell>
          <cell r="AU339">
            <v>20464626.490000002</v>
          </cell>
          <cell r="AV339">
            <v>90144268.139999986</v>
          </cell>
          <cell r="AW339">
            <v>72115429</v>
          </cell>
          <cell r="AX339">
            <v>16649114</v>
          </cell>
          <cell r="AY339">
            <v>1379762</v>
          </cell>
          <cell r="AZ339">
            <v>180288573.13999993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65558357.07</v>
          </cell>
          <cell r="BG339">
            <v>52446675</v>
          </cell>
          <cell r="BH339">
            <v>12321116</v>
          </cell>
          <cell r="BI339">
            <v>790543</v>
          </cell>
          <cell r="BJ339">
            <v>131116691.06999999</v>
          </cell>
          <cell r="BK339">
            <v>65558357.07</v>
          </cell>
          <cell r="BL339">
            <v>52446675</v>
          </cell>
          <cell r="BM339">
            <v>12321116</v>
          </cell>
          <cell r="BN339">
            <v>790543</v>
          </cell>
          <cell r="BO339">
            <v>131116691.06999999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165252051.43000001</v>
          </cell>
          <cell r="BV339">
            <v>132201643</v>
          </cell>
          <cell r="BW339">
            <v>31297862</v>
          </cell>
          <cell r="BX339">
            <v>1752558</v>
          </cell>
          <cell r="BY339">
            <v>330504114.43000001</v>
          </cell>
          <cell r="BZ339">
            <v>165252051.43000001</v>
          </cell>
          <cell r="CA339">
            <v>132201643</v>
          </cell>
          <cell r="CB339">
            <v>31297862</v>
          </cell>
          <cell r="CC339">
            <v>1752558</v>
          </cell>
          <cell r="CD339">
            <v>330504114.43000001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0"/>
  </sheetPr>
  <dimension ref="A1:NM140"/>
  <sheetViews>
    <sheetView showGridLines="0" tabSelected="1" zoomScaleNormal="100" zoomScaleSheetLayoutView="100" workbookViewId="0">
      <selection activeCell="K88" sqref="K88:L88"/>
    </sheetView>
  </sheetViews>
  <sheetFormatPr defaultRowHeight="15" x14ac:dyDescent="0.2"/>
  <cols>
    <col min="1" max="1" width="4.7109375" style="155" customWidth="1"/>
    <col min="2" max="2" width="1.7109375" style="8" customWidth="1"/>
    <col min="3" max="3" width="13.28515625" style="8" bestFit="1" customWidth="1"/>
    <col min="4" max="8" width="9.140625" style="8"/>
    <col min="9" max="9" width="13" style="8" bestFit="1" customWidth="1"/>
    <col min="10" max="10" width="3.7109375" style="8" customWidth="1"/>
    <col min="11" max="12" width="8.7109375" style="8" customWidth="1"/>
    <col min="13" max="13" width="3.7109375" style="8" customWidth="1"/>
    <col min="14" max="15" width="10.28515625" style="8" customWidth="1"/>
    <col min="16" max="16" width="3.7109375" style="8" customWidth="1"/>
    <col min="17" max="18" width="10.28515625" style="8" customWidth="1"/>
    <col min="19" max="19" width="3.7109375" style="8" customWidth="1"/>
    <col min="20" max="21" width="10.28515625" style="8" customWidth="1"/>
    <col min="22" max="22" width="3.7109375" style="8" customWidth="1"/>
    <col min="23" max="24" width="8.7109375" style="8" customWidth="1"/>
    <col min="25" max="25" width="1.5703125" style="8" customWidth="1"/>
    <col min="26" max="26" width="1.7109375" style="8" customWidth="1"/>
    <col min="27" max="27" width="10.140625" style="235" bestFit="1" customWidth="1"/>
    <col min="28" max="16384" width="9.140625" style="8"/>
  </cols>
  <sheetData>
    <row r="1" spans="1:27" x14ac:dyDescent="0.2">
      <c r="A1" s="151"/>
      <c r="B1" s="13"/>
      <c r="C1" s="13"/>
      <c r="D1" s="13"/>
      <c r="E1" s="13"/>
      <c r="F1" s="57">
        <v>327</v>
      </c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640"/>
      <c r="S1" s="640"/>
      <c r="T1" s="13"/>
      <c r="U1" s="13"/>
      <c r="V1" s="13"/>
      <c r="W1" s="13"/>
      <c r="X1" s="13"/>
      <c r="Y1" s="13"/>
      <c r="Z1" s="167"/>
    </row>
    <row r="2" spans="1:27" x14ac:dyDescent="0.2">
      <c r="A2" s="152"/>
      <c r="B2" s="32"/>
      <c r="C2" s="32"/>
      <c r="D2" s="32"/>
      <c r="E2" s="32"/>
      <c r="F2" s="121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57"/>
      <c r="S2" s="357"/>
      <c r="T2" s="32"/>
      <c r="U2" s="32"/>
      <c r="V2" s="32"/>
      <c r="W2" s="32"/>
      <c r="X2" s="32"/>
      <c r="Y2" s="32"/>
      <c r="Z2" s="168"/>
    </row>
    <row r="3" spans="1:27" ht="20.25" x14ac:dyDescent="0.3">
      <c r="A3" s="641" t="s">
        <v>583</v>
      </c>
      <c r="B3" s="642"/>
      <c r="C3" s="642"/>
      <c r="D3" s="642"/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R3" s="642"/>
      <c r="S3" s="642"/>
      <c r="T3" s="642"/>
      <c r="U3" s="642"/>
      <c r="V3" s="642"/>
      <c r="W3" s="642"/>
      <c r="X3" s="642"/>
      <c r="Y3" s="642"/>
      <c r="Z3" s="643"/>
    </row>
    <row r="4" spans="1:27" ht="20.25" x14ac:dyDescent="0.3">
      <c r="A4" s="641" t="s">
        <v>835</v>
      </c>
      <c r="B4" s="642"/>
      <c r="C4" s="642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  <c r="S4" s="642"/>
      <c r="T4" s="642"/>
      <c r="U4" s="642"/>
      <c r="V4" s="642"/>
      <c r="W4" s="642"/>
      <c r="X4" s="642"/>
      <c r="Y4" s="642"/>
      <c r="Z4" s="643"/>
    </row>
    <row r="5" spans="1:27" x14ac:dyDescent="0.2">
      <c r="A5" s="644"/>
      <c r="B5" s="645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5"/>
      <c r="Z5" s="646"/>
    </row>
    <row r="6" spans="1:27" ht="15.75" thickBot="1" x14ac:dyDescent="0.25">
      <c r="A6" s="651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  <c r="V6" s="652"/>
      <c r="W6" s="652"/>
      <c r="X6" s="652"/>
      <c r="Y6" s="652"/>
      <c r="Z6" s="653"/>
    </row>
    <row r="7" spans="1:27" x14ac:dyDescent="0.2">
      <c r="A7" s="151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67"/>
    </row>
    <row r="8" spans="1:27" x14ac:dyDescent="0.2">
      <c r="A8" s="152"/>
      <c r="B8" s="32"/>
      <c r="C8" s="32"/>
      <c r="D8" s="32"/>
      <c r="E8" s="650" t="s">
        <v>494</v>
      </c>
      <c r="F8" s="650"/>
      <c r="G8" s="650"/>
      <c r="H8" s="650"/>
      <c r="I8" s="650"/>
      <c r="J8" s="650"/>
      <c r="K8" s="32"/>
      <c r="L8" s="28"/>
      <c r="M8" s="28"/>
      <c r="N8" s="28"/>
      <c r="O8" s="29"/>
      <c r="P8" s="32"/>
      <c r="Q8" s="32"/>
      <c r="R8" s="32"/>
      <c r="S8" s="32"/>
      <c r="T8" s="32"/>
      <c r="U8" s="32"/>
      <c r="V8" s="32"/>
      <c r="W8" s="32"/>
      <c r="X8" s="32"/>
      <c r="Y8" s="32"/>
      <c r="Z8" s="168"/>
    </row>
    <row r="9" spans="1:27" x14ac:dyDescent="0.2">
      <c r="A9" s="152"/>
      <c r="B9" s="32"/>
      <c r="C9" s="32"/>
      <c r="D9" s="32"/>
      <c r="E9" s="32"/>
      <c r="F9" s="29"/>
      <c r="G9" s="29"/>
      <c r="H9" s="29"/>
      <c r="I9" s="29"/>
      <c r="J9" s="29"/>
      <c r="K9" s="29"/>
      <c r="L9" s="28"/>
      <c r="M9" s="28"/>
      <c r="N9" s="28"/>
      <c r="O9" s="29"/>
      <c r="P9" s="32"/>
      <c r="Q9" s="32"/>
      <c r="R9" s="32"/>
      <c r="S9" s="32"/>
      <c r="T9" s="32"/>
      <c r="U9" s="32"/>
      <c r="V9" s="32"/>
      <c r="W9" s="32"/>
      <c r="X9" s="32"/>
      <c r="Y9" s="32"/>
      <c r="Z9" s="168"/>
      <c r="AA9" s="237"/>
    </row>
    <row r="10" spans="1:27" x14ac:dyDescent="0.2">
      <c r="A10" s="152"/>
      <c r="B10" s="32"/>
      <c r="C10" s="32"/>
      <c r="D10" s="32"/>
      <c r="E10" s="32"/>
      <c r="F10" s="30"/>
      <c r="G10" s="30"/>
      <c r="H10" s="30"/>
      <c r="I10" s="30"/>
      <c r="J10" s="30"/>
      <c r="K10" s="30"/>
      <c r="L10" s="31"/>
      <c r="M10" s="31"/>
      <c r="N10" s="31"/>
      <c r="O10" s="30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168"/>
    </row>
    <row r="11" spans="1:27" ht="15.75" thickBot="1" x14ac:dyDescent="0.25">
      <c r="A11" s="15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53"/>
      <c r="X11" s="64"/>
      <c r="Y11" s="33"/>
      <c r="Z11" s="169"/>
    </row>
    <row r="12" spans="1:27" x14ac:dyDescent="0.2">
      <c r="A12" s="154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170"/>
    </row>
    <row r="13" spans="1:27" ht="15.75" x14ac:dyDescent="0.2">
      <c r="A13" s="256"/>
      <c r="B13" s="649" t="s">
        <v>33</v>
      </c>
      <c r="C13" s="649"/>
      <c r="D13" s="649"/>
      <c r="E13" s="649"/>
      <c r="F13" s="649"/>
      <c r="G13" s="654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170"/>
    </row>
    <row r="14" spans="1:27" ht="16.5" thickBot="1" x14ac:dyDescent="0.3">
      <c r="A14" s="256"/>
      <c r="B14" s="360" t="s">
        <v>589</v>
      </c>
      <c r="C14" s="58"/>
      <c r="D14" s="58"/>
      <c r="E14" s="58"/>
      <c r="F14" s="58"/>
      <c r="G14" s="58"/>
      <c r="H14" s="58"/>
      <c r="I14" s="9"/>
      <c r="J14" s="647" t="s">
        <v>555</v>
      </c>
      <c r="K14" s="647"/>
      <c r="L14" s="9"/>
      <c r="M14" s="9"/>
      <c r="N14" s="9"/>
      <c r="O14" s="9"/>
      <c r="P14" s="9"/>
      <c r="Q14" s="358"/>
      <c r="R14" s="9"/>
      <c r="S14" s="9"/>
      <c r="T14" s="9"/>
      <c r="U14" s="9"/>
      <c r="V14" s="9"/>
      <c r="W14" s="9"/>
      <c r="X14" s="9"/>
      <c r="Y14" s="9"/>
      <c r="Z14" s="170"/>
    </row>
    <row r="15" spans="1:27" ht="16.5" customHeight="1" thickBot="1" x14ac:dyDescent="0.25">
      <c r="A15" s="256"/>
      <c r="B15" s="648" t="s">
        <v>597</v>
      </c>
      <c r="C15" s="636"/>
      <c r="D15" s="636"/>
      <c r="E15" s="636"/>
      <c r="F15" s="636"/>
      <c r="G15" s="636"/>
      <c r="H15" s="636"/>
      <c r="I15" s="9"/>
      <c r="J15" s="655">
        <f>VLOOKUP($F$1,Part1,6,FALSE)</f>
        <v>23670819562.180698</v>
      </c>
      <c r="K15" s="656"/>
      <c r="L15" s="618"/>
      <c r="M15" s="9"/>
      <c r="N15" s="51"/>
      <c r="O15" s="49"/>
      <c r="P15" s="49"/>
      <c r="Q15" s="50"/>
      <c r="R15" s="48"/>
      <c r="S15" s="48"/>
      <c r="T15" s="48"/>
      <c r="U15" s="48"/>
      <c r="V15" s="48"/>
      <c r="W15" s="48"/>
      <c r="X15" s="2"/>
      <c r="Y15" s="2"/>
      <c r="Z15" s="170"/>
    </row>
    <row r="16" spans="1:27" ht="15.75" x14ac:dyDescent="0.2">
      <c r="A16" s="256"/>
      <c r="B16" s="648"/>
      <c r="C16" s="636"/>
      <c r="D16" s="636"/>
      <c r="E16" s="636"/>
      <c r="F16" s="636"/>
      <c r="G16" s="636"/>
      <c r="H16" s="636"/>
      <c r="I16" s="48"/>
      <c r="J16" s="48"/>
      <c r="K16" s="48"/>
      <c r="L16" s="48"/>
      <c r="M16" s="9"/>
      <c r="N16" s="51"/>
      <c r="O16" s="49"/>
      <c r="P16" s="49"/>
      <c r="Q16" s="50"/>
      <c r="R16" s="48"/>
      <c r="S16" s="48"/>
      <c r="T16" s="48"/>
      <c r="U16" s="48"/>
      <c r="V16" s="48"/>
      <c r="W16" s="48"/>
      <c r="X16" s="9"/>
      <c r="Y16" s="9"/>
      <c r="Z16" s="170"/>
    </row>
    <row r="17" spans="1:26" x14ac:dyDescent="0.2">
      <c r="A17" s="256"/>
      <c r="B17" s="636"/>
      <c r="C17" s="636"/>
      <c r="D17" s="636"/>
      <c r="E17" s="636"/>
      <c r="F17" s="636"/>
      <c r="G17" s="636"/>
      <c r="H17" s="636"/>
      <c r="I17" s="9"/>
      <c r="J17" s="48"/>
      <c r="K17" s="48"/>
      <c r="L17" s="48"/>
      <c r="M17" s="48"/>
      <c r="N17" s="51"/>
      <c r="O17" s="49"/>
      <c r="P17" s="49"/>
      <c r="Q17" s="49"/>
      <c r="R17" s="48"/>
      <c r="S17" s="48"/>
      <c r="T17" s="48"/>
      <c r="U17" s="48"/>
      <c r="V17" s="48"/>
      <c r="W17" s="48"/>
      <c r="X17" s="9"/>
      <c r="Y17" s="9"/>
      <c r="Z17" s="170"/>
    </row>
    <row r="18" spans="1:26" x14ac:dyDescent="0.2">
      <c r="A18" s="256"/>
      <c r="B18" s="636"/>
      <c r="C18" s="636"/>
      <c r="D18" s="636"/>
      <c r="E18" s="636"/>
      <c r="F18" s="636"/>
      <c r="G18" s="636"/>
      <c r="H18" s="636"/>
      <c r="I18" s="9"/>
      <c r="J18" s="48"/>
      <c r="K18" s="48"/>
      <c r="L18" s="48"/>
      <c r="M18" s="48"/>
      <c r="N18" s="51"/>
      <c r="O18" s="49"/>
      <c r="P18" s="49"/>
      <c r="Q18" s="49"/>
      <c r="R18" s="48"/>
      <c r="S18" s="48"/>
      <c r="T18" s="48"/>
      <c r="U18" s="48"/>
      <c r="V18" s="48"/>
      <c r="W18" s="48"/>
      <c r="X18" s="9"/>
      <c r="Y18" s="9"/>
      <c r="Z18" s="170"/>
    </row>
    <row r="19" spans="1:26" x14ac:dyDescent="0.2">
      <c r="A19" s="256"/>
      <c r="B19" s="58"/>
      <c r="C19" s="58"/>
      <c r="D19" s="58"/>
      <c r="E19" s="58"/>
      <c r="F19" s="58"/>
      <c r="G19" s="58"/>
      <c r="H19" s="58"/>
      <c r="I19" s="11"/>
      <c r="J19" s="48"/>
      <c r="K19" s="48"/>
      <c r="L19" s="48"/>
      <c r="M19" s="48"/>
      <c r="N19" s="51"/>
      <c r="O19" s="49"/>
      <c r="P19" s="49"/>
      <c r="Q19" s="49"/>
      <c r="R19" s="48"/>
      <c r="S19" s="48"/>
      <c r="T19" s="48"/>
      <c r="U19" s="48"/>
      <c r="V19" s="48"/>
      <c r="W19" s="48"/>
      <c r="X19" s="9"/>
      <c r="Y19" s="9"/>
      <c r="Z19" s="170"/>
    </row>
    <row r="20" spans="1:26" ht="16.5" thickBot="1" x14ac:dyDescent="0.25">
      <c r="A20" s="256"/>
      <c r="B20" s="649" t="s">
        <v>590</v>
      </c>
      <c r="C20" s="649"/>
      <c r="D20" s="649"/>
      <c r="E20" s="649"/>
      <c r="F20" s="649"/>
      <c r="G20" s="649"/>
      <c r="H20" s="649"/>
      <c r="I20" s="9"/>
      <c r="J20" s="333"/>
      <c r="K20" s="333"/>
      <c r="L20" s="333"/>
      <c r="M20" s="48"/>
      <c r="N20" s="51"/>
      <c r="O20" s="49"/>
      <c r="P20" s="49"/>
      <c r="Q20" s="49"/>
      <c r="R20" s="48"/>
      <c r="S20" s="48"/>
      <c r="T20" s="48"/>
      <c r="U20" s="48"/>
      <c r="V20" s="48"/>
      <c r="W20" s="48"/>
      <c r="X20" s="9"/>
      <c r="Y20" s="9"/>
      <c r="Z20" s="170"/>
    </row>
    <row r="21" spans="1:26" ht="16.5" thickBot="1" x14ac:dyDescent="0.25">
      <c r="A21" s="256"/>
      <c r="B21" s="58" t="s">
        <v>556</v>
      </c>
      <c r="C21" s="58"/>
      <c r="D21" s="58"/>
      <c r="E21" s="58"/>
      <c r="F21" s="58"/>
      <c r="G21" s="58"/>
      <c r="H21" s="58"/>
      <c r="I21" s="9"/>
      <c r="J21" s="616">
        <f>VLOOKUP($F$1,Part1,7,FALSE)</f>
        <v>0</v>
      </c>
      <c r="K21" s="617"/>
      <c r="L21" s="618"/>
      <c r="M21" s="48"/>
      <c r="N21" s="51"/>
      <c r="O21" s="49"/>
      <c r="P21" s="49"/>
      <c r="Q21" s="49"/>
      <c r="R21" s="48"/>
      <c r="S21" s="48"/>
      <c r="T21" s="48"/>
      <c r="U21" s="48"/>
      <c r="V21" s="48"/>
      <c r="W21" s="48"/>
      <c r="X21" s="2"/>
      <c r="Y21" s="2"/>
      <c r="Z21" s="170"/>
    </row>
    <row r="22" spans="1:26" ht="15.75" thickBot="1" x14ac:dyDescent="0.25">
      <c r="A22" s="256"/>
      <c r="B22" s="58"/>
      <c r="C22" s="58"/>
      <c r="D22" s="58"/>
      <c r="E22" s="58"/>
      <c r="F22" s="58"/>
      <c r="G22" s="58"/>
      <c r="H22" s="58"/>
      <c r="I22" s="9"/>
      <c r="J22" s="333"/>
      <c r="K22" s="333"/>
      <c r="L22" s="333"/>
      <c r="M22" s="48"/>
      <c r="N22" s="51"/>
      <c r="O22" s="49"/>
      <c r="P22" s="49"/>
      <c r="Q22" s="49"/>
      <c r="R22" s="48"/>
      <c r="S22" s="48"/>
      <c r="T22" s="48"/>
      <c r="U22" s="48"/>
      <c r="V22" s="48"/>
      <c r="W22" s="48"/>
      <c r="X22" s="9"/>
      <c r="Y22" s="9"/>
      <c r="Z22" s="170"/>
    </row>
    <row r="23" spans="1:26" ht="16.5" thickBot="1" x14ac:dyDescent="0.25">
      <c r="A23" s="256"/>
      <c r="B23" s="58" t="s">
        <v>557</v>
      </c>
      <c r="C23" s="58"/>
      <c r="D23" s="58"/>
      <c r="E23" s="58"/>
      <c r="F23" s="58"/>
      <c r="G23" s="58"/>
      <c r="H23" s="58"/>
      <c r="I23" s="9"/>
      <c r="J23" s="616">
        <f>VLOOKUP($F$1,Part1,8,FALSE)</f>
        <v>0</v>
      </c>
      <c r="K23" s="617"/>
      <c r="L23" s="618"/>
      <c r="M23" s="48"/>
      <c r="N23" s="51"/>
      <c r="O23" s="49"/>
      <c r="P23" s="49"/>
      <c r="Q23" s="49"/>
      <c r="R23" s="48"/>
      <c r="S23" s="48"/>
      <c r="T23" s="48"/>
      <c r="U23" s="48"/>
      <c r="V23" s="48"/>
      <c r="W23" s="48"/>
      <c r="X23" s="2"/>
      <c r="Y23" s="2"/>
      <c r="Z23" s="170"/>
    </row>
    <row r="24" spans="1:26" x14ac:dyDescent="0.2">
      <c r="A24" s="256"/>
      <c r="B24" s="58"/>
      <c r="C24" s="58"/>
      <c r="D24" s="58"/>
      <c r="E24" s="58"/>
      <c r="F24" s="58"/>
      <c r="G24" s="58"/>
      <c r="H24" s="58"/>
      <c r="I24" s="9"/>
      <c r="J24" s="48"/>
      <c r="K24" s="48"/>
      <c r="L24" s="48"/>
      <c r="M24" s="48"/>
      <c r="N24" s="51"/>
      <c r="O24" s="49"/>
      <c r="P24" s="49"/>
      <c r="Q24" s="49"/>
      <c r="R24" s="48"/>
      <c r="S24" s="48"/>
      <c r="T24" s="48"/>
      <c r="U24" s="48"/>
      <c r="V24" s="48"/>
      <c r="W24" s="48"/>
      <c r="X24" s="9"/>
      <c r="Y24" s="9"/>
      <c r="Z24" s="170"/>
    </row>
    <row r="25" spans="1:26" ht="16.5" thickBot="1" x14ac:dyDescent="0.25">
      <c r="A25" s="256"/>
      <c r="B25" s="360" t="s">
        <v>811</v>
      </c>
      <c r="C25" s="360"/>
      <c r="D25" s="360"/>
      <c r="E25" s="360"/>
      <c r="F25" s="58"/>
      <c r="G25" s="58"/>
      <c r="H25" s="58"/>
      <c r="I25" s="9"/>
      <c r="J25" s="333"/>
      <c r="K25" s="333"/>
      <c r="L25" s="333"/>
      <c r="M25" s="67"/>
      <c r="N25" s="248"/>
      <c r="O25" s="49"/>
      <c r="P25" s="49"/>
      <c r="Q25" s="49"/>
      <c r="R25" s="48"/>
      <c r="S25" s="48"/>
      <c r="T25" s="48"/>
      <c r="U25" s="48"/>
      <c r="V25" s="48"/>
      <c r="W25" s="48"/>
      <c r="X25" s="9"/>
      <c r="Y25" s="9"/>
      <c r="Z25" s="170"/>
    </row>
    <row r="26" spans="1:26" ht="16.5" thickBot="1" x14ac:dyDescent="0.25">
      <c r="A26" s="256"/>
      <c r="B26" s="58" t="s">
        <v>575</v>
      </c>
      <c r="C26" s="58"/>
      <c r="D26" s="58"/>
      <c r="E26" s="58"/>
      <c r="F26" s="58"/>
      <c r="G26" s="58"/>
      <c r="H26" s="58"/>
      <c r="I26" s="9"/>
      <c r="J26" s="616">
        <f>VLOOKUP($F$1,Part1,9,FALSE)</f>
        <v>84000006</v>
      </c>
      <c r="K26" s="617"/>
      <c r="L26" s="618"/>
      <c r="M26" s="48"/>
      <c r="N26" s="51"/>
      <c r="O26" s="49"/>
      <c r="P26" s="49"/>
      <c r="Q26" s="49"/>
      <c r="R26" s="48"/>
      <c r="S26" s="48"/>
      <c r="T26" s="48"/>
      <c r="U26" s="48"/>
      <c r="V26" s="48"/>
      <c r="W26" s="48"/>
      <c r="X26" s="2"/>
      <c r="Y26" s="2"/>
      <c r="Z26" s="170"/>
    </row>
    <row r="27" spans="1:26" ht="15.75" thickBot="1" x14ac:dyDescent="0.25">
      <c r="A27" s="256"/>
      <c r="B27" s="58"/>
      <c r="C27" s="58"/>
      <c r="D27" s="58"/>
      <c r="E27" s="58"/>
      <c r="F27" s="58"/>
      <c r="G27" s="58"/>
      <c r="H27" s="58"/>
      <c r="I27" s="9"/>
      <c r="J27" s="333"/>
      <c r="K27" s="333"/>
      <c r="L27" s="333"/>
      <c r="M27" s="48"/>
      <c r="N27" s="51"/>
      <c r="O27" s="49"/>
      <c r="P27" s="49"/>
      <c r="Q27" s="49"/>
      <c r="R27" s="48"/>
      <c r="S27" s="48"/>
      <c r="T27" s="48"/>
      <c r="U27" s="48"/>
      <c r="V27" s="48"/>
      <c r="W27" s="48"/>
      <c r="X27" s="9"/>
      <c r="Y27" s="9"/>
      <c r="Z27" s="170"/>
    </row>
    <row r="28" spans="1:26" ht="16.5" thickBot="1" x14ac:dyDescent="0.25">
      <c r="A28" s="256"/>
      <c r="B28" s="58" t="s">
        <v>573</v>
      </c>
      <c r="C28" s="58"/>
      <c r="D28" s="58"/>
      <c r="E28" s="58"/>
      <c r="F28" s="58"/>
      <c r="G28" s="58"/>
      <c r="H28" s="58"/>
      <c r="I28" s="9"/>
      <c r="J28" s="616">
        <f>VLOOKUP($F$1,Part1,10,FALSE)</f>
        <v>146477</v>
      </c>
      <c r="K28" s="619"/>
      <c r="L28" s="618"/>
      <c r="M28" s="48"/>
      <c r="N28" s="51"/>
      <c r="O28" s="49"/>
      <c r="P28" s="49"/>
      <c r="Q28" s="49"/>
      <c r="R28" s="48"/>
      <c r="S28" s="48"/>
      <c r="T28" s="48"/>
      <c r="U28" s="48"/>
      <c r="V28" s="48"/>
      <c r="W28" s="48"/>
      <c r="X28" s="2"/>
      <c r="Y28" s="2"/>
      <c r="Z28" s="170"/>
    </row>
    <row r="29" spans="1:26" ht="15.75" thickBot="1" x14ac:dyDescent="0.25">
      <c r="A29" s="256"/>
      <c r="B29" s="58"/>
      <c r="C29" s="58"/>
      <c r="D29" s="58"/>
      <c r="E29" s="58"/>
      <c r="F29" s="58"/>
      <c r="G29" s="58"/>
      <c r="H29" s="58"/>
      <c r="I29" s="9"/>
      <c r="J29" s="333"/>
      <c r="K29" s="333"/>
      <c r="L29" s="333"/>
      <c r="M29" s="48"/>
      <c r="N29" s="51"/>
      <c r="O29" s="49"/>
      <c r="P29" s="49"/>
      <c r="Q29" s="49"/>
      <c r="R29" s="48"/>
      <c r="S29" s="48"/>
      <c r="T29" s="48"/>
      <c r="U29" s="48"/>
      <c r="V29" s="48"/>
      <c r="W29" s="48"/>
      <c r="X29" s="9"/>
      <c r="Y29" s="9"/>
      <c r="Z29" s="170"/>
    </row>
    <row r="30" spans="1:26" ht="16.5" thickBot="1" x14ac:dyDescent="0.25">
      <c r="A30" s="256"/>
      <c r="B30" s="58" t="s">
        <v>574</v>
      </c>
      <c r="C30" s="58"/>
      <c r="D30" s="58"/>
      <c r="E30" s="58"/>
      <c r="F30" s="58"/>
      <c r="G30" s="58"/>
      <c r="H30" s="58"/>
      <c r="I30" s="9"/>
      <c r="J30" s="616">
        <f>VLOOKUP($F$1,Part1,11,FALSE)</f>
        <v>84146483</v>
      </c>
      <c r="K30" s="617"/>
      <c r="L30" s="618"/>
      <c r="M30" s="48"/>
      <c r="N30" s="51"/>
      <c r="O30" s="49"/>
      <c r="P30" s="49"/>
      <c r="Q30" s="49"/>
      <c r="R30" s="48"/>
      <c r="S30" s="48"/>
      <c r="T30" s="48"/>
      <c r="U30" s="48"/>
      <c r="V30" s="48"/>
      <c r="W30" s="48"/>
      <c r="X30" s="2"/>
      <c r="Y30" s="2"/>
      <c r="Z30" s="170"/>
    </row>
    <row r="31" spans="1:26" ht="15.75" x14ac:dyDescent="0.2">
      <c r="A31" s="256"/>
      <c r="B31" s="58"/>
      <c r="C31" s="58"/>
      <c r="D31" s="58"/>
      <c r="E31" s="58"/>
      <c r="F31" s="58"/>
      <c r="G31" s="58"/>
      <c r="H31" s="58"/>
      <c r="I31" s="9"/>
      <c r="J31" s="59"/>
      <c r="K31" s="48"/>
      <c r="L31" s="48"/>
      <c r="M31" s="48"/>
      <c r="N31" s="51"/>
      <c r="O31" s="49"/>
      <c r="P31" s="49"/>
      <c r="Q31" s="49"/>
      <c r="R31" s="48"/>
      <c r="S31" s="48"/>
      <c r="T31" s="48"/>
      <c r="U31" s="48"/>
      <c r="V31" s="48"/>
      <c r="W31" s="48"/>
      <c r="X31" s="9"/>
      <c r="Y31" s="9"/>
      <c r="Z31" s="170"/>
    </row>
    <row r="32" spans="1:26" ht="16.5" thickBot="1" x14ac:dyDescent="0.25">
      <c r="A32" s="256"/>
      <c r="B32" s="360" t="s">
        <v>576</v>
      </c>
      <c r="C32" s="58"/>
      <c r="D32" s="58"/>
      <c r="E32" s="58"/>
      <c r="F32" s="58"/>
      <c r="G32" s="58"/>
      <c r="H32" s="58"/>
      <c r="I32" s="9"/>
      <c r="J32" s="333"/>
      <c r="K32" s="333"/>
      <c r="L32" s="48"/>
      <c r="M32" s="67"/>
      <c r="N32" s="51"/>
      <c r="O32" s="49"/>
      <c r="P32" s="49"/>
      <c r="Q32" s="49"/>
      <c r="R32" s="48"/>
      <c r="S32" s="48"/>
      <c r="T32" s="48"/>
      <c r="U32" s="48"/>
      <c r="V32" s="48"/>
      <c r="W32" s="48"/>
      <c r="X32" s="9"/>
      <c r="Y32" s="9"/>
      <c r="Z32" s="170"/>
    </row>
    <row r="33" spans="1:27" s="336" customFormat="1" ht="16.5" thickBot="1" x14ac:dyDescent="0.25">
      <c r="A33" s="302"/>
      <c r="B33" s="296" t="str">
        <f>+IF($L$17="E5010","7. City of London Offset","7. City of London Offset : Not applicable for your authority")</f>
        <v>7. City of London Offset : Not applicable for your authority</v>
      </c>
      <c r="C33" s="58"/>
      <c r="D33" s="58"/>
      <c r="E33" s="58"/>
      <c r="F33" s="58"/>
      <c r="G33" s="58"/>
      <c r="H33" s="58"/>
      <c r="I33" s="296"/>
      <c r="J33" s="616">
        <f>VLOOKUP($F$1,Part1,12,FALSE)</f>
        <v>11039000</v>
      </c>
      <c r="K33" s="617"/>
      <c r="L33" s="618"/>
      <c r="M33" s="250"/>
      <c r="N33" s="337"/>
      <c r="O33" s="353"/>
      <c r="P33" s="353"/>
      <c r="Q33" s="353"/>
      <c r="R33" s="250"/>
      <c r="S33" s="250"/>
      <c r="T33" s="250"/>
      <c r="U33" s="250"/>
      <c r="V33" s="250"/>
      <c r="W33" s="250"/>
      <c r="X33" s="296"/>
      <c r="Y33" s="296"/>
      <c r="Z33" s="334"/>
      <c r="AA33" s="335"/>
    </row>
    <row r="34" spans="1:27" x14ac:dyDescent="0.2">
      <c r="A34" s="256"/>
      <c r="B34" s="58"/>
      <c r="C34" s="58"/>
      <c r="D34" s="58"/>
      <c r="E34" s="58"/>
      <c r="F34" s="58"/>
      <c r="G34" s="58"/>
      <c r="H34" s="58"/>
      <c r="I34" s="9"/>
      <c r="J34" s="48"/>
      <c r="K34" s="48"/>
      <c r="L34" s="48"/>
      <c r="M34" s="48"/>
      <c r="N34" s="51"/>
      <c r="O34" s="49"/>
      <c r="P34" s="49"/>
      <c r="Q34" s="49"/>
      <c r="R34" s="48"/>
      <c r="S34" s="48"/>
      <c r="T34" s="48"/>
      <c r="U34" s="48"/>
      <c r="V34" s="48"/>
      <c r="W34" s="48"/>
      <c r="X34" s="9"/>
      <c r="Y34" s="9"/>
      <c r="Z34" s="170"/>
    </row>
    <row r="35" spans="1:27" ht="16.5" thickBot="1" x14ac:dyDescent="0.25">
      <c r="A35" s="256"/>
      <c r="B35" s="360" t="s">
        <v>592</v>
      </c>
      <c r="C35" s="58"/>
      <c r="D35" s="58"/>
      <c r="E35" s="58"/>
      <c r="F35" s="58"/>
      <c r="G35" s="58"/>
      <c r="H35" s="58"/>
      <c r="I35" s="9"/>
      <c r="J35" s="333"/>
      <c r="K35" s="333"/>
      <c r="L35" s="48"/>
      <c r="M35" s="48"/>
      <c r="N35" s="51"/>
      <c r="O35" s="49"/>
      <c r="P35" s="49"/>
      <c r="Q35" s="49"/>
      <c r="R35" s="48"/>
      <c r="S35" s="48"/>
      <c r="T35" s="48"/>
      <c r="U35" s="48"/>
      <c r="V35" s="48"/>
      <c r="W35" s="48"/>
      <c r="X35" s="9"/>
      <c r="Y35" s="9"/>
      <c r="Z35" s="170"/>
    </row>
    <row r="36" spans="1:27" ht="23.25" customHeight="1" thickBot="1" x14ac:dyDescent="0.25">
      <c r="A36" s="256"/>
      <c r="B36" s="658" t="str">
        <f>IF($Q$217="Yes","8.  Amounts retained in respect of Designated Areas","8.  Amounts retained in respect of Designated Areas. Not applicable for your authority")</f>
        <v>8.  Amounts retained in respect of Designated Areas. Not applicable for your authority</v>
      </c>
      <c r="C36" s="658"/>
      <c r="D36" s="658"/>
      <c r="E36" s="658"/>
      <c r="F36" s="658"/>
      <c r="G36" s="658"/>
      <c r="H36" s="658"/>
      <c r="I36" s="9"/>
      <c r="J36" s="620">
        <f>VLOOKUP($F$1,Part1,13,FALSE)</f>
        <v>29459106</v>
      </c>
      <c r="K36" s="621"/>
      <c r="L36" s="618"/>
      <c r="M36" s="48"/>
      <c r="N36" s="51"/>
      <c r="O36" s="49"/>
      <c r="P36" s="613"/>
      <c r="Q36" s="613"/>
      <c r="R36" s="613"/>
      <c r="S36" s="613"/>
      <c r="T36" s="613"/>
      <c r="U36" s="613"/>
      <c r="V36" s="613"/>
      <c r="W36" s="48"/>
      <c r="X36" s="2"/>
      <c r="Y36" s="2"/>
      <c r="Z36" s="170"/>
    </row>
    <row r="37" spans="1:27" ht="16.5" customHeight="1" thickBot="1" x14ac:dyDescent="0.25">
      <c r="A37" s="256"/>
      <c r="B37" s="658"/>
      <c r="C37" s="658"/>
      <c r="D37" s="658"/>
      <c r="E37" s="658"/>
      <c r="F37" s="658"/>
      <c r="G37" s="658"/>
      <c r="H37" s="658"/>
      <c r="I37" s="9"/>
      <c r="J37" s="333"/>
      <c r="K37" s="333"/>
      <c r="L37" s="48"/>
      <c r="M37" s="67"/>
      <c r="N37" s="51"/>
      <c r="O37" s="49"/>
      <c r="P37" s="49"/>
      <c r="Q37" s="49"/>
      <c r="R37" s="48"/>
      <c r="S37" s="48"/>
      <c r="T37" s="48"/>
      <c r="U37" s="48"/>
      <c r="V37" s="48"/>
      <c r="W37" s="48"/>
      <c r="X37" s="9"/>
      <c r="Y37" s="9"/>
      <c r="Z37" s="170"/>
    </row>
    <row r="38" spans="1:27" ht="16.5" customHeight="1" thickBot="1" x14ac:dyDescent="0.25">
      <c r="A38" s="256"/>
      <c r="B38" s="648" t="s">
        <v>812</v>
      </c>
      <c r="C38" s="648"/>
      <c r="D38" s="648"/>
      <c r="E38" s="648"/>
      <c r="F38" s="648"/>
      <c r="G38" s="648"/>
      <c r="H38" s="648"/>
      <c r="I38" s="9"/>
      <c r="J38" s="616">
        <f>VLOOKUP($F$1,Part1,14,FALSE)</f>
        <v>39206524</v>
      </c>
      <c r="K38" s="617"/>
      <c r="L38" s="618"/>
      <c r="M38" s="48"/>
      <c r="N38" s="51"/>
      <c r="O38" s="49"/>
      <c r="P38" s="49"/>
      <c r="Q38" s="49"/>
      <c r="R38" s="48"/>
      <c r="S38" s="48"/>
      <c r="T38" s="48"/>
      <c r="U38" s="48"/>
      <c r="V38" s="48"/>
      <c r="W38" s="48"/>
      <c r="X38" s="2"/>
      <c r="Y38" s="2"/>
      <c r="Z38" s="170"/>
    </row>
    <row r="39" spans="1:27" x14ac:dyDescent="0.2">
      <c r="A39" s="256"/>
      <c r="B39" s="648"/>
      <c r="C39" s="648"/>
      <c r="D39" s="648"/>
      <c r="E39" s="648"/>
      <c r="F39" s="648"/>
      <c r="G39" s="648"/>
      <c r="H39" s="648"/>
      <c r="I39" s="9"/>
      <c r="J39" s="48"/>
      <c r="K39" s="48"/>
      <c r="L39" s="48"/>
      <c r="M39" s="48"/>
      <c r="N39" s="51"/>
      <c r="O39" s="49"/>
      <c r="P39" s="49"/>
      <c r="Q39" s="49"/>
      <c r="R39" s="48"/>
      <c r="S39" s="48"/>
      <c r="T39" s="48"/>
      <c r="U39" s="48"/>
      <c r="V39" s="48"/>
      <c r="W39" s="48"/>
      <c r="X39" s="9"/>
      <c r="Y39" s="9"/>
      <c r="Z39" s="170"/>
    </row>
    <row r="40" spans="1:27" ht="16.5" thickBot="1" x14ac:dyDescent="0.25">
      <c r="A40" s="256"/>
      <c r="B40" s="71" t="s">
        <v>36</v>
      </c>
      <c r="C40" s="9"/>
      <c r="D40" s="9"/>
      <c r="E40" s="9"/>
      <c r="F40" s="9"/>
      <c r="G40" s="9"/>
      <c r="H40" s="9"/>
      <c r="I40" s="9"/>
      <c r="J40" s="333"/>
      <c r="K40" s="333"/>
      <c r="L40" s="48"/>
      <c r="M40" s="67"/>
      <c r="N40" s="338"/>
      <c r="O40" s="49"/>
      <c r="P40" s="49"/>
      <c r="Q40" s="49"/>
      <c r="R40" s="48"/>
      <c r="S40" s="48"/>
      <c r="T40" s="48"/>
      <c r="U40" s="48"/>
      <c r="V40" s="48"/>
      <c r="W40" s="48"/>
      <c r="X40" s="9"/>
      <c r="Y40" s="9"/>
      <c r="Z40" s="170"/>
    </row>
    <row r="41" spans="1:27" ht="16.5" thickBot="1" x14ac:dyDescent="0.25">
      <c r="A41" s="256"/>
      <c r="B41" s="9" t="s">
        <v>720</v>
      </c>
      <c r="C41" s="9"/>
      <c r="D41" s="9"/>
      <c r="E41" s="9"/>
      <c r="F41" s="9"/>
      <c r="G41" s="9"/>
      <c r="H41" s="9"/>
      <c r="I41" s="9"/>
      <c r="J41" s="616">
        <f>VLOOKUP($F$1,Part1,15,FALSE)</f>
        <v>37320396</v>
      </c>
      <c r="K41" s="617"/>
      <c r="L41" s="618"/>
      <c r="M41" s="48"/>
      <c r="N41" s="51"/>
      <c r="O41" s="49"/>
      <c r="P41" s="49"/>
      <c r="Q41" s="49"/>
      <c r="R41" s="48"/>
      <c r="S41" s="48"/>
      <c r="T41" s="48"/>
      <c r="U41" s="48"/>
      <c r="V41" s="48"/>
      <c r="W41" s="48"/>
      <c r="X41" s="9"/>
      <c r="Y41" s="9"/>
      <c r="Z41" s="170"/>
    </row>
    <row r="42" spans="1:27" ht="16.5" thickBot="1" x14ac:dyDescent="0.25">
      <c r="A42" s="256"/>
      <c r="B42" s="9"/>
      <c r="C42" s="9"/>
      <c r="D42" s="9"/>
      <c r="E42" s="9"/>
      <c r="F42" s="9"/>
      <c r="G42" s="9"/>
      <c r="H42" s="9"/>
      <c r="I42" s="9"/>
      <c r="J42" s="333"/>
      <c r="K42" s="333"/>
      <c r="L42" s="342"/>
      <c r="M42" s="67"/>
      <c r="N42" s="51"/>
      <c r="O42" s="49"/>
      <c r="P42" s="49"/>
      <c r="Q42" s="49"/>
      <c r="R42" s="48"/>
      <c r="S42" s="48"/>
      <c r="T42" s="48"/>
      <c r="U42" s="48"/>
      <c r="V42" s="48"/>
      <c r="W42" s="48"/>
      <c r="X42" s="9"/>
      <c r="Y42" s="9"/>
      <c r="Z42" s="170"/>
    </row>
    <row r="43" spans="1:27" s="336" customFormat="1" ht="16.5" thickBot="1" x14ac:dyDescent="0.25">
      <c r="A43" s="302"/>
      <c r="B43" s="296" t="s">
        <v>721</v>
      </c>
      <c r="C43" s="296"/>
      <c r="D43" s="296"/>
      <c r="E43" s="296"/>
      <c r="F43" s="296"/>
      <c r="G43" s="296"/>
      <c r="H43" s="296"/>
      <c r="I43" s="296"/>
      <c r="J43" s="616">
        <f>VLOOKUP($F$1,Part1,16,FALSE)</f>
        <v>1886128</v>
      </c>
      <c r="K43" s="619"/>
      <c r="L43" s="618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40"/>
      <c r="X43" s="341"/>
      <c r="Y43" s="296"/>
      <c r="Z43" s="334"/>
      <c r="AA43" s="335"/>
    </row>
    <row r="44" spans="1:27" x14ac:dyDescent="0.2">
      <c r="A44" s="256"/>
      <c r="B44" s="9"/>
      <c r="C44" s="9"/>
      <c r="D44" s="9"/>
      <c r="E44" s="9"/>
      <c r="F44" s="9"/>
      <c r="G44" s="9"/>
      <c r="H44" s="9"/>
      <c r="I44" s="9"/>
      <c r="J44" s="48"/>
      <c r="K44" s="48"/>
      <c r="L44" s="48"/>
      <c r="M44" s="342"/>
      <c r="N44" s="338"/>
      <c r="O44" s="343"/>
      <c r="P44" s="343"/>
      <c r="Q44" s="343"/>
      <c r="R44" s="342"/>
      <c r="S44" s="342"/>
      <c r="T44" s="342"/>
      <c r="U44" s="342"/>
      <c r="V44" s="342"/>
      <c r="W44" s="342"/>
      <c r="X44" s="333"/>
      <c r="Y44" s="9"/>
      <c r="Z44" s="170"/>
    </row>
    <row r="45" spans="1:27" ht="16.5" thickBot="1" x14ac:dyDescent="0.3">
      <c r="A45" s="256"/>
      <c r="B45" s="12" t="s">
        <v>591</v>
      </c>
      <c r="C45" s="12"/>
      <c r="D45" s="12"/>
      <c r="E45" s="12"/>
      <c r="F45" s="12"/>
      <c r="G45" s="9"/>
      <c r="H45" s="9"/>
      <c r="I45" s="9"/>
      <c r="J45" s="333"/>
      <c r="K45" s="333"/>
      <c r="L45" s="48"/>
      <c r="M45" s="614"/>
      <c r="N45" s="614"/>
      <c r="O45" s="615"/>
      <c r="P45" s="615"/>
      <c r="Q45" s="615"/>
      <c r="R45" s="248"/>
      <c r="S45" s="52"/>
      <c r="T45" s="52"/>
      <c r="U45" s="52"/>
      <c r="V45" s="52"/>
      <c r="W45" s="48"/>
      <c r="X45" s="9"/>
      <c r="Y45" s="9"/>
      <c r="Z45" s="170"/>
    </row>
    <row r="46" spans="1:27" s="54" customFormat="1" ht="16.5" thickBot="1" x14ac:dyDescent="0.25">
      <c r="A46" s="256"/>
      <c r="B46" s="9" t="s">
        <v>722</v>
      </c>
      <c r="C46" s="9"/>
      <c r="D46" s="9"/>
      <c r="E46" s="9"/>
      <c r="F46" s="9"/>
      <c r="G46" s="9"/>
      <c r="H46" s="9"/>
      <c r="I46" s="9"/>
      <c r="J46" s="616">
        <f>VLOOKUP($F$1,Part1,17,FALSE)</f>
        <v>23506968448</v>
      </c>
      <c r="K46" s="619"/>
      <c r="L46" s="618"/>
      <c r="M46" s="614"/>
      <c r="N46" s="614"/>
      <c r="O46" s="615"/>
      <c r="P46" s="615"/>
      <c r="Q46" s="615"/>
      <c r="R46" s="248"/>
      <c r="S46" s="52"/>
      <c r="T46" s="52"/>
      <c r="U46" s="52"/>
      <c r="V46" s="52"/>
      <c r="W46" s="48"/>
      <c r="X46" s="2"/>
      <c r="Y46" s="2"/>
      <c r="Z46" s="170"/>
      <c r="AA46" s="235"/>
    </row>
    <row r="47" spans="1:27" ht="15.75" thickBot="1" x14ac:dyDescent="0.25">
      <c r="A47" s="33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373"/>
      <c r="O47" s="374"/>
      <c r="P47" s="374"/>
      <c r="Q47" s="374"/>
      <c r="R47" s="375"/>
      <c r="S47" s="376"/>
      <c r="T47" s="376"/>
      <c r="U47" s="376"/>
      <c r="V47" s="376"/>
      <c r="W47" s="274"/>
      <c r="X47" s="171"/>
      <c r="Y47" s="171"/>
      <c r="Z47" s="377"/>
    </row>
    <row r="48" spans="1:27" ht="15.75" x14ac:dyDescent="0.25">
      <c r="A48" s="249"/>
      <c r="B48" s="9"/>
      <c r="C48" s="10" t="s">
        <v>239</v>
      </c>
      <c r="D48" s="10"/>
      <c r="E48" s="10"/>
      <c r="F48" s="10"/>
      <c r="G48" s="9"/>
      <c r="H48" s="9"/>
      <c r="I48" s="9"/>
      <c r="J48" s="9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9"/>
      <c r="Z48" s="170"/>
    </row>
    <row r="49" spans="1:377" ht="15.75" x14ac:dyDescent="0.25">
      <c r="A49" s="249"/>
      <c r="B49" s="9"/>
      <c r="C49" s="65"/>
      <c r="D49" s="9"/>
      <c r="E49" s="9"/>
      <c r="F49" s="9"/>
      <c r="G49" s="9"/>
      <c r="H49" s="9"/>
      <c r="I49" s="9"/>
      <c r="J49" s="9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9"/>
      <c r="Z49" s="170"/>
    </row>
    <row r="50" spans="1:377" ht="15.75" x14ac:dyDescent="0.25">
      <c r="A50" s="249"/>
      <c r="B50" s="9"/>
      <c r="C50" s="9" t="s">
        <v>813</v>
      </c>
      <c r="D50" s="9"/>
      <c r="E50" s="9"/>
      <c r="F50" s="9"/>
      <c r="G50" s="9"/>
      <c r="H50" s="9"/>
      <c r="I50" s="9"/>
      <c r="J50" s="9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342"/>
      <c r="X50" s="48"/>
      <c r="Y50" s="9"/>
      <c r="Z50" s="170"/>
    </row>
    <row r="51" spans="1:377" x14ac:dyDescent="0.2">
      <c r="A51" s="249"/>
      <c r="B51" s="9"/>
      <c r="C51" s="9"/>
      <c r="D51" s="9" t="s">
        <v>566</v>
      </c>
      <c r="E51" s="9"/>
      <c r="F51" s="9"/>
      <c r="G51" s="9"/>
      <c r="H51" s="9"/>
      <c r="I51" s="9"/>
      <c r="J51" s="9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9"/>
      <c r="Z51" s="170"/>
    </row>
    <row r="52" spans="1:377" ht="15.75" customHeight="1" x14ac:dyDescent="0.2">
      <c r="A52" s="249"/>
      <c r="B52" s="9"/>
      <c r="C52" s="9"/>
      <c r="D52" s="9" t="s">
        <v>567</v>
      </c>
      <c r="E52" s="9"/>
      <c r="F52" s="9"/>
      <c r="G52" s="9"/>
      <c r="H52" s="9"/>
      <c r="I52" s="9"/>
      <c r="J52" s="9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9"/>
      <c r="Z52" s="170"/>
    </row>
    <row r="53" spans="1:377" x14ac:dyDescent="0.2">
      <c r="A53" s="249"/>
      <c r="B53" s="9"/>
      <c r="C53" s="9"/>
      <c r="D53" s="9" t="s">
        <v>568</v>
      </c>
      <c r="E53" s="9"/>
      <c r="F53" s="9"/>
      <c r="G53" s="9"/>
      <c r="H53" s="9"/>
      <c r="I53" s="9"/>
      <c r="J53" s="9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9"/>
      <c r="Z53" s="170"/>
    </row>
    <row r="54" spans="1:377" x14ac:dyDescent="0.2">
      <c r="A54" s="249"/>
      <c r="B54" s="9"/>
      <c r="C54" s="9" t="s">
        <v>569</v>
      </c>
      <c r="D54" s="9"/>
      <c r="E54" s="9"/>
      <c r="F54" s="9"/>
      <c r="G54" s="9"/>
      <c r="H54" s="9"/>
      <c r="I54" s="9"/>
      <c r="J54" s="9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9"/>
      <c r="Z54" s="170"/>
    </row>
    <row r="55" spans="1:377" x14ac:dyDescent="0.2">
      <c r="A55" s="249"/>
      <c r="B55" s="9"/>
      <c r="C55" s="9"/>
      <c r="D55" s="9"/>
      <c r="E55" s="9"/>
      <c r="F55" s="9"/>
      <c r="G55" s="9"/>
      <c r="H55" s="9"/>
      <c r="I55" s="9"/>
      <c r="J55" s="9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9"/>
      <c r="Z55" s="170"/>
    </row>
    <row r="56" spans="1:377" s="55" customFormat="1" ht="16.5" customHeight="1" thickBot="1" x14ac:dyDescent="0.25">
      <c r="A56" s="249"/>
      <c r="B56" s="9"/>
      <c r="C56" s="9"/>
      <c r="D56" s="9"/>
      <c r="E56" s="9"/>
      <c r="F56" s="9"/>
      <c r="G56" s="9"/>
      <c r="H56" s="9"/>
      <c r="I56" s="9"/>
      <c r="J56" s="9"/>
      <c r="K56" s="630" t="s">
        <v>558</v>
      </c>
      <c r="L56" s="630"/>
      <c r="M56" s="48"/>
      <c r="N56" s="630" t="s">
        <v>559</v>
      </c>
      <c r="O56" s="630"/>
      <c r="P56" s="355"/>
      <c r="Q56" s="630" t="s">
        <v>560</v>
      </c>
      <c r="R56" s="630"/>
      <c r="S56" s="355"/>
      <c r="T56" s="630" t="s">
        <v>561</v>
      </c>
      <c r="U56" s="630"/>
      <c r="V56" s="355"/>
      <c r="W56" s="630" t="s">
        <v>577</v>
      </c>
      <c r="X56" s="630"/>
      <c r="Y56" s="9"/>
      <c r="Z56" s="170"/>
      <c r="AA56" s="235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</row>
    <row r="57" spans="1:377" s="56" customFormat="1" ht="15.75" x14ac:dyDescent="0.2">
      <c r="A57" s="249"/>
      <c r="B57" s="9"/>
      <c r="C57" s="9"/>
      <c r="D57" s="9"/>
      <c r="E57" s="9"/>
      <c r="F57" s="9"/>
      <c r="G57" s="9"/>
      <c r="H57" s="9"/>
      <c r="I57" s="9"/>
      <c r="J57" s="9"/>
      <c r="K57" s="629" t="s">
        <v>34</v>
      </c>
      <c r="L57" s="636"/>
      <c r="M57" s="354"/>
      <c r="N57" s="629" t="str">
        <f>+N140</f>
        <v>England</v>
      </c>
      <c r="O57" s="637"/>
      <c r="P57" s="251"/>
      <c r="Q57" s="629" t="str">
        <f>+IF(Q140="UA","-",IF(Q140="MD","-",IF(Q140="Greater London Authority",Q140,(CONCATENATE(Q140," County Council")))))</f>
        <v xml:space="preserve">    County Council</v>
      </c>
      <c r="R57" s="636"/>
      <c r="S57" s="251"/>
      <c r="T57" s="629" t="str">
        <f>+IF(T140="County","-",IF(T140="NA","-",T140))</f>
        <v>Fire Authority</v>
      </c>
      <c r="U57" s="636"/>
      <c r="V57" s="354"/>
      <c r="W57" s="629" t="s">
        <v>570</v>
      </c>
      <c r="X57" s="629"/>
      <c r="Y57" s="9"/>
      <c r="Z57" s="170"/>
      <c r="AA57" s="235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/>
      <c r="HJ57" s="54"/>
      <c r="HK57" s="54"/>
      <c r="HL57" s="54"/>
      <c r="HM57" s="54"/>
      <c r="HN57" s="54"/>
      <c r="HO57" s="54"/>
      <c r="HP57" s="54"/>
      <c r="HQ57" s="54"/>
      <c r="HR57" s="54"/>
      <c r="HS57" s="54"/>
      <c r="HT57" s="54"/>
      <c r="HU57" s="54"/>
      <c r="HV57" s="54"/>
      <c r="HW57" s="54"/>
      <c r="HX57" s="54"/>
      <c r="HY57" s="54"/>
      <c r="HZ57" s="54"/>
      <c r="IA57" s="54"/>
      <c r="IB57" s="54"/>
      <c r="IC57" s="54"/>
      <c r="ID57" s="54"/>
      <c r="IE57" s="54"/>
      <c r="IF57" s="54"/>
      <c r="IG57" s="54"/>
      <c r="IH57" s="54"/>
      <c r="II57" s="54"/>
      <c r="IJ57" s="54"/>
      <c r="IK57" s="54"/>
      <c r="IL57" s="54"/>
      <c r="IM57" s="54"/>
      <c r="IN57" s="54"/>
      <c r="IO57" s="54"/>
      <c r="IP57" s="54"/>
      <c r="IQ57" s="54"/>
      <c r="IR57" s="54"/>
      <c r="IS57" s="54"/>
      <c r="IT57" s="54"/>
      <c r="IU57" s="54"/>
      <c r="IV57" s="54"/>
      <c r="IW57" s="54"/>
      <c r="IX57" s="54"/>
      <c r="IY57" s="54"/>
      <c r="IZ57" s="54"/>
      <c r="JA57" s="54"/>
      <c r="JB57" s="54"/>
      <c r="JC57" s="54"/>
      <c r="JD57" s="54"/>
      <c r="JE57" s="54"/>
      <c r="JF57" s="54"/>
      <c r="JG57" s="54"/>
      <c r="JH57" s="54"/>
      <c r="JI57" s="54"/>
      <c r="JJ57" s="54"/>
      <c r="JK57" s="54"/>
      <c r="JL57" s="54"/>
      <c r="JM57" s="54"/>
      <c r="JN57" s="54"/>
      <c r="JO57" s="54"/>
      <c r="JP57" s="54"/>
      <c r="JQ57" s="54"/>
      <c r="JR57" s="54"/>
      <c r="JS57" s="54"/>
      <c r="JT57" s="54"/>
      <c r="JU57" s="54"/>
      <c r="JV57" s="54"/>
      <c r="JW57" s="54"/>
      <c r="JX57" s="54"/>
      <c r="JY57" s="54"/>
      <c r="JZ57" s="54"/>
      <c r="KA57" s="54"/>
      <c r="KB57" s="54"/>
      <c r="KC57" s="54"/>
      <c r="KD57" s="54"/>
      <c r="KE57" s="54"/>
      <c r="KF57" s="54"/>
      <c r="KG57" s="54"/>
      <c r="KH57" s="54"/>
      <c r="KI57" s="54"/>
      <c r="KJ57" s="54"/>
      <c r="KK57" s="54"/>
      <c r="KL57" s="54"/>
      <c r="KM57" s="54"/>
      <c r="KN57" s="54"/>
      <c r="KO57" s="54"/>
      <c r="KP57" s="54"/>
      <c r="KQ57" s="54"/>
      <c r="KR57" s="54"/>
      <c r="KS57" s="54"/>
      <c r="KT57" s="54"/>
      <c r="KU57" s="54"/>
      <c r="KV57" s="54"/>
      <c r="KW57" s="54"/>
      <c r="KX57" s="54"/>
      <c r="KY57" s="54"/>
      <c r="KZ57" s="54"/>
      <c r="LA57" s="54"/>
      <c r="LB57" s="54"/>
      <c r="LC57" s="54"/>
      <c r="LD57" s="54"/>
      <c r="LE57" s="54"/>
      <c r="LF57" s="54"/>
      <c r="LG57" s="54"/>
      <c r="LH57" s="54"/>
      <c r="LI57" s="54"/>
      <c r="LJ57" s="54"/>
      <c r="LK57" s="54"/>
      <c r="LL57" s="54"/>
      <c r="LM57" s="54"/>
      <c r="LN57" s="54"/>
      <c r="LO57" s="54"/>
      <c r="LP57" s="54"/>
      <c r="LQ57" s="54"/>
      <c r="LR57" s="54"/>
      <c r="LS57" s="54"/>
      <c r="LT57" s="54"/>
      <c r="LU57" s="54"/>
      <c r="LV57" s="54"/>
      <c r="LW57" s="54"/>
      <c r="LX57" s="54"/>
      <c r="LY57" s="54"/>
      <c r="LZ57" s="54"/>
      <c r="MA57" s="54"/>
      <c r="MB57" s="54"/>
      <c r="MC57" s="54"/>
      <c r="MD57" s="54"/>
      <c r="ME57" s="54"/>
      <c r="MF57" s="54"/>
      <c r="MG57" s="54"/>
      <c r="MH57" s="54"/>
      <c r="MI57" s="54"/>
      <c r="MJ57" s="54"/>
      <c r="MK57" s="54"/>
      <c r="ML57" s="54"/>
      <c r="MM57" s="54"/>
      <c r="MN57" s="54"/>
      <c r="MO57" s="54"/>
      <c r="MP57" s="54"/>
      <c r="MQ57" s="54"/>
      <c r="MR57" s="54"/>
      <c r="MS57" s="54"/>
      <c r="MT57" s="54"/>
      <c r="MU57" s="54"/>
      <c r="MV57" s="54"/>
      <c r="MW57" s="54"/>
      <c r="MX57" s="54"/>
      <c r="MY57" s="54"/>
      <c r="MZ57" s="54"/>
      <c r="NA57" s="54"/>
      <c r="NB57" s="54"/>
      <c r="NC57" s="54"/>
      <c r="ND57" s="54"/>
      <c r="NE57" s="54"/>
      <c r="NF57" s="54"/>
      <c r="NG57" s="54"/>
      <c r="NH57" s="54"/>
      <c r="NI57" s="54"/>
      <c r="NJ57" s="54"/>
      <c r="NK57" s="54"/>
      <c r="NL57" s="54"/>
      <c r="NM57" s="54"/>
    </row>
    <row r="58" spans="1:377" ht="15.75" x14ac:dyDescent="0.2">
      <c r="A58" s="249"/>
      <c r="B58" s="9"/>
      <c r="C58" s="9"/>
      <c r="D58" s="9"/>
      <c r="E58" s="9"/>
      <c r="F58" s="9"/>
      <c r="G58" s="9"/>
      <c r="H58" s="9"/>
      <c r="I58" s="9"/>
      <c r="J58" s="9"/>
      <c r="K58" s="629"/>
      <c r="L58" s="636"/>
      <c r="M58" s="354"/>
      <c r="N58" s="629"/>
      <c r="O58" s="637"/>
      <c r="P58" s="251"/>
      <c r="Q58" s="629"/>
      <c r="R58" s="636"/>
      <c r="S58" s="251"/>
      <c r="T58" s="629"/>
      <c r="U58" s="636"/>
      <c r="V58" s="354"/>
      <c r="W58" s="354"/>
      <c r="X58" s="354"/>
      <c r="Y58" s="9"/>
      <c r="Z58" s="170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  <c r="JA58" s="54"/>
      <c r="JB58" s="54"/>
      <c r="JC58" s="54"/>
      <c r="JD58" s="54"/>
      <c r="JE58" s="54"/>
      <c r="JF58" s="54"/>
      <c r="JG58" s="54"/>
      <c r="JH58" s="54"/>
      <c r="JI58" s="54"/>
      <c r="JJ58" s="54"/>
      <c r="JK58" s="54"/>
      <c r="JL58" s="54"/>
      <c r="JM58" s="54"/>
      <c r="JN58" s="54"/>
      <c r="JO58" s="54"/>
      <c r="JP58" s="54"/>
      <c r="JQ58" s="54"/>
      <c r="JR58" s="54"/>
      <c r="JS58" s="54"/>
      <c r="JT58" s="54"/>
      <c r="JU58" s="54"/>
      <c r="JV58" s="54"/>
      <c r="JW58" s="54"/>
      <c r="JX58" s="54"/>
      <c r="JY58" s="54"/>
      <c r="JZ58" s="54"/>
      <c r="KA58" s="54"/>
      <c r="KB58" s="54"/>
      <c r="KC58" s="54"/>
      <c r="KD58" s="54"/>
      <c r="KE58" s="54"/>
      <c r="KF58" s="54"/>
      <c r="KG58" s="54"/>
      <c r="KH58" s="54"/>
      <c r="KI58" s="54"/>
      <c r="KJ58" s="54"/>
      <c r="KK58" s="54"/>
      <c r="KL58" s="54"/>
      <c r="KM58" s="54"/>
      <c r="KN58" s="54"/>
      <c r="KO58" s="54"/>
      <c r="KP58" s="54"/>
      <c r="KQ58" s="54"/>
      <c r="KR58" s="54"/>
      <c r="KS58" s="54"/>
      <c r="KT58" s="54"/>
      <c r="KU58" s="54"/>
      <c r="KV58" s="54"/>
      <c r="KW58" s="54"/>
      <c r="KX58" s="54"/>
      <c r="KY58" s="54"/>
      <c r="KZ58" s="54"/>
      <c r="LA58" s="54"/>
      <c r="LB58" s="54"/>
      <c r="LC58" s="54"/>
      <c r="LD58" s="54"/>
      <c r="LE58" s="54"/>
      <c r="LF58" s="54"/>
      <c r="LG58" s="54"/>
      <c r="LH58" s="54"/>
      <c r="LI58" s="54"/>
      <c r="LJ58" s="54"/>
      <c r="LK58" s="54"/>
      <c r="LL58" s="54"/>
      <c r="LM58" s="54"/>
      <c r="LN58" s="54"/>
      <c r="LO58" s="54"/>
      <c r="LP58" s="54"/>
      <c r="LQ58" s="54"/>
      <c r="LR58" s="54"/>
      <c r="LS58" s="54"/>
      <c r="LT58" s="54"/>
      <c r="LU58" s="54"/>
      <c r="LV58" s="54"/>
      <c r="LW58" s="54"/>
      <c r="LX58" s="54"/>
      <c r="LY58" s="54"/>
      <c r="LZ58" s="54"/>
      <c r="MA58" s="54"/>
      <c r="MB58" s="54"/>
      <c r="MC58" s="54"/>
      <c r="MD58" s="54"/>
      <c r="ME58" s="54"/>
      <c r="MF58" s="54"/>
      <c r="MG58" s="54"/>
      <c r="MH58" s="54"/>
      <c r="MI58" s="54"/>
      <c r="MJ58" s="54"/>
      <c r="MK58" s="54"/>
      <c r="ML58" s="54"/>
      <c r="MM58" s="54"/>
      <c r="MN58" s="54"/>
      <c r="MO58" s="54"/>
      <c r="MP58" s="54"/>
      <c r="MQ58" s="54"/>
      <c r="MR58" s="54"/>
      <c r="MS58" s="54"/>
      <c r="MT58" s="54"/>
      <c r="MU58" s="54"/>
      <c r="MV58" s="54"/>
      <c r="MW58" s="54"/>
      <c r="MX58" s="54"/>
      <c r="MY58" s="54"/>
      <c r="MZ58" s="54"/>
      <c r="NA58" s="54"/>
      <c r="NB58" s="54"/>
      <c r="NC58" s="54"/>
      <c r="ND58" s="54"/>
      <c r="NE58" s="54"/>
      <c r="NF58" s="54"/>
      <c r="NG58" s="54"/>
      <c r="NH58" s="54"/>
      <c r="NI58" s="54"/>
      <c r="NJ58" s="54"/>
      <c r="NK58" s="54"/>
      <c r="NL58" s="54"/>
      <c r="NM58" s="54"/>
    </row>
    <row r="59" spans="1:377" ht="15.75" x14ac:dyDescent="0.2">
      <c r="A59" s="249"/>
      <c r="B59" s="9"/>
      <c r="C59" s="9"/>
      <c r="D59" s="9"/>
      <c r="E59" s="9"/>
      <c r="F59" s="9"/>
      <c r="G59" s="9"/>
      <c r="H59" s="9"/>
      <c r="I59" s="9"/>
      <c r="J59" s="9"/>
      <c r="K59" s="636"/>
      <c r="L59" s="636"/>
      <c r="M59" s="354"/>
      <c r="N59" s="637"/>
      <c r="O59" s="637"/>
      <c r="P59" s="251"/>
      <c r="Q59" s="636"/>
      <c r="R59" s="636"/>
      <c r="S59" s="251"/>
      <c r="T59" s="636"/>
      <c r="U59" s="636"/>
      <c r="V59" s="251"/>
      <c r="W59" s="251"/>
      <c r="X59" s="251"/>
      <c r="Y59" s="9"/>
      <c r="Z59" s="170"/>
    </row>
    <row r="60" spans="1:377" ht="16.5" customHeight="1" thickBot="1" x14ac:dyDescent="0.3">
      <c r="A60" s="249"/>
      <c r="B60" s="9"/>
      <c r="C60" s="10" t="s">
        <v>37</v>
      </c>
      <c r="D60" s="9"/>
      <c r="E60" s="9"/>
      <c r="F60" s="9"/>
      <c r="G60" s="9"/>
      <c r="H60" s="9"/>
      <c r="I60" s="9"/>
      <c r="J60" s="333"/>
      <c r="K60" s="624" t="s">
        <v>555</v>
      </c>
      <c r="L60" s="624"/>
      <c r="M60" s="528"/>
      <c r="N60" s="624" t="s">
        <v>555</v>
      </c>
      <c r="O60" s="624"/>
      <c r="P60" s="342"/>
      <c r="Q60" s="624" t="s">
        <v>555</v>
      </c>
      <c r="R60" s="624"/>
      <c r="S60" s="342"/>
      <c r="T60" s="624" t="s">
        <v>555</v>
      </c>
      <c r="U60" s="624"/>
      <c r="V60" s="528"/>
      <c r="W60" s="624" t="s">
        <v>555</v>
      </c>
      <c r="X60" s="624"/>
      <c r="Y60" s="333"/>
      <c r="Z60" s="170"/>
    </row>
    <row r="61" spans="1:377" ht="16.5" thickBot="1" x14ac:dyDescent="0.25">
      <c r="A61" s="249"/>
      <c r="B61" s="9"/>
      <c r="C61" s="9"/>
      <c r="D61" s="657" t="s">
        <v>723</v>
      </c>
      <c r="E61" s="659"/>
      <c r="F61" s="659"/>
      <c r="G61" s="659"/>
      <c r="H61" s="659"/>
      <c r="I61" s="659"/>
      <c r="J61" s="333"/>
      <c r="K61" s="634" t="str">
        <f>VLOOKUP($F$1,Part1,18,FALSE)</f>
        <v>-</v>
      </c>
      <c r="L61" s="635"/>
      <c r="M61" s="577"/>
      <c r="N61" s="634" t="str">
        <f>VLOOKUP($F$1,Part1,19,FALSE)</f>
        <v>-</v>
      </c>
      <c r="O61" s="635"/>
      <c r="P61" s="578"/>
      <c r="Q61" s="634" t="str">
        <f>VLOOKUP($F$1,Part1,20,FALSE)</f>
        <v>-</v>
      </c>
      <c r="R61" s="635"/>
      <c r="S61" s="578"/>
      <c r="T61" s="634" t="str">
        <f>VLOOKUP($F$1,Part1,21,FALSE)</f>
        <v>-</v>
      </c>
      <c r="U61" s="635"/>
      <c r="V61" s="577"/>
      <c r="W61" s="634" t="str">
        <f>VLOOKUP($F$1,Part1,22,FALSE)</f>
        <v>-</v>
      </c>
      <c r="X61" s="635"/>
      <c r="Y61" s="333"/>
      <c r="Z61" s="170"/>
    </row>
    <row r="62" spans="1:377" ht="15.75" x14ac:dyDescent="0.2">
      <c r="A62" s="249"/>
      <c r="B62" s="9"/>
      <c r="C62" s="9"/>
      <c r="D62" s="659"/>
      <c r="E62" s="659"/>
      <c r="F62" s="659"/>
      <c r="G62" s="659"/>
      <c r="H62" s="659"/>
      <c r="I62" s="659"/>
      <c r="J62" s="333"/>
      <c r="K62" s="529"/>
      <c r="L62" s="529"/>
      <c r="M62" s="528"/>
      <c r="N62" s="529"/>
      <c r="O62" s="529"/>
      <c r="P62" s="342"/>
      <c r="Q62" s="529"/>
      <c r="R62" s="529"/>
      <c r="S62" s="342"/>
      <c r="T62" s="529"/>
      <c r="U62" s="529"/>
      <c r="V62" s="528"/>
      <c r="W62" s="529"/>
      <c r="X62" s="529"/>
      <c r="Y62" s="333"/>
      <c r="Z62" s="170"/>
    </row>
    <row r="63" spans="1:377" ht="15.75" x14ac:dyDescent="0.2">
      <c r="A63" s="249"/>
      <c r="B63" s="9"/>
      <c r="C63" s="9"/>
      <c r="D63" s="9"/>
      <c r="E63" s="9"/>
      <c r="F63" s="9"/>
      <c r="G63" s="9"/>
      <c r="H63" s="9"/>
      <c r="I63" s="9"/>
      <c r="J63" s="333"/>
      <c r="K63" s="529"/>
      <c r="L63" s="529"/>
      <c r="M63" s="528"/>
      <c r="N63" s="529"/>
      <c r="O63" s="529"/>
      <c r="P63" s="342"/>
      <c r="Q63" s="529"/>
      <c r="R63" s="529"/>
      <c r="S63" s="342"/>
      <c r="T63" s="529"/>
      <c r="U63" s="529"/>
      <c r="V63" s="528"/>
      <c r="W63" s="529"/>
      <c r="X63" s="529"/>
      <c r="Y63" s="333"/>
      <c r="Z63" s="170"/>
    </row>
    <row r="64" spans="1:377" ht="16.5" thickBot="1" x14ac:dyDescent="0.3">
      <c r="A64" s="249"/>
      <c r="B64" s="9"/>
      <c r="C64" s="10" t="s">
        <v>814</v>
      </c>
      <c r="D64" s="9"/>
      <c r="E64" s="9"/>
      <c r="F64" s="9"/>
      <c r="G64" s="9"/>
      <c r="H64" s="9"/>
      <c r="I64" s="9"/>
      <c r="J64" s="333"/>
      <c r="K64" s="342"/>
      <c r="L64" s="342"/>
      <c r="M64" s="342"/>
      <c r="N64" s="342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33"/>
      <c r="Z64" s="170"/>
    </row>
    <row r="65" spans="1:26" ht="16.5" thickBot="1" x14ac:dyDescent="0.25">
      <c r="A65" s="249"/>
      <c r="B65" s="9"/>
      <c r="C65" s="9"/>
      <c r="D65" s="657" t="s">
        <v>598</v>
      </c>
      <c r="E65" s="657"/>
      <c r="F65" s="657"/>
      <c r="G65" s="657"/>
      <c r="H65" s="657"/>
      <c r="I65" s="657"/>
      <c r="J65" s="333"/>
      <c r="K65" s="626">
        <f>VLOOKUP($F$1,Part1,23,FALSE)</f>
        <v>11753484229</v>
      </c>
      <c r="L65" s="627"/>
      <c r="M65" s="528"/>
      <c r="N65" s="626">
        <f>VLOOKUP($F$1,Part1,24,FALSE)</f>
        <v>9525063178</v>
      </c>
      <c r="O65" s="627"/>
      <c r="P65" s="342"/>
      <c r="Q65" s="626">
        <f>VLOOKUP($F$1,Part1,25,FALSE)</f>
        <v>2097741538</v>
      </c>
      <c r="R65" s="627"/>
      <c r="S65" s="342"/>
      <c r="T65" s="626">
        <f>VLOOKUP($F$1,Part1,26,FALSE)</f>
        <v>130679503</v>
      </c>
      <c r="U65" s="627"/>
      <c r="V65" s="342"/>
      <c r="W65" s="626">
        <f>VLOOKUP($F$1,Part1,27,FALSE)</f>
        <v>23506968448</v>
      </c>
      <c r="X65" s="627"/>
      <c r="Y65" s="333"/>
      <c r="Z65" s="39"/>
    </row>
    <row r="66" spans="1:26" x14ac:dyDescent="0.2">
      <c r="A66" s="249"/>
      <c r="B66" s="9"/>
      <c r="C66" s="9"/>
      <c r="D66" s="657"/>
      <c r="E66" s="657"/>
      <c r="F66" s="657"/>
      <c r="G66" s="657"/>
      <c r="H66" s="657"/>
      <c r="I66" s="657"/>
      <c r="J66" s="333"/>
      <c r="K66" s="530"/>
      <c r="L66" s="530"/>
      <c r="M66" s="530"/>
      <c r="N66" s="530"/>
      <c r="O66" s="530"/>
      <c r="P66" s="530"/>
      <c r="Q66" s="530"/>
      <c r="R66" s="530"/>
      <c r="S66" s="530"/>
      <c r="T66" s="530"/>
      <c r="U66" s="530"/>
      <c r="V66" s="530"/>
      <c r="W66" s="530"/>
      <c r="X66" s="530"/>
      <c r="Y66" s="333"/>
      <c r="Z66" s="170"/>
    </row>
    <row r="67" spans="1:26" ht="15.75" thickBot="1" x14ac:dyDescent="0.25">
      <c r="A67" s="249"/>
      <c r="B67" s="9"/>
      <c r="C67" s="9"/>
      <c r="D67" s="9"/>
      <c r="E67" s="9"/>
      <c r="F67" s="9"/>
      <c r="G67" s="9"/>
      <c r="H67" s="9"/>
      <c r="I67" s="9"/>
      <c r="J67" s="333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333"/>
      <c r="Z67" s="170"/>
    </row>
    <row r="68" spans="1:26" ht="16.5" thickBot="1" x14ac:dyDescent="0.25">
      <c r="A68" s="249"/>
      <c r="B68" s="9"/>
      <c r="C68" s="9"/>
      <c r="D68" s="9" t="s">
        <v>240</v>
      </c>
      <c r="E68" s="9"/>
      <c r="F68" s="9"/>
      <c r="G68" s="9"/>
      <c r="H68" s="9"/>
      <c r="I68" s="9"/>
      <c r="J68" s="333"/>
      <c r="K68" s="626">
        <f>VLOOKUP($F$1,Part1,28,FALSE)</f>
        <v>11970206</v>
      </c>
      <c r="L68" s="627"/>
      <c r="M68" s="528"/>
      <c r="N68" s="626">
        <f>VLOOKUP($F$1,Part1,29,FALSE)</f>
        <v>0</v>
      </c>
      <c r="O68" s="627"/>
      <c r="P68" s="342"/>
      <c r="Q68" s="626">
        <f>VLOOKUP($F$1,Part1,30,FALSE)</f>
        <v>0</v>
      </c>
      <c r="R68" s="627"/>
      <c r="S68" s="342"/>
      <c r="T68" s="626">
        <f>VLOOKUP($F$1,Part1,31,FALSE)</f>
        <v>0</v>
      </c>
      <c r="U68" s="627"/>
      <c r="V68" s="342"/>
      <c r="W68" s="626">
        <f>VLOOKUP($F$1,Part1,32,FALSE)</f>
        <v>11970206</v>
      </c>
      <c r="X68" s="627"/>
      <c r="Y68" s="333"/>
      <c r="Z68" s="170"/>
    </row>
    <row r="69" spans="1:26" ht="15.75" x14ac:dyDescent="0.2">
      <c r="A69" s="249"/>
      <c r="B69" s="9"/>
      <c r="C69" s="9"/>
      <c r="D69" s="9"/>
      <c r="E69" s="9"/>
      <c r="F69" s="9"/>
      <c r="G69" s="9"/>
      <c r="H69" s="9"/>
      <c r="I69" s="9"/>
      <c r="J69" s="333"/>
      <c r="K69" s="531"/>
      <c r="L69" s="531"/>
      <c r="M69" s="530"/>
      <c r="N69" s="531"/>
      <c r="O69" s="531"/>
      <c r="P69" s="530"/>
      <c r="Q69" s="531"/>
      <c r="R69" s="531"/>
      <c r="S69" s="530"/>
      <c r="T69" s="531"/>
      <c r="U69" s="531"/>
      <c r="V69" s="530"/>
      <c r="W69" s="531"/>
      <c r="X69" s="531"/>
      <c r="Y69" s="333"/>
      <c r="Z69" s="170"/>
    </row>
    <row r="70" spans="1:26" ht="15.75" customHeight="1" x14ac:dyDescent="0.2">
      <c r="A70" s="249"/>
      <c r="B70" s="9"/>
      <c r="C70" s="9"/>
      <c r="D70" s="9" t="s">
        <v>815</v>
      </c>
      <c r="E70" s="9"/>
      <c r="F70" s="9"/>
      <c r="G70" s="9"/>
      <c r="H70" s="9"/>
      <c r="I70" s="9"/>
      <c r="J70" s="333"/>
      <c r="K70" s="631">
        <v>0</v>
      </c>
      <c r="L70" s="631"/>
      <c r="M70" s="252"/>
      <c r="N70" s="631">
        <v>0</v>
      </c>
      <c r="O70" s="631"/>
      <c r="P70" s="252"/>
      <c r="Q70" s="631">
        <v>0</v>
      </c>
      <c r="R70" s="631"/>
      <c r="S70" s="252"/>
      <c r="T70" s="631" t="e">
        <f>+W70*T61*2</f>
        <v>#VALUE!</v>
      </c>
      <c r="U70" s="631"/>
      <c r="V70" s="252"/>
      <c r="W70" s="631">
        <v>0</v>
      </c>
      <c r="X70" s="631"/>
      <c r="Y70" s="333"/>
      <c r="Z70" s="170"/>
    </row>
    <row r="71" spans="1:26" ht="15" customHeight="1" thickBot="1" x14ac:dyDescent="0.25">
      <c r="A71" s="249"/>
      <c r="B71" s="9"/>
      <c r="C71" s="9"/>
      <c r="D71" s="9"/>
      <c r="E71" s="9"/>
      <c r="F71" s="9"/>
      <c r="G71" s="9"/>
      <c r="H71" s="9"/>
      <c r="I71" s="9"/>
      <c r="J71" s="333"/>
      <c r="K71" s="530"/>
      <c r="L71" s="530"/>
      <c r="M71" s="530"/>
      <c r="N71" s="530"/>
      <c r="O71" s="530"/>
      <c r="P71" s="530"/>
      <c r="Q71" s="530"/>
      <c r="R71" s="530"/>
      <c r="S71" s="530"/>
      <c r="T71" s="530"/>
      <c r="U71" s="530"/>
      <c r="V71" s="530"/>
      <c r="W71" s="530"/>
      <c r="X71" s="530"/>
      <c r="Y71" s="333"/>
      <c r="Z71" s="170"/>
    </row>
    <row r="72" spans="1:26" ht="15" customHeight="1" thickBot="1" x14ac:dyDescent="0.3">
      <c r="A72" s="249"/>
      <c r="B72" s="9"/>
      <c r="C72" s="9"/>
      <c r="D72" s="11">
        <v>17</v>
      </c>
      <c r="E72" s="9"/>
      <c r="F72" s="9"/>
      <c r="G72" s="9"/>
      <c r="H72" s="9"/>
      <c r="I72" s="253" t="s">
        <v>599</v>
      </c>
      <c r="J72" s="532"/>
      <c r="K72" s="626">
        <f>VLOOKUP($F$1,Part1,38,FALSE)</f>
        <v>11741514023</v>
      </c>
      <c r="L72" s="627"/>
      <c r="M72" s="528"/>
      <c r="N72" s="626">
        <f>VLOOKUP($F$1,Part1,39,FALSE)</f>
        <v>9525063178</v>
      </c>
      <c r="O72" s="627"/>
      <c r="P72" s="342"/>
      <c r="Q72" s="626">
        <f>VLOOKUP($F$1,Part1,40,FALSE)</f>
        <v>2097741538</v>
      </c>
      <c r="R72" s="627"/>
      <c r="S72" s="342"/>
      <c r="T72" s="626">
        <f>VLOOKUP($F$1,Part1,41,FALSE)</f>
        <v>130679503</v>
      </c>
      <c r="U72" s="627"/>
      <c r="V72" s="342"/>
      <c r="W72" s="626">
        <f>VLOOKUP($F$1,Part1,42,FALSE)</f>
        <v>23494998242</v>
      </c>
      <c r="X72" s="627"/>
      <c r="Y72" s="333"/>
      <c r="Z72" s="170"/>
    </row>
    <row r="73" spans="1:26" ht="15" customHeight="1" x14ac:dyDescent="0.2">
      <c r="A73" s="249"/>
      <c r="B73" s="9"/>
      <c r="C73" s="9"/>
      <c r="D73" s="9"/>
      <c r="E73" s="9"/>
      <c r="F73" s="9"/>
      <c r="G73" s="9"/>
      <c r="H73" s="9"/>
      <c r="I73" s="9"/>
      <c r="J73" s="333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0"/>
      <c r="W73" s="530"/>
      <c r="X73" s="530"/>
      <c r="Y73" s="333"/>
      <c r="Z73" s="170"/>
    </row>
    <row r="74" spans="1:26" ht="15" customHeight="1" thickBot="1" x14ac:dyDescent="0.3">
      <c r="A74" s="249"/>
      <c r="B74" s="9"/>
      <c r="C74" s="10" t="s">
        <v>816</v>
      </c>
      <c r="D74" s="9"/>
      <c r="E74" s="9"/>
      <c r="F74" s="9"/>
      <c r="G74" s="9"/>
      <c r="H74" s="9"/>
      <c r="I74" s="9"/>
      <c r="J74" s="333"/>
      <c r="K74" s="530"/>
      <c r="L74" s="530"/>
      <c r="M74" s="530"/>
      <c r="N74" s="530"/>
      <c r="O74" s="530"/>
      <c r="P74" s="530"/>
      <c r="Q74" s="530"/>
      <c r="R74" s="530"/>
      <c r="S74" s="530"/>
      <c r="T74" s="530"/>
      <c r="U74" s="530"/>
      <c r="V74" s="530"/>
      <c r="W74" s="530"/>
      <c r="X74" s="530"/>
      <c r="Y74" s="333"/>
      <c r="Z74" s="170"/>
    </row>
    <row r="75" spans="1:26" ht="16.5" thickBot="1" x14ac:dyDescent="0.25">
      <c r="A75" s="249"/>
      <c r="B75" s="9"/>
      <c r="C75" s="9"/>
      <c r="D75" s="9" t="s">
        <v>817</v>
      </c>
      <c r="E75" s="9"/>
      <c r="F75" s="9"/>
      <c r="G75" s="9"/>
      <c r="H75" s="9"/>
      <c r="I75" s="9"/>
      <c r="J75" s="333"/>
      <c r="K75" s="530"/>
      <c r="L75" s="530"/>
      <c r="M75" s="530"/>
      <c r="N75" s="626">
        <f>VLOOKUP($F$1,Part1,43,FALSE)</f>
        <v>84146483</v>
      </c>
      <c r="O75" s="627"/>
      <c r="P75" s="530"/>
      <c r="Q75" s="530"/>
      <c r="R75" s="530"/>
      <c r="S75" s="530"/>
      <c r="T75" s="530"/>
      <c r="U75" s="530"/>
      <c r="V75" s="530"/>
      <c r="W75" s="626">
        <f>VLOOKUP($F$1,Part1,44,FALSE)</f>
        <v>84146483</v>
      </c>
      <c r="X75" s="627"/>
      <c r="Y75" s="333"/>
      <c r="Z75" s="39"/>
    </row>
    <row r="76" spans="1:26" ht="15.75" thickBot="1" x14ac:dyDescent="0.25">
      <c r="A76" s="249"/>
      <c r="B76" s="9"/>
      <c r="C76" s="9"/>
      <c r="D76" s="9"/>
      <c r="E76" s="9"/>
      <c r="F76" s="9"/>
      <c r="G76" s="9"/>
      <c r="H76" s="9"/>
      <c r="I76" s="9"/>
      <c r="J76" s="333"/>
      <c r="K76" s="530"/>
      <c r="L76" s="530"/>
      <c r="M76" s="530"/>
      <c r="N76" s="530"/>
      <c r="O76" s="530"/>
      <c r="P76" s="530"/>
      <c r="Q76" s="530"/>
      <c r="R76" s="530"/>
      <c r="S76" s="530"/>
      <c r="T76" s="530"/>
      <c r="U76" s="530"/>
      <c r="V76" s="530"/>
      <c r="W76" s="530"/>
      <c r="X76" s="530"/>
      <c r="Y76" s="333"/>
      <c r="Z76" s="170"/>
    </row>
    <row r="77" spans="1:26" ht="16.5" thickBot="1" x14ac:dyDescent="0.25">
      <c r="A77" s="249"/>
      <c r="B77" s="9"/>
      <c r="C77" s="9"/>
      <c r="D77" s="9" t="s">
        <v>818</v>
      </c>
      <c r="E77" s="9"/>
      <c r="F77" s="9"/>
      <c r="G77" s="9"/>
      <c r="H77" s="9"/>
      <c r="I77" s="9"/>
      <c r="J77" s="333"/>
      <c r="K77" s="530"/>
      <c r="L77" s="530"/>
      <c r="M77" s="530"/>
      <c r="N77" s="626">
        <f>VLOOKUP($F$1,Part1,45,FALSE)</f>
        <v>29459106</v>
      </c>
      <c r="O77" s="627"/>
      <c r="P77" s="530"/>
      <c r="Q77" s="530"/>
      <c r="R77" s="530"/>
      <c r="S77" s="530"/>
      <c r="T77" s="530"/>
      <c r="U77" s="530"/>
      <c r="V77" s="530"/>
      <c r="W77" s="626">
        <f>VLOOKUP($F$1,Part1,46,FALSE)</f>
        <v>29459106</v>
      </c>
      <c r="X77" s="627"/>
      <c r="Y77" s="333"/>
      <c r="Z77" s="39"/>
    </row>
    <row r="78" spans="1:26" ht="15.75" thickBot="1" x14ac:dyDescent="0.25">
      <c r="A78" s="249"/>
      <c r="B78" s="9"/>
      <c r="C78" s="9"/>
      <c r="D78" s="9"/>
      <c r="E78" s="9"/>
      <c r="F78" s="9"/>
      <c r="G78" s="9"/>
      <c r="H78" s="9"/>
      <c r="I78" s="9"/>
      <c r="J78" s="333"/>
      <c r="K78" s="530"/>
      <c r="L78" s="530"/>
      <c r="M78" s="530"/>
      <c r="N78" s="530"/>
      <c r="O78" s="530"/>
      <c r="P78" s="530"/>
      <c r="Q78" s="530"/>
      <c r="R78" s="530"/>
      <c r="S78" s="530"/>
      <c r="T78" s="530"/>
      <c r="U78" s="530"/>
      <c r="V78" s="530"/>
      <c r="W78" s="530"/>
      <c r="X78" s="530"/>
      <c r="Y78" s="333"/>
      <c r="Z78" s="170"/>
    </row>
    <row r="79" spans="1:26" ht="16.5" thickBot="1" x14ac:dyDescent="0.25">
      <c r="A79" s="249"/>
      <c r="B79" s="9"/>
      <c r="C79" s="9"/>
      <c r="D79" s="9" t="s">
        <v>819</v>
      </c>
      <c r="E79" s="9"/>
      <c r="F79" s="9"/>
      <c r="G79" s="9"/>
      <c r="H79" s="9"/>
      <c r="I79" s="9"/>
      <c r="J79" s="333"/>
      <c r="K79" s="530"/>
      <c r="L79" s="530"/>
      <c r="M79" s="530"/>
      <c r="N79" s="626">
        <f>VLOOKUP($F$1,Part1,47,FALSE)</f>
        <v>37320396</v>
      </c>
      <c r="O79" s="627"/>
      <c r="P79" s="530"/>
      <c r="Q79" s="626">
        <f>VLOOKUP($F$1,Part1,48,FALSE)</f>
        <v>1886128</v>
      </c>
      <c r="R79" s="627"/>
      <c r="S79" s="530"/>
      <c r="T79" s="530"/>
      <c r="U79" s="530"/>
      <c r="V79" s="530"/>
      <c r="W79" s="626">
        <f>VLOOKUP($F$1,Part1,49,FALSE)</f>
        <v>39206524</v>
      </c>
      <c r="X79" s="627"/>
      <c r="Y79" s="333"/>
      <c r="Z79" s="39"/>
    </row>
    <row r="80" spans="1:26" ht="15.75" thickBot="1" x14ac:dyDescent="0.25">
      <c r="A80" s="249"/>
      <c r="B80" s="9"/>
      <c r="C80" s="9"/>
      <c r="D80" s="9"/>
      <c r="E80" s="9"/>
      <c r="F80" s="9"/>
      <c r="G80" s="9"/>
      <c r="H80" s="9"/>
      <c r="I80" s="9"/>
      <c r="J80" s="333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333"/>
      <c r="Z80" s="170"/>
    </row>
    <row r="81" spans="1:26" ht="16.5" thickBot="1" x14ac:dyDescent="0.25">
      <c r="A81" s="249"/>
      <c r="B81" s="9"/>
      <c r="C81" s="9"/>
      <c r="D81" s="9" t="s">
        <v>820</v>
      </c>
      <c r="E81" s="9"/>
      <c r="F81" s="9"/>
      <c r="G81" s="9"/>
      <c r="H81" s="9"/>
      <c r="I81" s="9"/>
      <c r="J81" s="333"/>
      <c r="K81" s="530"/>
      <c r="L81" s="530"/>
      <c r="M81" s="530"/>
      <c r="N81" s="626">
        <f>VLOOKUP($F$1,Part1,50,FALSE)</f>
        <v>11711128</v>
      </c>
      <c r="O81" s="627"/>
      <c r="P81" s="530"/>
      <c r="Q81" s="626">
        <f>VLOOKUP($F$1,Part1,51,FALSE)</f>
        <v>230400</v>
      </c>
      <c r="R81" s="627"/>
      <c r="S81" s="530"/>
      <c r="T81" s="626">
        <f>VLOOKUP($F$1,Part1,52,FALSE)</f>
        <v>28678</v>
      </c>
      <c r="U81" s="627"/>
      <c r="V81" s="530"/>
      <c r="W81" s="626">
        <f>VLOOKUP($F$1,Part1,53,FALSE)</f>
        <v>11970206</v>
      </c>
      <c r="X81" s="627"/>
      <c r="Y81" s="333"/>
      <c r="Z81" s="39"/>
    </row>
    <row r="82" spans="1:26" ht="16.5" thickBot="1" x14ac:dyDescent="0.25">
      <c r="A82" s="249"/>
      <c r="B82" s="9"/>
      <c r="C82" s="9"/>
      <c r="D82" s="9"/>
      <c r="E82" s="9"/>
      <c r="F82" s="9"/>
      <c r="G82" s="9"/>
      <c r="H82" s="9"/>
      <c r="I82" s="9"/>
      <c r="J82" s="333"/>
      <c r="K82" s="342"/>
      <c r="L82" s="342"/>
      <c r="M82" s="342"/>
      <c r="N82" s="420"/>
      <c r="O82" s="342"/>
      <c r="P82" s="342"/>
      <c r="Q82" s="420"/>
      <c r="R82" s="342"/>
      <c r="S82" s="342"/>
      <c r="T82" s="420"/>
      <c r="U82" s="342"/>
      <c r="V82" s="342"/>
      <c r="W82" s="342"/>
      <c r="X82" s="342"/>
      <c r="Y82" s="333"/>
      <c r="Z82" s="170"/>
    </row>
    <row r="83" spans="1:26" ht="16.5" thickBot="1" x14ac:dyDescent="0.25">
      <c r="A83" s="249"/>
      <c r="B83" s="9"/>
      <c r="C83" s="9"/>
      <c r="D83" s="9" t="s">
        <v>821</v>
      </c>
      <c r="E83" s="9"/>
      <c r="F83" s="9"/>
      <c r="G83" s="9"/>
      <c r="H83" s="9"/>
      <c r="I83" s="9"/>
      <c r="J83" s="333"/>
      <c r="K83" s="342"/>
      <c r="L83" s="342"/>
      <c r="M83" s="342"/>
      <c r="N83" s="626">
        <f>VLOOKUP($F$1,Part1,54,FALSE)</f>
        <v>11039000</v>
      </c>
      <c r="O83" s="627"/>
      <c r="P83" s="530"/>
      <c r="Q83" s="530"/>
      <c r="R83" s="530"/>
      <c r="S83" s="530"/>
      <c r="T83" s="530"/>
      <c r="U83" s="530"/>
      <c r="V83" s="530"/>
      <c r="W83" s="626">
        <f>VLOOKUP($F$1,Part1,55,FALSE)</f>
        <v>11039000</v>
      </c>
      <c r="X83" s="627"/>
      <c r="Y83" s="333"/>
      <c r="Z83" s="39"/>
    </row>
    <row r="84" spans="1:26" ht="15.75" thickBot="1" x14ac:dyDescent="0.25">
      <c r="A84" s="249"/>
      <c r="B84" s="9"/>
      <c r="C84" s="9"/>
      <c r="D84" s="9"/>
      <c r="E84" s="9"/>
      <c r="F84" s="9"/>
      <c r="G84" s="9"/>
      <c r="H84" s="9"/>
      <c r="I84" s="9"/>
      <c r="J84" s="333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33"/>
      <c r="Z84" s="170"/>
    </row>
    <row r="85" spans="1:26" ht="16.5" thickBot="1" x14ac:dyDescent="0.25">
      <c r="A85" s="249"/>
      <c r="B85" s="9"/>
      <c r="C85" s="9"/>
      <c r="D85" s="9" t="s">
        <v>822</v>
      </c>
      <c r="E85" s="9"/>
      <c r="F85" s="9"/>
      <c r="G85" s="9"/>
      <c r="H85" s="9"/>
      <c r="I85" s="9"/>
      <c r="J85" s="333"/>
      <c r="K85" s="333"/>
      <c r="L85" s="333"/>
      <c r="M85" s="342"/>
      <c r="N85" s="632">
        <f>VLOOKUP($F$1,Part1,56,FALSE)</f>
        <v>0</v>
      </c>
      <c r="O85" s="633"/>
      <c r="P85" s="252"/>
      <c r="Q85" s="632">
        <f>VLOOKUP($F$1,Part1,57,FALSE)</f>
        <v>0</v>
      </c>
      <c r="R85" s="633"/>
      <c r="S85" s="252"/>
      <c r="T85" s="632">
        <f>VLOOKUP($F$1,Part1,58,FALSE)</f>
        <v>0</v>
      </c>
      <c r="U85" s="633"/>
      <c r="V85" s="252"/>
      <c r="W85" s="632">
        <f>VLOOKUP($F$1,Part1,59,FALSE)</f>
        <v>0</v>
      </c>
      <c r="X85" s="633"/>
      <c r="Y85" s="333"/>
      <c r="Z85" s="170"/>
    </row>
    <row r="86" spans="1:26" ht="15.75" x14ac:dyDescent="0.2">
      <c r="A86" s="249"/>
      <c r="B86" s="9"/>
      <c r="C86" s="9"/>
      <c r="D86" s="9"/>
      <c r="E86" s="9"/>
      <c r="F86" s="9"/>
      <c r="G86" s="9"/>
      <c r="H86" s="9"/>
      <c r="I86" s="9"/>
      <c r="J86" s="333"/>
      <c r="K86" s="342"/>
      <c r="L86" s="342"/>
      <c r="M86" s="342"/>
      <c r="N86" s="420"/>
      <c r="O86" s="342"/>
      <c r="P86" s="342"/>
      <c r="Q86" s="420"/>
      <c r="R86" s="342"/>
      <c r="S86" s="342"/>
      <c r="T86" s="420"/>
      <c r="U86" s="342"/>
      <c r="V86" s="342"/>
      <c r="W86" s="420"/>
      <c r="X86" s="342"/>
      <c r="Y86" s="333"/>
      <c r="Z86" s="170"/>
    </row>
    <row r="87" spans="1:26" ht="15" customHeight="1" thickBot="1" x14ac:dyDescent="0.3">
      <c r="A87" s="249"/>
      <c r="B87" s="9"/>
      <c r="C87" s="10" t="s">
        <v>35</v>
      </c>
      <c r="D87" s="9"/>
      <c r="E87" s="9"/>
      <c r="F87" s="9"/>
      <c r="G87" s="9"/>
      <c r="H87" s="9"/>
      <c r="I87" s="9"/>
      <c r="J87" s="333"/>
      <c r="K87" s="624" t="s">
        <v>555</v>
      </c>
      <c r="L87" s="624"/>
      <c r="M87" s="528"/>
      <c r="N87" s="624" t="s">
        <v>555</v>
      </c>
      <c r="O87" s="624"/>
      <c r="P87" s="342"/>
      <c r="Q87" s="624" t="s">
        <v>555</v>
      </c>
      <c r="R87" s="624"/>
      <c r="S87" s="342"/>
      <c r="T87" s="624" t="s">
        <v>555</v>
      </c>
      <c r="U87" s="624"/>
      <c r="V87" s="528"/>
      <c r="W87" s="624" t="s">
        <v>555</v>
      </c>
      <c r="X87" s="624"/>
      <c r="Y87" s="333"/>
      <c r="Z87" s="170"/>
    </row>
    <row r="88" spans="1:26" ht="16.5" thickBot="1" x14ac:dyDescent="0.25">
      <c r="A88" s="249"/>
      <c r="B88" s="9"/>
      <c r="C88" s="9"/>
      <c r="D88" s="9" t="s">
        <v>823</v>
      </c>
      <c r="E88" s="9"/>
      <c r="F88" s="9"/>
      <c r="G88" s="9"/>
      <c r="H88" s="9"/>
      <c r="I88" s="9"/>
      <c r="J88" s="333"/>
      <c r="K88" s="626">
        <f>VLOOKUP($F$1,Part1,60,FALSE)</f>
        <v>-631408030</v>
      </c>
      <c r="L88" s="627"/>
      <c r="M88" s="528"/>
      <c r="N88" s="626">
        <f>VLOOKUP($F$1,Part1,61,FALSE)</f>
        <v>-509910890</v>
      </c>
      <c r="O88" s="627"/>
      <c r="P88" s="342"/>
      <c r="Q88" s="626">
        <f>VLOOKUP($F$1,Part1,62,FALSE)</f>
        <v>-114334303</v>
      </c>
      <c r="R88" s="627"/>
      <c r="S88" s="342"/>
      <c r="T88" s="626">
        <f>VLOOKUP($F$1,Part1,63,FALSE)</f>
        <v>-7162859</v>
      </c>
      <c r="U88" s="627"/>
      <c r="V88" s="342"/>
      <c r="W88" s="626">
        <f>VLOOKUP($F$1,Part1,64,FALSE)</f>
        <v>-1262816081.1010003</v>
      </c>
      <c r="X88" s="627"/>
      <c r="Y88" s="333"/>
      <c r="Z88" s="39"/>
    </row>
    <row r="89" spans="1:26" ht="15.75" thickBot="1" x14ac:dyDescent="0.25">
      <c r="A89" s="249"/>
      <c r="B89" s="9"/>
      <c r="C89" s="9"/>
      <c r="D89" s="9"/>
      <c r="E89" s="9"/>
      <c r="F89" s="9"/>
      <c r="G89" s="9"/>
      <c r="H89" s="9"/>
      <c r="I89" s="9"/>
      <c r="J89" s="333"/>
      <c r="K89" s="530"/>
      <c r="L89" s="530"/>
      <c r="M89" s="530"/>
      <c r="N89" s="530"/>
      <c r="O89" s="530"/>
      <c r="P89" s="530"/>
      <c r="Q89" s="530"/>
      <c r="R89" s="530"/>
      <c r="S89" s="530"/>
      <c r="T89" s="530"/>
      <c r="U89" s="530"/>
      <c r="V89" s="530"/>
      <c r="W89" s="530"/>
      <c r="X89" s="530"/>
      <c r="Y89" s="333"/>
      <c r="Z89" s="170"/>
    </row>
    <row r="90" spans="1:26" x14ac:dyDescent="0.2">
      <c r="A90" s="249"/>
      <c r="B90" s="14"/>
      <c r="C90" s="15"/>
      <c r="D90" s="15"/>
      <c r="E90" s="15"/>
      <c r="F90" s="15"/>
      <c r="G90" s="15"/>
      <c r="H90" s="15"/>
      <c r="I90" s="15"/>
      <c r="J90" s="522"/>
      <c r="K90" s="523"/>
      <c r="L90" s="523"/>
      <c r="M90" s="523"/>
      <c r="N90" s="523"/>
      <c r="O90" s="523"/>
      <c r="P90" s="523"/>
      <c r="Q90" s="523"/>
      <c r="R90" s="523"/>
      <c r="S90" s="523"/>
      <c r="T90" s="523"/>
      <c r="U90" s="523"/>
      <c r="V90" s="523"/>
      <c r="W90" s="523"/>
      <c r="X90" s="523"/>
      <c r="Y90" s="524"/>
      <c r="Z90" s="170"/>
    </row>
    <row r="91" spans="1:26" ht="16.5" thickBot="1" x14ac:dyDescent="0.3">
      <c r="A91" s="249"/>
      <c r="B91" s="16"/>
      <c r="C91" s="17" t="s">
        <v>571</v>
      </c>
      <c r="D91" s="7"/>
      <c r="E91" s="7"/>
      <c r="F91" s="7"/>
      <c r="G91" s="7"/>
      <c r="H91" s="7"/>
      <c r="I91" s="7"/>
      <c r="J91" s="518"/>
      <c r="K91" s="625" t="s">
        <v>555</v>
      </c>
      <c r="L91" s="625"/>
      <c r="M91" s="521"/>
      <c r="N91" s="625" t="s">
        <v>555</v>
      </c>
      <c r="O91" s="625"/>
      <c r="P91" s="521"/>
      <c r="Q91" s="625" t="s">
        <v>555</v>
      </c>
      <c r="R91" s="625"/>
      <c r="S91" s="521"/>
      <c r="T91" s="625" t="s">
        <v>555</v>
      </c>
      <c r="U91" s="625"/>
      <c r="V91" s="521"/>
      <c r="W91" s="625" t="s">
        <v>555</v>
      </c>
      <c r="X91" s="625"/>
      <c r="Y91" s="525"/>
      <c r="Z91" s="170"/>
    </row>
    <row r="92" spans="1:26" ht="16.5" thickBot="1" x14ac:dyDescent="0.25">
      <c r="A92" s="249"/>
      <c r="B92" s="16"/>
      <c r="C92" s="7" t="s">
        <v>824</v>
      </c>
      <c r="D92" s="7"/>
      <c r="E92" s="7"/>
      <c r="F92" s="7"/>
      <c r="G92" s="7"/>
      <c r="H92" s="7"/>
      <c r="I92" s="7"/>
      <c r="J92" s="518"/>
      <c r="K92" s="626">
        <f>VLOOKUP($F$1,Part1,65,FALSE)</f>
        <v>11110105993</v>
      </c>
      <c r="L92" s="627"/>
      <c r="M92" s="519"/>
      <c r="N92" s="626">
        <f>VLOOKUP($F$1,Part1,66,FALSE)</f>
        <v>9188828401</v>
      </c>
      <c r="O92" s="627"/>
      <c r="P92" s="520"/>
      <c r="Q92" s="626">
        <f>VLOOKUP($F$1,Part1,67,FALSE)</f>
        <v>1985523763</v>
      </c>
      <c r="R92" s="627"/>
      <c r="S92" s="520"/>
      <c r="T92" s="626">
        <f>VLOOKUP($F$1,Part1,68,FALSE)</f>
        <v>123545322</v>
      </c>
      <c r="U92" s="627"/>
      <c r="V92" s="520"/>
      <c r="W92" s="626">
        <f>VLOOKUP($F$1,Part1,69,FALSE)</f>
        <v>22408003480</v>
      </c>
      <c r="X92" s="627"/>
      <c r="Y92" s="525"/>
      <c r="Z92" s="39"/>
    </row>
    <row r="93" spans="1:26" ht="15.75" thickBot="1" x14ac:dyDescent="0.25">
      <c r="A93" s="249"/>
      <c r="B93" s="18"/>
      <c r="C93" s="19"/>
      <c r="D93" s="19"/>
      <c r="E93" s="19"/>
      <c r="F93" s="19"/>
      <c r="G93" s="19"/>
      <c r="H93" s="19"/>
      <c r="I93" s="19"/>
      <c r="J93" s="526"/>
      <c r="K93" s="526"/>
      <c r="L93" s="526"/>
      <c r="M93" s="526"/>
      <c r="N93" s="526"/>
      <c r="O93" s="526"/>
      <c r="P93" s="526"/>
      <c r="Q93" s="526"/>
      <c r="R93" s="526"/>
      <c r="S93" s="526"/>
      <c r="T93" s="526"/>
      <c r="U93" s="526"/>
      <c r="V93" s="526"/>
      <c r="W93" s="526"/>
      <c r="X93" s="526"/>
      <c r="Y93" s="527"/>
      <c r="Z93" s="170"/>
    </row>
    <row r="94" spans="1:26" ht="15.75" thickBot="1" x14ac:dyDescent="0.25">
      <c r="A94" s="414"/>
      <c r="B94" s="415"/>
      <c r="C94" s="415"/>
      <c r="D94" s="415"/>
      <c r="E94" s="415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415"/>
      <c r="T94" s="415"/>
      <c r="U94" s="415"/>
      <c r="V94" s="415"/>
      <c r="W94" s="415"/>
      <c r="X94" s="415"/>
      <c r="Y94" s="415"/>
      <c r="Z94" s="172"/>
    </row>
    <row r="95" spans="1:26" ht="15.75" thickBot="1" x14ac:dyDescent="0.25">
      <c r="A95" s="372"/>
      <c r="B95" s="171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2"/>
    </row>
    <row r="96" spans="1:26" x14ac:dyDescent="0.2">
      <c r="A96" s="411"/>
      <c r="B96" s="412"/>
      <c r="C96" s="412"/>
      <c r="D96" s="412"/>
      <c r="E96" s="412"/>
      <c r="F96" s="412"/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412"/>
      <c r="S96" s="412"/>
      <c r="T96" s="412"/>
      <c r="U96" s="412"/>
      <c r="V96" s="412"/>
      <c r="W96" s="412"/>
      <c r="X96" s="412"/>
      <c r="Y96" s="412"/>
      <c r="Z96" s="413"/>
    </row>
    <row r="97" spans="1:27" ht="15.75" x14ac:dyDescent="0.25">
      <c r="A97" s="254"/>
      <c r="B97" s="2"/>
      <c r="C97" s="10" t="s">
        <v>825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170"/>
    </row>
    <row r="98" spans="1:27" x14ac:dyDescent="0.2">
      <c r="A98" s="254"/>
      <c r="B98" s="2"/>
      <c r="C98" s="628" t="s">
        <v>826</v>
      </c>
      <c r="D98" s="628"/>
      <c r="E98" s="628"/>
      <c r="F98" s="628"/>
      <c r="G98" s="628"/>
      <c r="H98" s="628"/>
      <c r="I98" s="628"/>
      <c r="J98" s="628"/>
      <c r="K98" s="628"/>
      <c r="L98" s="628"/>
      <c r="M98" s="628"/>
      <c r="N98" s="628"/>
      <c r="O98" s="628"/>
      <c r="P98" s="628"/>
      <c r="Q98" s="628"/>
      <c r="R98" s="628"/>
      <c r="S98" s="628"/>
      <c r="T98" s="628"/>
      <c r="U98" s="628"/>
      <c r="V98" s="628"/>
      <c r="W98" s="628"/>
      <c r="X98" s="628"/>
      <c r="Y98" s="2"/>
      <c r="Z98" s="170"/>
    </row>
    <row r="99" spans="1:27" x14ac:dyDescent="0.2">
      <c r="A99" s="254"/>
      <c r="B99" s="2"/>
      <c r="C99" s="628"/>
      <c r="D99" s="628"/>
      <c r="E99" s="628"/>
      <c r="F99" s="628"/>
      <c r="G99" s="628"/>
      <c r="H99" s="628"/>
      <c r="I99" s="628"/>
      <c r="J99" s="628"/>
      <c r="K99" s="628"/>
      <c r="L99" s="628"/>
      <c r="M99" s="628"/>
      <c r="N99" s="628"/>
      <c r="O99" s="628"/>
      <c r="P99" s="628"/>
      <c r="Q99" s="628"/>
      <c r="R99" s="628"/>
      <c r="S99" s="628"/>
      <c r="T99" s="628"/>
      <c r="U99" s="628"/>
      <c r="V99" s="628"/>
      <c r="W99" s="628"/>
      <c r="X99" s="628"/>
      <c r="Y99" s="2"/>
      <c r="Z99" s="170"/>
    </row>
    <row r="100" spans="1:27" x14ac:dyDescent="0.2">
      <c r="A100" s="25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630" t="s">
        <v>559</v>
      </c>
      <c r="O100" s="630"/>
      <c r="P100" s="355"/>
      <c r="Q100" s="630" t="s">
        <v>560</v>
      </c>
      <c r="R100" s="630"/>
      <c r="S100" s="355"/>
      <c r="T100" s="630" t="s">
        <v>561</v>
      </c>
      <c r="U100" s="630"/>
      <c r="V100" s="355"/>
      <c r="W100" s="630" t="s">
        <v>577</v>
      </c>
      <c r="X100" s="630"/>
      <c r="Y100" s="2"/>
      <c r="Z100" s="170"/>
    </row>
    <row r="101" spans="1:27" ht="15.75" customHeight="1" x14ac:dyDescent="0.2">
      <c r="A101" s="25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629"/>
      <c r="O101" s="629"/>
      <c r="P101" s="48"/>
      <c r="Q101" s="629"/>
      <c r="R101" s="629"/>
      <c r="S101" s="48"/>
      <c r="T101" s="629"/>
      <c r="U101" s="629"/>
      <c r="V101" s="48"/>
      <c r="W101" s="48"/>
      <c r="X101" s="48"/>
      <c r="Y101" s="2"/>
      <c r="Z101" s="170"/>
    </row>
    <row r="102" spans="1:27" ht="16.5" thickBot="1" x14ac:dyDescent="0.3">
      <c r="A102" s="254"/>
      <c r="B102" s="2"/>
      <c r="C102" s="10" t="s">
        <v>717</v>
      </c>
      <c r="D102" s="10"/>
      <c r="E102" s="2"/>
      <c r="F102" s="2"/>
      <c r="G102" s="2"/>
      <c r="H102" s="2"/>
      <c r="I102" s="2"/>
      <c r="J102" s="2"/>
      <c r="K102" s="2"/>
      <c r="L102" s="2"/>
      <c r="M102" s="332"/>
      <c r="N102" s="624" t="s">
        <v>555</v>
      </c>
      <c r="O102" s="624"/>
      <c r="P102" s="342"/>
      <c r="Q102" s="624" t="s">
        <v>555</v>
      </c>
      <c r="R102" s="624"/>
      <c r="S102" s="342"/>
      <c r="T102" s="624" t="s">
        <v>555</v>
      </c>
      <c r="U102" s="624"/>
      <c r="V102" s="528"/>
      <c r="W102" s="624" t="s">
        <v>555</v>
      </c>
      <c r="X102" s="624"/>
      <c r="Y102" s="332"/>
      <c r="Z102" s="495"/>
    </row>
    <row r="103" spans="1:27" ht="16.5" thickBot="1" x14ac:dyDescent="0.25">
      <c r="A103" s="254"/>
      <c r="B103" s="2"/>
      <c r="C103" s="9"/>
      <c r="D103" s="9" t="s">
        <v>827</v>
      </c>
      <c r="E103" s="9"/>
      <c r="F103" s="9"/>
      <c r="G103" s="9"/>
      <c r="H103" s="9"/>
      <c r="I103" s="9"/>
      <c r="J103" s="9"/>
      <c r="K103" s="9"/>
      <c r="L103" s="543"/>
      <c r="M103" s="543"/>
      <c r="N103" s="622">
        <f>VLOOKUP($F$1,Part1,70,FALSE)</f>
        <v>139054042</v>
      </c>
      <c r="O103" s="623"/>
      <c r="P103" s="342"/>
      <c r="Q103" s="622">
        <f>VLOOKUP($F$1,Part1,71,FALSE)</f>
        <v>30369849</v>
      </c>
      <c r="R103" s="623"/>
      <c r="S103" s="342"/>
      <c r="T103" s="622">
        <f>VLOOKUP($F$1,Part1,72,FALSE)</f>
        <v>1890407</v>
      </c>
      <c r="U103" s="623"/>
      <c r="V103" s="342"/>
      <c r="W103" s="622">
        <f>VLOOKUP($F$1,Part1,73,FALSE)</f>
        <v>171314298</v>
      </c>
      <c r="X103" s="623"/>
      <c r="Y103" s="332"/>
      <c r="Z103" s="39"/>
    </row>
    <row r="104" spans="1:27" x14ac:dyDescent="0.2">
      <c r="A104" s="254"/>
      <c r="B104" s="2"/>
      <c r="C104" s="9"/>
      <c r="D104" s="9"/>
      <c r="E104" s="72"/>
      <c r="F104" s="72"/>
      <c r="G104" s="72"/>
      <c r="H104" s="72"/>
      <c r="I104" s="72"/>
      <c r="J104" s="72"/>
      <c r="K104" s="9"/>
      <c r="L104" s="332"/>
      <c r="M104" s="332"/>
      <c r="N104" s="544"/>
      <c r="O104" s="544"/>
      <c r="P104" s="544"/>
      <c r="Q104" s="544"/>
      <c r="R104" s="544"/>
      <c r="S104" s="544"/>
      <c r="T104" s="544"/>
      <c r="U104" s="544"/>
      <c r="V104" s="544"/>
      <c r="W104" s="544"/>
      <c r="X104" s="544"/>
      <c r="Y104" s="332"/>
      <c r="Z104" s="495"/>
      <c r="AA104" s="238"/>
    </row>
    <row r="105" spans="1:27" ht="16.5" thickBot="1" x14ac:dyDescent="0.3">
      <c r="A105" s="254"/>
      <c r="B105" s="2"/>
      <c r="C105" s="10" t="s">
        <v>562</v>
      </c>
      <c r="D105" s="9"/>
      <c r="E105" s="72"/>
      <c r="F105" s="72"/>
      <c r="G105" s="72"/>
      <c r="H105" s="72"/>
      <c r="I105" s="72"/>
      <c r="J105" s="72"/>
      <c r="K105" s="9"/>
      <c r="L105" s="332"/>
      <c r="M105" s="332"/>
      <c r="N105" s="544"/>
      <c r="O105" s="544"/>
      <c r="P105" s="544"/>
      <c r="Q105" s="544"/>
      <c r="R105" s="544"/>
      <c r="S105" s="544"/>
      <c r="T105" s="544"/>
      <c r="U105" s="544"/>
      <c r="V105" s="544"/>
      <c r="W105" s="544"/>
      <c r="X105" s="544"/>
      <c r="Y105" s="332"/>
      <c r="Z105" s="495"/>
      <c r="AA105" s="238"/>
    </row>
    <row r="106" spans="1:27" ht="16.5" thickBot="1" x14ac:dyDescent="0.25">
      <c r="A106" s="254"/>
      <c r="B106" s="2"/>
      <c r="C106" s="9"/>
      <c r="D106" s="9" t="s">
        <v>828</v>
      </c>
      <c r="E106" s="9"/>
      <c r="F106" s="9"/>
      <c r="G106" s="9"/>
      <c r="H106" s="9"/>
      <c r="I106" s="9"/>
      <c r="J106" s="9"/>
      <c r="K106" s="9"/>
      <c r="L106" s="543"/>
      <c r="M106" s="543"/>
      <c r="N106" s="622">
        <f>VLOOKUP($F$1,Part1,74,FALSE)</f>
        <v>247066699</v>
      </c>
      <c r="O106" s="623"/>
      <c r="P106" s="342"/>
      <c r="Q106" s="622">
        <f>VLOOKUP($F$1,Part1,75,FALSE)</f>
        <v>35348451</v>
      </c>
      <c r="R106" s="623"/>
      <c r="S106" s="342"/>
      <c r="T106" s="622">
        <f>VLOOKUP($F$1,Part1,76,FALSE)</f>
        <v>3979871</v>
      </c>
      <c r="U106" s="623"/>
      <c r="V106" s="342"/>
      <c r="W106" s="622">
        <f>VLOOKUP($F$1,Part1,77,FALSE)</f>
        <v>286395021</v>
      </c>
      <c r="X106" s="623"/>
      <c r="Y106" s="332"/>
      <c r="Z106" s="39"/>
      <c r="AA106" s="238"/>
    </row>
    <row r="107" spans="1:27" ht="16.5" thickBot="1" x14ac:dyDescent="0.3">
      <c r="A107" s="254"/>
      <c r="B107" s="2"/>
      <c r="C107" s="10"/>
      <c r="D107" s="9"/>
      <c r="E107" s="72"/>
      <c r="F107" s="72"/>
      <c r="G107" s="72"/>
      <c r="H107" s="72"/>
      <c r="I107" s="72"/>
      <c r="J107" s="72"/>
      <c r="K107" s="9"/>
      <c r="L107" s="332"/>
      <c r="M107" s="332"/>
      <c r="N107" s="544"/>
      <c r="O107" s="544"/>
      <c r="P107" s="544"/>
      <c r="Q107" s="544"/>
      <c r="R107" s="544"/>
      <c r="S107" s="544"/>
      <c r="T107" s="544"/>
      <c r="U107" s="544"/>
      <c r="V107" s="544"/>
      <c r="W107" s="544"/>
      <c r="X107" s="544"/>
      <c r="Y107" s="332"/>
      <c r="Z107" s="170"/>
      <c r="AA107" s="238"/>
    </row>
    <row r="108" spans="1:27" ht="16.5" thickBot="1" x14ac:dyDescent="0.25">
      <c r="A108" s="254"/>
      <c r="B108" s="2"/>
      <c r="C108" s="9"/>
      <c r="D108" s="9" t="s">
        <v>829</v>
      </c>
      <c r="E108" s="72"/>
      <c r="F108" s="72"/>
      <c r="G108" s="72"/>
      <c r="H108" s="72"/>
      <c r="I108" s="72"/>
      <c r="J108" s="72"/>
      <c r="K108" s="72"/>
      <c r="L108" s="332"/>
      <c r="M108" s="332"/>
      <c r="N108" s="622">
        <f>VLOOKUP($F$1,Part1,78,FALSE)</f>
        <v>1038958</v>
      </c>
      <c r="O108" s="623"/>
      <c r="P108" s="342"/>
      <c r="Q108" s="622">
        <f>VLOOKUP($F$1,Part1,79,FALSE)</f>
        <v>106903</v>
      </c>
      <c r="R108" s="623"/>
      <c r="S108" s="342"/>
      <c r="T108" s="622">
        <f>VLOOKUP($F$1,Part1,80,FALSE)</f>
        <v>18791</v>
      </c>
      <c r="U108" s="623"/>
      <c r="V108" s="342"/>
      <c r="W108" s="622">
        <f>VLOOKUP($F$1,Part1,81,FALSE)</f>
        <v>1164652</v>
      </c>
      <c r="X108" s="623"/>
      <c r="Y108" s="332"/>
      <c r="Z108" s="39"/>
    </row>
    <row r="109" spans="1:27" s="239" customFormat="1" x14ac:dyDescent="0.2">
      <c r="A109" s="254"/>
      <c r="B109" s="2"/>
      <c r="C109" s="9"/>
      <c r="D109" s="9"/>
      <c r="E109" s="72"/>
      <c r="F109" s="72"/>
      <c r="G109" s="72"/>
      <c r="H109" s="72"/>
      <c r="I109" s="72"/>
      <c r="J109" s="72"/>
      <c r="K109" s="72"/>
      <c r="L109" s="332"/>
      <c r="M109" s="332"/>
      <c r="N109" s="544"/>
      <c r="O109" s="544"/>
      <c r="P109" s="544"/>
      <c r="Q109" s="544"/>
      <c r="R109" s="544"/>
      <c r="S109" s="544"/>
      <c r="T109" s="544"/>
      <c r="U109" s="544"/>
      <c r="V109" s="544"/>
      <c r="W109" s="544"/>
      <c r="X109" s="544"/>
      <c r="Y109" s="332"/>
      <c r="Z109" s="170"/>
      <c r="AA109" s="240"/>
    </row>
    <row r="110" spans="1:27" s="239" customFormat="1" ht="16.5" thickBot="1" x14ac:dyDescent="0.3">
      <c r="A110" s="254"/>
      <c r="B110" s="2"/>
      <c r="C110" s="10" t="s">
        <v>499</v>
      </c>
      <c r="D110" s="9"/>
      <c r="E110" s="72"/>
      <c r="F110" s="72"/>
      <c r="G110" s="72"/>
      <c r="H110" s="72"/>
      <c r="I110" s="72"/>
      <c r="J110" s="72"/>
      <c r="K110" s="72"/>
      <c r="L110" s="332"/>
      <c r="M110" s="332"/>
      <c r="N110" s="544"/>
      <c r="O110" s="544"/>
      <c r="P110" s="544"/>
      <c r="Q110" s="544"/>
      <c r="R110" s="544"/>
      <c r="S110" s="544"/>
      <c r="T110" s="544"/>
      <c r="U110" s="544"/>
      <c r="V110" s="544"/>
      <c r="W110" s="544"/>
      <c r="X110" s="544"/>
      <c r="Y110" s="332"/>
      <c r="Z110" s="170"/>
      <c r="AA110" s="240"/>
    </row>
    <row r="111" spans="1:27" s="239" customFormat="1" ht="16.5" thickBot="1" x14ac:dyDescent="0.25">
      <c r="A111" s="254"/>
      <c r="B111" s="2"/>
      <c r="C111" s="9"/>
      <c r="D111" s="9" t="s">
        <v>830</v>
      </c>
      <c r="E111" s="72"/>
      <c r="F111" s="72"/>
      <c r="G111" s="72"/>
      <c r="H111" s="72"/>
      <c r="I111" s="72"/>
      <c r="J111" s="72"/>
      <c r="K111" s="72"/>
      <c r="L111" s="332"/>
      <c r="M111" s="332"/>
      <c r="N111" s="622">
        <f>VLOOKUP($F$1,Part1,82,FALSE)</f>
        <v>3395974</v>
      </c>
      <c r="O111" s="623"/>
      <c r="P111" s="342"/>
      <c r="Q111" s="622">
        <f>VLOOKUP($F$1,Part1,83,FALSE)</f>
        <v>658293</v>
      </c>
      <c r="R111" s="623"/>
      <c r="S111" s="342"/>
      <c r="T111" s="622">
        <f>VLOOKUP($F$1,Part1,84,FALSE)</f>
        <v>40542</v>
      </c>
      <c r="U111" s="623"/>
      <c r="V111" s="342"/>
      <c r="W111" s="622">
        <f>VLOOKUP($F$1,Part1,85,FALSE)</f>
        <v>4094809</v>
      </c>
      <c r="X111" s="623"/>
      <c r="Y111" s="332"/>
      <c r="Z111" s="39"/>
      <c r="AA111" s="240"/>
    </row>
    <row r="112" spans="1:27" s="239" customFormat="1" x14ac:dyDescent="0.2">
      <c r="A112" s="254"/>
      <c r="B112" s="2"/>
      <c r="C112" s="9"/>
      <c r="D112" s="9"/>
      <c r="E112" s="72"/>
      <c r="F112" s="72"/>
      <c r="G112" s="72"/>
      <c r="H112" s="72"/>
      <c r="I112" s="72"/>
      <c r="J112" s="72"/>
      <c r="K112" s="72"/>
      <c r="L112" s="332"/>
      <c r="M112" s="332"/>
      <c r="N112" s="544"/>
      <c r="O112" s="544"/>
      <c r="P112" s="544"/>
      <c r="Q112" s="544"/>
      <c r="R112" s="544"/>
      <c r="S112" s="544"/>
      <c r="T112" s="544"/>
      <c r="U112" s="544"/>
      <c r="V112" s="544"/>
      <c r="W112" s="544"/>
      <c r="X112" s="544"/>
      <c r="Y112" s="332"/>
      <c r="Z112" s="170"/>
      <c r="AA112" s="240"/>
    </row>
    <row r="113" spans="1:27" s="239" customFormat="1" ht="16.5" thickBot="1" x14ac:dyDescent="0.3">
      <c r="A113" s="254"/>
      <c r="B113" s="2"/>
      <c r="C113" s="10" t="s">
        <v>500</v>
      </c>
      <c r="D113" s="9"/>
      <c r="E113" s="72"/>
      <c r="F113" s="72"/>
      <c r="G113" s="72"/>
      <c r="H113" s="72"/>
      <c r="I113" s="72"/>
      <c r="J113" s="72"/>
      <c r="K113" s="72"/>
      <c r="L113" s="332"/>
      <c r="M113" s="332"/>
      <c r="N113" s="544"/>
      <c r="O113" s="544"/>
      <c r="P113" s="544"/>
      <c r="Q113" s="544"/>
      <c r="R113" s="544"/>
      <c r="S113" s="544"/>
      <c r="T113" s="544"/>
      <c r="U113" s="544"/>
      <c r="V113" s="544"/>
      <c r="W113" s="544"/>
      <c r="X113" s="544"/>
      <c r="Y113" s="332"/>
      <c r="Z113" s="170"/>
      <c r="AA113" s="240"/>
    </row>
    <row r="114" spans="1:27" s="239" customFormat="1" ht="16.5" thickBot="1" x14ac:dyDescent="0.25">
      <c r="A114" s="254"/>
      <c r="B114" s="2"/>
      <c r="C114" s="9"/>
      <c r="D114" s="9" t="s">
        <v>831</v>
      </c>
      <c r="E114" s="72"/>
      <c r="F114" s="72"/>
      <c r="G114" s="72"/>
      <c r="H114" s="72"/>
      <c r="I114" s="72"/>
      <c r="J114" s="72"/>
      <c r="K114" s="72"/>
      <c r="L114" s="332"/>
      <c r="M114" s="332"/>
      <c r="N114" s="622">
        <f>VLOOKUP($F$1,Part1,86,FALSE)</f>
        <v>4466887</v>
      </c>
      <c r="O114" s="623"/>
      <c r="P114" s="342"/>
      <c r="Q114" s="622">
        <f>VLOOKUP($F$1,Part1,87,FALSE)</f>
        <v>562125</v>
      </c>
      <c r="R114" s="623"/>
      <c r="S114" s="342"/>
      <c r="T114" s="622">
        <f>VLOOKUP($F$1,Part1,88,FALSE)</f>
        <v>71956</v>
      </c>
      <c r="U114" s="623"/>
      <c r="V114" s="342"/>
      <c r="W114" s="622">
        <f>VLOOKUP($F$1,Part1,89,FALSE)</f>
        <v>5100968</v>
      </c>
      <c r="X114" s="623"/>
      <c r="Y114" s="332"/>
      <c r="Z114" s="39"/>
      <c r="AA114" s="240"/>
    </row>
    <row r="115" spans="1:27" s="239" customFormat="1" x14ac:dyDescent="0.2">
      <c r="A115" s="254"/>
      <c r="B115" s="2"/>
      <c r="C115" s="9"/>
      <c r="D115" s="9"/>
      <c r="E115" s="9"/>
      <c r="F115" s="9"/>
      <c r="G115" s="9"/>
      <c r="H115" s="9"/>
      <c r="I115" s="9"/>
      <c r="J115" s="9"/>
      <c r="K115" s="9"/>
      <c r="L115" s="332"/>
      <c r="M115" s="332"/>
      <c r="N115" s="544"/>
      <c r="O115" s="544"/>
      <c r="P115" s="544"/>
      <c r="Q115" s="544"/>
      <c r="R115" s="544"/>
      <c r="S115" s="544"/>
      <c r="T115" s="544"/>
      <c r="U115" s="544"/>
      <c r="V115" s="544"/>
      <c r="W115" s="544"/>
      <c r="X115" s="544"/>
      <c r="Y115" s="332"/>
      <c r="Z115" s="170"/>
      <c r="AA115" s="240"/>
    </row>
    <row r="116" spans="1:27" s="239" customFormat="1" ht="16.5" thickBot="1" x14ac:dyDescent="0.3">
      <c r="A116" s="254"/>
      <c r="B116" s="2"/>
      <c r="C116" s="10" t="s">
        <v>832</v>
      </c>
      <c r="D116" s="9"/>
      <c r="E116" s="9"/>
      <c r="F116" s="9"/>
      <c r="G116" s="9"/>
      <c r="H116" s="9"/>
      <c r="I116" s="9"/>
      <c r="J116" s="9"/>
      <c r="K116" s="9"/>
      <c r="L116" s="543"/>
      <c r="M116" s="543"/>
      <c r="N116" s="544"/>
      <c r="O116" s="544"/>
      <c r="P116" s="544"/>
      <c r="Q116" s="544"/>
      <c r="R116" s="544"/>
      <c r="S116" s="544"/>
      <c r="T116" s="544"/>
      <c r="U116" s="544"/>
      <c r="V116" s="544"/>
      <c r="W116" s="544"/>
      <c r="X116" s="544"/>
      <c r="Y116" s="332"/>
      <c r="Z116" s="170"/>
      <c r="AA116" s="240"/>
    </row>
    <row r="117" spans="1:27" s="239" customFormat="1" ht="16.5" thickBot="1" x14ac:dyDescent="0.25">
      <c r="A117" s="254"/>
      <c r="B117" s="2"/>
      <c r="C117" s="9"/>
      <c r="D117" s="9" t="s">
        <v>833</v>
      </c>
      <c r="E117" s="72"/>
      <c r="F117" s="72"/>
      <c r="G117" s="72"/>
      <c r="H117" s="72"/>
      <c r="I117" s="72"/>
      <c r="J117" s="72"/>
      <c r="K117" s="72"/>
      <c r="L117" s="543"/>
      <c r="M117" s="543"/>
      <c r="N117" s="622">
        <f>VLOOKUP($F$1,Part1,90,FALSE)</f>
        <v>2993069</v>
      </c>
      <c r="O117" s="623"/>
      <c r="P117" s="342"/>
      <c r="Q117" s="622">
        <f>VLOOKUP($F$1,Part1,91,FALSE)</f>
        <v>648906</v>
      </c>
      <c r="R117" s="623"/>
      <c r="S117" s="342"/>
      <c r="T117" s="622">
        <f>VLOOKUP($F$1,Part1,92,FALSE)</f>
        <v>42095</v>
      </c>
      <c r="U117" s="623"/>
      <c r="V117" s="342"/>
      <c r="W117" s="622">
        <f>VLOOKUP($F$1,Part1,93,FALSE)</f>
        <v>3684070</v>
      </c>
      <c r="X117" s="623"/>
      <c r="Y117" s="332"/>
      <c r="Z117" s="39"/>
      <c r="AA117" s="240"/>
    </row>
    <row r="118" spans="1:27" ht="15.75" thickBot="1" x14ac:dyDescent="0.25">
      <c r="A118" s="25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32"/>
      <c r="M118" s="332"/>
      <c r="N118" s="332"/>
      <c r="O118" s="332"/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170"/>
    </row>
    <row r="119" spans="1:27" x14ac:dyDescent="0.2">
      <c r="A119" s="249"/>
      <c r="B119" s="545"/>
      <c r="C119" s="467"/>
      <c r="D119" s="467"/>
      <c r="E119" s="467"/>
      <c r="F119" s="467"/>
      <c r="G119" s="467"/>
      <c r="H119" s="467"/>
      <c r="I119" s="467"/>
      <c r="J119" s="467"/>
      <c r="K119" s="462"/>
      <c r="L119" s="462"/>
      <c r="M119" s="462"/>
      <c r="N119" s="462"/>
      <c r="O119" s="462"/>
      <c r="P119" s="462"/>
      <c r="Q119" s="462"/>
      <c r="R119" s="462"/>
      <c r="S119" s="462"/>
      <c r="T119" s="462"/>
      <c r="U119" s="462"/>
      <c r="V119" s="462"/>
      <c r="W119" s="462"/>
      <c r="X119" s="462"/>
      <c r="Y119" s="514"/>
      <c r="Z119" s="170"/>
    </row>
    <row r="120" spans="1:27" ht="16.5" thickBot="1" x14ac:dyDescent="0.3">
      <c r="A120" s="249"/>
      <c r="B120" s="546"/>
      <c r="C120" s="469" t="s">
        <v>571</v>
      </c>
      <c r="D120" s="333"/>
      <c r="E120" s="333"/>
      <c r="F120" s="333"/>
      <c r="G120" s="333"/>
      <c r="H120" s="333"/>
      <c r="I120" s="333"/>
      <c r="J120" s="333"/>
      <c r="K120" s="333"/>
      <c r="L120" s="333"/>
      <c r="M120" s="342"/>
      <c r="N120" s="624" t="s">
        <v>555</v>
      </c>
      <c r="O120" s="624"/>
      <c r="P120" s="342"/>
      <c r="Q120" s="624" t="s">
        <v>555</v>
      </c>
      <c r="R120" s="624"/>
      <c r="S120" s="342"/>
      <c r="T120" s="624" t="s">
        <v>555</v>
      </c>
      <c r="U120" s="624"/>
      <c r="V120" s="342"/>
      <c r="W120" s="624" t="s">
        <v>555</v>
      </c>
      <c r="X120" s="624"/>
      <c r="Y120" s="506"/>
      <c r="Z120" s="170"/>
    </row>
    <row r="121" spans="1:27" ht="16.5" thickBot="1" x14ac:dyDescent="0.25">
      <c r="A121" s="249"/>
      <c r="B121" s="546"/>
      <c r="C121" s="333" t="s">
        <v>834</v>
      </c>
      <c r="D121" s="333"/>
      <c r="E121" s="333"/>
      <c r="F121" s="333"/>
      <c r="G121" s="333"/>
      <c r="H121" s="333"/>
      <c r="I121" s="333"/>
      <c r="J121" s="333"/>
      <c r="K121" s="420"/>
      <c r="L121" s="420"/>
      <c r="M121" s="342"/>
      <c r="N121" s="622">
        <f>VLOOKUP($F$1,Part1,94,FALSE)</f>
        <v>398015629</v>
      </c>
      <c r="O121" s="623"/>
      <c r="P121" s="342"/>
      <c r="Q121" s="622">
        <f>VLOOKUP($F$1,Part1,95,FALSE)</f>
        <v>67694527</v>
      </c>
      <c r="R121" s="623"/>
      <c r="S121" s="342"/>
      <c r="T121" s="622">
        <f>VLOOKUP($F$1,Part1,96,FALSE)</f>
        <v>6043662</v>
      </c>
      <c r="U121" s="623"/>
      <c r="V121" s="342"/>
      <c r="W121" s="622">
        <f>VLOOKUP($F$1,Part1,97,FALSE)</f>
        <v>471753818</v>
      </c>
      <c r="X121" s="623"/>
      <c r="Y121" s="506"/>
      <c r="Z121" s="39"/>
    </row>
    <row r="122" spans="1:27" ht="15.75" thickBot="1" x14ac:dyDescent="0.25">
      <c r="A122" s="249"/>
      <c r="B122" s="547"/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510"/>
      <c r="Z122" s="170"/>
    </row>
    <row r="123" spans="1:27" x14ac:dyDescent="0.2">
      <c r="A123" s="24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170"/>
    </row>
    <row r="124" spans="1:27" s="54" customFormat="1" x14ac:dyDescent="0.2">
      <c r="A124" s="249"/>
      <c r="B124" s="9"/>
      <c r="C124" s="612"/>
      <c r="D124" s="612"/>
      <c r="E124" s="612"/>
      <c r="F124" s="612"/>
      <c r="G124" s="612"/>
      <c r="H124" s="612"/>
      <c r="I124" s="612"/>
      <c r="J124" s="612"/>
      <c r="K124" s="612"/>
      <c r="L124" s="612"/>
      <c r="M124" s="612"/>
      <c r="N124" s="612"/>
      <c r="O124" s="612"/>
      <c r="P124" s="612"/>
      <c r="Q124" s="612"/>
      <c r="R124" s="612"/>
      <c r="S124" s="612"/>
      <c r="T124" s="612"/>
      <c r="U124" s="612"/>
      <c r="V124" s="612"/>
      <c r="W124" s="612"/>
      <c r="X124" s="612"/>
      <c r="Y124" s="9"/>
      <c r="Z124" s="170"/>
      <c r="AA124" s="235"/>
    </row>
    <row r="125" spans="1:27" s="54" customFormat="1" x14ac:dyDescent="0.2">
      <c r="A125" s="249"/>
      <c r="B125" s="9"/>
      <c r="C125" s="612"/>
      <c r="D125" s="612"/>
      <c r="E125" s="612"/>
      <c r="F125" s="612"/>
      <c r="G125" s="612"/>
      <c r="H125" s="612"/>
      <c r="I125" s="612"/>
      <c r="J125" s="612"/>
      <c r="K125" s="612"/>
      <c r="L125" s="612"/>
      <c r="M125" s="612"/>
      <c r="N125" s="612"/>
      <c r="O125" s="612"/>
      <c r="P125" s="612"/>
      <c r="Q125" s="612"/>
      <c r="R125" s="612"/>
      <c r="S125" s="612"/>
      <c r="T125" s="612"/>
      <c r="U125" s="612"/>
      <c r="V125" s="612"/>
      <c r="W125" s="612"/>
      <c r="X125" s="612"/>
      <c r="Y125" s="9"/>
      <c r="Z125" s="170"/>
      <c r="AA125" s="235"/>
    </row>
    <row r="126" spans="1:27" ht="15.75" thickBot="1" x14ac:dyDescent="0.25">
      <c r="A126" s="372"/>
      <c r="B126" s="171"/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2"/>
    </row>
    <row r="134" spans="12:27" s="239" customFormat="1" ht="15.75" x14ac:dyDescent="0.2">
      <c r="L134" s="370"/>
      <c r="M134" s="370"/>
      <c r="N134" s="638">
        <f>VLOOKUP($F$1,Part1,95,FALSE)</f>
        <v>67694527</v>
      </c>
      <c r="O134" s="639"/>
      <c r="P134" s="370"/>
      <c r="Q134" s="638">
        <f>VLOOKUP($F$1,Part1,96,FALSE)</f>
        <v>6043662</v>
      </c>
      <c r="R134" s="639"/>
      <c r="S134" s="370"/>
      <c r="T134" s="638">
        <f>VLOOKUP($F$1,Part1,97,FALSE)</f>
        <v>471753818</v>
      </c>
      <c r="U134" s="639"/>
      <c r="V134" s="370"/>
      <c r="W134" s="370"/>
      <c r="AA134" s="240"/>
    </row>
    <row r="140" spans="12:27" s="8" customFormat="1" ht="15.75" hidden="1" x14ac:dyDescent="0.2">
      <c r="L140" s="54"/>
      <c r="M140" s="54"/>
      <c r="N140" s="610" t="str">
        <f>VLOOKUP($F$1,Part1,99,FALSE)</f>
        <v>England</v>
      </c>
      <c r="O140" s="611"/>
      <c r="P140" s="54"/>
      <c r="Q140" s="610" t="str">
        <f>VLOOKUP($F$1,Part1,100,FALSE)</f>
        <v xml:space="preserve">   </v>
      </c>
      <c r="R140" s="611"/>
      <c r="S140" s="54"/>
      <c r="T140" s="610" t="str">
        <f>VLOOKUP($F$1,Part1,101,FALSE)</f>
        <v>Fire Authority</v>
      </c>
      <c r="U140" s="611"/>
      <c r="V140" s="54"/>
      <c r="W140" s="54"/>
      <c r="AA140" s="235"/>
    </row>
  </sheetData>
  <sheetProtection selectLockedCells="1" selectUnlockedCells="1"/>
  <mergeCells count="159">
    <mergeCell ref="N134:O134"/>
    <mergeCell ref="Q134:R134"/>
    <mergeCell ref="B36:H37"/>
    <mergeCell ref="B38:H39"/>
    <mergeCell ref="K56:L56"/>
    <mergeCell ref="K60:L60"/>
    <mergeCell ref="N56:O56"/>
    <mergeCell ref="D61:I62"/>
    <mergeCell ref="N79:O79"/>
    <mergeCell ref="N100:O100"/>
    <mergeCell ref="Q100:R100"/>
    <mergeCell ref="N72:O72"/>
    <mergeCell ref="N70:O70"/>
    <mergeCell ref="Q79:R79"/>
    <mergeCell ref="N83:O83"/>
    <mergeCell ref="N81:O81"/>
    <mergeCell ref="B13:G13"/>
    <mergeCell ref="W79:X79"/>
    <mergeCell ref="T81:U81"/>
    <mergeCell ref="W81:X81"/>
    <mergeCell ref="N85:O85"/>
    <mergeCell ref="Q85:R85"/>
    <mergeCell ref="T85:U85"/>
    <mergeCell ref="J15:L15"/>
    <mergeCell ref="J41:L41"/>
    <mergeCell ref="J43:L43"/>
    <mergeCell ref="J46:L46"/>
    <mergeCell ref="N61:O61"/>
    <mergeCell ref="Q61:R61"/>
    <mergeCell ref="D65:I66"/>
    <mergeCell ref="K65:L65"/>
    <mergeCell ref="K57:L59"/>
    <mergeCell ref="N57:O59"/>
    <mergeCell ref="Q57:R59"/>
    <mergeCell ref="T57:U59"/>
    <mergeCell ref="K61:L61"/>
    <mergeCell ref="Q65:R65"/>
    <mergeCell ref="T65:U65"/>
    <mergeCell ref="T134:U134"/>
    <mergeCell ref="R1:S1"/>
    <mergeCell ref="A3:Z3"/>
    <mergeCell ref="A4:Z4"/>
    <mergeCell ref="A5:Z5"/>
    <mergeCell ref="J14:K14"/>
    <mergeCell ref="B15:H18"/>
    <mergeCell ref="B20:H20"/>
    <mergeCell ref="E8:J8"/>
    <mergeCell ref="W60:X60"/>
    <mergeCell ref="A6:Z6"/>
    <mergeCell ref="Q60:R60"/>
    <mergeCell ref="Q56:R56"/>
    <mergeCell ref="W56:X56"/>
    <mergeCell ref="T56:U56"/>
    <mergeCell ref="M46:N46"/>
    <mergeCell ref="O46:Q46"/>
    <mergeCell ref="T72:U72"/>
    <mergeCell ref="N75:O75"/>
    <mergeCell ref="W75:X75"/>
    <mergeCell ref="N77:O77"/>
    <mergeCell ref="W77:X77"/>
    <mergeCell ref="W72:X72"/>
    <mergeCell ref="T60:U60"/>
    <mergeCell ref="W65:X65"/>
    <mergeCell ref="W57:X57"/>
    <mergeCell ref="T61:U61"/>
    <mergeCell ref="W61:X61"/>
    <mergeCell ref="N65:O65"/>
    <mergeCell ref="N60:O60"/>
    <mergeCell ref="Q72:R72"/>
    <mergeCell ref="W83:X83"/>
    <mergeCell ref="W68:X68"/>
    <mergeCell ref="W70:X70"/>
    <mergeCell ref="K88:L88"/>
    <mergeCell ref="N88:O88"/>
    <mergeCell ref="Q88:R88"/>
    <mergeCell ref="T88:U88"/>
    <mergeCell ref="W88:X88"/>
    <mergeCell ref="Q81:R81"/>
    <mergeCell ref="W85:X85"/>
    <mergeCell ref="K68:L68"/>
    <mergeCell ref="Q68:R68"/>
    <mergeCell ref="N68:O68"/>
    <mergeCell ref="K87:L87"/>
    <mergeCell ref="N87:O87"/>
    <mergeCell ref="Q87:R87"/>
    <mergeCell ref="T87:U87"/>
    <mergeCell ref="W87:X87"/>
    <mergeCell ref="T68:U68"/>
    <mergeCell ref="K70:L70"/>
    <mergeCell ref="Q70:R70"/>
    <mergeCell ref="T70:U70"/>
    <mergeCell ref="K72:L72"/>
    <mergeCell ref="K91:L91"/>
    <mergeCell ref="K92:L92"/>
    <mergeCell ref="N92:O92"/>
    <mergeCell ref="Q92:R92"/>
    <mergeCell ref="T92:U92"/>
    <mergeCell ref="W92:X92"/>
    <mergeCell ref="W91:X91"/>
    <mergeCell ref="C98:X99"/>
    <mergeCell ref="N101:O101"/>
    <mergeCell ref="Q101:R101"/>
    <mergeCell ref="T101:U101"/>
    <mergeCell ref="T100:U100"/>
    <mergeCell ref="W100:X100"/>
    <mergeCell ref="N91:O91"/>
    <mergeCell ref="Q91:R91"/>
    <mergeCell ref="T91:U91"/>
    <mergeCell ref="N102:O102"/>
    <mergeCell ref="Q102:R102"/>
    <mergeCell ref="T102:U102"/>
    <mergeCell ref="W102:X102"/>
    <mergeCell ref="N103:O103"/>
    <mergeCell ref="Q103:R103"/>
    <mergeCell ref="T103:U103"/>
    <mergeCell ref="W103:X103"/>
    <mergeCell ref="N106:O106"/>
    <mergeCell ref="Q106:R106"/>
    <mergeCell ref="T106:U106"/>
    <mergeCell ref="W106:X106"/>
    <mergeCell ref="Q121:R121"/>
    <mergeCell ref="T121:U121"/>
    <mergeCell ref="W121:X121"/>
    <mergeCell ref="N108:O108"/>
    <mergeCell ref="Q108:R108"/>
    <mergeCell ref="T108:U108"/>
    <mergeCell ref="W108:X108"/>
    <mergeCell ref="N111:O111"/>
    <mergeCell ref="Q111:R111"/>
    <mergeCell ref="T111:U111"/>
    <mergeCell ref="W111:X111"/>
    <mergeCell ref="N114:O114"/>
    <mergeCell ref="Q114:R114"/>
    <mergeCell ref="T114:U114"/>
    <mergeCell ref="W114:X114"/>
    <mergeCell ref="N140:O140"/>
    <mergeCell ref="Q140:R140"/>
    <mergeCell ref="T140:U140"/>
    <mergeCell ref="C124:X125"/>
    <mergeCell ref="P36:V36"/>
    <mergeCell ref="M45:N45"/>
    <mergeCell ref="O45:Q45"/>
    <mergeCell ref="J21:L21"/>
    <mergeCell ref="J23:L23"/>
    <mergeCell ref="J26:L26"/>
    <mergeCell ref="J28:L28"/>
    <mergeCell ref="J30:L30"/>
    <mergeCell ref="J33:L33"/>
    <mergeCell ref="J36:L36"/>
    <mergeCell ref="J38:L38"/>
    <mergeCell ref="N117:O117"/>
    <mergeCell ref="Q117:R117"/>
    <mergeCell ref="T117:U117"/>
    <mergeCell ref="W117:X117"/>
    <mergeCell ref="N120:O120"/>
    <mergeCell ref="Q120:R120"/>
    <mergeCell ref="T120:U120"/>
    <mergeCell ref="W120:X120"/>
    <mergeCell ref="N121:O121"/>
  </mergeCells>
  <phoneticPr fontId="5" type="noConversion"/>
  <conditionalFormatting sqref="X15:Y15">
    <cfRule type="expression" dxfId="65" priority="78">
      <formula>AND(#REF!=0)=FALSE</formula>
    </cfRule>
  </conditionalFormatting>
  <conditionalFormatting sqref="X21:Y21 X23:Y23">
    <cfRule type="expression" dxfId="64" priority="80">
      <formula>AND(#REF!=0)=FALSE</formula>
    </cfRule>
  </conditionalFormatting>
  <conditionalFormatting sqref="X26">
    <cfRule type="expression" dxfId="63" priority="84">
      <formula>AND(AA37=0)=FALSE</formula>
    </cfRule>
    <cfRule type="expression" dxfId="62" priority="85">
      <formula>AND(#REF!=0)=FALSE</formula>
    </cfRule>
  </conditionalFormatting>
  <conditionalFormatting sqref="Y26">
    <cfRule type="expression" dxfId="61" priority="86">
      <formula>AND(#REF!=0)=FALSE</formula>
    </cfRule>
    <cfRule type="expression" dxfId="60" priority="87">
      <formula>AND(#REF!=0)=FALSE</formula>
    </cfRule>
  </conditionalFormatting>
  <conditionalFormatting sqref="X28:Y28">
    <cfRule type="expression" dxfId="59" priority="88">
      <formula>AND(#REF!=0)=FALSE</formula>
    </cfRule>
  </conditionalFormatting>
  <conditionalFormatting sqref="X30:Y30">
    <cfRule type="expression" dxfId="58" priority="89">
      <formula>AND(#REF!=0)=FALSE</formula>
    </cfRule>
  </conditionalFormatting>
  <conditionalFormatting sqref="X36:Y36">
    <cfRule type="expression" dxfId="57" priority="90">
      <formula>AND(#REF!=0)=FALSE</formula>
    </cfRule>
  </conditionalFormatting>
  <conditionalFormatting sqref="X38:Y38">
    <cfRule type="expression" dxfId="56" priority="91">
      <formula>AND(#REF!=0)=FALSE</formula>
    </cfRule>
  </conditionalFormatting>
  <conditionalFormatting sqref="X46:Y46">
    <cfRule type="expression" dxfId="55" priority="92">
      <formula>AND(#REF!=0)=FALSE</formula>
    </cfRule>
  </conditionalFormatting>
  <conditionalFormatting sqref="Z65">
    <cfRule type="expression" dxfId="54" priority="93">
      <formula>AND(#REF!+#REF!=0)=FALSE</formula>
    </cfRule>
  </conditionalFormatting>
  <conditionalFormatting sqref="Z83 Z88 Z92 Z81 Z79 Z77 Z75 Z103 Z106 Z108 Z111 Z114 Z117 Z121">
    <cfRule type="expression" dxfId="53" priority="94">
      <formula>AND(#REF!=0)=FALSE</formula>
    </cfRule>
  </conditionalFormatting>
  <dataValidations count="2">
    <dataValidation allowBlank="1" showInputMessage="1" sqref="J15:K15"/>
    <dataValidation allowBlank="1" sqref="J23:K24 M20:V45 J21:K21 J46:K46 J43:K44 J41:K41 J38:K39 J36:K36 J33:K34 L31:L32 J30:K31 J28:K28 J26:K26 L24 L34:L35 L37 L39:L40 L42 L44:L45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5" orientation="portrait" r:id="rId1"/>
  <headerFooter alignWithMargins="0"/>
  <rowBreaks count="1" manualBreakCount="1">
    <brk id="94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List Box 7">
              <controlPr locked="0" defaultSize="0" autoFill="0" autoLine="0" autoPict="0">
                <anchor moveWithCells="1">
                  <from>
                    <xdr:col>10</xdr:col>
                    <xdr:colOff>438150</xdr:colOff>
                    <xdr:row>7</xdr:row>
                    <xdr:rowOff>85725</xdr:rowOff>
                  </from>
                  <to>
                    <xdr:col>13</xdr:col>
                    <xdr:colOff>523875</xdr:colOff>
                    <xdr:row>10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ET191"/>
  <sheetViews>
    <sheetView showGridLines="0" zoomScaleNormal="100" zoomScaleSheetLayoutView="100" workbookViewId="0">
      <selection activeCell="W20" sqref="W20"/>
    </sheetView>
  </sheetViews>
  <sheetFormatPr defaultRowHeight="12.75" x14ac:dyDescent="0.2"/>
  <cols>
    <col min="1" max="1" width="2.28515625" style="166" customWidth="1"/>
    <col min="2" max="2" width="2.28515625" customWidth="1"/>
    <col min="6" max="6" width="11.85546875" customWidth="1"/>
    <col min="7" max="7" width="14.28515625" customWidth="1"/>
    <col min="8" max="8" width="3.85546875" customWidth="1"/>
    <col min="9" max="9" width="2.85546875" customWidth="1"/>
    <col min="10" max="11" width="11.42578125" customWidth="1"/>
    <col min="12" max="13" width="2.7109375" customWidth="1"/>
    <col min="14" max="15" width="11.42578125" customWidth="1"/>
    <col min="16" max="17" width="2.7109375" customWidth="1"/>
    <col min="18" max="19" width="11.42578125" customWidth="1"/>
    <col min="20" max="21" width="2.28515625" customWidth="1"/>
    <col min="25" max="25" width="26" bestFit="1" customWidth="1"/>
    <col min="27" max="27" width="16.85546875" customWidth="1"/>
  </cols>
  <sheetData>
    <row r="1" spans="1:27" ht="15" x14ac:dyDescent="0.2">
      <c r="A1" s="164"/>
      <c r="B1" s="42"/>
      <c r="C1" s="42"/>
      <c r="D1" s="42"/>
      <c r="E1" s="42"/>
      <c r="F1" s="160">
        <f>+'Part 1'!F1</f>
        <v>327</v>
      </c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3"/>
    </row>
    <row r="2" spans="1:27" ht="15.75" x14ac:dyDescent="0.25">
      <c r="A2" s="684" t="s">
        <v>583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  <c r="T2" s="685"/>
      <c r="U2" s="686"/>
    </row>
    <row r="3" spans="1:27" ht="15.75" x14ac:dyDescent="0.25">
      <c r="A3" s="684" t="s">
        <v>835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5"/>
      <c r="T3" s="685"/>
      <c r="U3" s="686"/>
    </row>
    <row r="4" spans="1:27" ht="15.75" thickBot="1" x14ac:dyDescent="0.25">
      <c r="A4" s="16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64"/>
      <c r="T4" s="45"/>
      <c r="U4" s="46"/>
    </row>
    <row r="5" spans="1:27" x14ac:dyDescent="0.2">
      <c r="A5" s="255"/>
      <c r="B5" s="37"/>
      <c r="C5" s="692"/>
      <c r="D5" s="692"/>
      <c r="E5" s="692"/>
      <c r="F5" s="692"/>
      <c r="G5" s="692"/>
      <c r="H5" s="692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8"/>
    </row>
    <row r="6" spans="1:27" s="23" customFormat="1" ht="18" x14ac:dyDescent="0.25">
      <c r="A6" s="256"/>
      <c r="B6" s="9"/>
      <c r="C6" s="47" t="str">
        <f>+CONCATENATE("Local Authority : ",+'Part 1'!N140)</f>
        <v>Local Authority : England</v>
      </c>
      <c r="D6" s="47"/>
      <c r="E6" s="47"/>
      <c r="F6" s="362"/>
      <c r="G6" s="362"/>
      <c r="H6" s="362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170"/>
      <c r="V6"/>
    </row>
    <row r="7" spans="1:27" s="23" customFormat="1" ht="18" x14ac:dyDescent="0.25">
      <c r="A7" s="256"/>
      <c r="B7" s="9"/>
      <c r="C7" s="47"/>
      <c r="D7" s="47"/>
      <c r="E7" s="47"/>
      <c r="F7" s="362"/>
      <c r="G7" s="362"/>
      <c r="H7" s="362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170"/>
      <c r="V7"/>
    </row>
    <row r="8" spans="1:27" ht="15.75" x14ac:dyDescent="0.25">
      <c r="A8" s="20"/>
      <c r="B8" s="2"/>
      <c r="C8" s="677" t="s">
        <v>241</v>
      </c>
      <c r="D8" s="677"/>
      <c r="E8" s="677"/>
      <c r="F8" s="677"/>
      <c r="G8" s="677"/>
      <c r="H8" s="677"/>
      <c r="I8" s="9"/>
      <c r="J8" s="678"/>
      <c r="K8" s="678"/>
      <c r="L8" s="363"/>
      <c r="M8" s="9"/>
      <c r="N8" s="678"/>
      <c r="O8" s="678"/>
      <c r="P8" s="9"/>
      <c r="Q8" s="9"/>
      <c r="R8" s="678"/>
      <c r="S8" s="678"/>
      <c r="T8" s="1"/>
      <c r="U8" s="39"/>
    </row>
    <row r="9" spans="1:27" ht="15.75" customHeight="1" x14ac:dyDescent="0.2">
      <c r="A9" s="20"/>
      <c r="B9" s="2"/>
      <c r="C9" s="681"/>
      <c r="D9" s="681"/>
      <c r="E9" s="681"/>
      <c r="F9" s="681"/>
      <c r="G9" s="681"/>
      <c r="H9" s="681"/>
      <c r="I9" s="9"/>
      <c r="J9" s="678" t="s">
        <v>558</v>
      </c>
      <c r="K9" s="678"/>
      <c r="L9" s="363"/>
      <c r="M9" s="9"/>
      <c r="N9" s="678" t="s">
        <v>559</v>
      </c>
      <c r="O9" s="678"/>
      <c r="P9" s="9"/>
      <c r="Q9" s="9"/>
      <c r="R9" s="678" t="s">
        <v>560</v>
      </c>
      <c r="S9" s="678"/>
      <c r="T9" s="257"/>
      <c r="U9" s="39"/>
      <c r="Y9" s="687"/>
      <c r="Z9" s="688"/>
      <c r="AA9" s="688"/>
    </row>
    <row r="10" spans="1:27" ht="15.75" x14ac:dyDescent="0.25">
      <c r="A10" s="20"/>
      <c r="B10" s="2"/>
      <c r="C10" s="679"/>
      <c r="D10" s="679"/>
      <c r="E10" s="9"/>
      <c r="F10" s="9"/>
      <c r="G10" s="9"/>
      <c r="H10" s="9"/>
      <c r="I10" s="9"/>
      <c r="J10" s="682" t="s">
        <v>718</v>
      </c>
      <c r="K10" s="659"/>
      <c r="L10" s="358"/>
      <c r="M10" s="9"/>
      <c r="N10" s="682" t="s">
        <v>719</v>
      </c>
      <c r="O10" s="659"/>
      <c r="P10" s="9"/>
      <c r="Q10" s="9"/>
      <c r="R10" s="682" t="s">
        <v>32</v>
      </c>
      <c r="S10" s="659"/>
      <c r="T10" s="2"/>
      <c r="U10" s="39"/>
      <c r="Y10" s="688"/>
      <c r="Z10" s="688"/>
      <c r="AA10" s="688"/>
    </row>
    <row r="11" spans="1:27" ht="30.75" customHeight="1" x14ac:dyDescent="0.25">
      <c r="A11" s="20"/>
      <c r="B11" s="2"/>
      <c r="C11" s="9"/>
      <c r="D11" s="9"/>
      <c r="E11" s="9"/>
      <c r="F11" s="9"/>
      <c r="G11" s="9"/>
      <c r="H11" s="9"/>
      <c r="I11" s="9"/>
      <c r="J11" s="659"/>
      <c r="K11" s="659"/>
      <c r="L11" s="358"/>
      <c r="M11" s="9"/>
      <c r="N11" s="659"/>
      <c r="O11" s="659"/>
      <c r="P11" s="9"/>
      <c r="Q11" s="9"/>
      <c r="R11" s="659"/>
      <c r="S11" s="659"/>
      <c r="T11" s="2"/>
      <c r="U11" s="39"/>
    </row>
    <row r="12" spans="1:27" ht="28.5" customHeight="1" x14ac:dyDescent="0.25">
      <c r="A12" s="20"/>
      <c r="B12" s="2"/>
      <c r="C12" s="671" t="s">
        <v>836</v>
      </c>
      <c r="D12" s="671"/>
      <c r="E12" s="671"/>
      <c r="F12" s="671"/>
      <c r="G12" s="671"/>
      <c r="H12" s="671"/>
      <c r="I12" s="9"/>
      <c r="J12" s="680"/>
      <c r="K12" s="680"/>
      <c r="L12" s="358"/>
      <c r="M12" s="9"/>
      <c r="N12" s="679" t="str">
        <f>+IF(D184="Yes", "","Not applicable to this authority")</f>
        <v/>
      </c>
      <c r="O12" s="679"/>
      <c r="P12" s="575"/>
      <c r="Q12" s="575"/>
      <c r="R12" s="679"/>
      <c r="S12" s="679"/>
      <c r="T12" s="2"/>
      <c r="U12" s="39"/>
    </row>
    <row r="13" spans="1:27" ht="16.5" thickBot="1" x14ac:dyDescent="0.3">
      <c r="A13" s="20"/>
      <c r="B13" s="2"/>
      <c r="C13" s="671"/>
      <c r="D13" s="671"/>
      <c r="E13" s="671"/>
      <c r="F13" s="671"/>
      <c r="G13" s="671"/>
      <c r="H13" s="671"/>
      <c r="I13" s="9"/>
      <c r="J13" s="691" t="s">
        <v>555</v>
      </c>
      <c r="K13" s="691"/>
      <c r="L13" s="9"/>
      <c r="M13" s="9"/>
      <c r="N13" s="691" t="s">
        <v>555</v>
      </c>
      <c r="O13" s="691"/>
      <c r="P13" s="9"/>
      <c r="Q13" s="333"/>
      <c r="R13" s="690" t="s">
        <v>555</v>
      </c>
      <c r="S13" s="690"/>
      <c r="T13" s="332"/>
      <c r="U13" s="416"/>
      <c r="Y13" s="68"/>
    </row>
    <row r="14" spans="1:27" ht="16.5" thickBot="1" x14ac:dyDescent="0.25">
      <c r="A14" s="20"/>
      <c r="B14" s="2"/>
      <c r="C14" s="9" t="s">
        <v>586</v>
      </c>
      <c r="D14" s="9"/>
      <c r="E14" s="9"/>
      <c r="F14" s="672" t="str">
        <f>VLOOKUP($F$1,Part2,6,FALSE)</f>
        <v>-</v>
      </c>
      <c r="G14" s="673"/>
      <c r="H14" s="9"/>
      <c r="I14" s="9"/>
      <c r="J14" s="622">
        <f>VLOOKUP($F$1,Part2,7,FALSE)</f>
        <v>56975864420</v>
      </c>
      <c r="K14" s="623"/>
      <c r="L14" s="48"/>
      <c r="M14" s="333"/>
      <c r="N14" s="622">
        <f>VLOOKUP($F$1,Part2,8,FALSE)</f>
        <v>389369356</v>
      </c>
      <c r="O14" s="623"/>
      <c r="P14" s="9"/>
      <c r="Q14" s="342"/>
      <c r="R14" s="626">
        <f>VLOOKUP($F$1,Part2,9,FALSE)</f>
        <v>57365233776</v>
      </c>
      <c r="S14" s="627"/>
      <c r="T14" s="332"/>
      <c r="U14" s="416"/>
    </row>
    <row r="15" spans="1:27" ht="15.75" customHeight="1" thickBot="1" x14ac:dyDescent="0.25">
      <c r="A15" s="20"/>
      <c r="B15" s="2"/>
      <c r="C15" s="9"/>
      <c r="D15" s="9"/>
      <c r="E15" s="9"/>
      <c r="F15" s="363"/>
      <c r="G15" s="9"/>
      <c r="H15" s="9"/>
      <c r="I15" s="363"/>
      <c r="J15" s="48"/>
      <c r="K15" s="48"/>
      <c r="L15" s="48"/>
      <c r="M15" s="9"/>
      <c r="N15" s="48"/>
      <c r="O15" s="48"/>
      <c r="P15" s="9"/>
      <c r="Q15" s="342"/>
      <c r="R15" s="342"/>
      <c r="S15" s="342"/>
      <c r="T15" s="332"/>
      <c r="U15" s="416"/>
    </row>
    <row r="16" spans="1:27" ht="16.5" thickBot="1" x14ac:dyDescent="0.25">
      <c r="A16" s="20"/>
      <c r="B16" s="2"/>
      <c r="C16" s="657" t="s">
        <v>837</v>
      </c>
      <c r="D16" s="667"/>
      <c r="E16" s="667"/>
      <c r="F16" s="667"/>
      <c r="G16" s="607">
        <f>VLOOKUP($F$1,Part2,10,FALSE)</f>
        <v>48.4</v>
      </c>
      <c r="H16" s="340"/>
      <c r="I16" s="333"/>
      <c r="J16" s="48"/>
      <c r="K16" s="48"/>
      <c r="L16" s="48"/>
      <c r="M16" s="9"/>
      <c r="N16" s="48"/>
      <c r="O16" s="48"/>
      <c r="P16" s="9"/>
      <c r="Q16" s="342"/>
      <c r="R16" s="342"/>
      <c r="S16" s="342"/>
      <c r="T16" s="332"/>
      <c r="U16" s="416"/>
    </row>
    <row r="17" spans="1:32" ht="15.75" thickBot="1" x14ac:dyDescent="0.25">
      <c r="A17" s="20"/>
      <c r="B17" s="2"/>
      <c r="C17" s="667"/>
      <c r="D17" s="667"/>
      <c r="E17" s="667"/>
      <c r="F17" s="667"/>
      <c r="G17" s="9"/>
      <c r="H17" s="9"/>
      <c r="I17" s="9"/>
      <c r="J17" s="48"/>
      <c r="K17" s="48"/>
      <c r="L17" s="48"/>
      <c r="M17" s="48"/>
      <c r="N17" s="48"/>
      <c r="O17" s="48"/>
      <c r="P17" s="48"/>
      <c r="Q17" s="342"/>
      <c r="R17" s="342"/>
      <c r="S17" s="342"/>
      <c r="T17" s="332"/>
      <c r="U17" s="416"/>
    </row>
    <row r="18" spans="1:32" ht="15.75" thickBot="1" x14ac:dyDescent="0.25">
      <c r="A18" s="20"/>
      <c r="B18" s="2"/>
      <c r="C18" s="9"/>
      <c r="D18" s="9"/>
      <c r="E18" s="9"/>
      <c r="F18" s="9"/>
      <c r="G18" s="9"/>
      <c r="H18" s="9"/>
      <c r="I18" s="258"/>
      <c r="J18" s="259"/>
      <c r="K18" s="259"/>
      <c r="L18" s="260"/>
      <c r="M18" s="259"/>
      <c r="N18" s="259"/>
      <c r="O18" s="259"/>
      <c r="P18" s="260"/>
      <c r="Q18" s="417"/>
      <c r="R18" s="417"/>
      <c r="S18" s="417"/>
      <c r="T18" s="418"/>
      <c r="U18" s="416"/>
      <c r="Y18" s="68"/>
    </row>
    <row r="19" spans="1:32" ht="16.5" thickBot="1" x14ac:dyDescent="0.25">
      <c r="A19" s="20"/>
      <c r="B19" s="2"/>
      <c r="C19" s="9" t="s">
        <v>838</v>
      </c>
      <c r="D19" s="9"/>
      <c r="E19" s="9"/>
      <c r="F19" s="9"/>
      <c r="G19" s="9"/>
      <c r="H19" s="9"/>
      <c r="I19" s="261"/>
      <c r="J19" s="622">
        <f>VLOOKUP($F$1,Part2,11,FALSE)</f>
        <v>27576318386</v>
      </c>
      <c r="K19" s="623"/>
      <c r="L19" s="262"/>
      <c r="M19" s="9"/>
      <c r="N19" s="622">
        <f>VLOOKUP($F$1,Part2,12,FALSE)</f>
        <v>188454773</v>
      </c>
      <c r="O19" s="623"/>
      <c r="P19" s="262"/>
      <c r="Q19" s="342"/>
      <c r="R19" s="342"/>
      <c r="S19" s="342"/>
      <c r="T19" s="419"/>
      <c r="U19" s="416"/>
    </row>
    <row r="20" spans="1:32" ht="16.5" thickBot="1" x14ac:dyDescent="0.25">
      <c r="A20" s="20"/>
      <c r="B20" s="2"/>
      <c r="C20" s="9"/>
      <c r="D20" s="9"/>
      <c r="E20" s="9"/>
      <c r="F20" s="9"/>
      <c r="G20" s="9"/>
      <c r="H20" s="9"/>
      <c r="I20" s="261"/>
      <c r="J20" s="59"/>
      <c r="K20" s="48"/>
      <c r="L20" s="262"/>
      <c r="M20" s="9"/>
      <c r="N20" s="420"/>
      <c r="O20" s="48"/>
      <c r="P20" s="262"/>
      <c r="Q20" s="342"/>
      <c r="R20" s="342"/>
      <c r="S20" s="342"/>
      <c r="T20" s="419"/>
      <c r="U20" s="416"/>
      <c r="Y20" s="68"/>
    </row>
    <row r="21" spans="1:32" ht="16.5" thickBot="1" x14ac:dyDescent="0.25">
      <c r="A21" s="20"/>
      <c r="B21" s="2"/>
      <c r="C21" s="9" t="s">
        <v>578</v>
      </c>
      <c r="D21" s="9"/>
      <c r="E21" s="9"/>
      <c r="F21" s="9"/>
      <c r="G21" s="9"/>
      <c r="H21" s="9"/>
      <c r="I21" s="261"/>
      <c r="J21" s="622">
        <f>VLOOKUP($F$1,Part2,13,FALSE)</f>
        <v>-27627781</v>
      </c>
      <c r="K21" s="623"/>
      <c r="L21" s="262"/>
      <c r="M21" s="9"/>
      <c r="N21" s="622">
        <f>VLOOKUP($F$1,Part2,14,FALSE)</f>
        <v>7477577</v>
      </c>
      <c r="O21" s="623"/>
      <c r="P21" s="262"/>
      <c r="Q21" s="342"/>
      <c r="R21" s="342"/>
      <c r="S21" s="342"/>
      <c r="T21" s="419"/>
      <c r="U21" s="416"/>
    </row>
    <row r="22" spans="1:32" ht="15.75" x14ac:dyDescent="0.2">
      <c r="A22" s="20"/>
      <c r="B22" s="2"/>
      <c r="C22" s="9" t="s">
        <v>724</v>
      </c>
      <c r="D22" s="9"/>
      <c r="E22" s="9"/>
      <c r="F22" s="9"/>
      <c r="G22" s="9"/>
      <c r="H22" s="9"/>
      <c r="I22" s="261"/>
      <c r="J22" s="59"/>
      <c r="K22" s="48"/>
      <c r="L22" s="262"/>
      <c r="M22" s="9"/>
      <c r="N22" s="59"/>
      <c r="O22" s="48"/>
      <c r="P22" s="262"/>
      <c r="Q22" s="342"/>
      <c r="R22" s="420"/>
      <c r="S22" s="342"/>
      <c r="T22" s="419"/>
      <c r="U22" s="416"/>
    </row>
    <row r="23" spans="1:32" ht="16.5" thickBot="1" x14ac:dyDescent="0.25">
      <c r="A23" s="20"/>
      <c r="B23" s="2"/>
      <c r="C23" s="9"/>
      <c r="D23" s="9"/>
      <c r="E23" s="9"/>
      <c r="F23" s="9"/>
      <c r="G23" s="9"/>
      <c r="H23" s="9"/>
      <c r="I23" s="261"/>
      <c r="J23" s="59"/>
      <c r="K23" s="48"/>
      <c r="L23" s="262"/>
      <c r="M23" s="9"/>
      <c r="N23" s="59"/>
      <c r="O23" s="48"/>
      <c r="P23" s="262"/>
      <c r="Q23" s="342"/>
      <c r="R23" s="420"/>
      <c r="S23" s="342"/>
      <c r="T23" s="419"/>
      <c r="U23" s="416"/>
      <c r="Y23" s="68"/>
    </row>
    <row r="24" spans="1:32" ht="16.5" thickBot="1" x14ac:dyDescent="0.25">
      <c r="A24" s="20"/>
      <c r="B24" s="2"/>
      <c r="C24" s="9" t="s">
        <v>839</v>
      </c>
      <c r="D24" s="9"/>
      <c r="E24" s="9"/>
      <c r="F24" s="9"/>
      <c r="G24" s="9"/>
      <c r="H24" s="9"/>
      <c r="I24" s="261"/>
      <c r="J24" s="622">
        <f>VLOOKUP($F$1,Part2,15,FALSE)</f>
        <v>27548690605</v>
      </c>
      <c r="K24" s="623"/>
      <c r="L24" s="262"/>
      <c r="M24" s="9"/>
      <c r="N24" s="622">
        <f>VLOOKUP($F$1,Part2,16,FALSE)</f>
        <v>195932350</v>
      </c>
      <c r="O24" s="623"/>
      <c r="P24" s="262"/>
      <c r="Q24" s="342"/>
      <c r="R24" s="626">
        <f>VLOOKUP($F$1,Part2,17,FALSE)</f>
        <v>27744622955</v>
      </c>
      <c r="S24" s="627"/>
      <c r="T24" s="419"/>
      <c r="U24" s="416"/>
    </row>
    <row r="25" spans="1:32" ht="16.5" thickBot="1" x14ac:dyDescent="0.25">
      <c r="A25" s="20"/>
      <c r="B25" s="5"/>
      <c r="C25" s="9"/>
      <c r="D25" s="9"/>
      <c r="E25" s="9"/>
      <c r="F25" s="333"/>
      <c r="G25" s="9"/>
      <c r="H25" s="9"/>
      <c r="I25" s="263"/>
      <c r="J25" s="264"/>
      <c r="K25" s="265"/>
      <c r="L25" s="266"/>
      <c r="M25" s="264"/>
      <c r="N25" s="264"/>
      <c r="O25" s="265"/>
      <c r="P25" s="266"/>
      <c r="Q25" s="421"/>
      <c r="R25" s="422"/>
      <c r="S25" s="421"/>
      <c r="T25" s="423"/>
      <c r="U25" s="416"/>
      <c r="Y25" s="36"/>
      <c r="Z25" s="36"/>
      <c r="AA25" s="36"/>
      <c r="AB25" s="36"/>
      <c r="AC25" s="36"/>
      <c r="AD25" s="36"/>
      <c r="AE25" s="36"/>
      <c r="AF25" s="36"/>
    </row>
    <row r="26" spans="1:32" ht="16.5" customHeight="1" x14ac:dyDescent="0.2">
      <c r="A26" s="20"/>
      <c r="B26" s="536"/>
      <c r="C26" s="536"/>
      <c r="D26" s="536"/>
      <c r="E26" s="536"/>
      <c r="F26" s="536"/>
      <c r="G26" s="536"/>
      <c r="H26" s="536"/>
      <c r="I26" s="536"/>
      <c r="J26" s="536"/>
      <c r="K26" s="536"/>
      <c r="L26" s="536"/>
      <c r="M26" s="536"/>
      <c r="N26" s="536"/>
      <c r="O26" s="536"/>
      <c r="P26" s="536"/>
      <c r="Q26" s="424"/>
      <c r="R26" s="425"/>
      <c r="S26" s="424"/>
      <c r="T26" s="332"/>
      <c r="U26" s="416"/>
      <c r="Y26" s="78"/>
      <c r="Z26" s="36"/>
      <c r="AA26" s="36"/>
      <c r="AB26" s="36"/>
      <c r="AC26" s="36"/>
      <c r="AD26" s="36"/>
      <c r="AE26" s="36"/>
      <c r="AF26" s="36"/>
    </row>
    <row r="27" spans="1:32" ht="16.5" customHeight="1" thickBot="1" x14ac:dyDescent="0.3">
      <c r="A27" s="20"/>
      <c r="B27" s="536"/>
      <c r="C27" s="537" t="s">
        <v>840</v>
      </c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425"/>
      <c r="O27" s="424"/>
      <c r="P27" s="538"/>
      <c r="Q27" s="424"/>
      <c r="R27" s="425"/>
      <c r="S27" s="424"/>
      <c r="T27" s="332"/>
      <c r="U27" s="416"/>
      <c r="Y27" s="78"/>
      <c r="Z27" s="36"/>
      <c r="AA27" s="36"/>
      <c r="AB27" s="36"/>
      <c r="AC27" s="36"/>
      <c r="AD27" s="36"/>
      <c r="AE27" s="36"/>
      <c r="AF27" s="36"/>
    </row>
    <row r="28" spans="1:32" ht="15.75" customHeight="1" thickBot="1" x14ac:dyDescent="0.25">
      <c r="A28" s="20"/>
      <c r="B28" s="536"/>
      <c r="C28" s="674" t="s">
        <v>841</v>
      </c>
      <c r="D28" s="674"/>
      <c r="E28" s="674"/>
      <c r="F28" s="674"/>
      <c r="G28" s="674"/>
      <c r="H28" s="538"/>
      <c r="I28" s="538"/>
      <c r="J28" s="622">
        <f>VLOOKUP($F$1,Part2,18,FALSE)</f>
        <v>0</v>
      </c>
      <c r="K28" s="623"/>
      <c r="L28" s="424"/>
      <c r="M28" s="538"/>
      <c r="N28" s="622">
        <f>VLOOKUP($F$1,Part2,19,FALSE)</f>
        <v>0</v>
      </c>
      <c r="O28" s="623"/>
      <c r="P28" s="538"/>
      <c r="Q28" s="424"/>
      <c r="R28" s="626">
        <f>VLOOKUP($F$1,Part2,20,FALSE)</f>
        <v>0</v>
      </c>
      <c r="S28" s="627"/>
      <c r="T28" s="332"/>
      <c r="U28" s="416"/>
      <c r="Y28" s="78"/>
      <c r="Z28" s="36"/>
      <c r="AA28" s="36"/>
      <c r="AB28" s="36"/>
      <c r="AC28" s="36"/>
      <c r="AD28" s="36"/>
      <c r="AE28" s="36"/>
      <c r="AF28" s="36"/>
    </row>
    <row r="29" spans="1:32" ht="16.5" customHeight="1" x14ac:dyDescent="0.2">
      <c r="A29" s="20"/>
      <c r="B29" s="536"/>
      <c r="C29" s="675"/>
      <c r="D29" s="675"/>
      <c r="E29" s="675"/>
      <c r="F29" s="675"/>
      <c r="G29" s="675"/>
      <c r="H29" s="538"/>
      <c r="I29" s="538"/>
      <c r="J29" s="538"/>
      <c r="K29" s="538"/>
      <c r="L29" s="538"/>
      <c r="M29" s="538"/>
      <c r="N29" s="538"/>
      <c r="O29" s="538"/>
      <c r="P29" s="538"/>
      <c r="Q29" s="424"/>
      <c r="R29" s="425"/>
      <c r="S29" s="424"/>
      <c r="T29" s="332"/>
      <c r="U29" s="416"/>
      <c r="Y29" s="78"/>
      <c r="Z29" s="36"/>
      <c r="AA29" s="36"/>
      <c r="AB29" s="36"/>
      <c r="AC29" s="36"/>
      <c r="AD29" s="36"/>
      <c r="AE29" s="36"/>
      <c r="AF29" s="36"/>
    </row>
    <row r="30" spans="1:32" ht="16.5" customHeight="1" thickBot="1" x14ac:dyDescent="0.25">
      <c r="A30" s="20"/>
      <c r="B30" s="536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424"/>
      <c r="R30" s="425"/>
      <c r="S30" s="424"/>
      <c r="T30" s="332"/>
      <c r="U30" s="416"/>
      <c r="Y30" s="78"/>
      <c r="Z30" s="36"/>
      <c r="AA30" s="36"/>
      <c r="AB30" s="36"/>
      <c r="AC30" s="36"/>
      <c r="AD30" s="36"/>
      <c r="AE30" s="36"/>
      <c r="AF30" s="36"/>
    </row>
    <row r="31" spans="1:32" ht="15.75" customHeight="1" thickBot="1" x14ac:dyDescent="0.25">
      <c r="A31" s="20"/>
      <c r="B31" s="536"/>
      <c r="C31" s="676" t="s">
        <v>842</v>
      </c>
      <c r="D31" s="676"/>
      <c r="E31" s="676"/>
      <c r="F31" s="676"/>
      <c r="G31" s="676"/>
      <c r="H31" s="538"/>
      <c r="I31" s="538"/>
      <c r="J31" s="622">
        <f>VLOOKUP($F$1,Part2,21,FALSE)</f>
        <v>0</v>
      </c>
      <c r="K31" s="623"/>
      <c r="L31" s="424"/>
      <c r="M31" s="538"/>
      <c r="N31" s="622">
        <f>VLOOKUP($F$1,Part2,22,FALSE)</f>
        <v>0</v>
      </c>
      <c r="O31" s="623"/>
      <c r="P31" s="538"/>
      <c r="Q31" s="424"/>
      <c r="R31" s="626">
        <f>VLOOKUP($F$1,Part2,23,FALSE)</f>
        <v>0</v>
      </c>
      <c r="S31" s="627"/>
      <c r="T31" s="332"/>
      <c r="U31" s="416"/>
      <c r="Y31" s="36"/>
      <c r="Z31" s="689"/>
      <c r="AA31" s="689"/>
      <c r="AB31" s="689"/>
      <c r="AC31" s="689"/>
      <c r="AD31" s="689"/>
      <c r="AE31" s="689"/>
      <c r="AF31" s="689"/>
    </row>
    <row r="32" spans="1:32" ht="15.75" customHeight="1" x14ac:dyDescent="0.2">
      <c r="A32" s="20"/>
      <c r="B32" s="536"/>
      <c r="C32" s="676"/>
      <c r="D32" s="676"/>
      <c r="E32" s="676"/>
      <c r="F32" s="676"/>
      <c r="G32" s="676"/>
      <c r="H32" s="538"/>
      <c r="I32" s="538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332"/>
      <c r="U32" s="416"/>
      <c r="Y32" s="36"/>
      <c r="Z32" s="689"/>
      <c r="AA32" s="689"/>
      <c r="AB32" s="689"/>
      <c r="AC32" s="689"/>
      <c r="AD32" s="689"/>
      <c r="AE32" s="689"/>
      <c r="AF32" s="689"/>
    </row>
    <row r="33" spans="1:32" ht="15.75" thickBot="1" x14ac:dyDescent="0.25">
      <c r="A33" s="20"/>
      <c r="B33" s="536"/>
      <c r="C33" s="676"/>
      <c r="D33" s="676"/>
      <c r="E33" s="676"/>
      <c r="F33" s="676"/>
      <c r="G33" s="676"/>
      <c r="H33" s="538"/>
      <c r="I33" s="539"/>
      <c r="J33" s="426"/>
      <c r="K33" s="426"/>
      <c r="L33" s="426"/>
      <c r="M33" s="426"/>
      <c r="N33" s="426"/>
      <c r="O33" s="426"/>
      <c r="P33" s="426"/>
      <c r="Q33" s="426"/>
      <c r="R33" s="426"/>
      <c r="S33" s="426"/>
      <c r="T33" s="427"/>
      <c r="U33" s="416"/>
      <c r="Y33" s="78"/>
      <c r="Z33" s="36"/>
      <c r="AA33" s="36"/>
      <c r="AB33" s="36"/>
      <c r="AC33" s="36"/>
      <c r="AD33" s="36"/>
      <c r="AE33" s="36"/>
      <c r="AF33" s="36"/>
    </row>
    <row r="34" spans="1:32" ht="16.5" customHeight="1" thickBot="1" x14ac:dyDescent="0.25">
      <c r="A34" s="20"/>
      <c r="B34" s="536"/>
      <c r="C34" s="540"/>
      <c r="D34" s="540"/>
      <c r="E34" s="540"/>
      <c r="F34" s="540"/>
      <c r="G34" s="540"/>
      <c r="H34" s="538"/>
      <c r="I34" s="541"/>
      <c r="J34" s="424"/>
      <c r="K34" s="424"/>
      <c r="L34" s="542"/>
      <c r="M34" s="424"/>
      <c r="N34" s="424"/>
      <c r="O34" s="424"/>
      <c r="P34" s="542"/>
      <c r="Q34" s="424"/>
      <c r="R34" s="424"/>
      <c r="S34" s="424"/>
      <c r="T34" s="428"/>
      <c r="U34" s="416"/>
      <c r="Y34" s="36"/>
      <c r="Z34" s="36"/>
      <c r="AA34" s="36"/>
      <c r="AB34" s="36"/>
      <c r="AC34" s="36"/>
      <c r="AD34" s="36"/>
      <c r="AE34" s="36"/>
      <c r="AF34" s="36"/>
    </row>
    <row r="35" spans="1:32" ht="16.5" customHeight="1" thickBot="1" x14ac:dyDescent="0.25">
      <c r="A35" s="20"/>
      <c r="B35" s="536"/>
      <c r="C35" s="540" t="s">
        <v>594</v>
      </c>
      <c r="D35" s="540"/>
      <c r="E35" s="540"/>
      <c r="F35" s="540"/>
      <c r="G35" s="540"/>
      <c r="H35" s="538"/>
      <c r="I35" s="541"/>
      <c r="J35" s="622">
        <f>VLOOKUP($F$1,Part2,24,FALSE)</f>
        <v>0</v>
      </c>
      <c r="K35" s="623"/>
      <c r="L35" s="542"/>
      <c r="M35" s="538"/>
      <c r="N35" s="622">
        <f>VLOOKUP($F$1,Part2,25,FALSE)</f>
        <v>0</v>
      </c>
      <c r="O35" s="623"/>
      <c r="P35" s="542"/>
      <c r="Q35" s="424"/>
      <c r="R35" s="424"/>
      <c r="S35" s="424"/>
      <c r="T35" s="428"/>
      <c r="U35" s="416"/>
      <c r="Y35" s="78"/>
      <c r="Z35" s="36"/>
      <c r="AA35" s="36"/>
      <c r="AB35" s="36"/>
      <c r="AC35" s="36"/>
      <c r="AD35" s="36"/>
      <c r="AE35" s="36"/>
      <c r="AF35" s="36"/>
    </row>
    <row r="36" spans="1:32" ht="15.75" customHeight="1" thickBot="1" x14ac:dyDescent="0.25">
      <c r="A36" s="20"/>
      <c r="B36" s="536"/>
      <c r="C36" s="540"/>
      <c r="D36" s="540"/>
      <c r="E36" s="540"/>
      <c r="F36" s="540"/>
      <c r="G36" s="540"/>
      <c r="H36" s="538"/>
      <c r="I36" s="541"/>
      <c r="J36" s="425"/>
      <c r="K36" s="424"/>
      <c r="L36" s="542"/>
      <c r="M36" s="538"/>
      <c r="N36" s="425"/>
      <c r="O36" s="424"/>
      <c r="P36" s="542"/>
      <c r="Q36" s="424"/>
      <c r="R36" s="424"/>
      <c r="S36" s="424"/>
      <c r="T36" s="428"/>
      <c r="U36" s="416"/>
      <c r="Y36" s="36"/>
      <c r="Z36" s="36"/>
      <c r="AA36" s="36"/>
      <c r="AB36" s="36"/>
      <c r="AC36" s="36"/>
      <c r="AD36" s="36"/>
      <c r="AE36" s="36"/>
      <c r="AF36" s="36"/>
    </row>
    <row r="37" spans="1:32" ht="15.75" customHeight="1" thickBot="1" x14ac:dyDescent="0.25">
      <c r="A37" s="20"/>
      <c r="B37" s="536"/>
      <c r="C37" s="674" t="s">
        <v>733</v>
      </c>
      <c r="D37" s="674"/>
      <c r="E37" s="674"/>
      <c r="F37" s="674"/>
      <c r="G37" s="674"/>
      <c r="H37" s="538"/>
      <c r="I37" s="541"/>
      <c r="J37" s="622">
        <f>VLOOKUP($F$1,Part2,26,FALSE)</f>
        <v>0</v>
      </c>
      <c r="K37" s="623"/>
      <c r="L37" s="542"/>
      <c r="M37" s="538"/>
      <c r="N37" s="622">
        <f>VLOOKUP($F$1,Part2,27,FALSE)</f>
        <v>0</v>
      </c>
      <c r="O37" s="623"/>
      <c r="P37" s="542"/>
      <c r="Q37" s="424"/>
      <c r="R37" s="424"/>
      <c r="S37" s="424"/>
      <c r="T37" s="428"/>
      <c r="U37" s="416"/>
      <c r="Y37" s="36"/>
      <c r="Z37" s="36"/>
      <c r="AA37" s="36"/>
      <c r="AB37" s="36"/>
      <c r="AC37" s="36"/>
      <c r="AD37" s="36"/>
      <c r="AE37" s="36"/>
      <c r="AF37" s="36"/>
    </row>
    <row r="38" spans="1:32" ht="15.75" x14ac:dyDescent="0.2">
      <c r="A38" s="20"/>
      <c r="B38" s="536"/>
      <c r="C38" s="674"/>
      <c r="D38" s="674"/>
      <c r="E38" s="674"/>
      <c r="F38" s="674"/>
      <c r="G38" s="674"/>
      <c r="H38" s="538"/>
      <c r="I38" s="541"/>
      <c r="J38" s="425"/>
      <c r="K38" s="424"/>
      <c r="L38" s="542"/>
      <c r="M38" s="538"/>
      <c r="N38" s="425"/>
      <c r="O38" s="424"/>
      <c r="P38" s="542"/>
      <c r="Q38" s="424"/>
      <c r="R38" s="425"/>
      <c r="S38" s="424"/>
      <c r="T38" s="428"/>
      <c r="U38" s="416"/>
      <c r="Y38" s="36"/>
      <c r="Z38" s="36"/>
      <c r="AA38" s="36"/>
      <c r="AB38" s="36"/>
      <c r="AC38" s="36"/>
      <c r="AD38" s="36"/>
      <c r="AE38" s="36"/>
      <c r="AF38" s="36"/>
    </row>
    <row r="39" spans="1:32" ht="15.75" x14ac:dyDescent="0.2">
      <c r="A39" s="20"/>
      <c r="B39" s="536"/>
      <c r="C39" s="675"/>
      <c r="D39" s="675"/>
      <c r="E39" s="675"/>
      <c r="F39" s="675"/>
      <c r="G39" s="675"/>
      <c r="H39" s="538"/>
      <c r="I39" s="541"/>
      <c r="J39" s="425"/>
      <c r="K39" s="424"/>
      <c r="L39" s="542"/>
      <c r="M39" s="538"/>
      <c r="N39" s="425"/>
      <c r="O39" s="424"/>
      <c r="P39" s="542"/>
      <c r="Q39" s="424"/>
      <c r="R39" s="425"/>
      <c r="S39" s="424"/>
      <c r="T39" s="428"/>
      <c r="U39" s="416"/>
      <c r="Y39" s="78"/>
      <c r="Z39" s="36"/>
      <c r="AA39" s="36"/>
      <c r="AB39" s="36"/>
      <c r="AC39" s="36"/>
      <c r="AD39" s="36"/>
      <c r="AE39" s="36"/>
      <c r="AF39" s="36"/>
    </row>
    <row r="40" spans="1:32" ht="16.5" thickBot="1" x14ac:dyDescent="0.25">
      <c r="A40" s="20"/>
      <c r="B40" s="536"/>
      <c r="C40" s="550"/>
      <c r="D40" s="550"/>
      <c r="E40" s="550"/>
      <c r="F40" s="550"/>
      <c r="G40" s="550"/>
      <c r="H40" s="538"/>
      <c r="I40" s="541"/>
      <c r="J40" s="425"/>
      <c r="K40" s="424"/>
      <c r="L40" s="542"/>
      <c r="M40" s="538"/>
      <c r="N40" s="425"/>
      <c r="O40" s="424"/>
      <c r="P40" s="542"/>
      <c r="Q40" s="424"/>
      <c r="R40" s="425"/>
      <c r="S40" s="424"/>
      <c r="T40" s="428"/>
      <c r="U40" s="416"/>
      <c r="Y40" s="36"/>
      <c r="Z40" s="36"/>
      <c r="AA40" s="36"/>
      <c r="AB40" s="36"/>
      <c r="AC40" s="36"/>
      <c r="AD40" s="36"/>
      <c r="AE40" s="36"/>
      <c r="AF40" s="36"/>
    </row>
    <row r="41" spans="1:32" ht="16.5" thickBot="1" x14ac:dyDescent="0.25">
      <c r="A41" s="20"/>
      <c r="B41" s="536"/>
      <c r="C41" s="540" t="s">
        <v>595</v>
      </c>
      <c r="D41" s="540"/>
      <c r="E41" s="540"/>
      <c r="F41" s="540"/>
      <c r="G41" s="540"/>
      <c r="H41" s="538"/>
      <c r="I41" s="541"/>
      <c r="J41" s="622">
        <f>VLOOKUP($F$1,Part2,28,FALSE)</f>
        <v>0</v>
      </c>
      <c r="K41" s="623"/>
      <c r="L41" s="542"/>
      <c r="M41" s="538"/>
      <c r="N41" s="622">
        <f>VLOOKUP($F$1,Part2,29,FALSE)</f>
        <v>0</v>
      </c>
      <c r="O41" s="623"/>
      <c r="P41" s="542"/>
      <c r="Q41" s="424"/>
      <c r="R41" s="626">
        <f>VLOOKUP($F$1,Part2,30,FALSE)</f>
        <v>0</v>
      </c>
      <c r="S41" s="627"/>
      <c r="T41" s="428"/>
      <c r="U41" s="416"/>
      <c r="Y41" s="36"/>
      <c r="Z41" s="36"/>
      <c r="AA41" s="36"/>
      <c r="AB41" s="36"/>
      <c r="AC41" s="36"/>
      <c r="AD41" s="36"/>
      <c r="AE41" s="36"/>
      <c r="AF41" s="36"/>
    </row>
    <row r="42" spans="1:32" ht="16.5" thickBot="1" x14ac:dyDescent="0.25">
      <c r="A42" s="20"/>
      <c r="B42" s="536"/>
      <c r="C42" s="536"/>
      <c r="D42" s="536"/>
      <c r="E42" s="536"/>
      <c r="F42" s="536"/>
      <c r="G42" s="536"/>
      <c r="H42" s="538"/>
      <c r="I42" s="551"/>
      <c r="J42" s="429"/>
      <c r="K42" s="426"/>
      <c r="L42" s="560"/>
      <c r="M42" s="429"/>
      <c r="N42" s="429"/>
      <c r="O42" s="426"/>
      <c r="P42" s="559"/>
      <c r="Q42" s="426"/>
      <c r="R42" s="429"/>
      <c r="S42" s="426"/>
      <c r="T42" s="430"/>
      <c r="U42" s="416"/>
      <c r="Y42" s="36"/>
      <c r="Z42" s="36"/>
      <c r="AA42" s="36"/>
      <c r="AB42" s="36"/>
      <c r="AC42" s="36"/>
      <c r="AD42" s="36"/>
      <c r="AE42" s="36"/>
      <c r="AF42" s="36"/>
    </row>
    <row r="43" spans="1:32" ht="16.5" thickBot="1" x14ac:dyDescent="0.25">
      <c r="A43" s="20"/>
      <c r="B43" s="536"/>
      <c r="C43" s="538"/>
      <c r="D43" s="538"/>
      <c r="E43" s="538"/>
      <c r="F43" s="538"/>
      <c r="G43" s="538"/>
      <c r="H43" s="538"/>
      <c r="I43" s="538"/>
      <c r="J43" s="425"/>
      <c r="K43" s="424"/>
      <c r="L43" s="424"/>
      <c r="M43" s="424"/>
      <c r="N43" s="424"/>
      <c r="O43" s="424"/>
      <c r="P43" s="424"/>
      <c r="Q43" s="424"/>
      <c r="R43" s="425"/>
      <c r="S43" s="424"/>
      <c r="T43" s="332"/>
      <c r="U43" s="416"/>
    </row>
    <row r="44" spans="1:32" ht="15.75" x14ac:dyDescent="0.2">
      <c r="A44" s="20"/>
      <c r="B44" s="552"/>
      <c r="C44" s="553"/>
      <c r="D44" s="553"/>
      <c r="E44" s="553"/>
      <c r="F44" s="553"/>
      <c r="G44" s="553"/>
      <c r="H44" s="553"/>
      <c r="I44" s="553"/>
      <c r="J44" s="432"/>
      <c r="K44" s="431"/>
      <c r="L44" s="431"/>
      <c r="M44" s="431"/>
      <c r="N44" s="431"/>
      <c r="O44" s="431"/>
      <c r="P44" s="431"/>
      <c r="Q44" s="431"/>
      <c r="R44" s="432"/>
      <c r="S44" s="431"/>
      <c r="T44" s="433"/>
      <c r="U44" s="416"/>
      <c r="Y44" s="68"/>
    </row>
    <row r="45" spans="1:32" ht="16.5" thickBot="1" x14ac:dyDescent="0.3">
      <c r="A45" s="20"/>
      <c r="B45" s="554"/>
      <c r="C45" s="537" t="s">
        <v>843</v>
      </c>
      <c r="D45" s="555"/>
      <c r="E45" s="555"/>
      <c r="F45" s="555"/>
      <c r="G45" s="555"/>
      <c r="H45" s="538"/>
      <c r="I45" s="538"/>
      <c r="J45" s="425"/>
      <c r="K45" s="424"/>
      <c r="L45" s="424"/>
      <c r="M45" s="424"/>
      <c r="N45" s="424"/>
      <c r="O45" s="424"/>
      <c r="P45" s="424"/>
      <c r="Q45" s="424"/>
      <c r="R45" s="425"/>
      <c r="S45" s="424"/>
      <c r="T45" s="434"/>
      <c r="U45" s="416"/>
    </row>
    <row r="46" spans="1:32" ht="16.5" thickBot="1" x14ac:dyDescent="0.25">
      <c r="A46" s="20"/>
      <c r="B46" s="554"/>
      <c r="C46" s="538" t="s">
        <v>596</v>
      </c>
      <c r="D46" s="555"/>
      <c r="E46" s="555"/>
      <c r="F46" s="555"/>
      <c r="G46" s="555"/>
      <c r="H46" s="538"/>
      <c r="I46" s="538"/>
      <c r="J46" s="622">
        <f>VLOOKUP($F$1,Part2,31,FALSE)</f>
        <v>0</v>
      </c>
      <c r="K46" s="623"/>
      <c r="L46" s="424"/>
      <c r="M46" s="424"/>
      <c r="N46" s="622">
        <f>VLOOKUP($F$1,Part2,32,FALSE)</f>
        <v>0</v>
      </c>
      <c r="O46" s="623"/>
      <c r="P46" s="424"/>
      <c r="Q46" s="424"/>
      <c r="R46" s="626">
        <f>VLOOKUP($F$1,Part2,33,FALSE)</f>
        <v>0</v>
      </c>
      <c r="S46" s="627"/>
      <c r="T46" s="434"/>
      <c r="U46" s="416"/>
    </row>
    <row r="47" spans="1:32" ht="15.75" customHeight="1" thickBot="1" x14ac:dyDescent="0.3">
      <c r="A47" s="20"/>
      <c r="B47" s="556"/>
      <c r="C47" s="557"/>
      <c r="D47" s="558"/>
      <c r="E47" s="558"/>
      <c r="F47" s="558"/>
      <c r="G47" s="558"/>
      <c r="H47" s="558"/>
      <c r="I47" s="558"/>
      <c r="J47" s="436"/>
      <c r="K47" s="435"/>
      <c r="L47" s="435"/>
      <c r="M47" s="435"/>
      <c r="N47" s="435"/>
      <c r="O47" s="435"/>
      <c r="P47" s="435"/>
      <c r="Q47" s="435"/>
      <c r="R47" s="436"/>
      <c r="S47" s="435"/>
      <c r="T47" s="437"/>
      <c r="U47" s="416"/>
    </row>
    <row r="48" spans="1:32" ht="15" x14ac:dyDescent="0.2">
      <c r="A48" s="20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9"/>
      <c r="N48" s="2"/>
      <c r="O48" s="2"/>
      <c r="P48" s="2"/>
      <c r="Q48" s="332"/>
      <c r="R48" s="332"/>
      <c r="S48" s="332"/>
      <c r="T48" s="332"/>
      <c r="U48" s="416"/>
    </row>
    <row r="49" spans="1:25" ht="15.75" x14ac:dyDescent="0.25">
      <c r="A49" s="267"/>
      <c r="B49" s="48"/>
      <c r="C49" s="12" t="s">
        <v>844</v>
      </c>
      <c r="D49" s="12"/>
      <c r="E49" s="12"/>
      <c r="F49" s="12"/>
      <c r="G49" s="12"/>
      <c r="H49" s="12"/>
      <c r="I49" s="48"/>
      <c r="J49" s="48"/>
      <c r="K49" s="48"/>
      <c r="L49" s="48"/>
      <c r="M49" s="9"/>
      <c r="N49" s="48"/>
      <c r="O49" s="48"/>
      <c r="P49" s="48"/>
      <c r="Q49" s="342"/>
      <c r="R49" s="342"/>
      <c r="S49" s="342"/>
      <c r="T49" s="332"/>
      <c r="U49" s="416"/>
    </row>
    <row r="50" spans="1:25" ht="15" x14ac:dyDescent="0.2">
      <c r="A50" s="20"/>
      <c r="B50" s="2"/>
      <c r="C50" s="9"/>
      <c r="D50" s="9"/>
      <c r="E50" s="9"/>
      <c r="F50" s="9"/>
      <c r="G50" s="9"/>
      <c r="H50" s="9"/>
      <c r="I50" s="9"/>
      <c r="J50" s="48"/>
      <c r="K50" s="48"/>
      <c r="L50" s="48"/>
      <c r="M50" s="9"/>
      <c r="N50" s="48"/>
      <c r="O50" s="48"/>
      <c r="P50" s="48"/>
      <c r="Q50" s="342"/>
      <c r="R50" s="342"/>
      <c r="S50" s="342"/>
      <c r="T50" s="332"/>
      <c r="U50" s="416"/>
      <c r="Y50" s="68"/>
    </row>
    <row r="51" spans="1:25" ht="16.5" thickBot="1" x14ac:dyDescent="0.3">
      <c r="A51" s="20"/>
      <c r="B51" s="2"/>
      <c r="C51" s="10" t="s">
        <v>562</v>
      </c>
      <c r="D51" s="9"/>
      <c r="E51" s="9"/>
      <c r="F51" s="9"/>
      <c r="G51" s="9"/>
      <c r="H51" s="9"/>
      <c r="I51" s="9"/>
      <c r="J51" s="48"/>
      <c r="K51" s="48"/>
      <c r="L51" s="48"/>
      <c r="M51" s="9"/>
      <c r="N51" s="48"/>
      <c r="O51" s="48"/>
      <c r="P51" s="48"/>
      <c r="Q51" s="342"/>
      <c r="R51" s="342"/>
      <c r="S51" s="342"/>
      <c r="T51" s="332"/>
      <c r="U51" s="416"/>
    </row>
    <row r="52" spans="1:25" ht="16.5" customHeight="1" thickBot="1" x14ac:dyDescent="0.25">
      <c r="A52" s="20"/>
      <c r="B52" s="2"/>
      <c r="C52" s="9" t="s">
        <v>845</v>
      </c>
      <c r="D52" s="9"/>
      <c r="E52" s="9"/>
      <c r="F52" s="9"/>
      <c r="G52" s="9"/>
      <c r="H52" s="9"/>
      <c r="I52" s="9"/>
      <c r="J52" s="622">
        <f>VLOOKUP($F$1,Part2,34,FALSE)</f>
        <v>-1126658404.8099999</v>
      </c>
      <c r="K52" s="623"/>
      <c r="L52" s="48"/>
      <c r="M52" s="9"/>
      <c r="N52" s="622">
        <f>VLOOKUP($F$1,Part2,35,FALSE)</f>
        <v>-2442829.59</v>
      </c>
      <c r="O52" s="623"/>
      <c r="P52" s="48"/>
      <c r="Q52" s="342"/>
      <c r="R52" s="626">
        <f>VLOOKUP($F$1,Part2,36,FALSE)</f>
        <v>-1129101234.3999999</v>
      </c>
      <c r="S52" s="627"/>
      <c r="T52" s="332"/>
      <c r="U52" s="416"/>
      <c r="Y52" s="68"/>
    </row>
    <row r="53" spans="1:25" ht="16.5" thickBot="1" x14ac:dyDescent="0.3">
      <c r="A53" s="20"/>
      <c r="B53" s="2"/>
      <c r="C53" s="9"/>
      <c r="D53" s="9"/>
      <c r="E53" s="9"/>
      <c r="F53" s="9"/>
      <c r="G53" s="9"/>
      <c r="H53" s="9"/>
      <c r="I53" s="9"/>
      <c r="J53" s="268">
        <f>+IF(OR(J54&lt;J52,N54&lt;N52),1,0)</f>
        <v>0</v>
      </c>
      <c r="K53" s="269"/>
      <c r="L53" s="269"/>
      <c r="M53" s="65"/>
      <c r="N53" s="270"/>
      <c r="O53" s="269"/>
      <c r="P53" s="269" t="s">
        <v>739</v>
      </c>
      <c r="Q53" s="438"/>
      <c r="R53" s="438"/>
      <c r="S53" s="438"/>
      <c r="T53" s="332"/>
      <c r="U53" s="416"/>
    </row>
    <row r="54" spans="1:25" ht="16.5" thickBot="1" x14ac:dyDescent="0.25">
      <c r="A54" s="20"/>
      <c r="B54" s="2"/>
      <c r="C54" s="657" t="s">
        <v>585</v>
      </c>
      <c r="D54" s="657"/>
      <c r="E54" s="657"/>
      <c r="F54" s="657"/>
      <c r="G54" s="657"/>
      <c r="H54" s="9"/>
      <c r="I54" s="9"/>
      <c r="J54" s="622">
        <f>VLOOKUP($F$1,Part2,37,FALSE)</f>
        <v>-2281413.3640000001</v>
      </c>
      <c r="K54" s="623"/>
      <c r="L54" s="48"/>
      <c r="M54" s="9"/>
      <c r="N54" s="622">
        <f>VLOOKUP($F$1,Part2,38,FALSE)</f>
        <v>-7344</v>
      </c>
      <c r="O54" s="623"/>
      <c r="P54" s="48"/>
      <c r="Q54" s="342"/>
      <c r="R54" s="626">
        <f>VLOOKUP($F$1,Part2,39,FALSE)</f>
        <v>-2288757.3640000001</v>
      </c>
      <c r="S54" s="627"/>
      <c r="T54" s="332"/>
      <c r="U54" s="416"/>
    </row>
    <row r="55" spans="1:25" ht="16.5" customHeight="1" x14ac:dyDescent="0.2">
      <c r="A55" s="20"/>
      <c r="B55" s="2"/>
      <c r="C55" s="657"/>
      <c r="D55" s="657"/>
      <c r="E55" s="657"/>
      <c r="F55" s="657"/>
      <c r="G55" s="657"/>
      <c r="H55" s="9"/>
      <c r="I55" s="9"/>
      <c r="J55" s="271" t="str">
        <f>+IF(J53+N53&gt;0,"Line 13 must be less than Line 12. Check your data","")</f>
        <v/>
      </c>
      <c r="K55" s="272"/>
      <c r="L55" s="272"/>
      <c r="M55" s="272"/>
      <c r="N55" s="271"/>
      <c r="O55" s="272"/>
      <c r="P55" s="48"/>
      <c r="Q55" s="342"/>
      <c r="R55" s="420"/>
      <c r="S55" s="342"/>
      <c r="T55" s="332"/>
      <c r="U55" s="416"/>
      <c r="Y55" s="68"/>
    </row>
    <row r="56" spans="1:25" ht="15.75" customHeight="1" thickBot="1" x14ac:dyDescent="0.25">
      <c r="A56" s="20"/>
      <c r="B56" s="2"/>
      <c r="C56" s="9"/>
      <c r="D56" s="9"/>
      <c r="E56" s="9"/>
      <c r="F56" s="9"/>
      <c r="G56" s="9"/>
      <c r="H56" s="9"/>
      <c r="I56" s="9"/>
      <c r="J56" s="59"/>
      <c r="K56" s="48"/>
      <c r="L56" s="48"/>
      <c r="M56" s="9"/>
      <c r="N56" s="59"/>
      <c r="O56" s="48"/>
      <c r="P56" s="48"/>
      <c r="Q56" s="342"/>
      <c r="R56" s="420"/>
      <c r="S56" s="342"/>
      <c r="T56" s="332"/>
      <c r="U56" s="416"/>
    </row>
    <row r="57" spans="1:25" ht="16.5" thickBot="1" x14ac:dyDescent="0.25">
      <c r="A57" s="20"/>
      <c r="B57" s="2"/>
      <c r="C57" s="657" t="s">
        <v>726</v>
      </c>
      <c r="D57" s="657"/>
      <c r="E57" s="657"/>
      <c r="F57" s="657"/>
      <c r="G57" s="657"/>
      <c r="H57" s="9"/>
      <c r="I57" s="9"/>
      <c r="J57" s="622">
        <f>VLOOKUP($F$1,Part2,40,FALSE)</f>
        <v>644061556.9993999</v>
      </c>
      <c r="K57" s="623"/>
      <c r="L57" s="48"/>
      <c r="M57" s="9"/>
      <c r="N57" s="622">
        <f>VLOOKUP($F$1,Part2,41,FALSE)</f>
        <v>4318973.3499999996</v>
      </c>
      <c r="O57" s="623"/>
      <c r="P57" s="48"/>
      <c r="Q57" s="342"/>
      <c r="R57" s="626">
        <f>VLOOKUP($F$1,Part2,42,FALSE)</f>
        <v>648380530.34940004</v>
      </c>
      <c r="S57" s="627"/>
      <c r="T57" s="332"/>
      <c r="U57" s="416"/>
    </row>
    <row r="58" spans="1:25" ht="15.75" x14ac:dyDescent="0.2">
      <c r="A58" s="20"/>
      <c r="B58" s="2"/>
      <c r="C58" s="667"/>
      <c r="D58" s="667"/>
      <c r="E58" s="667"/>
      <c r="F58" s="667"/>
      <c r="G58" s="667"/>
      <c r="H58" s="9"/>
      <c r="I58" s="9"/>
      <c r="J58" s="59"/>
      <c r="K58" s="48"/>
      <c r="L58" s="48"/>
      <c r="M58" s="9"/>
      <c r="N58" s="59"/>
      <c r="O58" s="48"/>
      <c r="P58" s="48"/>
      <c r="Q58" s="342"/>
      <c r="R58" s="420"/>
      <c r="S58" s="342"/>
      <c r="T58" s="332"/>
      <c r="U58" s="416"/>
      <c r="Y58" s="68"/>
    </row>
    <row r="59" spans="1:25" ht="16.5" thickBot="1" x14ac:dyDescent="0.25">
      <c r="A59" s="20"/>
      <c r="B59" s="2"/>
      <c r="C59" s="356"/>
      <c r="D59" s="356"/>
      <c r="E59" s="356"/>
      <c r="F59" s="356"/>
      <c r="G59" s="356"/>
      <c r="H59" s="9"/>
      <c r="I59" s="9"/>
      <c r="J59" s="59"/>
      <c r="K59" s="48"/>
      <c r="L59" s="48"/>
      <c r="M59" s="9"/>
      <c r="N59" s="59"/>
      <c r="O59" s="48"/>
      <c r="P59" s="48"/>
      <c r="Q59" s="342"/>
      <c r="R59" s="420"/>
      <c r="S59" s="342"/>
      <c r="T59" s="332"/>
      <c r="U59" s="416"/>
    </row>
    <row r="60" spans="1:25" ht="16.5" thickBot="1" x14ac:dyDescent="0.25">
      <c r="A60" s="20"/>
      <c r="B60" s="2"/>
      <c r="C60" s="9" t="s">
        <v>846</v>
      </c>
      <c r="D60" s="9"/>
      <c r="E60" s="9"/>
      <c r="F60" s="9"/>
      <c r="G60" s="9"/>
      <c r="H60" s="9"/>
      <c r="I60" s="9"/>
      <c r="J60" s="622">
        <f>VLOOKUP($F$1,Part2,43,FALSE)</f>
        <v>-482596847.81060004</v>
      </c>
      <c r="K60" s="623"/>
      <c r="L60" s="48"/>
      <c r="M60" s="9"/>
      <c r="N60" s="622">
        <f>VLOOKUP($F$1,Part2,44,FALSE)</f>
        <v>1876143.76</v>
      </c>
      <c r="O60" s="623"/>
      <c r="P60" s="48"/>
      <c r="Q60" s="342"/>
      <c r="R60" s="626">
        <f>VLOOKUP($F$1,Part2,45,FALSE)</f>
        <v>-480720704.05060005</v>
      </c>
      <c r="S60" s="627"/>
      <c r="T60" s="332"/>
      <c r="U60" s="416"/>
    </row>
    <row r="61" spans="1:25" ht="15" x14ac:dyDescent="0.2">
      <c r="A61" s="20"/>
      <c r="B61" s="2"/>
      <c r="C61" s="9"/>
      <c r="D61" s="9"/>
      <c r="E61" s="9"/>
      <c r="F61" s="9"/>
      <c r="G61" s="9"/>
      <c r="H61" s="9"/>
      <c r="I61" s="9"/>
      <c r="J61" s="48"/>
      <c r="K61" s="48"/>
      <c r="L61" s="48"/>
      <c r="M61" s="9"/>
      <c r="N61" s="48"/>
      <c r="O61" s="48"/>
      <c r="P61" s="48"/>
      <c r="Q61" s="342"/>
      <c r="R61" s="342"/>
      <c r="S61" s="342"/>
      <c r="T61" s="332"/>
      <c r="U61" s="416"/>
      <c r="Y61" s="68"/>
    </row>
    <row r="62" spans="1:25" ht="16.5" thickBot="1" x14ac:dyDescent="0.3">
      <c r="A62" s="20"/>
      <c r="B62" s="2"/>
      <c r="C62" s="10" t="s">
        <v>579</v>
      </c>
      <c r="D62" s="9"/>
      <c r="E62" s="9"/>
      <c r="F62" s="9"/>
      <c r="G62" s="9"/>
      <c r="H62" s="9"/>
      <c r="I62" s="9"/>
      <c r="J62" s="48"/>
      <c r="K62" s="48"/>
      <c r="L62" s="48"/>
      <c r="M62" s="9"/>
      <c r="N62" s="48"/>
      <c r="O62" s="48"/>
      <c r="P62" s="48"/>
      <c r="Q62" s="342"/>
      <c r="R62" s="342"/>
      <c r="S62" s="342"/>
      <c r="T62" s="332"/>
      <c r="U62" s="416"/>
    </row>
    <row r="63" spans="1:25" ht="16.5" thickBot="1" x14ac:dyDescent="0.25">
      <c r="A63" s="20"/>
      <c r="B63" s="2"/>
      <c r="C63" s="9" t="s">
        <v>847</v>
      </c>
      <c r="D63" s="9"/>
      <c r="E63" s="9"/>
      <c r="F63" s="9"/>
      <c r="G63" s="9"/>
      <c r="H63" s="9"/>
      <c r="I63" s="9"/>
      <c r="J63" s="622">
        <f>VLOOKUP($F$1,Part2,46,FALSE)</f>
        <v>-1568703081.9586999</v>
      </c>
      <c r="K63" s="623"/>
      <c r="L63" s="48"/>
      <c r="M63" s="9"/>
      <c r="N63" s="622">
        <f>VLOOKUP($F$1,Part2,47,FALSE)</f>
        <v>-5828372</v>
      </c>
      <c r="O63" s="623"/>
      <c r="P63" s="48"/>
      <c r="Q63" s="342"/>
      <c r="R63" s="626">
        <f>VLOOKUP($F$1,Part2,48,FALSE)</f>
        <v>-1574531453.9586999</v>
      </c>
      <c r="S63" s="627"/>
      <c r="T63" s="332"/>
      <c r="U63" s="416"/>
    </row>
    <row r="64" spans="1:25" ht="15" x14ac:dyDescent="0.2">
      <c r="A64" s="20"/>
      <c r="B64" s="2"/>
      <c r="C64" s="9"/>
      <c r="D64" s="9"/>
      <c r="E64" s="9"/>
      <c r="F64" s="9"/>
      <c r="G64" s="9"/>
      <c r="H64" s="9"/>
      <c r="I64" s="9"/>
      <c r="J64" s="48"/>
      <c r="K64" s="48"/>
      <c r="L64" s="48"/>
      <c r="M64" s="9"/>
      <c r="N64" s="48"/>
      <c r="O64" s="48"/>
      <c r="P64" s="48"/>
      <c r="Q64" s="342"/>
      <c r="R64" s="342"/>
      <c r="S64" s="342"/>
      <c r="T64" s="332"/>
      <c r="U64" s="416"/>
      <c r="Y64" s="68"/>
    </row>
    <row r="65" spans="1:25" ht="16.5" thickBot="1" x14ac:dyDescent="0.3">
      <c r="A65" s="20"/>
      <c r="B65" s="2"/>
      <c r="C65" s="10" t="s">
        <v>563</v>
      </c>
      <c r="D65" s="9"/>
      <c r="E65" s="9"/>
      <c r="F65" s="9"/>
      <c r="G65" s="9"/>
      <c r="H65" s="9"/>
      <c r="I65" s="9"/>
      <c r="J65" s="48"/>
      <c r="K65" s="48"/>
      <c r="L65" s="48"/>
      <c r="M65" s="9"/>
      <c r="N65" s="48"/>
      <c r="O65" s="48"/>
      <c r="P65" s="48"/>
      <c r="Q65" s="342"/>
      <c r="R65" s="342"/>
      <c r="S65" s="342"/>
      <c r="T65" s="332"/>
      <c r="U65" s="416"/>
    </row>
    <row r="66" spans="1:25" ht="16.5" thickBot="1" x14ac:dyDescent="0.25">
      <c r="A66" s="20"/>
      <c r="B66" s="2"/>
      <c r="C66" s="9" t="s">
        <v>848</v>
      </c>
      <c r="D66" s="9"/>
      <c r="E66" s="9"/>
      <c r="F66" s="9"/>
      <c r="G66" s="9"/>
      <c r="H66" s="9"/>
      <c r="I66" s="9"/>
      <c r="J66" s="622">
        <f>VLOOKUP($F$1,Part2,49,FALSE)</f>
        <v>-20777214.120000001</v>
      </c>
      <c r="K66" s="623"/>
      <c r="L66" s="48"/>
      <c r="M66" s="9"/>
      <c r="N66" s="622">
        <f>VLOOKUP($F$1,Part2,50,FALSE)</f>
        <v>0</v>
      </c>
      <c r="O66" s="623"/>
      <c r="P66" s="48"/>
      <c r="Q66" s="342"/>
      <c r="R66" s="626">
        <f>VLOOKUP($F$1,Part2,51,FALSE)</f>
        <v>-20777214.120000001</v>
      </c>
      <c r="S66" s="627"/>
      <c r="T66" s="332"/>
      <c r="U66" s="416"/>
    </row>
    <row r="67" spans="1:25" ht="15.75" x14ac:dyDescent="0.2">
      <c r="A67" s="20"/>
      <c r="B67" s="2"/>
      <c r="C67" s="9"/>
      <c r="D67" s="9"/>
      <c r="E67" s="9"/>
      <c r="F67" s="9"/>
      <c r="G67" s="9"/>
      <c r="H67" s="9"/>
      <c r="I67" s="9"/>
      <c r="J67" s="59"/>
      <c r="K67" s="48"/>
      <c r="L67" s="48"/>
      <c r="M67" s="9"/>
      <c r="N67" s="59"/>
      <c r="O67" s="48"/>
      <c r="P67" s="48"/>
      <c r="Q67" s="342"/>
      <c r="R67" s="420"/>
      <c r="S67" s="342"/>
      <c r="T67" s="332"/>
      <c r="U67" s="416"/>
      <c r="Y67" s="68"/>
    </row>
    <row r="68" spans="1:25" ht="16.5" thickBot="1" x14ac:dyDescent="0.3">
      <c r="A68" s="20"/>
      <c r="B68" s="2"/>
      <c r="C68" s="10" t="s">
        <v>581</v>
      </c>
      <c r="D68" s="9"/>
      <c r="E68" s="9"/>
      <c r="F68" s="9"/>
      <c r="G68" s="9"/>
      <c r="H68" s="9"/>
      <c r="I68" s="9"/>
      <c r="J68" s="48"/>
      <c r="K68" s="48"/>
      <c r="L68" s="48"/>
      <c r="M68" s="9"/>
      <c r="N68" s="48"/>
      <c r="O68" s="48"/>
      <c r="P68" s="48"/>
      <c r="Q68" s="342"/>
      <c r="R68" s="342"/>
      <c r="S68" s="342"/>
      <c r="T68" s="332"/>
      <c r="U68" s="416"/>
    </row>
    <row r="69" spans="1:25" ht="16.5" thickBot="1" x14ac:dyDescent="0.25">
      <c r="A69" s="20"/>
      <c r="B69" s="2"/>
      <c r="C69" s="9" t="s">
        <v>849</v>
      </c>
      <c r="D69" s="9"/>
      <c r="E69" s="9"/>
      <c r="F69" s="9"/>
      <c r="G69" s="9"/>
      <c r="H69" s="9"/>
      <c r="I69" s="9"/>
      <c r="J69" s="622">
        <f>VLOOKUP($F$1,Part2,52,FALSE)</f>
        <v>-6006331.7299999995</v>
      </c>
      <c r="K69" s="623"/>
      <c r="L69" s="48"/>
      <c r="M69" s="9"/>
      <c r="N69" s="622">
        <f>VLOOKUP($F$1,Part2,53,FALSE)</f>
        <v>0</v>
      </c>
      <c r="O69" s="623"/>
      <c r="P69" s="48"/>
      <c r="Q69" s="342"/>
      <c r="R69" s="626">
        <f>VLOOKUP($F$1,Part2,54,FALSE)</f>
        <v>-6006331.7299999995</v>
      </c>
      <c r="S69" s="627"/>
      <c r="T69" s="332"/>
      <c r="U69" s="416"/>
    </row>
    <row r="70" spans="1:25" ht="16.5" thickBot="1" x14ac:dyDescent="0.25">
      <c r="A70" s="21"/>
      <c r="B70" s="22"/>
      <c r="C70" s="171"/>
      <c r="D70" s="171"/>
      <c r="E70" s="171"/>
      <c r="F70" s="171"/>
      <c r="G70" s="171"/>
      <c r="H70" s="171"/>
      <c r="I70" s="171"/>
      <c r="J70" s="273"/>
      <c r="K70" s="274"/>
      <c r="L70" s="274"/>
      <c r="M70" s="274"/>
      <c r="N70" s="273"/>
      <c r="O70" s="274"/>
      <c r="P70" s="274"/>
      <c r="Q70" s="439"/>
      <c r="R70" s="440"/>
      <c r="S70" s="439"/>
      <c r="T70" s="441"/>
      <c r="U70" s="442"/>
    </row>
    <row r="71" spans="1:25" ht="16.5" thickBot="1" x14ac:dyDescent="0.25">
      <c r="A71" s="20"/>
      <c r="B71" s="2"/>
      <c r="C71" s="9"/>
      <c r="D71" s="9"/>
      <c r="E71" s="9"/>
      <c r="F71" s="9"/>
      <c r="G71" s="9"/>
      <c r="H71" s="9"/>
      <c r="I71" s="9"/>
      <c r="J71" s="59"/>
      <c r="K71" s="48"/>
      <c r="L71" s="48"/>
      <c r="M71" s="48"/>
      <c r="N71" s="59"/>
      <c r="O71" s="48"/>
      <c r="P71" s="48"/>
      <c r="Q71" s="342"/>
      <c r="R71" s="420"/>
      <c r="S71" s="342"/>
      <c r="T71" s="332"/>
      <c r="U71" s="416"/>
    </row>
    <row r="72" spans="1:25" ht="16.5" customHeight="1" thickBot="1" x14ac:dyDescent="0.25">
      <c r="A72" s="20"/>
      <c r="B72" s="3"/>
      <c r="C72" s="275"/>
      <c r="D72" s="275"/>
      <c r="E72" s="275"/>
      <c r="F72" s="275"/>
      <c r="G72" s="275"/>
      <c r="H72" s="275"/>
      <c r="I72" s="275"/>
      <c r="J72" s="276"/>
      <c r="K72" s="277"/>
      <c r="L72" s="277"/>
      <c r="M72" s="277"/>
      <c r="N72" s="276"/>
      <c r="O72" s="277"/>
      <c r="P72" s="277"/>
      <c r="Q72" s="443"/>
      <c r="R72" s="444"/>
      <c r="S72" s="443"/>
      <c r="T72" s="445"/>
      <c r="U72" s="416"/>
      <c r="Y72" s="68"/>
    </row>
    <row r="73" spans="1:25" ht="16.5" thickBot="1" x14ac:dyDescent="0.25">
      <c r="A73" s="20"/>
      <c r="B73" s="4"/>
      <c r="C73" s="9"/>
      <c r="D73" s="9"/>
      <c r="E73" s="9"/>
      <c r="F73" s="9"/>
      <c r="G73" s="9"/>
      <c r="H73" s="9"/>
      <c r="I73" s="278"/>
      <c r="J73" s="279"/>
      <c r="K73" s="280"/>
      <c r="L73" s="281"/>
      <c r="M73" s="280"/>
      <c r="N73" s="279"/>
      <c r="O73" s="280"/>
      <c r="P73" s="281"/>
      <c r="Q73" s="446"/>
      <c r="R73" s="447"/>
      <c r="S73" s="446"/>
      <c r="T73" s="448"/>
      <c r="U73" s="416"/>
    </row>
    <row r="74" spans="1:25" ht="16.5" thickBot="1" x14ac:dyDescent="0.25">
      <c r="A74" s="20"/>
      <c r="B74" s="4"/>
      <c r="C74" s="657" t="s">
        <v>850</v>
      </c>
      <c r="D74" s="657"/>
      <c r="E74" s="657"/>
      <c r="F74" s="657"/>
      <c r="G74" s="657"/>
      <c r="H74" s="9"/>
      <c r="I74" s="282"/>
      <c r="J74" s="622">
        <f>VLOOKUP($F$1,Part2,55,FALSE)</f>
        <v>-2078083475.6193001</v>
      </c>
      <c r="K74" s="623"/>
      <c r="L74" s="262"/>
      <c r="M74" s="9"/>
      <c r="N74" s="622">
        <f>VLOOKUP($F$1,Part2,56,FALSE)</f>
        <v>-3952228.24</v>
      </c>
      <c r="O74" s="623"/>
      <c r="P74" s="262"/>
      <c r="Q74" s="342"/>
      <c r="R74" s="342"/>
      <c r="S74" s="342"/>
      <c r="T74" s="428"/>
      <c r="U74" s="416"/>
    </row>
    <row r="75" spans="1:25" ht="16.5" customHeight="1" x14ac:dyDescent="0.2">
      <c r="A75" s="20"/>
      <c r="B75" s="4"/>
      <c r="C75" s="657"/>
      <c r="D75" s="657"/>
      <c r="E75" s="657"/>
      <c r="F75" s="657"/>
      <c r="G75" s="657"/>
      <c r="H75" s="9"/>
      <c r="I75" s="282"/>
      <c r="J75" s="59"/>
      <c r="K75" s="48"/>
      <c r="L75" s="262"/>
      <c r="M75" s="9"/>
      <c r="N75" s="59"/>
      <c r="O75" s="48"/>
      <c r="P75" s="262"/>
      <c r="Q75" s="342"/>
      <c r="R75" s="342"/>
      <c r="S75" s="342"/>
      <c r="T75" s="428"/>
      <c r="U75" s="416"/>
      <c r="Y75" s="68"/>
    </row>
    <row r="76" spans="1:25" ht="15.75" customHeight="1" thickBot="1" x14ac:dyDescent="0.25">
      <c r="A76" s="20"/>
      <c r="B76" s="4"/>
      <c r="C76" s="9"/>
      <c r="D76" s="9"/>
      <c r="E76" s="9"/>
      <c r="F76" s="9"/>
      <c r="G76" s="9"/>
      <c r="H76" s="9"/>
      <c r="I76" s="282"/>
      <c r="J76" s="59"/>
      <c r="K76" s="48"/>
      <c r="L76" s="262"/>
      <c r="M76" s="9"/>
      <c r="N76" s="59"/>
      <c r="O76" s="48"/>
      <c r="P76" s="262"/>
      <c r="Q76" s="342"/>
      <c r="R76" s="342"/>
      <c r="S76" s="342"/>
      <c r="T76" s="428"/>
      <c r="U76" s="416"/>
    </row>
    <row r="77" spans="1:25" ht="15.75" customHeight="1" thickBot="1" x14ac:dyDescent="0.25">
      <c r="A77" s="20"/>
      <c r="B77" s="4"/>
      <c r="C77" s="658" t="s">
        <v>730</v>
      </c>
      <c r="D77" s="658"/>
      <c r="E77" s="658"/>
      <c r="F77" s="658"/>
      <c r="G77" s="658"/>
      <c r="H77" s="9"/>
      <c r="I77" s="282"/>
      <c r="J77" s="622">
        <f>VLOOKUP($F$1,Part2,57,FALSE)</f>
        <v>-41508557</v>
      </c>
      <c r="K77" s="623"/>
      <c r="L77" s="262"/>
      <c r="M77" s="9"/>
      <c r="N77" s="622">
        <f>VLOOKUP($F$1,Part2,58,FALSE)</f>
        <v>-386500</v>
      </c>
      <c r="O77" s="623"/>
      <c r="P77" s="262"/>
      <c r="Q77" s="342"/>
      <c r="R77" s="342"/>
      <c r="S77" s="342"/>
      <c r="T77" s="428"/>
      <c r="U77" s="416"/>
    </row>
    <row r="78" spans="1:25" ht="15.75" x14ac:dyDescent="0.2">
      <c r="A78" s="20"/>
      <c r="B78" s="4"/>
      <c r="C78" s="658"/>
      <c r="D78" s="658"/>
      <c r="E78" s="658"/>
      <c r="F78" s="658"/>
      <c r="G78" s="658"/>
      <c r="H78" s="9"/>
      <c r="I78" s="282"/>
      <c r="J78" s="59"/>
      <c r="K78" s="48"/>
      <c r="L78" s="262"/>
      <c r="M78" s="9"/>
      <c r="N78" s="59"/>
      <c r="O78" s="48"/>
      <c r="P78" s="262"/>
      <c r="Q78" s="342"/>
      <c r="R78" s="420"/>
      <c r="S78" s="342"/>
      <c r="T78" s="428"/>
      <c r="U78" s="416"/>
    </row>
    <row r="79" spans="1:25" ht="16.5" customHeight="1" x14ac:dyDescent="0.2">
      <c r="A79" s="20"/>
      <c r="B79" s="4"/>
      <c r="C79" s="658"/>
      <c r="D79" s="658"/>
      <c r="E79" s="658"/>
      <c r="F79" s="658"/>
      <c r="G79" s="658"/>
      <c r="H79" s="9"/>
      <c r="I79" s="282"/>
      <c r="J79" s="59"/>
      <c r="K79" s="48"/>
      <c r="L79" s="262"/>
      <c r="M79" s="9"/>
      <c r="N79" s="59"/>
      <c r="O79" s="48"/>
      <c r="P79" s="262"/>
      <c r="Q79" s="342"/>
      <c r="R79" s="420"/>
      <c r="S79" s="342"/>
      <c r="T79" s="428"/>
      <c r="U79" s="416"/>
      <c r="Y79" s="68"/>
    </row>
    <row r="80" spans="1:25" ht="16.5" thickBot="1" x14ac:dyDescent="0.25">
      <c r="A80" s="20"/>
      <c r="B80" s="4"/>
      <c r="C80" s="359"/>
      <c r="D80" s="359"/>
      <c r="E80" s="359"/>
      <c r="F80" s="359"/>
      <c r="G80" s="359"/>
      <c r="H80" s="9"/>
      <c r="I80" s="282"/>
      <c r="J80" s="59"/>
      <c r="K80" s="48"/>
      <c r="L80" s="262"/>
      <c r="M80" s="9"/>
      <c r="N80" s="59"/>
      <c r="O80" s="48"/>
      <c r="P80" s="262"/>
      <c r="Q80" s="342"/>
      <c r="R80" s="420"/>
      <c r="S80" s="342"/>
      <c r="T80" s="428"/>
      <c r="U80" s="416"/>
    </row>
    <row r="81" spans="1:25" ht="16.5" thickBot="1" x14ac:dyDescent="0.25">
      <c r="A81" s="20"/>
      <c r="B81" s="4"/>
      <c r="C81" s="666" t="s">
        <v>851</v>
      </c>
      <c r="D81" s="667"/>
      <c r="E81" s="667"/>
      <c r="F81" s="667"/>
      <c r="G81" s="667"/>
      <c r="H81" s="9"/>
      <c r="I81" s="282"/>
      <c r="J81" s="622">
        <f>VLOOKUP($F$1,Part2,59,FALSE)</f>
        <v>-2119592032.6193001</v>
      </c>
      <c r="K81" s="623"/>
      <c r="L81" s="262"/>
      <c r="M81" s="9"/>
      <c r="N81" s="622">
        <f>VLOOKUP($F$1,Part2,60,FALSE)</f>
        <v>-4338728.24</v>
      </c>
      <c r="O81" s="623"/>
      <c r="P81" s="262"/>
      <c r="Q81" s="342"/>
      <c r="R81" s="626">
        <f>VLOOKUP($F$1,Part2,61,FALSE)</f>
        <v>-2123930760.8593001</v>
      </c>
      <c r="S81" s="627"/>
      <c r="T81" s="428"/>
      <c r="U81" s="416"/>
    </row>
    <row r="82" spans="1:25" ht="16.5" thickBot="1" x14ac:dyDescent="0.25">
      <c r="A82" s="20"/>
      <c r="B82" s="4"/>
      <c r="C82" s="667"/>
      <c r="D82" s="667"/>
      <c r="E82" s="667"/>
      <c r="F82" s="667"/>
      <c r="G82" s="667"/>
      <c r="H82" s="9"/>
      <c r="I82" s="283"/>
      <c r="J82" s="284"/>
      <c r="K82" s="285"/>
      <c r="L82" s="286"/>
      <c r="M82" s="284"/>
      <c r="N82" s="284"/>
      <c r="O82" s="285"/>
      <c r="P82" s="286"/>
      <c r="Q82" s="449"/>
      <c r="R82" s="450"/>
      <c r="S82" s="449"/>
      <c r="T82" s="430"/>
      <c r="U82" s="416"/>
    </row>
    <row r="83" spans="1:25" ht="15.75" hidden="1" customHeight="1" x14ac:dyDescent="0.2">
      <c r="A83" s="20"/>
      <c r="B83" s="6"/>
      <c r="C83" s="287"/>
      <c r="D83" s="287"/>
      <c r="E83" s="287"/>
      <c r="F83" s="287"/>
      <c r="G83" s="287"/>
      <c r="H83" s="287"/>
      <c r="I83" s="287"/>
      <c r="J83" s="288"/>
      <c r="K83" s="289"/>
      <c r="L83" s="289"/>
      <c r="M83" s="289"/>
      <c r="N83" s="288"/>
      <c r="O83" s="289"/>
      <c r="P83" s="289"/>
      <c r="Q83" s="451"/>
      <c r="R83" s="452"/>
      <c r="S83" s="452"/>
      <c r="T83" s="453"/>
      <c r="U83" s="416"/>
    </row>
    <row r="84" spans="1:25" ht="16.5" thickBot="1" x14ac:dyDescent="0.25">
      <c r="A84" s="21"/>
      <c r="B84" s="22"/>
      <c r="C84" s="171"/>
      <c r="D84" s="171"/>
      <c r="E84" s="171"/>
      <c r="F84" s="171"/>
      <c r="G84" s="171"/>
      <c r="H84" s="171"/>
      <c r="I84" s="171"/>
      <c r="J84" s="273"/>
      <c r="K84" s="274"/>
      <c r="L84" s="274"/>
      <c r="M84" s="274"/>
      <c r="N84" s="273"/>
      <c r="O84" s="274"/>
      <c r="P84" s="274"/>
      <c r="Q84" s="439"/>
      <c r="R84" s="440"/>
      <c r="S84" s="439"/>
      <c r="T84" s="441"/>
      <c r="U84" s="442"/>
    </row>
    <row r="85" spans="1:25" ht="15.75" x14ac:dyDescent="0.2">
      <c r="A85" s="20"/>
      <c r="B85" s="2"/>
      <c r="C85" s="9"/>
      <c r="D85" s="9"/>
      <c r="E85" s="9"/>
      <c r="F85" s="9"/>
      <c r="G85" s="9"/>
      <c r="H85" s="9"/>
      <c r="I85" s="9"/>
      <c r="J85" s="59"/>
      <c r="K85" s="48"/>
      <c r="L85" s="48"/>
      <c r="M85" s="9"/>
      <c r="N85" s="59"/>
      <c r="O85" s="48"/>
      <c r="P85" s="48"/>
      <c r="Q85" s="342"/>
      <c r="R85" s="420"/>
      <c r="S85" s="342"/>
      <c r="T85" s="332"/>
      <c r="U85" s="416"/>
    </row>
    <row r="86" spans="1:25" ht="15.75" x14ac:dyDescent="0.25">
      <c r="A86" s="20"/>
      <c r="B86" s="2"/>
      <c r="C86" s="10" t="s">
        <v>852</v>
      </c>
      <c r="D86" s="9"/>
      <c r="E86" s="9"/>
      <c r="F86" s="9"/>
      <c r="G86" s="9"/>
      <c r="H86" s="9"/>
      <c r="I86" s="9"/>
      <c r="J86" s="48"/>
      <c r="K86" s="48"/>
      <c r="L86" s="48"/>
      <c r="M86" s="9"/>
      <c r="N86" s="48"/>
      <c r="O86" s="48"/>
      <c r="P86" s="48"/>
      <c r="Q86" s="342"/>
      <c r="R86" s="342"/>
      <c r="S86" s="342"/>
      <c r="T86" s="332"/>
      <c r="U86" s="416"/>
    </row>
    <row r="87" spans="1:25" ht="15" x14ac:dyDescent="0.2">
      <c r="A87" s="20"/>
      <c r="B87" s="2"/>
      <c r="C87" s="9"/>
      <c r="D87" s="9"/>
      <c r="E87" s="9"/>
      <c r="F87" s="9"/>
      <c r="G87" s="9"/>
      <c r="H87" s="9"/>
      <c r="I87" s="9"/>
      <c r="J87" s="48"/>
      <c r="K87" s="48"/>
      <c r="L87" s="48"/>
      <c r="M87" s="9"/>
      <c r="N87" s="48"/>
      <c r="O87" s="48"/>
      <c r="P87" s="48"/>
      <c r="Q87" s="342"/>
      <c r="R87" s="342"/>
      <c r="S87" s="342"/>
      <c r="T87" s="332"/>
      <c r="U87" s="416"/>
      <c r="Y87" s="68"/>
    </row>
    <row r="88" spans="1:25" ht="15" customHeight="1" thickBot="1" x14ac:dyDescent="0.3">
      <c r="A88" s="20"/>
      <c r="B88" s="2"/>
      <c r="C88" s="10" t="s">
        <v>495</v>
      </c>
      <c r="D88" s="9"/>
      <c r="E88" s="9"/>
      <c r="F88" s="9"/>
      <c r="G88" s="9"/>
      <c r="H88" s="9"/>
      <c r="I88" s="9"/>
      <c r="J88" s="48"/>
      <c r="K88" s="48"/>
      <c r="L88" s="48"/>
      <c r="M88" s="9"/>
      <c r="N88" s="48"/>
      <c r="O88" s="48"/>
      <c r="P88" s="48"/>
      <c r="Q88" s="342"/>
      <c r="R88" s="342"/>
      <c r="S88" s="342"/>
      <c r="T88" s="332"/>
      <c r="U88" s="416"/>
    </row>
    <row r="89" spans="1:25" ht="16.5" thickBot="1" x14ac:dyDescent="0.25">
      <c r="A89" s="20"/>
      <c r="B89" s="2"/>
      <c r="C89" s="9" t="s">
        <v>853</v>
      </c>
      <c r="D89" s="9"/>
      <c r="E89" s="9"/>
      <c r="F89" s="9"/>
      <c r="G89" s="9"/>
      <c r="H89" s="9"/>
      <c r="I89" s="9"/>
      <c r="J89" s="622">
        <f>VLOOKUP($F$1,Part2,62,FALSE)</f>
        <v>-26758230.969999999</v>
      </c>
      <c r="K89" s="623"/>
      <c r="L89" s="48"/>
      <c r="M89" s="9"/>
      <c r="N89" s="622">
        <f>VLOOKUP($F$1,Part2,63,FALSE)</f>
        <v>-371980</v>
      </c>
      <c r="O89" s="623"/>
      <c r="P89" s="48"/>
      <c r="Q89" s="342"/>
      <c r="R89" s="626">
        <f>VLOOKUP($F$1,Part2,64,FALSE)</f>
        <v>-27130210.969999999</v>
      </c>
      <c r="S89" s="627"/>
      <c r="T89" s="332"/>
      <c r="U89" s="416"/>
    </row>
    <row r="90" spans="1:25" ht="16.5" customHeight="1" x14ac:dyDescent="0.2">
      <c r="A90" s="20"/>
      <c r="B90" s="2"/>
      <c r="C90" s="9"/>
      <c r="D90" s="9"/>
      <c r="E90" s="9"/>
      <c r="F90" s="9"/>
      <c r="G90" s="9"/>
      <c r="H90" s="9"/>
      <c r="I90" s="9"/>
      <c r="J90" s="48"/>
      <c r="K90" s="48"/>
      <c r="L90" s="48"/>
      <c r="M90" s="48"/>
      <c r="N90" s="48"/>
      <c r="O90" s="48"/>
      <c r="P90" s="48"/>
      <c r="Q90" s="342"/>
      <c r="R90" s="342"/>
      <c r="S90" s="342"/>
      <c r="T90" s="332"/>
      <c r="U90" s="416"/>
      <c r="Y90" s="68"/>
    </row>
    <row r="91" spans="1:25" ht="16.5" thickBot="1" x14ac:dyDescent="0.3">
      <c r="A91" s="20"/>
      <c r="B91" s="2"/>
      <c r="C91" s="10" t="s">
        <v>496</v>
      </c>
      <c r="D91" s="9"/>
      <c r="E91" s="9"/>
      <c r="F91" s="9"/>
      <c r="G91" s="9"/>
      <c r="H91" s="9"/>
      <c r="I91" s="9"/>
      <c r="J91" s="48"/>
      <c r="K91" s="48"/>
      <c r="L91" s="48"/>
      <c r="M91" s="48"/>
      <c r="N91" s="48"/>
      <c r="O91" s="48"/>
      <c r="P91" s="48"/>
      <c r="Q91" s="342"/>
      <c r="R91" s="342"/>
      <c r="S91" s="342"/>
      <c r="T91" s="332"/>
      <c r="U91" s="416"/>
    </row>
    <row r="92" spans="1:25" ht="16.5" thickBot="1" x14ac:dyDescent="0.25">
      <c r="A92" s="20"/>
      <c r="B92" s="2"/>
      <c r="C92" s="9" t="s">
        <v>854</v>
      </c>
      <c r="D92" s="9"/>
      <c r="E92" s="9"/>
      <c r="F92" s="9"/>
      <c r="G92" s="9"/>
      <c r="H92" s="9"/>
      <c r="I92" s="9"/>
      <c r="J92" s="622">
        <f>VLOOKUP($F$1,Part2,65,FALSE)</f>
        <v>-821683382.49000001</v>
      </c>
      <c r="K92" s="623"/>
      <c r="L92" s="48"/>
      <c r="M92" s="9"/>
      <c r="N92" s="622">
        <f>VLOOKUP($F$1,Part2,66,FALSE)</f>
        <v>-16138292.629999999</v>
      </c>
      <c r="O92" s="623"/>
      <c r="P92" s="48"/>
      <c r="Q92" s="342"/>
      <c r="R92" s="626">
        <f>VLOOKUP($F$1,Part2,67,FALSE)</f>
        <v>-837821675.12</v>
      </c>
      <c r="S92" s="627"/>
      <c r="T92" s="332"/>
      <c r="U92" s="416"/>
    </row>
    <row r="93" spans="1:25" ht="15" x14ac:dyDescent="0.2">
      <c r="A93" s="20"/>
      <c r="B93" s="2"/>
      <c r="C93" s="9"/>
      <c r="D93" s="9"/>
      <c r="E93" s="9"/>
      <c r="F93" s="9"/>
      <c r="G93" s="9"/>
      <c r="H93" s="9"/>
      <c r="I93" s="363"/>
      <c r="J93" s="48"/>
      <c r="K93" s="48"/>
      <c r="L93" s="48"/>
      <c r="M93" s="48"/>
      <c r="N93" s="48"/>
      <c r="O93" s="48"/>
      <c r="P93" s="48"/>
      <c r="Q93" s="342"/>
      <c r="R93" s="342"/>
      <c r="S93" s="342"/>
      <c r="T93" s="332"/>
      <c r="U93" s="416"/>
    </row>
    <row r="94" spans="1:25" ht="16.5" customHeight="1" thickBot="1" x14ac:dyDescent="0.25">
      <c r="A94" s="20"/>
      <c r="B94" s="2"/>
      <c r="C94" s="9"/>
      <c r="D94" s="9"/>
      <c r="E94" s="9"/>
      <c r="F94" s="9"/>
      <c r="G94" s="9"/>
      <c r="H94" s="9"/>
      <c r="I94" s="9"/>
      <c r="J94" s="59"/>
      <c r="K94" s="59"/>
      <c r="L94" s="59"/>
      <c r="M94" s="59"/>
      <c r="N94" s="59"/>
      <c r="O94" s="59"/>
      <c r="P94" s="59"/>
      <c r="Q94" s="342"/>
      <c r="R94" s="420"/>
      <c r="S94" s="342"/>
      <c r="T94" s="332"/>
      <c r="U94" s="416"/>
    </row>
    <row r="95" spans="1:25" ht="16.5" thickBot="1" x14ac:dyDescent="0.25">
      <c r="A95" s="20"/>
      <c r="B95" s="3"/>
      <c r="C95" s="275"/>
      <c r="D95" s="275"/>
      <c r="E95" s="275"/>
      <c r="F95" s="275"/>
      <c r="G95" s="275"/>
      <c r="H95" s="275"/>
      <c r="I95" s="275"/>
      <c r="J95" s="276"/>
      <c r="K95" s="276"/>
      <c r="L95" s="276"/>
      <c r="M95" s="276"/>
      <c r="N95" s="276"/>
      <c r="O95" s="276"/>
      <c r="P95" s="276"/>
      <c r="Q95" s="443"/>
      <c r="R95" s="444"/>
      <c r="S95" s="443"/>
      <c r="T95" s="445"/>
      <c r="U95" s="416"/>
    </row>
    <row r="96" spans="1:25" ht="16.5" thickBot="1" x14ac:dyDescent="0.25">
      <c r="A96" s="20"/>
      <c r="B96" s="4"/>
      <c r="C96" s="657" t="s">
        <v>855</v>
      </c>
      <c r="D96" s="657"/>
      <c r="E96" s="657"/>
      <c r="F96" s="657"/>
      <c r="G96" s="657"/>
      <c r="H96" s="9"/>
      <c r="I96" s="9"/>
      <c r="J96" s="622">
        <f>VLOOKUP($F$1,Part2,68,FALSE)</f>
        <v>-848441613.46000004</v>
      </c>
      <c r="K96" s="623"/>
      <c r="L96" s="48"/>
      <c r="M96" s="9"/>
      <c r="N96" s="622">
        <f>VLOOKUP($F$1,Part2,69,FALSE)</f>
        <v>-16510272.629999999</v>
      </c>
      <c r="O96" s="623"/>
      <c r="P96" s="48"/>
      <c r="Q96" s="342"/>
      <c r="R96" s="342"/>
      <c r="S96" s="342"/>
      <c r="T96" s="454"/>
      <c r="U96" s="416"/>
      <c r="Y96" s="68"/>
    </row>
    <row r="97" spans="1:25" ht="15.75" customHeight="1" x14ac:dyDescent="0.2">
      <c r="A97" s="20"/>
      <c r="B97" s="4"/>
      <c r="C97" s="657"/>
      <c r="D97" s="657"/>
      <c r="E97" s="657"/>
      <c r="F97" s="657"/>
      <c r="G97" s="657"/>
      <c r="H97" s="9"/>
      <c r="I97" s="9"/>
      <c r="J97" s="59"/>
      <c r="K97" s="48"/>
      <c r="L97" s="48"/>
      <c r="M97" s="48"/>
      <c r="N97" s="59"/>
      <c r="O97" s="48"/>
      <c r="P97" s="48"/>
      <c r="Q97" s="342"/>
      <c r="R97" s="342"/>
      <c r="S97" s="342"/>
      <c r="T97" s="454"/>
      <c r="U97" s="416"/>
      <c r="Y97" s="68"/>
    </row>
    <row r="98" spans="1:25" ht="15.75" customHeight="1" thickBot="1" x14ac:dyDescent="0.25">
      <c r="A98" s="20"/>
      <c r="B98" s="4"/>
      <c r="C98" s="356"/>
      <c r="D98" s="356"/>
      <c r="E98" s="356"/>
      <c r="F98" s="356"/>
      <c r="G98" s="356"/>
      <c r="H98" s="9"/>
      <c r="I98" s="9"/>
      <c r="J98" s="59"/>
      <c r="K98" s="48"/>
      <c r="L98" s="48"/>
      <c r="M98" s="48"/>
      <c r="N98" s="59"/>
      <c r="O98" s="48"/>
      <c r="P98" s="48"/>
      <c r="Q98" s="342"/>
      <c r="R98" s="342"/>
      <c r="S98" s="342"/>
      <c r="T98" s="454"/>
      <c r="U98" s="416"/>
    </row>
    <row r="99" spans="1:25" ht="15.75" customHeight="1" thickBot="1" x14ac:dyDescent="0.25">
      <c r="A99" s="20"/>
      <c r="B99" s="4"/>
      <c r="C99" s="665" t="s">
        <v>725</v>
      </c>
      <c r="D99" s="665"/>
      <c r="E99" s="665"/>
      <c r="F99" s="665"/>
      <c r="G99" s="665"/>
      <c r="H99" s="9"/>
      <c r="I99" s="9"/>
      <c r="J99" s="622">
        <f>VLOOKUP($F$1,Part2,70,FALSE)</f>
        <v>-43857429</v>
      </c>
      <c r="K99" s="623"/>
      <c r="L99" s="48"/>
      <c r="M99" s="9"/>
      <c r="N99" s="622">
        <f>VLOOKUP($F$1,Part2,71,FALSE)</f>
        <v>-179104</v>
      </c>
      <c r="O99" s="623"/>
      <c r="P99" s="48"/>
      <c r="Q99" s="342"/>
      <c r="R99" s="342"/>
      <c r="S99" s="342"/>
      <c r="T99" s="454"/>
      <c r="U99" s="416"/>
    </row>
    <row r="100" spans="1:25" ht="15.75" x14ac:dyDescent="0.2">
      <c r="A100" s="20"/>
      <c r="B100" s="4"/>
      <c r="C100" s="665"/>
      <c r="D100" s="665"/>
      <c r="E100" s="665"/>
      <c r="F100" s="665"/>
      <c r="G100" s="665"/>
      <c r="H100" s="9"/>
      <c r="I100" s="9"/>
      <c r="J100" s="59"/>
      <c r="K100" s="48"/>
      <c r="L100" s="48"/>
      <c r="M100" s="9"/>
      <c r="N100" s="59"/>
      <c r="O100" s="48"/>
      <c r="P100" s="48"/>
      <c r="Q100" s="342"/>
      <c r="R100" s="420"/>
      <c r="S100" s="342"/>
      <c r="T100" s="454"/>
      <c r="U100" s="416"/>
    </row>
    <row r="101" spans="1:25" ht="16.5" customHeight="1" x14ac:dyDescent="0.2">
      <c r="A101" s="20"/>
      <c r="B101" s="4"/>
      <c r="C101" s="665"/>
      <c r="D101" s="665"/>
      <c r="E101" s="665"/>
      <c r="F101" s="665"/>
      <c r="G101" s="665"/>
      <c r="H101" s="9"/>
      <c r="I101" s="9"/>
      <c r="J101" s="59"/>
      <c r="K101" s="48"/>
      <c r="L101" s="48"/>
      <c r="M101" s="9"/>
      <c r="N101" s="59"/>
      <c r="O101" s="48"/>
      <c r="P101" s="48"/>
      <c r="Q101" s="342"/>
      <c r="R101" s="420"/>
      <c r="S101" s="342"/>
      <c r="T101" s="454"/>
      <c r="U101" s="416"/>
      <c r="Y101" s="68"/>
    </row>
    <row r="102" spans="1:25" ht="16.5" thickBot="1" x14ac:dyDescent="0.25">
      <c r="A102" s="20"/>
      <c r="B102" s="4"/>
      <c r="C102" s="356"/>
      <c r="D102" s="356"/>
      <c r="E102" s="356"/>
      <c r="F102" s="356"/>
      <c r="G102" s="356"/>
      <c r="H102" s="9"/>
      <c r="I102" s="9"/>
      <c r="J102" s="59"/>
      <c r="K102" s="48"/>
      <c r="L102" s="48"/>
      <c r="M102" s="9"/>
      <c r="N102" s="59"/>
      <c r="O102" s="48"/>
      <c r="P102" s="48"/>
      <c r="Q102" s="342"/>
      <c r="R102" s="420"/>
      <c r="S102" s="342"/>
      <c r="T102" s="454"/>
      <c r="U102" s="416"/>
    </row>
    <row r="103" spans="1:25" ht="16.5" thickBot="1" x14ac:dyDescent="0.25">
      <c r="A103" s="20"/>
      <c r="B103" s="4"/>
      <c r="C103" s="666" t="s">
        <v>856</v>
      </c>
      <c r="D103" s="667"/>
      <c r="E103" s="667"/>
      <c r="F103" s="667"/>
      <c r="G103" s="667"/>
      <c r="H103" s="9"/>
      <c r="I103" s="9"/>
      <c r="J103" s="622">
        <f>VLOOKUP($F$1,Part2,72,FALSE)</f>
        <v>-892299042.45999992</v>
      </c>
      <c r="K103" s="623"/>
      <c r="L103" s="48"/>
      <c r="M103" s="9"/>
      <c r="N103" s="622">
        <f>VLOOKUP($F$1,Part2,73,FALSE)</f>
        <v>-16689376.629999999</v>
      </c>
      <c r="O103" s="623"/>
      <c r="P103" s="48"/>
      <c r="Q103" s="342"/>
      <c r="R103" s="626">
        <f>VLOOKUP($F$1,Part2,74,FALSE)</f>
        <v>-908988419.09000003</v>
      </c>
      <c r="S103" s="627"/>
      <c r="T103" s="454"/>
      <c r="U103" s="416"/>
    </row>
    <row r="104" spans="1:25" ht="15" x14ac:dyDescent="0.2">
      <c r="A104" s="20"/>
      <c r="B104" s="4"/>
      <c r="C104" s="667"/>
      <c r="D104" s="667"/>
      <c r="E104" s="667"/>
      <c r="F104" s="667"/>
      <c r="G104" s="667"/>
      <c r="H104" s="9"/>
      <c r="I104" s="9"/>
      <c r="J104" s="9"/>
      <c r="K104" s="9"/>
      <c r="L104" s="9"/>
      <c r="M104" s="9"/>
      <c r="N104" s="9"/>
      <c r="O104" s="9"/>
      <c r="P104" s="48"/>
      <c r="Q104" s="333"/>
      <c r="R104" s="333"/>
      <c r="S104" s="333"/>
      <c r="T104" s="454"/>
      <c r="U104" s="416"/>
    </row>
    <row r="105" spans="1:25" ht="16.5" thickBot="1" x14ac:dyDescent="0.25">
      <c r="A105" s="20"/>
      <c r="B105" s="6"/>
      <c r="C105" s="287"/>
      <c r="D105" s="287"/>
      <c r="E105" s="287"/>
      <c r="F105" s="287"/>
      <c r="G105" s="287"/>
      <c r="H105" s="287"/>
      <c r="I105" s="287"/>
      <c r="J105" s="288"/>
      <c r="K105" s="289"/>
      <c r="L105" s="289"/>
      <c r="M105" s="289"/>
      <c r="N105" s="289"/>
      <c r="O105" s="289"/>
      <c r="P105" s="289"/>
      <c r="Q105" s="451"/>
      <c r="R105" s="452"/>
      <c r="S105" s="451"/>
      <c r="T105" s="453"/>
      <c r="U105" s="416"/>
    </row>
    <row r="106" spans="1:25" ht="15" x14ac:dyDescent="0.2">
      <c r="A106" s="20"/>
      <c r="B106" s="2"/>
      <c r="C106" s="9"/>
      <c r="D106" s="9"/>
      <c r="E106" s="9"/>
      <c r="F106" s="9"/>
      <c r="G106" s="9"/>
      <c r="H106" s="9"/>
      <c r="I106" s="9"/>
      <c r="J106" s="48"/>
      <c r="K106" s="48"/>
      <c r="L106" s="48"/>
      <c r="M106" s="48"/>
      <c r="N106" s="48"/>
      <c r="O106" s="48"/>
      <c r="P106" s="48"/>
      <c r="Q106" s="342"/>
      <c r="R106" s="342"/>
      <c r="S106" s="342"/>
      <c r="T106" s="332"/>
      <c r="U106" s="416"/>
    </row>
    <row r="107" spans="1:25" ht="15.75" x14ac:dyDescent="0.25">
      <c r="A107" s="20"/>
      <c r="B107" s="2"/>
      <c r="C107" s="10" t="s">
        <v>734</v>
      </c>
      <c r="D107" s="9"/>
      <c r="E107" s="9"/>
      <c r="F107" s="9"/>
      <c r="G107" s="9"/>
      <c r="H107" s="9"/>
      <c r="I107" s="9"/>
      <c r="J107" s="48"/>
      <c r="K107" s="48"/>
      <c r="L107" s="48"/>
      <c r="M107" s="9"/>
      <c r="N107" s="48"/>
      <c r="O107" s="48"/>
      <c r="P107" s="48"/>
      <c r="Q107" s="342"/>
      <c r="R107" s="342"/>
      <c r="S107" s="342"/>
      <c r="T107" s="332"/>
      <c r="U107" s="416"/>
      <c r="Y107" s="68"/>
    </row>
    <row r="108" spans="1:25" ht="16.5" thickBot="1" x14ac:dyDescent="0.3">
      <c r="A108" s="20"/>
      <c r="B108" s="2"/>
      <c r="C108" s="10" t="s">
        <v>579</v>
      </c>
      <c r="D108" s="9"/>
      <c r="E108" s="9"/>
      <c r="F108" s="9"/>
      <c r="G108" s="9"/>
      <c r="H108" s="9"/>
      <c r="I108" s="9"/>
      <c r="J108" s="48"/>
      <c r="K108" s="48"/>
      <c r="L108" s="48"/>
      <c r="M108" s="9"/>
      <c r="N108" s="48"/>
      <c r="O108" s="48"/>
      <c r="P108" s="48"/>
      <c r="Q108" s="342"/>
      <c r="R108" s="342"/>
      <c r="S108" s="342"/>
      <c r="T108" s="332"/>
      <c r="U108" s="416"/>
    </row>
    <row r="109" spans="1:25" ht="16.5" thickBot="1" x14ac:dyDescent="0.25">
      <c r="A109" s="20"/>
      <c r="B109" s="2"/>
      <c r="C109" s="9" t="s">
        <v>857</v>
      </c>
      <c r="D109" s="9"/>
      <c r="E109" s="9"/>
      <c r="F109" s="9"/>
      <c r="G109" s="9"/>
      <c r="H109" s="9"/>
      <c r="I109" s="9"/>
      <c r="J109" s="622">
        <f>VLOOKUP($F$1,Part2,75,FALSE)</f>
        <v>-45597965.020000003</v>
      </c>
      <c r="K109" s="623"/>
      <c r="L109" s="48"/>
      <c r="M109" s="9"/>
      <c r="N109" s="622">
        <f>VLOOKUP($F$1,Part2,76,FALSE)</f>
        <v>-22828</v>
      </c>
      <c r="O109" s="623"/>
      <c r="P109" s="48"/>
      <c r="Q109" s="342"/>
      <c r="R109" s="626">
        <f>VLOOKUP($F$1,Part2,77,FALSE)</f>
        <v>-45620793.020000011</v>
      </c>
      <c r="S109" s="627"/>
      <c r="T109" s="332"/>
      <c r="U109" s="416"/>
    </row>
    <row r="110" spans="1:25" ht="15.75" x14ac:dyDescent="0.25">
      <c r="A110" s="20"/>
      <c r="B110" s="2"/>
      <c r="C110" s="10"/>
      <c r="D110" s="9"/>
      <c r="E110" s="9"/>
      <c r="F110" s="9"/>
      <c r="G110" s="9"/>
      <c r="H110" s="9"/>
      <c r="I110" s="9"/>
      <c r="J110" s="48"/>
      <c r="K110" s="48"/>
      <c r="L110" s="48"/>
      <c r="M110" s="48"/>
      <c r="N110" s="48"/>
      <c r="O110" s="48"/>
      <c r="P110" s="48"/>
      <c r="Q110" s="342"/>
      <c r="R110" s="342"/>
      <c r="S110" s="342"/>
      <c r="T110" s="332"/>
      <c r="U110" s="416"/>
      <c r="Y110" s="68"/>
    </row>
    <row r="111" spans="1:25" ht="16.5" thickBot="1" x14ac:dyDescent="0.3">
      <c r="A111" s="20"/>
      <c r="B111" s="2"/>
      <c r="C111" s="10" t="s">
        <v>564</v>
      </c>
      <c r="D111" s="9"/>
      <c r="E111" s="9"/>
      <c r="F111" s="9"/>
      <c r="G111" s="9"/>
      <c r="H111" s="9"/>
      <c r="I111" s="9"/>
      <c r="J111" s="48"/>
      <c r="K111" s="48"/>
      <c r="L111" s="48"/>
      <c r="M111" s="48"/>
      <c r="N111" s="48"/>
      <c r="O111" s="48"/>
      <c r="P111" s="48"/>
      <c r="Q111" s="342"/>
      <c r="R111" s="342"/>
      <c r="S111" s="342"/>
      <c r="T111" s="332"/>
      <c r="U111" s="416"/>
    </row>
    <row r="112" spans="1:25" ht="16.5" thickBot="1" x14ac:dyDescent="0.25">
      <c r="A112" s="20"/>
      <c r="B112" s="2"/>
      <c r="C112" s="9" t="s">
        <v>858</v>
      </c>
      <c r="D112" s="9"/>
      <c r="E112" s="9"/>
      <c r="F112" s="9"/>
      <c r="G112" s="9"/>
      <c r="H112" s="9"/>
      <c r="I112" s="9"/>
      <c r="J112" s="622">
        <f>VLOOKUP($F$1,Part2,78,FALSE)</f>
        <v>-35641629.620000005</v>
      </c>
      <c r="K112" s="623"/>
      <c r="L112" s="48"/>
      <c r="M112" s="9"/>
      <c r="N112" s="622">
        <f>VLOOKUP($F$1,Part2,79,FALSE)</f>
        <v>-345152</v>
      </c>
      <c r="O112" s="623"/>
      <c r="P112" s="48"/>
      <c r="Q112" s="342"/>
      <c r="R112" s="626">
        <f>VLOOKUP($F$1,Part2,80,FALSE)</f>
        <v>-35986781.620000005</v>
      </c>
      <c r="S112" s="627"/>
      <c r="T112" s="332"/>
      <c r="U112" s="416"/>
    </row>
    <row r="113" spans="1:25" ht="15" x14ac:dyDescent="0.2">
      <c r="A113" s="20"/>
      <c r="B113" s="2"/>
      <c r="C113" s="9"/>
      <c r="D113" s="9"/>
      <c r="E113" s="9"/>
      <c r="F113" s="9"/>
      <c r="G113" s="9"/>
      <c r="H113" s="9"/>
      <c r="I113" s="9"/>
      <c r="J113" s="48"/>
      <c r="K113" s="48"/>
      <c r="L113" s="48"/>
      <c r="M113" s="9"/>
      <c r="N113" s="48"/>
      <c r="O113" s="48"/>
      <c r="P113" s="48"/>
      <c r="Q113" s="342"/>
      <c r="R113" s="342"/>
      <c r="S113" s="342"/>
      <c r="T113" s="332"/>
      <c r="U113" s="416"/>
      <c r="Y113" s="68"/>
    </row>
    <row r="114" spans="1:25" ht="16.5" thickBot="1" x14ac:dyDescent="0.3">
      <c r="A114" s="20"/>
      <c r="B114" s="2"/>
      <c r="C114" s="10" t="s">
        <v>563</v>
      </c>
      <c r="D114" s="9"/>
      <c r="E114" s="9"/>
      <c r="F114" s="9"/>
      <c r="G114" s="9"/>
      <c r="H114" s="9"/>
      <c r="I114" s="9"/>
      <c r="J114" s="48"/>
      <c r="K114" s="48"/>
      <c r="L114" s="48"/>
      <c r="M114" s="9"/>
      <c r="N114" s="48"/>
      <c r="O114" s="48"/>
      <c r="P114" s="48"/>
      <c r="Q114" s="342"/>
      <c r="R114" s="342"/>
      <c r="S114" s="342"/>
      <c r="T114" s="332"/>
      <c r="U114" s="416"/>
    </row>
    <row r="115" spans="1:25" ht="16.5" thickBot="1" x14ac:dyDescent="0.25">
      <c r="A115" s="20"/>
      <c r="B115" s="2"/>
      <c r="C115" s="9" t="s">
        <v>859</v>
      </c>
      <c r="D115" s="9"/>
      <c r="E115" s="9"/>
      <c r="F115" s="9"/>
      <c r="G115" s="9"/>
      <c r="H115" s="9"/>
      <c r="I115" s="9"/>
      <c r="J115" s="622">
        <f>VLOOKUP($F$1,Part2,81,FALSE)</f>
        <v>-1372126.98</v>
      </c>
      <c r="K115" s="623"/>
      <c r="L115" s="48"/>
      <c r="M115" s="9"/>
      <c r="N115" s="622">
        <f>VLOOKUP($F$1,Part2,82,FALSE)</f>
        <v>0</v>
      </c>
      <c r="O115" s="623"/>
      <c r="P115" s="48"/>
      <c r="Q115" s="342"/>
      <c r="R115" s="626">
        <f>VLOOKUP($F$1,Part2,83,FALSE)</f>
        <v>-1372126.98</v>
      </c>
      <c r="S115" s="627"/>
      <c r="T115" s="332"/>
      <c r="U115" s="416"/>
    </row>
    <row r="116" spans="1:25" ht="15" x14ac:dyDescent="0.2">
      <c r="A116" s="20"/>
      <c r="B116" s="2"/>
      <c r="C116" s="9"/>
      <c r="D116" s="9"/>
      <c r="E116" s="9"/>
      <c r="F116" s="9"/>
      <c r="G116" s="9"/>
      <c r="H116" s="9"/>
      <c r="I116" s="9"/>
      <c r="J116" s="48"/>
      <c r="K116" s="48"/>
      <c r="L116" s="48"/>
      <c r="M116" s="48"/>
      <c r="N116" s="48"/>
      <c r="O116" s="48"/>
      <c r="P116" s="48"/>
      <c r="Q116" s="342"/>
      <c r="R116" s="342"/>
      <c r="S116" s="342"/>
      <c r="T116" s="332"/>
      <c r="U116" s="416"/>
      <c r="Y116" s="68"/>
    </row>
    <row r="117" spans="1:25" ht="16.5" thickBot="1" x14ac:dyDescent="0.3">
      <c r="A117" s="20"/>
      <c r="B117" s="2"/>
      <c r="C117" s="10" t="s">
        <v>580</v>
      </c>
      <c r="D117" s="9"/>
      <c r="E117" s="9"/>
      <c r="F117" s="9"/>
      <c r="G117" s="9"/>
      <c r="H117" s="9"/>
      <c r="I117" s="9"/>
      <c r="J117" s="48"/>
      <c r="K117" s="48"/>
      <c r="L117" s="48"/>
      <c r="M117" s="48"/>
      <c r="N117" s="48"/>
      <c r="O117" s="48"/>
      <c r="P117" s="48"/>
      <c r="Q117" s="342"/>
      <c r="R117" s="342"/>
      <c r="S117" s="342"/>
      <c r="T117" s="332"/>
      <c r="U117" s="416"/>
    </row>
    <row r="118" spans="1:25" ht="16.5" thickBot="1" x14ac:dyDescent="0.25">
      <c r="A118" s="20"/>
      <c r="B118" s="2"/>
      <c r="C118" s="9" t="s">
        <v>860</v>
      </c>
      <c r="D118" s="9"/>
      <c r="E118" s="9"/>
      <c r="F118" s="9"/>
      <c r="G118" s="9"/>
      <c r="H118" s="9"/>
      <c r="I118" s="9"/>
      <c r="J118" s="622">
        <f>VLOOKUP($F$1,Part2,84,FALSE)</f>
        <v>-2948783.7099999995</v>
      </c>
      <c r="K118" s="623"/>
      <c r="L118" s="48"/>
      <c r="M118" s="9"/>
      <c r="N118" s="622">
        <f>VLOOKUP($F$1,Part2,85,FALSE)</f>
        <v>0</v>
      </c>
      <c r="O118" s="623"/>
      <c r="P118" s="48"/>
      <c r="Q118" s="342"/>
      <c r="R118" s="626">
        <f>VLOOKUP($F$1,Part2,86,FALSE)</f>
        <v>-2948783.7099999995</v>
      </c>
      <c r="S118" s="627"/>
      <c r="T118" s="332"/>
      <c r="U118" s="416"/>
    </row>
    <row r="119" spans="1:25" ht="15" x14ac:dyDescent="0.2">
      <c r="A119" s="20"/>
      <c r="B119" s="2"/>
      <c r="C119" s="9"/>
      <c r="D119" s="9"/>
      <c r="E119" s="9"/>
      <c r="F119" s="9"/>
      <c r="G119" s="9"/>
      <c r="H119" s="9"/>
      <c r="I119" s="9"/>
      <c r="J119" s="290"/>
      <c r="K119" s="290"/>
      <c r="L119" s="290"/>
      <c r="M119" s="9"/>
      <c r="N119" s="290"/>
      <c r="O119" s="290"/>
      <c r="P119" s="48"/>
      <c r="Q119" s="342"/>
      <c r="R119" s="342"/>
      <c r="S119" s="342"/>
      <c r="T119" s="332"/>
      <c r="U119" s="416"/>
      <c r="Y119" s="68"/>
    </row>
    <row r="120" spans="1:25" ht="16.5" thickBot="1" x14ac:dyDescent="0.3">
      <c r="A120" s="20"/>
      <c r="B120" s="2"/>
      <c r="C120" s="10" t="s">
        <v>565</v>
      </c>
      <c r="D120" s="9"/>
      <c r="E120" s="9"/>
      <c r="F120" s="9"/>
      <c r="G120" s="9"/>
      <c r="H120" s="9"/>
      <c r="I120" s="9"/>
      <c r="J120" s="290"/>
      <c r="K120" s="290"/>
      <c r="L120" s="290"/>
      <c r="M120" s="9"/>
      <c r="N120" s="290"/>
      <c r="O120" s="290"/>
      <c r="P120" s="48"/>
      <c r="Q120" s="342"/>
      <c r="R120" s="342"/>
      <c r="S120" s="342"/>
      <c r="T120" s="332"/>
      <c r="U120" s="416"/>
    </row>
    <row r="121" spans="1:25" ht="16.5" thickBot="1" x14ac:dyDescent="0.25">
      <c r="A121" s="20"/>
      <c r="B121" s="2"/>
      <c r="C121" s="9" t="s">
        <v>861</v>
      </c>
      <c r="D121" s="9"/>
      <c r="E121" s="9"/>
      <c r="F121" s="9"/>
      <c r="G121" s="9"/>
      <c r="H121" s="9"/>
      <c r="I121" s="9"/>
      <c r="J121" s="622">
        <f>VLOOKUP($F$1,Part2,87,FALSE)</f>
        <v>-1560194.45</v>
      </c>
      <c r="K121" s="623"/>
      <c r="L121" s="48"/>
      <c r="M121" s="9"/>
      <c r="N121" s="622">
        <f>VLOOKUP($F$1,Part2,88,FALSE)</f>
        <v>0</v>
      </c>
      <c r="O121" s="623"/>
      <c r="P121" s="48"/>
      <c r="Q121" s="342"/>
      <c r="R121" s="626">
        <f>VLOOKUP($F$1,Part2,89,FALSE)</f>
        <v>-1560194.45</v>
      </c>
      <c r="S121" s="627"/>
      <c r="T121" s="332"/>
      <c r="U121" s="416"/>
    </row>
    <row r="122" spans="1:25" ht="15" x14ac:dyDescent="0.2">
      <c r="A122" s="20"/>
      <c r="B122" s="2"/>
      <c r="C122" s="9"/>
      <c r="D122" s="9"/>
      <c r="E122" s="9"/>
      <c r="F122" s="9"/>
      <c r="G122" s="9"/>
      <c r="H122" s="9"/>
      <c r="I122" s="9"/>
      <c r="J122" s="48"/>
      <c r="K122" s="48"/>
      <c r="L122" s="48"/>
      <c r="M122" s="48"/>
      <c r="N122" s="48"/>
      <c r="O122" s="48"/>
      <c r="P122" s="48"/>
      <c r="Q122" s="342"/>
      <c r="R122" s="342"/>
      <c r="S122" s="342"/>
      <c r="T122" s="332"/>
      <c r="U122" s="416"/>
      <c r="Y122" s="68"/>
    </row>
    <row r="123" spans="1:25" ht="16.5" thickBot="1" x14ac:dyDescent="0.3">
      <c r="A123" s="20"/>
      <c r="B123" s="2"/>
      <c r="C123" s="10" t="s">
        <v>582</v>
      </c>
      <c r="D123" s="9"/>
      <c r="E123" s="9"/>
      <c r="F123" s="9"/>
      <c r="G123" s="9"/>
      <c r="H123" s="9"/>
      <c r="I123" s="9"/>
      <c r="J123" s="48"/>
      <c r="K123" s="48"/>
      <c r="L123" s="48"/>
      <c r="M123" s="48"/>
      <c r="N123" s="48"/>
      <c r="O123" s="48"/>
      <c r="P123" s="48"/>
      <c r="Q123" s="342"/>
      <c r="R123" s="342"/>
      <c r="S123" s="342"/>
      <c r="T123" s="332"/>
      <c r="U123" s="416"/>
    </row>
    <row r="124" spans="1:25" ht="16.5" thickBot="1" x14ac:dyDescent="0.25">
      <c r="A124" s="20"/>
      <c r="B124" s="2"/>
      <c r="C124" s="9" t="s">
        <v>862</v>
      </c>
      <c r="D124" s="9"/>
      <c r="E124" s="9"/>
      <c r="F124" s="9"/>
      <c r="G124" s="9"/>
      <c r="H124" s="9"/>
      <c r="I124" s="9"/>
      <c r="J124" s="622">
        <f>VLOOKUP($F$1,Part2,90,FALSE)</f>
        <v>-7855731</v>
      </c>
      <c r="K124" s="623"/>
      <c r="L124" s="48"/>
      <c r="M124" s="9"/>
      <c r="N124" s="622">
        <f>VLOOKUP($F$1,Part2,91,FALSE)</f>
        <v>-10719994</v>
      </c>
      <c r="O124" s="623"/>
      <c r="P124" s="48"/>
      <c r="Q124" s="342"/>
      <c r="R124" s="626">
        <f>VLOOKUP($F$1,Part2,92,FALSE)</f>
        <v>-18575725</v>
      </c>
      <c r="S124" s="627"/>
      <c r="T124" s="332"/>
      <c r="U124" s="416"/>
      <c r="Y124" s="68"/>
    </row>
    <row r="125" spans="1:25" ht="15.75" x14ac:dyDescent="0.25">
      <c r="A125" s="20"/>
      <c r="B125" s="2"/>
      <c r="C125" s="65" t="str">
        <f>+IF($N$128&gt;$N$131,"Relief given to Case A hereditaments cannot be greater than line 32. Please check","")</f>
        <v/>
      </c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48"/>
      <c r="Q125" s="342"/>
      <c r="R125" s="420"/>
      <c r="S125" s="342"/>
      <c r="T125" s="332"/>
      <c r="U125" s="416"/>
      <c r="Y125" s="68"/>
    </row>
    <row r="126" spans="1:25" ht="16.5" thickBot="1" x14ac:dyDescent="0.3">
      <c r="A126" s="20"/>
      <c r="B126" s="2"/>
      <c r="C126" s="10"/>
      <c r="D126" s="9"/>
      <c r="E126" s="9"/>
      <c r="F126" s="9"/>
      <c r="G126" s="9"/>
      <c r="H126" s="9"/>
      <c r="I126" s="9"/>
      <c r="J126" s="70" t="s">
        <v>584</v>
      </c>
      <c r="K126" s="48"/>
      <c r="L126" s="48"/>
      <c r="M126" s="9"/>
      <c r="N126" s="70" t="s">
        <v>584</v>
      </c>
      <c r="O126" s="48"/>
      <c r="P126" s="48"/>
      <c r="Q126" s="342"/>
      <c r="R126" s="420"/>
      <c r="S126" s="342"/>
      <c r="T126" s="332"/>
      <c r="U126" s="416"/>
    </row>
    <row r="127" spans="1:25" ht="16.5" thickBot="1" x14ac:dyDescent="0.25">
      <c r="A127" s="20"/>
      <c r="B127" s="2"/>
      <c r="C127" s="11" t="s">
        <v>727</v>
      </c>
      <c r="D127" s="9"/>
      <c r="E127" s="9"/>
      <c r="F127" s="9"/>
      <c r="G127" s="9"/>
      <c r="H127" s="9"/>
      <c r="I127" s="9"/>
      <c r="J127" s="290"/>
      <c r="K127" s="290"/>
      <c r="L127" s="290"/>
      <c r="M127" s="9"/>
      <c r="N127" s="622">
        <f>VLOOKUP($F$1,Part2,93,FALSE)</f>
        <v>-10536290</v>
      </c>
      <c r="O127" s="623"/>
      <c r="P127" s="48"/>
      <c r="Q127" s="342"/>
      <c r="R127" s="342"/>
      <c r="S127" s="342"/>
      <c r="T127" s="332"/>
      <c r="U127" s="416"/>
    </row>
    <row r="128" spans="1:25" ht="16.5" thickBot="1" x14ac:dyDescent="0.25">
      <c r="A128" s="20"/>
      <c r="B128" s="2"/>
      <c r="C128" s="11" t="s">
        <v>728</v>
      </c>
      <c r="D128" s="9"/>
      <c r="E128" s="9"/>
      <c r="F128" s="9"/>
      <c r="G128" s="9"/>
      <c r="H128" s="9"/>
      <c r="I128" s="9"/>
      <c r="J128" s="622">
        <f>VLOOKUP($F$1,Part2,94,FALSE)</f>
        <v>-2867831</v>
      </c>
      <c r="K128" s="623"/>
      <c r="L128" s="290"/>
      <c r="M128" s="9"/>
      <c r="N128" s="48"/>
      <c r="O128" s="48"/>
      <c r="P128" s="48"/>
      <c r="Q128" s="342"/>
      <c r="R128" s="342"/>
      <c r="S128" s="342"/>
      <c r="T128" s="332"/>
      <c r="U128" s="416"/>
    </row>
    <row r="129" spans="1:25" ht="16.5" thickBot="1" x14ac:dyDescent="0.3">
      <c r="A129" s="21"/>
      <c r="B129" s="22"/>
      <c r="C129" s="65" t="str">
        <f>+IF($J$128&gt;$J$132,"Relief given to Case B hereditaments cannot be greater than line 32. Please check","")</f>
        <v/>
      </c>
      <c r="D129" s="171"/>
      <c r="E129" s="171"/>
      <c r="F129" s="171"/>
      <c r="G129" s="171"/>
      <c r="H129" s="171"/>
      <c r="I129" s="171"/>
      <c r="J129" s="274"/>
      <c r="K129" s="274"/>
      <c r="L129" s="274"/>
      <c r="M129" s="274"/>
      <c r="N129" s="274"/>
      <c r="O129" s="274"/>
      <c r="P129" s="274"/>
      <c r="Q129" s="439"/>
      <c r="R129" s="439"/>
      <c r="S129" s="439"/>
      <c r="T129" s="441"/>
      <c r="U129" s="442"/>
    </row>
    <row r="130" spans="1:25" ht="15.75" thickBot="1" x14ac:dyDescent="0.25">
      <c r="A130" s="291"/>
      <c r="B130" s="74"/>
      <c r="C130" s="292"/>
      <c r="D130" s="292"/>
      <c r="E130" s="292"/>
      <c r="F130" s="292"/>
      <c r="G130" s="292"/>
      <c r="H130" s="292"/>
      <c r="I130" s="292"/>
      <c r="J130" s="293"/>
      <c r="K130" s="293"/>
      <c r="L130" s="293"/>
      <c r="M130" s="293"/>
      <c r="N130" s="293"/>
      <c r="O130" s="293"/>
      <c r="P130" s="293"/>
      <c r="Q130" s="455"/>
      <c r="R130" s="455"/>
      <c r="S130" s="455"/>
      <c r="T130" s="456"/>
      <c r="U130" s="457"/>
    </row>
    <row r="131" spans="1:25" ht="16.5" customHeight="1" thickBot="1" x14ac:dyDescent="0.25">
      <c r="A131" s="20"/>
      <c r="B131" s="2"/>
      <c r="C131" s="9"/>
      <c r="D131" s="9"/>
      <c r="E131" s="9"/>
      <c r="F131" s="9"/>
      <c r="G131" s="9"/>
      <c r="H131" s="9"/>
      <c r="I131" s="9"/>
      <c r="J131" s="48"/>
      <c r="K131" s="48"/>
      <c r="L131" s="48"/>
      <c r="M131" s="48"/>
      <c r="N131" s="48"/>
      <c r="O131" s="48"/>
      <c r="P131" s="48"/>
      <c r="Q131" s="342"/>
      <c r="R131" s="342"/>
      <c r="S131" s="342"/>
      <c r="T131" s="332"/>
      <c r="U131" s="416"/>
    </row>
    <row r="132" spans="1:25" ht="15.75" thickBot="1" x14ac:dyDescent="0.25">
      <c r="A132" s="20"/>
      <c r="B132" s="3"/>
      <c r="C132" s="275"/>
      <c r="D132" s="275"/>
      <c r="E132" s="275"/>
      <c r="F132" s="275"/>
      <c r="G132" s="275"/>
      <c r="H132" s="275"/>
      <c r="I132" s="275"/>
      <c r="J132" s="277"/>
      <c r="K132" s="277"/>
      <c r="L132" s="277"/>
      <c r="M132" s="277"/>
      <c r="N132" s="277"/>
      <c r="O132" s="277"/>
      <c r="P132" s="277"/>
      <c r="Q132" s="443"/>
      <c r="R132" s="443"/>
      <c r="S132" s="443"/>
      <c r="T132" s="445"/>
      <c r="U132" s="416"/>
    </row>
    <row r="133" spans="1:25" ht="16.5" customHeight="1" thickBot="1" x14ac:dyDescent="0.25">
      <c r="A133" s="20"/>
      <c r="B133" s="4"/>
      <c r="C133" s="9"/>
      <c r="D133" s="9"/>
      <c r="E133" s="9"/>
      <c r="F133" s="9"/>
      <c r="G133" s="9"/>
      <c r="H133" s="9"/>
      <c r="I133" s="278"/>
      <c r="J133" s="280"/>
      <c r="K133" s="280"/>
      <c r="L133" s="281"/>
      <c r="M133" s="280"/>
      <c r="N133" s="280"/>
      <c r="O133" s="280"/>
      <c r="P133" s="281"/>
      <c r="Q133" s="446"/>
      <c r="R133" s="446"/>
      <c r="S133" s="446"/>
      <c r="T133" s="448"/>
      <c r="U133" s="416"/>
    </row>
    <row r="134" spans="1:25" ht="16.5" customHeight="1" thickBot="1" x14ac:dyDescent="0.25">
      <c r="A134" s="20"/>
      <c r="B134" s="4"/>
      <c r="C134" s="657" t="s">
        <v>863</v>
      </c>
      <c r="D134" s="657"/>
      <c r="E134" s="657"/>
      <c r="F134" s="657"/>
      <c r="G134" s="657"/>
      <c r="H134" s="9"/>
      <c r="I134" s="282"/>
      <c r="J134" s="622">
        <f>VLOOKUP($F$1,Part2,95,FALSE)</f>
        <v>-94976430.780000001</v>
      </c>
      <c r="K134" s="623"/>
      <c r="L134" s="262"/>
      <c r="M134" s="9"/>
      <c r="N134" s="622">
        <f>VLOOKUP($F$1,Part2,96,FALSE)</f>
        <v>-11087974</v>
      </c>
      <c r="O134" s="623"/>
      <c r="P134" s="262"/>
      <c r="Q134" s="342"/>
      <c r="R134" s="342"/>
      <c r="S134" s="342"/>
      <c r="T134" s="428"/>
      <c r="U134" s="416"/>
      <c r="Y134" s="68"/>
    </row>
    <row r="135" spans="1:25" ht="15.75" customHeight="1" x14ac:dyDescent="0.2">
      <c r="A135" s="20"/>
      <c r="B135" s="4"/>
      <c r="C135" s="657"/>
      <c r="D135" s="657"/>
      <c r="E135" s="657"/>
      <c r="F135" s="657"/>
      <c r="G135" s="657"/>
      <c r="H135" s="9"/>
      <c r="I135" s="282"/>
      <c r="J135" s="59"/>
      <c r="K135" s="48"/>
      <c r="L135" s="262"/>
      <c r="M135" s="9"/>
      <c r="N135" s="59"/>
      <c r="O135" s="48"/>
      <c r="P135" s="262"/>
      <c r="Q135" s="342"/>
      <c r="R135" s="342"/>
      <c r="S135" s="342"/>
      <c r="T135" s="428"/>
      <c r="U135" s="416"/>
    </row>
    <row r="136" spans="1:25" ht="15.75" customHeight="1" thickBot="1" x14ac:dyDescent="0.25">
      <c r="A136" s="20"/>
      <c r="B136" s="4"/>
      <c r="C136" s="356"/>
      <c r="D136" s="356"/>
      <c r="E136" s="356"/>
      <c r="F136" s="356"/>
      <c r="G136" s="356"/>
      <c r="H136" s="9"/>
      <c r="I136" s="282"/>
      <c r="J136" s="59"/>
      <c r="K136" s="48"/>
      <c r="L136" s="262"/>
      <c r="M136" s="9"/>
      <c r="N136" s="59"/>
      <c r="O136" s="48"/>
      <c r="P136" s="262"/>
      <c r="Q136" s="342"/>
      <c r="R136" s="342"/>
      <c r="S136" s="342"/>
      <c r="T136" s="428"/>
      <c r="U136" s="416"/>
    </row>
    <row r="137" spans="1:25" ht="16.5" thickBot="1" x14ac:dyDescent="0.25">
      <c r="A137" s="20"/>
      <c r="B137" s="4"/>
      <c r="C137" s="665" t="s">
        <v>729</v>
      </c>
      <c r="D137" s="665"/>
      <c r="E137" s="665"/>
      <c r="F137" s="665"/>
      <c r="G137" s="665"/>
      <c r="H137" s="9"/>
      <c r="I137" s="282"/>
      <c r="J137" s="622">
        <f>VLOOKUP($F$1,Part2,97,FALSE)</f>
        <v>-3702558</v>
      </c>
      <c r="K137" s="623"/>
      <c r="L137" s="262"/>
      <c r="M137" s="9"/>
      <c r="N137" s="622">
        <f>VLOOKUP($F$1,Part2,98,FALSE)</f>
        <v>-356482</v>
      </c>
      <c r="O137" s="623"/>
      <c r="P137" s="294"/>
      <c r="Q137" s="342"/>
      <c r="R137" s="342"/>
      <c r="S137" s="342"/>
      <c r="T137" s="428"/>
      <c r="U137" s="416"/>
    </row>
    <row r="138" spans="1:25" ht="16.5" customHeight="1" x14ac:dyDescent="0.2">
      <c r="A138" s="20"/>
      <c r="B138" s="4"/>
      <c r="C138" s="665"/>
      <c r="D138" s="665"/>
      <c r="E138" s="665"/>
      <c r="F138" s="665"/>
      <c r="G138" s="665"/>
      <c r="H138" s="9"/>
      <c r="I138" s="282"/>
      <c r="J138" s="59"/>
      <c r="K138" s="48"/>
      <c r="L138" s="262"/>
      <c r="M138" s="9"/>
      <c r="N138" s="59"/>
      <c r="O138" s="48"/>
      <c r="P138" s="262"/>
      <c r="Q138" s="342"/>
      <c r="R138" s="420"/>
      <c r="S138" s="342"/>
      <c r="T138" s="428"/>
      <c r="U138" s="416"/>
    </row>
    <row r="139" spans="1:25" ht="15.75" x14ac:dyDescent="0.2">
      <c r="A139" s="20"/>
      <c r="B139" s="4"/>
      <c r="C139" s="665"/>
      <c r="D139" s="665"/>
      <c r="E139" s="665"/>
      <c r="F139" s="665"/>
      <c r="G139" s="665"/>
      <c r="H139" s="9"/>
      <c r="I139" s="282"/>
      <c r="J139" s="59"/>
      <c r="K139" s="48"/>
      <c r="L139" s="262"/>
      <c r="M139" s="9"/>
      <c r="N139" s="59"/>
      <c r="O139" s="48"/>
      <c r="P139" s="262"/>
      <c r="Q139" s="342"/>
      <c r="R139" s="420"/>
      <c r="S139" s="342"/>
      <c r="T139" s="428"/>
      <c r="U139" s="416"/>
    </row>
    <row r="140" spans="1:25" ht="16.5" thickBot="1" x14ac:dyDescent="0.25">
      <c r="A140" s="20"/>
      <c r="B140" s="4"/>
      <c r="C140" s="356"/>
      <c r="D140" s="356"/>
      <c r="E140" s="356"/>
      <c r="F140" s="356"/>
      <c r="G140" s="356"/>
      <c r="H140" s="9"/>
      <c r="I140" s="282"/>
      <c r="J140" s="59"/>
      <c r="K140" s="48"/>
      <c r="L140" s="262"/>
      <c r="M140" s="9"/>
      <c r="N140" s="59"/>
      <c r="O140" s="48"/>
      <c r="P140" s="262"/>
      <c r="Q140" s="342"/>
      <c r="R140" s="420"/>
      <c r="S140" s="342"/>
      <c r="T140" s="428"/>
      <c r="U140" s="416"/>
    </row>
    <row r="141" spans="1:25" ht="16.5" thickBot="1" x14ac:dyDescent="0.25">
      <c r="A141" s="20"/>
      <c r="B141" s="4"/>
      <c r="C141" s="666" t="s">
        <v>864</v>
      </c>
      <c r="D141" s="667"/>
      <c r="E141" s="667"/>
      <c r="F141" s="667"/>
      <c r="G141" s="667"/>
      <c r="H141" s="9"/>
      <c r="I141" s="282"/>
      <c r="J141" s="622">
        <f>VLOOKUP($F$1,Part2,99,FALSE)</f>
        <v>-98678988.780000001</v>
      </c>
      <c r="K141" s="623"/>
      <c r="L141" s="262"/>
      <c r="M141" s="9"/>
      <c r="N141" s="622">
        <f>VLOOKUP($F$1,Part2,100,FALSE)</f>
        <v>-11444456</v>
      </c>
      <c r="O141" s="623"/>
      <c r="P141" s="262"/>
      <c r="Q141" s="342"/>
      <c r="R141" s="626">
        <f>VLOOKUP($F$1,Part2,101,FALSE)</f>
        <v>-110123444.78</v>
      </c>
      <c r="S141" s="627"/>
      <c r="T141" s="428"/>
      <c r="U141" s="416"/>
    </row>
    <row r="142" spans="1:25" ht="15.75" customHeight="1" x14ac:dyDescent="0.2">
      <c r="A142" s="20"/>
      <c r="B142" s="4"/>
      <c r="C142" s="667"/>
      <c r="D142" s="667"/>
      <c r="E142" s="667"/>
      <c r="F142" s="667"/>
      <c r="G142" s="667"/>
      <c r="H142" s="9"/>
      <c r="I142" s="282"/>
      <c r="J142" s="59"/>
      <c r="K142" s="48"/>
      <c r="L142" s="262"/>
      <c r="M142" s="9"/>
      <c r="N142" s="59"/>
      <c r="O142" s="48"/>
      <c r="P142" s="262"/>
      <c r="Q142" s="342"/>
      <c r="R142" s="420"/>
      <c r="S142" s="342"/>
      <c r="T142" s="428"/>
      <c r="U142" s="416"/>
    </row>
    <row r="143" spans="1:25" ht="15.75" customHeight="1" thickBot="1" x14ac:dyDescent="0.3">
      <c r="A143" s="20"/>
      <c r="B143" s="4"/>
      <c r="C143" s="10"/>
      <c r="D143" s="9"/>
      <c r="E143" s="9"/>
      <c r="F143" s="9"/>
      <c r="G143" s="9"/>
      <c r="H143" s="9"/>
      <c r="I143" s="283"/>
      <c r="J143" s="284"/>
      <c r="K143" s="285"/>
      <c r="L143" s="286"/>
      <c r="M143" s="284"/>
      <c r="N143" s="284"/>
      <c r="O143" s="284"/>
      <c r="P143" s="286"/>
      <c r="Q143" s="449"/>
      <c r="R143" s="450"/>
      <c r="S143" s="449"/>
      <c r="T143" s="430"/>
      <c r="U143" s="416"/>
    </row>
    <row r="144" spans="1:25" ht="15.75" thickBot="1" x14ac:dyDescent="0.25">
      <c r="A144" s="20"/>
      <c r="B144" s="6"/>
      <c r="C144" s="287"/>
      <c r="D144" s="287"/>
      <c r="E144" s="287"/>
      <c r="F144" s="287"/>
      <c r="G144" s="287"/>
      <c r="H144" s="287"/>
      <c r="I144" s="287"/>
      <c r="J144" s="289"/>
      <c r="K144" s="289"/>
      <c r="L144" s="289"/>
      <c r="M144" s="289"/>
      <c r="N144" s="289"/>
      <c r="O144" s="289"/>
      <c r="P144" s="289"/>
      <c r="Q144" s="451"/>
      <c r="R144" s="451"/>
      <c r="S144" s="451"/>
      <c r="T144" s="453"/>
      <c r="U144" s="416"/>
    </row>
    <row r="145" spans="1:25" ht="15.75" thickBot="1" x14ac:dyDescent="0.25">
      <c r="A145" s="21"/>
      <c r="B145" s="22"/>
      <c r="C145" s="171"/>
      <c r="D145" s="171"/>
      <c r="E145" s="171"/>
      <c r="F145" s="171"/>
      <c r="G145" s="171"/>
      <c r="H145" s="171"/>
      <c r="I145" s="171"/>
      <c r="J145" s="274"/>
      <c r="K145" s="274"/>
      <c r="L145" s="274"/>
      <c r="M145" s="274"/>
      <c r="N145" s="274"/>
      <c r="O145" s="274"/>
      <c r="P145" s="274"/>
      <c r="Q145" s="439"/>
      <c r="R145" s="439"/>
      <c r="S145" s="439"/>
      <c r="T145" s="441"/>
      <c r="U145" s="442"/>
      <c r="Y145" s="68"/>
    </row>
    <row r="146" spans="1:25" ht="15.75" x14ac:dyDescent="0.25">
      <c r="A146" s="255"/>
      <c r="B146" s="37"/>
      <c r="C146" s="683" t="s">
        <v>986</v>
      </c>
      <c r="D146" s="683"/>
      <c r="E146" s="683"/>
      <c r="F146" s="683"/>
      <c r="G146" s="683"/>
      <c r="H146" s="683"/>
      <c r="I146" s="683"/>
      <c r="J146" s="683"/>
      <c r="K146" s="683"/>
      <c r="L146" s="683"/>
      <c r="M146" s="77"/>
      <c r="N146" s="77"/>
      <c r="O146" s="77"/>
      <c r="P146" s="77"/>
      <c r="Q146" s="458"/>
      <c r="R146" s="458"/>
      <c r="S146" s="458"/>
      <c r="T146" s="459"/>
      <c r="U146" s="460"/>
    </row>
    <row r="147" spans="1:25" ht="15.75" x14ac:dyDescent="0.25">
      <c r="A147" s="20"/>
      <c r="B147" s="2"/>
      <c r="C147" s="671"/>
      <c r="D147" s="671"/>
      <c r="E147" s="671"/>
      <c r="F147" s="671"/>
      <c r="G147" s="671"/>
      <c r="H147" s="671"/>
      <c r="I147" s="671"/>
      <c r="J147" s="671"/>
      <c r="K147" s="671"/>
      <c r="L147" s="671"/>
      <c r="M147" s="361"/>
      <c r="N147" s="361"/>
      <c r="O147" s="361"/>
      <c r="P147" s="361"/>
      <c r="Q147" s="461"/>
      <c r="R147" s="461"/>
      <c r="S147" s="461"/>
      <c r="T147" s="332"/>
      <c r="U147" s="416"/>
    </row>
    <row r="148" spans="1:25" ht="16.5" thickBot="1" x14ac:dyDescent="0.3">
      <c r="A148" s="20"/>
      <c r="B148" s="2"/>
      <c r="C148" s="10" t="s">
        <v>497</v>
      </c>
      <c r="D148" s="9"/>
      <c r="E148" s="9"/>
      <c r="F148" s="9"/>
      <c r="G148" s="9"/>
      <c r="H148" s="9"/>
      <c r="I148" s="9"/>
      <c r="J148" s="48"/>
      <c r="K148" s="48"/>
      <c r="L148" s="48"/>
      <c r="M148" s="9"/>
      <c r="N148" s="48"/>
      <c r="O148" s="48"/>
      <c r="P148" s="48"/>
      <c r="Q148" s="342"/>
      <c r="R148" s="342"/>
      <c r="S148" s="342"/>
      <c r="T148" s="332"/>
      <c r="U148" s="416"/>
      <c r="Y148" s="68"/>
    </row>
    <row r="149" spans="1:25" ht="16.5" thickBot="1" x14ac:dyDescent="0.25">
      <c r="A149" s="20"/>
      <c r="B149" s="2"/>
      <c r="C149" s="9" t="s">
        <v>865</v>
      </c>
      <c r="D149" s="9"/>
      <c r="E149" s="9"/>
      <c r="F149" s="9"/>
      <c r="G149" s="9"/>
      <c r="H149" s="9"/>
      <c r="I149" s="9"/>
      <c r="J149" s="622">
        <f>VLOOKUP($F$1,Part2,102,FALSE)</f>
        <v>-7264536</v>
      </c>
      <c r="K149" s="623"/>
      <c r="L149" s="48"/>
      <c r="M149" s="9"/>
      <c r="N149" s="622">
        <f>VLOOKUP($F$1,Part2,103,FALSE)</f>
        <v>-404156</v>
      </c>
      <c r="O149" s="623"/>
      <c r="P149" s="48"/>
      <c r="Q149" s="342"/>
      <c r="R149" s="626">
        <f>VLOOKUP($F$1,Part2,104,FALSE)</f>
        <v>-7668692</v>
      </c>
      <c r="S149" s="627"/>
      <c r="T149" s="332"/>
      <c r="U149" s="416"/>
    </row>
    <row r="150" spans="1:25" ht="15.75" x14ac:dyDescent="0.25">
      <c r="A150" s="20"/>
      <c r="B150" s="2"/>
      <c r="C150" s="10"/>
      <c r="D150" s="9"/>
      <c r="E150" s="9"/>
      <c r="F150" s="9"/>
      <c r="G150" s="9"/>
      <c r="H150" s="9"/>
      <c r="I150" s="9"/>
      <c r="J150" s="48"/>
      <c r="K150" s="48"/>
      <c r="L150" s="48"/>
      <c r="M150" s="9"/>
      <c r="N150" s="48"/>
      <c r="O150" s="48"/>
      <c r="P150" s="48"/>
      <c r="Q150" s="342"/>
      <c r="R150" s="342"/>
      <c r="S150" s="342"/>
      <c r="T150" s="332"/>
      <c r="U150" s="416"/>
    </row>
    <row r="151" spans="1:25" ht="16.5" thickBot="1" x14ac:dyDescent="0.3">
      <c r="A151" s="20"/>
      <c r="B151" s="2"/>
      <c r="C151" s="10" t="s">
        <v>498</v>
      </c>
      <c r="D151" s="9"/>
      <c r="E151" s="9"/>
      <c r="F151" s="9"/>
      <c r="G151" s="9"/>
      <c r="H151" s="9"/>
      <c r="I151" s="9"/>
      <c r="J151" s="48"/>
      <c r="K151" s="48"/>
      <c r="L151" s="48"/>
      <c r="M151" s="9"/>
      <c r="N151" s="48"/>
      <c r="O151" s="48"/>
      <c r="P151" s="48"/>
      <c r="Q151" s="342"/>
      <c r="R151" s="342"/>
      <c r="S151" s="342"/>
      <c r="T151" s="332"/>
      <c r="U151" s="416"/>
      <c r="Y151" s="68"/>
    </row>
    <row r="152" spans="1:25" ht="16.5" thickBot="1" x14ac:dyDescent="0.25">
      <c r="A152" s="20"/>
      <c r="B152" s="2"/>
      <c r="C152" s="9" t="s">
        <v>866</v>
      </c>
      <c r="D152" s="9"/>
      <c r="E152" s="9"/>
      <c r="F152" s="9"/>
      <c r="G152" s="9"/>
      <c r="H152" s="9"/>
      <c r="I152" s="9"/>
      <c r="J152" s="622">
        <f>VLOOKUP($F$1,Part2,105,FALSE)</f>
        <v>-9909111.0099999998</v>
      </c>
      <c r="K152" s="623"/>
      <c r="L152" s="48"/>
      <c r="M152" s="9"/>
      <c r="N152" s="622">
        <f>VLOOKUP($F$1,Part2,106,FALSE)</f>
        <v>-73695</v>
      </c>
      <c r="O152" s="623"/>
      <c r="P152" s="48"/>
      <c r="Q152" s="342"/>
      <c r="R152" s="626">
        <f>VLOOKUP($F$1,Part2,107,FALSE)</f>
        <v>-9982806.0099999998</v>
      </c>
      <c r="S152" s="627"/>
      <c r="T152" s="332"/>
      <c r="U152" s="416"/>
    </row>
    <row r="153" spans="1:25" ht="15" x14ac:dyDescent="0.2">
      <c r="A153" s="20"/>
      <c r="B153" s="2"/>
      <c r="C153" s="9"/>
      <c r="D153" s="9"/>
      <c r="E153" s="9"/>
      <c r="F153" s="9"/>
      <c r="G153" s="9"/>
      <c r="H153" s="9"/>
      <c r="I153" s="9"/>
      <c r="J153" s="48"/>
      <c r="K153" s="48"/>
      <c r="L153" s="48"/>
      <c r="M153" s="9"/>
      <c r="N153" s="48"/>
      <c r="O153" s="48"/>
      <c r="P153" s="48"/>
      <c r="Q153" s="342"/>
      <c r="R153" s="342"/>
      <c r="S153" s="342"/>
      <c r="T153" s="332"/>
      <c r="U153" s="416"/>
    </row>
    <row r="154" spans="1:25" ht="16.5" thickBot="1" x14ac:dyDescent="0.3">
      <c r="A154" s="20"/>
      <c r="B154" s="2"/>
      <c r="C154" s="10" t="s">
        <v>832</v>
      </c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342"/>
      <c r="R154" s="342"/>
      <c r="S154" s="342"/>
      <c r="T154" s="332"/>
      <c r="U154" s="416"/>
    </row>
    <row r="155" spans="1:25" ht="16.5" customHeight="1" thickBot="1" x14ac:dyDescent="0.25">
      <c r="A155" s="20"/>
      <c r="B155" s="2"/>
      <c r="C155" s="665" t="s">
        <v>867</v>
      </c>
      <c r="D155" s="665"/>
      <c r="E155" s="665"/>
      <c r="F155" s="665"/>
      <c r="G155" s="665"/>
      <c r="H155" s="665"/>
      <c r="I155" s="9"/>
      <c r="J155" s="622">
        <f>VLOOKUP($F$1,Part2,108,FALSE)</f>
        <v>-7263091.9500000002</v>
      </c>
      <c r="K155" s="623"/>
      <c r="L155" s="48"/>
      <c r="M155" s="9"/>
      <c r="N155" s="622">
        <f>VLOOKUP($F$1,Part2,109,FALSE)</f>
        <v>0</v>
      </c>
      <c r="O155" s="623"/>
      <c r="P155" s="9"/>
      <c r="Q155" s="342"/>
      <c r="R155" s="626">
        <f>VLOOKUP($F$1,Part2,110,FALSE)</f>
        <v>-7263091.9500000002</v>
      </c>
      <c r="S155" s="627"/>
      <c r="T155" s="332"/>
      <c r="U155" s="416"/>
    </row>
    <row r="156" spans="1:25" ht="15.75" x14ac:dyDescent="0.2">
      <c r="A156" s="20"/>
      <c r="B156" s="2"/>
      <c r="C156" s="665"/>
      <c r="D156" s="665"/>
      <c r="E156" s="665"/>
      <c r="F156" s="665"/>
      <c r="G156" s="665"/>
      <c r="H156" s="665"/>
      <c r="I156" s="9"/>
      <c r="J156" s="9"/>
      <c r="K156" s="9"/>
      <c r="L156" s="9"/>
      <c r="M156" s="9"/>
      <c r="N156" s="9"/>
      <c r="O156" s="9"/>
      <c r="P156" s="9"/>
      <c r="Q156" s="342"/>
      <c r="R156" s="420"/>
      <c r="S156" s="342"/>
      <c r="T156" s="332"/>
      <c r="U156" s="416"/>
    </row>
    <row r="157" spans="1:25" ht="15.75" thickBot="1" x14ac:dyDescent="0.25">
      <c r="A157" s="20"/>
      <c r="B157" s="2"/>
      <c r="C157" s="9"/>
      <c r="D157" s="9"/>
      <c r="E157" s="9"/>
      <c r="F157" s="9"/>
      <c r="G157" s="9"/>
      <c r="H157" s="9"/>
      <c r="I157" s="9"/>
      <c r="J157" s="48"/>
      <c r="K157" s="48"/>
      <c r="L157" s="48"/>
      <c r="M157" s="48"/>
      <c r="N157" s="48"/>
      <c r="O157" s="48"/>
      <c r="P157" s="48"/>
      <c r="Q157" s="342"/>
      <c r="R157" s="342"/>
      <c r="S157" s="342"/>
      <c r="T157" s="332"/>
      <c r="U157" s="416"/>
    </row>
    <row r="158" spans="1:25" ht="16.5" thickBot="1" x14ac:dyDescent="0.25">
      <c r="A158" s="20"/>
      <c r="B158" s="3"/>
      <c r="C158" s="275"/>
      <c r="D158" s="275"/>
      <c r="E158" s="275"/>
      <c r="F158" s="275"/>
      <c r="G158" s="275"/>
      <c r="H158" s="275"/>
      <c r="I158" s="275"/>
      <c r="J158" s="276"/>
      <c r="K158" s="277"/>
      <c r="L158" s="277"/>
      <c r="M158" s="277"/>
      <c r="N158" s="277"/>
      <c r="O158" s="277"/>
      <c r="P158" s="277"/>
      <c r="Q158" s="443"/>
      <c r="R158" s="444"/>
      <c r="S158" s="443"/>
      <c r="T158" s="445"/>
      <c r="U158" s="416"/>
    </row>
    <row r="159" spans="1:25" ht="16.5" customHeight="1" thickBot="1" x14ac:dyDescent="0.25">
      <c r="A159" s="20"/>
      <c r="B159" s="4"/>
      <c r="C159" s="657" t="s">
        <v>868</v>
      </c>
      <c r="D159" s="657"/>
      <c r="E159" s="657"/>
      <c r="F159" s="657"/>
      <c r="G159" s="657"/>
      <c r="H159" s="9"/>
      <c r="I159" s="9"/>
      <c r="J159" s="622">
        <f>VLOOKUP($F$1,Part2,111,FALSE)</f>
        <v>-24436738.960000001</v>
      </c>
      <c r="K159" s="623"/>
      <c r="L159" s="48"/>
      <c r="M159" s="9"/>
      <c r="N159" s="622">
        <f>VLOOKUP($F$1,Part2,112,FALSE)</f>
        <v>-477851</v>
      </c>
      <c r="O159" s="623"/>
      <c r="P159" s="48"/>
      <c r="Q159" s="342"/>
      <c r="R159" s="342"/>
      <c r="S159" s="342"/>
      <c r="T159" s="454"/>
      <c r="U159" s="416"/>
      <c r="Y159" s="68"/>
    </row>
    <row r="160" spans="1:25" ht="15.75" x14ac:dyDescent="0.2">
      <c r="A160" s="20"/>
      <c r="B160" s="4"/>
      <c r="C160" s="657"/>
      <c r="D160" s="657"/>
      <c r="E160" s="657"/>
      <c r="F160" s="657"/>
      <c r="G160" s="657"/>
      <c r="H160" s="9"/>
      <c r="I160" s="9"/>
      <c r="J160" s="59"/>
      <c r="K160" s="48"/>
      <c r="L160" s="48"/>
      <c r="M160" s="9"/>
      <c r="N160" s="59"/>
      <c r="O160" s="48"/>
      <c r="P160" s="48"/>
      <c r="Q160" s="342"/>
      <c r="R160" s="342"/>
      <c r="S160" s="342"/>
      <c r="T160" s="454"/>
      <c r="U160" s="416"/>
    </row>
    <row r="161" spans="1:21" ht="15.75" x14ac:dyDescent="0.2">
      <c r="A161" s="20"/>
      <c r="B161" s="4"/>
      <c r="C161" s="667"/>
      <c r="D161" s="667"/>
      <c r="E161" s="667"/>
      <c r="F161" s="667"/>
      <c r="G161" s="667"/>
      <c r="H161" s="9"/>
      <c r="I161" s="9"/>
      <c r="J161" s="59"/>
      <c r="K161" s="48"/>
      <c r="L161" s="48"/>
      <c r="M161" s="9"/>
      <c r="N161" s="59"/>
      <c r="O161" s="48"/>
      <c r="P161" s="48"/>
      <c r="Q161" s="342"/>
      <c r="R161" s="342"/>
      <c r="S161" s="342"/>
      <c r="T161" s="454"/>
      <c r="U161" s="416"/>
    </row>
    <row r="162" spans="1:21" ht="16.5" thickBot="1" x14ac:dyDescent="0.25">
      <c r="A162" s="20"/>
      <c r="B162" s="4"/>
      <c r="C162" s="356"/>
      <c r="D162" s="356"/>
      <c r="E162" s="356"/>
      <c r="F162" s="356"/>
      <c r="G162" s="356"/>
      <c r="H162" s="9"/>
      <c r="I162" s="9"/>
      <c r="J162" s="59"/>
      <c r="K162" s="48"/>
      <c r="L162" s="48"/>
      <c r="M162" s="9"/>
      <c r="N162" s="59"/>
      <c r="O162" s="48"/>
      <c r="P162" s="48"/>
      <c r="Q162" s="342"/>
      <c r="R162" s="342"/>
      <c r="S162" s="342"/>
      <c r="T162" s="454"/>
      <c r="U162" s="416"/>
    </row>
    <row r="163" spans="1:21" ht="16.5" customHeight="1" thickBot="1" x14ac:dyDescent="0.25">
      <c r="A163" s="20"/>
      <c r="B163" s="4"/>
      <c r="C163" s="665" t="s">
        <v>735</v>
      </c>
      <c r="D163" s="665"/>
      <c r="E163" s="665"/>
      <c r="F163" s="665"/>
      <c r="G163" s="665"/>
      <c r="H163" s="9"/>
      <c r="I163" s="9"/>
      <c r="J163" s="622">
        <f>VLOOKUP($F$1,Part2,113,FALSE)</f>
        <v>-1654313</v>
      </c>
      <c r="K163" s="623"/>
      <c r="L163" s="48"/>
      <c r="M163" s="9"/>
      <c r="N163" s="622">
        <f>VLOOKUP($F$1,Part2,114,FALSE)</f>
        <v>-7500</v>
      </c>
      <c r="O163" s="623"/>
      <c r="P163" s="48"/>
      <c r="Q163" s="342"/>
      <c r="R163" s="342"/>
      <c r="S163" s="342"/>
      <c r="T163" s="454"/>
      <c r="U163" s="416"/>
    </row>
    <row r="164" spans="1:21" ht="15.75" x14ac:dyDescent="0.2">
      <c r="A164" s="20"/>
      <c r="B164" s="4"/>
      <c r="C164" s="665"/>
      <c r="D164" s="665"/>
      <c r="E164" s="665"/>
      <c r="F164" s="665"/>
      <c r="G164" s="665"/>
      <c r="H164" s="9"/>
      <c r="I164" s="9"/>
      <c r="J164" s="59"/>
      <c r="K164" s="48"/>
      <c r="L164" s="48"/>
      <c r="M164" s="9"/>
      <c r="N164" s="59"/>
      <c r="O164" s="48"/>
      <c r="P164" s="48"/>
      <c r="Q164" s="342"/>
      <c r="R164" s="420"/>
      <c r="S164" s="342"/>
      <c r="T164" s="454"/>
      <c r="U164" s="416"/>
    </row>
    <row r="165" spans="1:21" ht="15.75" x14ac:dyDescent="0.2">
      <c r="A165" s="20"/>
      <c r="B165" s="4"/>
      <c r="C165" s="665"/>
      <c r="D165" s="665"/>
      <c r="E165" s="665"/>
      <c r="F165" s="665"/>
      <c r="G165" s="665"/>
      <c r="H165" s="9"/>
      <c r="I165" s="9"/>
      <c r="J165" s="59"/>
      <c r="K165" s="48"/>
      <c r="L165" s="48"/>
      <c r="M165" s="9"/>
      <c r="N165" s="59"/>
      <c r="O165" s="48"/>
      <c r="P165" s="48"/>
      <c r="Q165" s="342"/>
      <c r="R165" s="420"/>
      <c r="S165" s="342"/>
      <c r="T165" s="454"/>
      <c r="U165" s="416"/>
    </row>
    <row r="166" spans="1:21" ht="16.5" thickBot="1" x14ac:dyDescent="0.25">
      <c r="A166" s="20"/>
      <c r="B166" s="4"/>
      <c r="C166" s="356"/>
      <c r="D166" s="356"/>
      <c r="E166" s="356"/>
      <c r="F166" s="356"/>
      <c r="G166" s="356"/>
      <c r="H166" s="9"/>
      <c r="I166" s="9"/>
      <c r="J166" s="59"/>
      <c r="K166" s="48"/>
      <c r="L166" s="48"/>
      <c r="M166" s="9"/>
      <c r="N166" s="59"/>
      <c r="O166" s="48"/>
      <c r="P166" s="48"/>
      <c r="Q166" s="342"/>
      <c r="R166" s="420"/>
      <c r="S166" s="342"/>
      <c r="T166" s="454"/>
      <c r="U166" s="416"/>
    </row>
    <row r="167" spans="1:21" ht="16.5" thickBot="1" x14ac:dyDescent="0.25">
      <c r="A167" s="20"/>
      <c r="B167" s="4"/>
      <c r="C167" s="668" t="s">
        <v>869</v>
      </c>
      <c r="D167" s="668"/>
      <c r="E167" s="668"/>
      <c r="F167" s="668"/>
      <c r="G167" s="668"/>
      <c r="H167" s="9"/>
      <c r="I167" s="9"/>
      <c r="J167" s="622">
        <f>VLOOKUP($F$1,Part2,115,FALSE)</f>
        <v>-26091051.960000001</v>
      </c>
      <c r="K167" s="623"/>
      <c r="L167" s="48"/>
      <c r="M167" s="9"/>
      <c r="N167" s="622">
        <f>VLOOKUP($F$1,Part2,116,FALSE)</f>
        <v>-485351</v>
      </c>
      <c r="O167" s="623"/>
      <c r="P167" s="48"/>
      <c r="Q167" s="342"/>
      <c r="R167" s="626">
        <f>VLOOKUP($F$1,Part2,117,FALSE)</f>
        <v>-26576402.960000001</v>
      </c>
      <c r="S167" s="627"/>
      <c r="T167" s="454"/>
      <c r="U167" s="416"/>
    </row>
    <row r="168" spans="1:21" ht="15" x14ac:dyDescent="0.2">
      <c r="A168" s="20"/>
      <c r="B168" s="4"/>
      <c r="C168" s="669"/>
      <c r="D168" s="669"/>
      <c r="E168" s="669"/>
      <c r="F168" s="669"/>
      <c r="G168" s="669"/>
      <c r="H168" s="9"/>
      <c r="I168" s="9"/>
      <c r="J168" s="9"/>
      <c r="K168" s="9"/>
      <c r="L168" s="9"/>
      <c r="M168" s="9"/>
      <c r="N168" s="9"/>
      <c r="O168" s="9"/>
      <c r="P168" s="48"/>
      <c r="Q168" s="333"/>
      <c r="R168" s="333"/>
      <c r="S168" s="333"/>
      <c r="T168" s="454"/>
      <c r="U168" s="416"/>
    </row>
    <row r="169" spans="1:21" ht="15" x14ac:dyDescent="0.2">
      <c r="A169" s="20"/>
      <c r="B169" s="4"/>
      <c r="C169" s="670"/>
      <c r="D169" s="670"/>
      <c r="E169" s="670"/>
      <c r="F169" s="670"/>
      <c r="G169" s="670"/>
      <c r="H169" s="9"/>
      <c r="I169" s="9"/>
      <c r="J169" s="9"/>
      <c r="K169" s="9"/>
      <c r="L169" s="9"/>
      <c r="M169" s="9"/>
      <c r="N169" s="9"/>
      <c r="O169" s="9"/>
      <c r="P169" s="48"/>
      <c r="Q169" s="333"/>
      <c r="R169" s="333"/>
      <c r="S169" s="333"/>
      <c r="T169" s="454"/>
      <c r="U169" s="416"/>
    </row>
    <row r="170" spans="1:21" ht="16.5" thickBot="1" x14ac:dyDescent="0.25">
      <c r="A170" s="20"/>
      <c r="B170" s="6"/>
      <c r="C170" s="287"/>
      <c r="D170" s="287"/>
      <c r="E170" s="287"/>
      <c r="F170" s="287"/>
      <c r="G170" s="287"/>
      <c r="H170" s="287"/>
      <c r="I170" s="287"/>
      <c r="J170" s="288"/>
      <c r="K170" s="289"/>
      <c r="L170" s="289"/>
      <c r="M170" s="289"/>
      <c r="N170" s="288"/>
      <c r="O170" s="288"/>
      <c r="P170" s="288"/>
      <c r="Q170" s="451"/>
      <c r="R170" s="452"/>
      <c r="S170" s="451"/>
      <c r="T170" s="453"/>
      <c r="U170" s="416"/>
    </row>
    <row r="171" spans="1:21" ht="16.5" customHeight="1" thickBot="1" x14ac:dyDescent="0.25">
      <c r="A171" s="20"/>
      <c r="B171" s="2"/>
      <c r="C171" s="9"/>
      <c r="D171" s="9"/>
      <c r="E171" s="9"/>
      <c r="F171" s="9"/>
      <c r="G171" s="9"/>
      <c r="H171" s="9"/>
      <c r="I171" s="9"/>
      <c r="J171" s="48"/>
      <c r="K171" s="48"/>
      <c r="L171" s="48"/>
      <c r="M171" s="48"/>
      <c r="N171" s="48"/>
      <c r="O171" s="48"/>
      <c r="P171" s="48"/>
      <c r="Q171" s="342"/>
      <c r="R171" s="342"/>
      <c r="S171" s="342"/>
      <c r="T171" s="332"/>
      <c r="U171" s="416"/>
    </row>
    <row r="172" spans="1:21" ht="15.75" customHeight="1" x14ac:dyDescent="0.2">
      <c r="A172" s="20"/>
      <c r="B172" s="466"/>
      <c r="C172" s="467"/>
      <c r="D172" s="467"/>
      <c r="E172" s="467"/>
      <c r="F172" s="467"/>
      <c r="G172" s="467"/>
      <c r="H172" s="467"/>
      <c r="I172" s="467"/>
      <c r="J172" s="462"/>
      <c r="K172" s="462"/>
      <c r="L172" s="462"/>
      <c r="M172" s="462"/>
      <c r="N172" s="462"/>
      <c r="O172" s="462"/>
      <c r="P172" s="462"/>
      <c r="Q172" s="462"/>
      <c r="R172" s="462"/>
      <c r="S172" s="462"/>
      <c r="T172" s="433"/>
      <c r="U172" s="416"/>
    </row>
    <row r="173" spans="1:21" ht="15.75" x14ac:dyDescent="0.25">
      <c r="A173" s="20"/>
      <c r="B173" s="468"/>
      <c r="C173" s="469" t="s">
        <v>572</v>
      </c>
      <c r="D173" s="333"/>
      <c r="E173" s="333"/>
      <c r="F173" s="333"/>
      <c r="G173" s="333"/>
      <c r="H173" s="333"/>
      <c r="I173" s="333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434"/>
      <c r="U173" s="416"/>
    </row>
    <row r="174" spans="1:21" ht="16.5" thickBot="1" x14ac:dyDescent="0.25">
      <c r="A174" s="20"/>
      <c r="B174" s="468"/>
      <c r="C174" s="333"/>
      <c r="D174" s="333"/>
      <c r="E174" s="333"/>
      <c r="F174" s="333"/>
      <c r="G174" s="333"/>
      <c r="H174" s="333"/>
      <c r="I174" s="333"/>
      <c r="J174" s="660" t="s">
        <v>555</v>
      </c>
      <c r="K174" s="660"/>
      <c r="L174" s="342"/>
      <c r="M174" s="342"/>
      <c r="N174" s="660" t="s">
        <v>555</v>
      </c>
      <c r="O174" s="660"/>
      <c r="P174" s="342"/>
      <c r="Q174" s="342"/>
      <c r="R174" s="660" t="s">
        <v>555</v>
      </c>
      <c r="S174" s="660"/>
      <c r="T174" s="434"/>
      <c r="U174" s="416"/>
    </row>
    <row r="175" spans="1:21" ht="16.5" thickBot="1" x14ac:dyDescent="0.25">
      <c r="A175" s="20"/>
      <c r="B175" s="468"/>
      <c r="C175" s="661" t="s">
        <v>736</v>
      </c>
      <c r="D175" s="661"/>
      <c r="E175" s="661"/>
      <c r="F175" s="661"/>
      <c r="G175" s="661"/>
      <c r="H175" s="662"/>
      <c r="I175" s="333"/>
      <c r="J175" s="626">
        <f>VLOOKUP($F$1,Part2,118,FALSE)</f>
        <v>24412029489.180698</v>
      </c>
      <c r="K175" s="627"/>
      <c r="L175" s="342"/>
      <c r="M175" s="342"/>
      <c r="N175" s="626">
        <f>VLOOKUP($F$1,Part2,119,FALSE)</f>
        <v>162974438.13</v>
      </c>
      <c r="O175" s="627"/>
      <c r="P175" s="342"/>
      <c r="Q175" s="342"/>
      <c r="R175" s="626">
        <f>VLOOKUP($F$1,Part2,120,FALSE)</f>
        <v>24575003927.310703</v>
      </c>
      <c r="S175" s="627"/>
      <c r="T175" s="434"/>
      <c r="U175" s="416"/>
    </row>
    <row r="176" spans="1:21" ht="15.75" x14ac:dyDescent="0.2">
      <c r="A176" s="20"/>
      <c r="B176" s="468"/>
      <c r="C176" s="661"/>
      <c r="D176" s="661"/>
      <c r="E176" s="661"/>
      <c r="F176" s="661"/>
      <c r="G176" s="661"/>
      <c r="H176" s="662"/>
      <c r="I176" s="333"/>
      <c r="J176" s="420"/>
      <c r="K176" s="342"/>
      <c r="L176" s="342"/>
      <c r="M176" s="342"/>
      <c r="N176" s="342"/>
      <c r="O176" s="342"/>
      <c r="P176" s="342"/>
      <c r="Q176" s="342"/>
      <c r="R176" s="420"/>
      <c r="S176" s="342"/>
      <c r="T176" s="434"/>
      <c r="U176" s="416"/>
    </row>
    <row r="177" spans="1:150" ht="15.75" x14ac:dyDescent="0.25">
      <c r="A177" s="20"/>
      <c r="B177" s="468"/>
      <c r="C177" s="662"/>
      <c r="D177" s="662"/>
      <c r="E177" s="662"/>
      <c r="F177" s="662"/>
      <c r="G177" s="662"/>
      <c r="H177" s="662"/>
      <c r="I177" s="333"/>
      <c r="J177" s="663"/>
      <c r="K177" s="664"/>
      <c r="L177" s="464"/>
      <c r="M177" s="464"/>
      <c r="N177" s="463"/>
      <c r="O177" s="464"/>
      <c r="P177" s="464"/>
      <c r="Q177" s="333"/>
      <c r="R177" s="463"/>
      <c r="S177" s="464"/>
      <c r="T177" s="434"/>
      <c r="U177" s="416"/>
    </row>
    <row r="178" spans="1:150" ht="15.75" thickBot="1" x14ac:dyDescent="0.25">
      <c r="A178" s="20"/>
      <c r="B178" s="470"/>
      <c r="C178" s="471"/>
      <c r="D178" s="471"/>
      <c r="E178" s="471"/>
      <c r="F178" s="471"/>
      <c r="G178" s="471"/>
      <c r="H178" s="471"/>
      <c r="I178" s="465"/>
      <c r="J178" s="465"/>
      <c r="K178" s="465"/>
      <c r="L178" s="465"/>
      <c r="M178" s="465"/>
      <c r="N178" s="465"/>
      <c r="O178" s="465"/>
      <c r="P178" s="465"/>
      <c r="Q178" s="465"/>
      <c r="R178" s="465"/>
      <c r="S178" s="465"/>
      <c r="T178" s="437"/>
      <c r="U178" s="416"/>
    </row>
    <row r="179" spans="1:150" ht="13.5" thickBot="1" x14ac:dyDescent="0.25">
      <c r="A179" s="21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40"/>
    </row>
    <row r="182" spans="1:150" x14ac:dyDescent="0.2">
      <c r="C182" s="606"/>
      <c r="D182" s="606"/>
      <c r="E182" s="606"/>
      <c r="F182" s="472"/>
      <c r="G182" s="472"/>
      <c r="K182" s="63"/>
    </row>
    <row r="183" spans="1:150" x14ac:dyDescent="0.2">
      <c r="C183" s="606"/>
      <c r="D183" s="606"/>
      <c r="E183" s="606"/>
    </row>
    <row r="184" spans="1:150" s="480" customFormat="1" ht="15" x14ac:dyDescent="0.25">
      <c r="A184" s="479"/>
      <c r="C184" s="606"/>
      <c r="D184" s="588" t="str">
        <f>VLOOKUP($F$1,Part2,122,FALSE)</f>
        <v>Yes</v>
      </c>
      <c r="E184" s="606"/>
      <c r="K184" s="481"/>
    </row>
    <row r="185" spans="1:150" x14ac:dyDescent="0.2">
      <c r="C185" s="606"/>
      <c r="D185" s="606"/>
      <c r="E185" s="606"/>
    </row>
    <row r="186" spans="1:150" x14ac:dyDescent="0.2">
      <c r="C186" s="606"/>
      <c r="D186" s="606"/>
      <c r="E186" s="606"/>
    </row>
    <row r="187" spans="1:150" x14ac:dyDescent="0.2">
      <c r="C187" s="606"/>
      <c r="D187" s="606"/>
      <c r="E187" s="606"/>
    </row>
    <row r="190" spans="1:150" s="8" customFormat="1" ht="15.75" x14ac:dyDescent="0.2">
      <c r="L190" s="54"/>
      <c r="M190" s="54"/>
      <c r="N190" s="610"/>
      <c r="O190" s="611"/>
      <c r="P190" s="54"/>
      <c r="Q190" s="610"/>
      <c r="R190" s="611"/>
      <c r="S190" s="54"/>
      <c r="T190" s="610"/>
      <c r="U190" s="611"/>
      <c r="V190" s="54"/>
      <c r="W190" s="54"/>
      <c r="AA190" s="235"/>
      <c r="AB190" s="235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  <c r="AS190" s="236"/>
      <c r="AT190" s="236"/>
      <c r="AU190" s="236"/>
      <c r="AV190" s="236"/>
      <c r="AW190" s="236"/>
      <c r="AX190" s="236"/>
      <c r="AY190" s="236"/>
      <c r="AZ190" s="236"/>
      <c r="BA190" s="236"/>
      <c r="BB190" s="236"/>
      <c r="BC190" s="236"/>
      <c r="BD190" s="236"/>
      <c r="BE190" s="236"/>
      <c r="BF190" s="236"/>
      <c r="BG190" s="236"/>
      <c r="BH190" s="236"/>
      <c r="BI190" s="236"/>
      <c r="BJ190" s="236"/>
      <c r="BK190" s="236"/>
      <c r="BL190" s="236"/>
      <c r="BM190" s="236"/>
      <c r="BN190" s="236"/>
      <c r="BO190" s="236"/>
      <c r="BP190" s="236"/>
      <c r="BQ190" s="236"/>
      <c r="BR190" s="236"/>
      <c r="BS190" s="236"/>
      <c r="BT190" s="236"/>
      <c r="BU190" s="236"/>
      <c r="BV190" s="236"/>
      <c r="BW190" s="236"/>
      <c r="BX190" s="236"/>
      <c r="BY190" s="236"/>
      <c r="BZ190" s="236"/>
      <c r="CA190" s="236"/>
      <c r="CB190" s="236"/>
      <c r="CC190" s="236"/>
      <c r="CD190" s="236"/>
      <c r="CE190" s="236"/>
      <c r="CF190" s="236"/>
      <c r="CG190" s="236"/>
      <c r="CH190" s="236"/>
      <c r="CI190" s="236"/>
      <c r="CJ190" s="236"/>
      <c r="CK190" s="236"/>
      <c r="CL190" s="236"/>
      <c r="CM190" s="236"/>
      <c r="CN190" s="236"/>
      <c r="CO190" s="236"/>
      <c r="CP190" s="236"/>
      <c r="CQ190" s="236"/>
      <c r="CR190" s="236"/>
      <c r="CS190" s="236"/>
      <c r="CT190" s="236"/>
      <c r="CU190" s="236"/>
      <c r="CV190" s="236"/>
      <c r="CW190" s="236"/>
      <c r="CX190" s="236"/>
      <c r="CY190" s="236"/>
      <c r="CZ190" s="236"/>
      <c r="DA190" s="236"/>
      <c r="DB190" s="236"/>
      <c r="DC190" s="236"/>
      <c r="DD190" s="236"/>
      <c r="DE190" s="236"/>
      <c r="DF190" s="236"/>
      <c r="DG190" s="236"/>
      <c r="DH190" s="236"/>
      <c r="DI190" s="236"/>
      <c r="DJ190" s="236"/>
      <c r="DK190" s="236"/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36"/>
      <c r="DW190" s="236"/>
      <c r="DX190" s="236"/>
      <c r="DY190" s="236"/>
      <c r="DZ190" s="236"/>
      <c r="EA190" s="236"/>
      <c r="EB190" s="236"/>
      <c r="EC190" s="236"/>
      <c r="ED190" s="236"/>
      <c r="EE190" s="236"/>
      <c r="EF190" s="236"/>
      <c r="EG190" s="236"/>
      <c r="EH190" s="236"/>
      <c r="EI190" s="236"/>
      <c r="EJ190" s="236"/>
      <c r="EK190" s="236"/>
      <c r="EL190" s="236"/>
      <c r="EM190" s="236"/>
      <c r="EN190" s="236"/>
      <c r="EO190" s="236"/>
      <c r="EP190" s="236"/>
      <c r="EQ190" s="236"/>
      <c r="ER190" s="236"/>
      <c r="ES190" s="236"/>
      <c r="ET190" s="236"/>
    </row>
    <row r="191" spans="1:150" s="60" customFormat="1" x14ac:dyDescent="0.2">
      <c r="A191" s="473"/>
    </row>
  </sheetData>
  <dataConsolidate/>
  <mergeCells count="166">
    <mergeCell ref="A2:U2"/>
    <mergeCell ref="A3:U3"/>
    <mergeCell ref="J52:K52"/>
    <mergeCell ref="N35:O35"/>
    <mergeCell ref="N52:O52"/>
    <mergeCell ref="R52:S52"/>
    <mergeCell ref="Y9:AA10"/>
    <mergeCell ref="Z31:AF32"/>
    <mergeCell ref="R13:S13"/>
    <mergeCell ref="N13:O13"/>
    <mergeCell ref="J24:K24"/>
    <mergeCell ref="N24:O24"/>
    <mergeCell ref="C5:H5"/>
    <mergeCell ref="J13:K13"/>
    <mergeCell ref="N31:O31"/>
    <mergeCell ref="R31:S31"/>
    <mergeCell ref="C37:G39"/>
    <mergeCell ref="J37:K37"/>
    <mergeCell ref="N37:O37"/>
    <mergeCell ref="J41:K41"/>
    <mergeCell ref="N41:O41"/>
    <mergeCell ref="R41:S41"/>
    <mergeCell ref="J46:K46"/>
    <mergeCell ref="N46:O46"/>
    <mergeCell ref="R89:S89"/>
    <mergeCell ref="N124:O124"/>
    <mergeCell ref="J134:K134"/>
    <mergeCell ref="C159:G161"/>
    <mergeCell ref="N155:O155"/>
    <mergeCell ref="N134:O134"/>
    <mergeCell ref="R141:S141"/>
    <mergeCell ref="C146:L147"/>
    <mergeCell ref="J149:K149"/>
    <mergeCell ref="N149:O149"/>
    <mergeCell ref="R149:S149"/>
    <mergeCell ref="J152:K152"/>
    <mergeCell ref="N152:O152"/>
    <mergeCell ref="R152:S152"/>
    <mergeCell ref="C155:H156"/>
    <mergeCell ref="N159:O159"/>
    <mergeCell ref="J155:K155"/>
    <mergeCell ref="J159:K159"/>
    <mergeCell ref="J124:K124"/>
    <mergeCell ref="R124:S124"/>
    <mergeCell ref="N127:O127"/>
    <mergeCell ref="J128:K128"/>
    <mergeCell ref="C134:G135"/>
    <mergeCell ref="C137:G139"/>
    <mergeCell ref="C8:H8"/>
    <mergeCell ref="R8:S8"/>
    <mergeCell ref="J8:K8"/>
    <mergeCell ref="N8:O8"/>
    <mergeCell ref="R12:S12"/>
    <mergeCell ref="J12:K12"/>
    <mergeCell ref="C9:H9"/>
    <mergeCell ref="J9:K9"/>
    <mergeCell ref="N9:O9"/>
    <mergeCell ref="R9:S9"/>
    <mergeCell ref="C10:D10"/>
    <mergeCell ref="J10:K11"/>
    <mergeCell ref="N10:O11"/>
    <mergeCell ref="R10:S11"/>
    <mergeCell ref="N12:O12"/>
    <mergeCell ref="R92:S92"/>
    <mergeCell ref="R103:S103"/>
    <mergeCell ref="J109:K109"/>
    <mergeCell ref="N109:O109"/>
    <mergeCell ref="R109:S109"/>
    <mergeCell ref="C12:H13"/>
    <mergeCell ref="F14:G14"/>
    <mergeCell ref="J14:K14"/>
    <mergeCell ref="N14:O14"/>
    <mergeCell ref="R14:S14"/>
    <mergeCell ref="C16:F17"/>
    <mergeCell ref="J19:K19"/>
    <mergeCell ref="N19:O19"/>
    <mergeCell ref="J21:K21"/>
    <mergeCell ref="N21:O21"/>
    <mergeCell ref="R24:S24"/>
    <mergeCell ref="C28:G29"/>
    <mergeCell ref="J28:K28"/>
    <mergeCell ref="N28:O28"/>
    <mergeCell ref="R28:S28"/>
    <mergeCell ref="C31:G33"/>
    <mergeCell ref="J31:K31"/>
    <mergeCell ref="J35:K35"/>
    <mergeCell ref="R81:S81"/>
    <mergeCell ref="R46:S46"/>
    <mergeCell ref="C54:G55"/>
    <mergeCell ref="J54:K54"/>
    <mergeCell ref="N54:O54"/>
    <mergeCell ref="R54:S54"/>
    <mergeCell ref="C57:G58"/>
    <mergeCell ref="J57:K57"/>
    <mergeCell ref="N57:O57"/>
    <mergeCell ref="R57:S57"/>
    <mergeCell ref="J60:K60"/>
    <mergeCell ref="N60:O60"/>
    <mergeCell ref="R60:S60"/>
    <mergeCell ref="J63:K63"/>
    <mergeCell ref="N63:O63"/>
    <mergeCell ref="R63:S63"/>
    <mergeCell ref="J66:K66"/>
    <mergeCell ref="N66:O66"/>
    <mergeCell ref="R66:S66"/>
    <mergeCell ref="J69:K69"/>
    <mergeCell ref="N69:O69"/>
    <mergeCell ref="R69:S69"/>
    <mergeCell ref="C74:G75"/>
    <mergeCell ref="J74:K74"/>
    <mergeCell ref="N74:O74"/>
    <mergeCell ref="C77:G79"/>
    <mergeCell ref="J77:K77"/>
    <mergeCell ref="N77:O77"/>
    <mergeCell ref="C81:G82"/>
    <mergeCell ref="J81:K81"/>
    <mergeCell ref="N81:O81"/>
    <mergeCell ref="C96:G97"/>
    <mergeCell ref="J96:K96"/>
    <mergeCell ref="N96:O96"/>
    <mergeCell ref="C99:G101"/>
    <mergeCell ref="J99:K99"/>
    <mergeCell ref="N99:O99"/>
    <mergeCell ref="J92:K92"/>
    <mergeCell ref="N92:O92"/>
    <mergeCell ref="J89:K89"/>
    <mergeCell ref="N89:O89"/>
    <mergeCell ref="C103:G104"/>
    <mergeCell ref="J103:K103"/>
    <mergeCell ref="N103:O103"/>
    <mergeCell ref="N115:O115"/>
    <mergeCell ref="R115:S115"/>
    <mergeCell ref="J118:K118"/>
    <mergeCell ref="N118:O118"/>
    <mergeCell ref="R118:S118"/>
    <mergeCell ref="J121:K121"/>
    <mergeCell ref="N121:O121"/>
    <mergeCell ref="R121:S121"/>
    <mergeCell ref="J112:K112"/>
    <mergeCell ref="N112:O112"/>
    <mergeCell ref="R112:S112"/>
    <mergeCell ref="J115:K115"/>
    <mergeCell ref="C163:G165"/>
    <mergeCell ref="N163:O163"/>
    <mergeCell ref="J163:K163"/>
    <mergeCell ref="N137:O137"/>
    <mergeCell ref="C141:G142"/>
    <mergeCell ref="J141:K141"/>
    <mergeCell ref="N141:O141"/>
    <mergeCell ref="R155:S155"/>
    <mergeCell ref="C167:G169"/>
    <mergeCell ref="J167:K167"/>
    <mergeCell ref="N167:O167"/>
    <mergeCell ref="R167:S167"/>
    <mergeCell ref="J137:K137"/>
    <mergeCell ref="N190:O190"/>
    <mergeCell ref="Q190:R190"/>
    <mergeCell ref="T190:U190"/>
    <mergeCell ref="J174:K174"/>
    <mergeCell ref="N174:O174"/>
    <mergeCell ref="R174:S174"/>
    <mergeCell ref="C175:H177"/>
    <mergeCell ref="J175:K175"/>
    <mergeCell ref="N175:O175"/>
    <mergeCell ref="R175:S175"/>
    <mergeCell ref="J177:K177"/>
  </mergeCells>
  <phoneticPr fontId="5" type="noConversion"/>
  <conditionalFormatting sqref="U14">
    <cfRule type="expression" dxfId="52" priority="76">
      <formula>AND($W14=0)=FALSE</formula>
    </cfRule>
  </conditionalFormatting>
  <conditionalFormatting sqref="U28">
    <cfRule type="expression" dxfId="51" priority="75">
      <formula>AND($W28=0)=FALSE</formula>
    </cfRule>
  </conditionalFormatting>
  <conditionalFormatting sqref="U31">
    <cfRule type="expression" dxfId="50" priority="74">
      <formula>AND($W31=0)=FALSE</formula>
    </cfRule>
  </conditionalFormatting>
  <conditionalFormatting sqref="U46">
    <cfRule type="expression" dxfId="49" priority="73">
      <formula>AND($W46=0)=FALSE</formula>
    </cfRule>
  </conditionalFormatting>
  <conditionalFormatting sqref="U52">
    <cfRule type="expression" dxfId="48" priority="72">
      <formula>AND($W52=0)=FALSE</formula>
    </cfRule>
  </conditionalFormatting>
  <conditionalFormatting sqref="U54">
    <cfRule type="expression" dxfId="47" priority="71">
      <formula>AND($W54=0)=FALSE</formula>
    </cfRule>
  </conditionalFormatting>
  <conditionalFormatting sqref="U57">
    <cfRule type="expression" dxfId="46" priority="70">
      <formula>AND($W57=0)=FALSE</formula>
    </cfRule>
  </conditionalFormatting>
  <conditionalFormatting sqref="U63">
    <cfRule type="expression" dxfId="45" priority="69">
      <formula>AND($W63=0)=FALSE</formula>
    </cfRule>
  </conditionalFormatting>
  <conditionalFormatting sqref="U66">
    <cfRule type="expression" dxfId="44" priority="68">
      <formula>AND($W66=0)=FALSE</formula>
    </cfRule>
  </conditionalFormatting>
  <conditionalFormatting sqref="U69">
    <cfRule type="expression" dxfId="43" priority="67">
      <formula>AND($W69=0)=FALSE</formula>
    </cfRule>
  </conditionalFormatting>
  <conditionalFormatting sqref="U89">
    <cfRule type="expression" dxfId="42" priority="66">
      <formula>AND($W89=0)=FALSE</formula>
    </cfRule>
  </conditionalFormatting>
  <conditionalFormatting sqref="U92">
    <cfRule type="expression" dxfId="41" priority="65">
      <formula>AND($W92=0)=FALSE</formula>
    </cfRule>
  </conditionalFormatting>
  <conditionalFormatting sqref="U109">
    <cfRule type="expression" dxfId="40" priority="64">
      <formula>AND($W109=0)=FALSE</formula>
    </cfRule>
  </conditionalFormatting>
  <conditionalFormatting sqref="U112">
    <cfRule type="expression" dxfId="39" priority="63">
      <formula>AND($W112=0)=FALSE</formula>
    </cfRule>
  </conditionalFormatting>
  <conditionalFormatting sqref="U115">
    <cfRule type="expression" dxfId="38" priority="62">
      <formula>AND($W115=0)=FALSE</formula>
    </cfRule>
  </conditionalFormatting>
  <conditionalFormatting sqref="U118">
    <cfRule type="expression" dxfId="37" priority="61">
      <formula>AND($W118=0)=FALSE</formula>
    </cfRule>
  </conditionalFormatting>
  <conditionalFormatting sqref="U121">
    <cfRule type="expression" dxfId="36" priority="60">
      <formula>AND($W121=0)=FALSE</formula>
    </cfRule>
  </conditionalFormatting>
  <conditionalFormatting sqref="U124">
    <cfRule type="expression" dxfId="35" priority="59">
      <formula>AND($W124=0)=FALSE</formula>
    </cfRule>
  </conditionalFormatting>
  <conditionalFormatting sqref="U149">
    <cfRule type="expression" dxfId="34" priority="58">
      <formula>AND($W149=0)=FALSE</formula>
    </cfRule>
  </conditionalFormatting>
  <conditionalFormatting sqref="U152">
    <cfRule type="expression" dxfId="33" priority="57">
      <formula>AND($W152=0)=FALSE</formula>
    </cfRule>
  </conditionalFormatting>
  <conditionalFormatting sqref="U155:U156">
    <cfRule type="expression" dxfId="32" priority="56">
      <formula>AND($W155=0)=FALSE</formula>
    </cfRule>
  </conditionalFormatting>
  <conditionalFormatting sqref="U175">
    <cfRule type="expression" dxfId="31" priority="55">
      <formula>AND($W175=0)=FALSE</formula>
    </cfRule>
  </conditionalFormatting>
  <conditionalFormatting sqref="U24">
    <cfRule type="expression" dxfId="30" priority="54">
      <formula>AND($W19+W21+W24=0)=FALSE</formula>
    </cfRule>
  </conditionalFormatting>
  <conditionalFormatting sqref="U41">
    <cfRule type="expression" dxfId="29" priority="53">
      <formula>AND($W35+W37+W41=0)=FALSE</formula>
    </cfRule>
  </conditionalFormatting>
  <conditionalFormatting sqref="U60">
    <cfRule type="expression" dxfId="28" priority="52">
      <formula>AND($W59+W60+W61=0)=FALSE</formula>
    </cfRule>
  </conditionalFormatting>
  <conditionalFormatting sqref="U81">
    <cfRule type="expression" dxfId="27" priority="51">
      <formula>AND($W74+W77+W81=0)=FALSE</formula>
    </cfRule>
  </conditionalFormatting>
  <conditionalFormatting sqref="U103">
    <cfRule type="expression" dxfId="26" priority="50">
      <formula>AND($W96+W99+W103=0)=FALSE</formula>
    </cfRule>
  </conditionalFormatting>
  <conditionalFormatting sqref="U141">
    <cfRule type="expression" dxfId="25" priority="49">
      <formula>AND($W134+W137+W141=0)=FALSE</formula>
    </cfRule>
  </conditionalFormatting>
  <conditionalFormatting sqref="U167">
    <cfRule type="expression" dxfId="24" priority="48">
      <formula>AND($W159+W163+W167=0)=FALSE</formula>
    </cfRule>
  </conditionalFormatting>
  <dataValidations disablePrompts="1" count="1">
    <dataValidation allowBlank="1" showInputMessage="1" sqref="D182:E182 D184:E184"/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67" fitToHeight="0" orientation="portrait" r:id="rId1"/>
  <headerFooter alignWithMargins="0"/>
  <rowBreaks count="2" manualBreakCount="2">
    <brk id="68" max="20" man="1"/>
    <brk id="126" max="2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F4D87B65-7226-4E46-AD3A-BB529D2225FE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N13:P13 N15:P17 M49:P51 M53:P53 M52 P52 M55:P56 M54 P54 M58:P59 M57 P57 M61:P62 M60 P60 M64:P65 M63 P63 M67:P68 M66 P66 M70:P73 M69 P69 M75:P76 M74 P74 M78:P80 M77 P77 M82:P88 M81 P81 M90:P91 M89 P89 M93:P95 M92 P92 M97:P98 M96 P96 M100:P102 M99 P99 M104:P108 M103 P103 M110:P111 M109 P109 M113:P114 M112 P112 M116:P117 M115 P115 M119:P120 M118 P118 M122:P123 M121 P121 M125:P126 M124 P124 M128:P133 M127 P127 M135:P136 M134 P134 M139:P140 P137 M142:P148 M141 P141 M150:P151 M149 P149 M153:P154 M152 P152 M156:P158 M155 P155 M160:P162 M159 P159 M164:P166 M163 P163 M168:P174 M167 P167 M176:P178 M175 P175 N48:P48 P14 N138:P138 M137:M138</xm:sqref>
        </x14:conditionalFormatting>
        <x14:conditionalFormatting xmlns:xm="http://schemas.microsoft.com/office/excel/2006/main">
          <x14:cfRule type="expression" priority="33" id="{628C0342-D3DB-4033-A4EC-4C5D6FFAB800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M109</xm:sqref>
        </x14:conditionalFormatting>
        <x14:conditionalFormatting xmlns:xm="http://schemas.microsoft.com/office/excel/2006/main">
          <x14:cfRule type="expression" priority="30" id="{723D7D26-B7F4-4319-9192-294AE7BAD9A2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M112</xm:sqref>
        </x14:conditionalFormatting>
        <x14:conditionalFormatting xmlns:xm="http://schemas.microsoft.com/office/excel/2006/main">
          <x14:cfRule type="expression" priority="27" id="{0F8CE2A8-9571-4973-A792-D508E8DE545A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M115</xm:sqref>
        </x14:conditionalFormatting>
        <x14:conditionalFormatting xmlns:xm="http://schemas.microsoft.com/office/excel/2006/main">
          <x14:cfRule type="expression" priority="24" id="{F850F4D4-6941-4C7E-BBC8-38AD237ECAAC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M118</xm:sqref>
        </x14:conditionalFormatting>
        <x14:conditionalFormatting xmlns:xm="http://schemas.microsoft.com/office/excel/2006/main">
          <x14:cfRule type="expression" priority="21" id="{947391B1-B155-498E-B1B7-C09109D79CEE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M121</xm:sqref>
        </x14:conditionalFormatting>
        <x14:conditionalFormatting xmlns:xm="http://schemas.microsoft.com/office/excel/2006/main">
          <x14:cfRule type="expression" priority="18" id="{0A41A987-6ABD-49EC-8F07-E1863BF32F20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M124</xm:sqref>
        </x14:conditionalFormatting>
        <x14:conditionalFormatting xmlns:xm="http://schemas.microsoft.com/office/excel/2006/main">
          <x14:cfRule type="expression" priority="15" id="{E283BE4F-1079-4334-AE42-F631027F37F4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M149</xm:sqref>
        </x14:conditionalFormatting>
        <x14:conditionalFormatting xmlns:xm="http://schemas.microsoft.com/office/excel/2006/main">
          <x14:cfRule type="expression" priority="13" id="{CFD2742E-D9E3-456B-86CC-B6192F7B7A1B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M152</xm:sqref>
        </x14:conditionalFormatting>
        <x14:conditionalFormatting xmlns:xm="http://schemas.microsoft.com/office/excel/2006/main">
          <x14:cfRule type="expression" priority="11" id="{B1F0766E-6BEA-402D-8524-CD0202BB9798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M155</xm:sqref>
        </x14:conditionalFormatting>
        <x14:conditionalFormatting xmlns:xm="http://schemas.microsoft.com/office/excel/2006/main">
          <x14:cfRule type="expression" priority="8" id="{B1D30A6D-EC88-4468-B593-81724C3C3132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M163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D73"/>
  <sheetViews>
    <sheetView showGridLines="0" zoomScaleNormal="100" zoomScaleSheetLayoutView="100" workbookViewId="0"/>
  </sheetViews>
  <sheetFormatPr defaultRowHeight="15" x14ac:dyDescent="0.2"/>
  <cols>
    <col min="1" max="2" width="3.7109375" style="23" customWidth="1"/>
    <col min="3" max="3" width="21.42578125" style="23" customWidth="1"/>
    <col min="4" max="4" width="11" style="23" customWidth="1"/>
    <col min="5" max="5" width="22.85546875" style="23" customWidth="1"/>
    <col min="6" max="6" width="5.7109375" style="23" customWidth="1"/>
    <col min="7" max="8" width="11.42578125" style="23" customWidth="1"/>
    <col min="9" max="10" width="2.7109375" style="23" customWidth="1"/>
    <col min="11" max="12" width="11.42578125" style="23" customWidth="1"/>
    <col min="13" max="14" width="2.7109375" style="23" customWidth="1"/>
    <col min="15" max="16" width="11.42578125" style="23" customWidth="1"/>
    <col min="17" max="18" width="2.7109375" style="23" customWidth="1"/>
    <col min="19" max="20" width="11.42578125" style="23" customWidth="1"/>
    <col min="21" max="22" width="1.7109375" style="23" customWidth="1"/>
    <col min="23" max="24" width="10.42578125" style="23" customWidth="1"/>
    <col min="25" max="26" width="3.7109375" style="23" customWidth="1"/>
    <col min="27" max="27" width="9.140625" style="23"/>
    <col min="28" max="28" width="6.42578125" style="23" customWidth="1"/>
    <col min="29" max="16384" width="9.140625" style="23"/>
  </cols>
  <sheetData>
    <row r="1" spans="1:30" x14ac:dyDescent="0.2">
      <c r="A1" s="483"/>
      <c r="B1" s="482"/>
      <c r="C1" s="482"/>
      <c r="D1" s="482"/>
      <c r="E1" s="482"/>
      <c r="F1" s="484">
        <f>+'Part 2'!F1</f>
        <v>327</v>
      </c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5"/>
      <c r="U1" s="485"/>
      <c r="V1" s="482"/>
      <c r="W1" s="490"/>
      <c r="X1" s="490"/>
      <c r="Y1" s="490"/>
      <c r="Z1" s="491"/>
    </row>
    <row r="2" spans="1:30" ht="15.75" x14ac:dyDescent="0.25">
      <c r="A2" s="702" t="s">
        <v>583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4"/>
    </row>
    <row r="3" spans="1:30" ht="15.75" x14ac:dyDescent="0.25">
      <c r="A3" s="702" t="s">
        <v>835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</row>
    <row r="4" spans="1:30" ht="15.75" thickBot="1" x14ac:dyDescent="0.25">
      <c r="A4" s="486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8"/>
      <c r="U4" s="489"/>
      <c r="V4" s="487"/>
      <c r="W4" s="492"/>
      <c r="X4" s="492"/>
      <c r="Y4" s="492"/>
      <c r="Z4" s="493"/>
    </row>
    <row r="5" spans="1:30" x14ac:dyDescent="0.2">
      <c r="A5" s="20"/>
      <c r="B5" s="2"/>
      <c r="C5" s="700"/>
      <c r="D5" s="700"/>
      <c r="E5" s="700"/>
      <c r="F5" s="700"/>
      <c r="G5" s="70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39"/>
    </row>
    <row r="6" spans="1:30" ht="18.75" thickBot="1" x14ac:dyDescent="0.3">
      <c r="A6" s="256"/>
      <c r="B6" s="9"/>
      <c r="C6" s="47" t="str">
        <f>+CONCATENATE("Local Authority : ",+'Part 1'!N140)</f>
        <v>Local Authority : England</v>
      </c>
      <c r="D6" s="47"/>
      <c r="E6" s="362"/>
      <c r="F6" s="362"/>
      <c r="G6" s="362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170"/>
    </row>
    <row r="7" spans="1:30" ht="15.75" x14ac:dyDescent="0.25">
      <c r="A7" s="295"/>
      <c r="B7" s="362"/>
      <c r="C7" s="362"/>
      <c r="D7" s="362"/>
      <c r="E7" s="296"/>
      <c r="F7" s="12"/>
      <c r="G7" s="12"/>
      <c r="H7" s="12"/>
      <c r="I7" s="12"/>
      <c r="J7" s="297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9"/>
      <c r="V7" s="9"/>
      <c r="W7" s="9"/>
      <c r="X7" s="9"/>
      <c r="Y7" s="9"/>
      <c r="Z7" s="170"/>
    </row>
    <row r="8" spans="1:30" ht="15.75" x14ac:dyDescent="0.25">
      <c r="A8" s="295"/>
      <c r="B8" s="362"/>
      <c r="C8" s="362" t="s">
        <v>731</v>
      </c>
      <c r="D8" s="362"/>
      <c r="E8" s="296"/>
      <c r="F8" s="12"/>
      <c r="G8" s="12"/>
      <c r="H8" s="12"/>
      <c r="I8" s="12"/>
      <c r="J8" s="300"/>
      <c r="K8" s="701" t="s">
        <v>737</v>
      </c>
      <c r="L8" s="701"/>
      <c r="M8" s="701"/>
      <c r="N8" s="701"/>
      <c r="O8" s="701"/>
      <c r="P8" s="701"/>
      <c r="Q8" s="701"/>
      <c r="R8" s="701"/>
      <c r="S8" s="701"/>
      <c r="T8" s="701"/>
      <c r="U8" s="301"/>
      <c r="V8" s="9"/>
      <c r="W8" s="9"/>
      <c r="X8" s="9"/>
      <c r="Y8" s="9"/>
      <c r="Z8" s="170"/>
    </row>
    <row r="9" spans="1:30" ht="15.75" customHeight="1" x14ac:dyDescent="0.25">
      <c r="A9" s="302"/>
      <c r="B9" s="296"/>
      <c r="C9" s="681"/>
      <c r="D9" s="681"/>
      <c r="E9" s="681"/>
      <c r="F9" s="364"/>
      <c r="G9" s="678" t="s">
        <v>558</v>
      </c>
      <c r="H9" s="678"/>
      <c r="I9" s="12"/>
      <c r="J9" s="303"/>
      <c r="K9" s="678" t="s">
        <v>559</v>
      </c>
      <c r="L9" s="678"/>
      <c r="M9" s="363"/>
      <c r="N9" s="9"/>
      <c r="O9" s="678" t="s">
        <v>560</v>
      </c>
      <c r="P9" s="678"/>
      <c r="Q9" s="363"/>
      <c r="R9" s="363"/>
      <c r="S9" s="678" t="s">
        <v>561</v>
      </c>
      <c r="T9" s="678"/>
      <c r="U9" s="304"/>
      <c r="V9" s="363"/>
      <c r="W9" s="678" t="s">
        <v>577</v>
      </c>
      <c r="X9" s="678"/>
      <c r="Y9" s="363"/>
      <c r="Z9" s="170"/>
    </row>
    <row r="10" spans="1:30" ht="15.75" customHeight="1" x14ac:dyDescent="0.25">
      <c r="A10" s="302"/>
      <c r="B10" s="296"/>
      <c r="C10" s="296"/>
      <c r="D10" s="296"/>
      <c r="E10" s="296"/>
      <c r="F10" s="296"/>
      <c r="G10" s="706" t="s">
        <v>718</v>
      </c>
      <c r="H10" s="706"/>
      <c r="I10" s="12"/>
      <c r="J10" s="305"/>
      <c r="K10" s="699" t="str">
        <f>IF(C51=0,"Not Applicable",C51)</f>
        <v>Designated Area 1</v>
      </c>
      <c r="L10" s="699"/>
      <c r="M10" s="583"/>
      <c r="N10" s="584"/>
      <c r="O10" s="699" t="str">
        <f>IF(D51=0,"Not Applicable",D51)</f>
        <v>Designated Area 2</v>
      </c>
      <c r="P10" s="699"/>
      <c r="Q10" s="583"/>
      <c r="R10" s="583"/>
      <c r="S10" s="699" t="str">
        <f>IF(E51=0,"Not Applicable",E51)</f>
        <v>Designated Area 3</v>
      </c>
      <c r="T10" s="699"/>
      <c r="U10" s="306"/>
      <c r="V10" s="358"/>
      <c r="W10" s="682" t="s">
        <v>32</v>
      </c>
      <c r="X10" s="659"/>
      <c r="Y10" s="358"/>
      <c r="Z10" s="170"/>
    </row>
    <row r="11" spans="1:30" ht="15.75" customHeight="1" x14ac:dyDescent="0.25">
      <c r="A11" s="302"/>
      <c r="B11" s="296"/>
      <c r="C11" s="296"/>
      <c r="D11" s="296"/>
      <c r="E11" s="296"/>
      <c r="F11" s="296"/>
      <c r="G11" s="706"/>
      <c r="H11" s="706"/>
      <c r="I11" s="12"/>
      <c r="J11" s="305"/>
      <c r="K11" s="699"/>
      <c r="L11" s="699"/>
      <c r="M11" s="583"/>
      <c r="N11" s="584"/>
      <c r="O11" s="699"/>
      <c r="P11" s="699"/>
      <c r="Q11" s="583"/>
      <c r="R11" s="583"/>
      <c r="S11" s="699"/>
      <c r="T11" s="699"/>
      <c r="U11" s="306"/>
      <c r="V11" s="358"/>
      <c r="W11" s="659"/>
      <c r="X11" s="659"/>
      <c r="Y11" s="9"/>
      <c r="Z11" s="170"/>
    </row>
    <row r="12" spans="1:30" ht="15.75" x14ac:dyDescent="0.25">
      <c r="A12" s="302"/>
      <c r="B12" s="296"/>
      <c r="C12" s="296"/>
      <c r="D12" s="296"/>
      <c r="E12" s="296"/>
      <c r="F12" s="296"/>
      <c r="G12" s="706"/>
      <c r="H12" s="706"/>
      <c r="I12" s="12"/>
      <c r="J12" s="307"/>
      <c r="K12" s="699"/>
      <c r="L12" s="699"/>
      <c r="M12" s="583"/>
      <c r="N12" s="584"/>
      <c r="O12" s="699"/>
      <c r="P12" s="699"/>
      <c r="Q12" s="574"/>
      <c r="R12" s="574"/>
      <c r="S12" s="699"/>
      <c r="T12" s="699"/>
      <c r="U12" s="75"/>
      <c r="V12" s="242"/>
      <c r="W12" s="679"/>
      <c r="X12" s="679"/>
      <c r="Y12" s="9"/>
      <c r="Z12" s="170"/>
    </row>
    <row r="13" spans="1:30" ht="16.5" customHeight="1" thickBot="1" x14ac:dyDescent="0.3">
      <c r="A13" s="302"/>
      <c r="B13" s="362"/>
      <c r="C13" s="362" t="s">
        <v>572</v>
      </c>
      <c r="D13" s="362"/>
      <c r="E13" s="296"/>
      <c r="F13" s="296"/>
      <c r="G13" s="647" t="s">
        <v>555</v>
      </c>
      <c r="H13" s="647"/>
      <c r="I13" s="12"/>
      <c r="J13" s="300"/>
      <c r="K13" s="647" t="s">
        <v>555</v>
      </c>
      <c r="L13" s="647"/>
      <c r="M13" s="367"/>
      <c r="N13" s="9"/>
      <c r="O13" s="647" t="s">
        <v>555</v>
      </c>
      <c r="P13" s="647"/>
      <c r="Q13" s="358"/>
      <c r="R13" s="358"/>
      <c r="S13" s="647" t="s">
        <v>555</v>
      </c>
      <c r="T13" s="647"/>
      <c r="U13" s="494"/>
      <c r="V13" s="333"/>
      <c r="W13" s="664" t="s">
        <v>555</v>
      </c>
      <c r="X13" s="664"/>
      <c r="Y13" s="333"/>
      <c r="Z13" s="495"/>
      <c r="AD13" s="8"/>
    </row>
    <row r="14" spans="1:30" ht="16.5" thickBot="1" x14ac:dyDescent="0.3">
      <c r="A14" s="302"/>
      <c r="B14" s="296"/>
      <c r="C14" s="648" t="s">
        <v>600</v>
      </c>
      <c r="D14" s="648"/>
      <c r="E14" s="648"/>
      <c r="F14" s="296"/>
      <c r="G14" s="622">
        <f>VLOOKUP($F$1,Part3,6,FALSE)</f>
        <v>24412029489.180698</v>
      </c>
      <c r="H14" s="623"/>
      <c r="I14" s="12"/>
      <c r="J14" s="308"/>
      <c r="K14" s="622">
        <f>VLOOKUP($F$1,Part3,7,FALSE)</f>
        <v>97226404</v>
      </c>
      <c r="L14" s="623"/>
      <c r="M14" s="309"/>
      <c r="N14" s="310"/>
      <c r="O14" s="622">
        <f>VLOOKUP($F$1,Part3,8,FALSE)</f>
        <v>65748034</v>
      </c>
      <c r="P14" s="623"/>
      <c r="Q14" s="311"/>
      <c r="R14" s="311"/>
      <c r="S14" s="622">
        <f>VLOOKUP($F$1,Part3,9,FALSE)</f>
        <v>0</v>
      </c>
      <c r="T14" s="623"/>
      <c r="U14" s="496"/>
      <c r="V14" s="497"/>
      <c r="W14" s="622">
        <f>VLOOKUP($F$1,Part3,10,FALSE)</f>
        <v>24575003927.310703</v>
      </c>
      <c r="X14" s="623"/>
      <c r="Y14" s="464"/>
      <c r="Z14" s="416"/>
    </row>
    <row r="15" spans="1:30" ht="15.75" x14ac:dyDescent="0.25">
      <c r="A15" s="302"/>
      <c r="B15" s="296"/>
      <c r="C15" s="648"/>
      <c r="D15" s="648"/>
      <c r="E15" s="648"/>
      <c r="F15" s="296"/>
      <c r="G15" s="48"/>
      <c r="H15" s="48"/>
      <c r="I15" s="312"/>
      <c r="J15" s="313"/>
      <c r="K15" s="314"/>
      <c r="L15" s="314"/>
      <c r="M15" s="314"/>
      <c r="N15" s="314"/>
      <c r="O15" s="314"/>
      <c r="P15" s="314"/>
      <c r="Q15" s="358"/>
      <c r="R15" s="358"/>
      <c r="S15" s="314"/>
      <c r="T15" s="314"/>
      <c r="U15" s="498"/>
      <c r="V15" s="497"/>
      <c r="W15" s="342"/>
      <c r="X15" s="342"/>
      <c r="Y15" s="333"/>
      <c r="Z15" s="495"/>
    </row>
    <row r="16" spans="1:30" ht="15.75" x14ac:dyDescent="0.25">
      <c r="A16" s="302"/>
      <c r="B16" s="296"/>
      <c r="C16" s="698"/>
      <c r="D16" s="698"/>
      <c r="E16" s="698"/>
      <c r="F16" s="296"/>
      <c r="G16" s="315"/>
      <c r="H16" s="315"/>
      <c r="I16" s="316"/>
      <c r="J16" s="313"/>
      <c r="K16" s="314"/>
      <c r="L16" s="314"/>
      <c r="M16" s="314"/>
      <c r="N16" s="314"/>
      <c r="O16" s="314"/>
      <c r="P16" s="314"/>
      <c r="Q16" s="358"/>
      <c r="R16" s="358"/>
      <c r="S16" s="314"/>
      <c r="T16" s="314"/>
      <c r="U16" s="498"/>
      <c r="V16" s="497"/>
      <c r="W16" s="342"/>
      <c r="X16" s="342"/>
      <c r="Y16" s="333"/>
      <c r="Z16" s="495"/>
    </row>
    <row r="17" spans="1:30" ht="15.75" x14ac:dyDescent="0.25">
      <c r="A17" s="302"/>
      <c r="B17" s="296"/>
      <c r="C17" s="73" t="s">
        <v>1010</v>
      </c>
      <c r="D17" s="296"/>
      <c r="E17" s="296"/>
      <c r="F17" s="296"/>
      <c r="G17" s="317"/>
      <c r="H17" s="317"/>
      <c r="I17" s="312"/>
      <c r="J17" s="313"/>
      <c r="K17" s="314"/>
      <c r="L17" s="314"/>
      <c r="M17" s="314"/>
      <c r="N17" s="314"/>
      <c r="O17" s="314"/>
      <c r="P17" s="314"/>
      <c r="Q17" s="358"/>
      <c r="R17" s="358"/>
      <c r="S17" s="314"/>
      <c r="T17" s="314"/>
      <c r="U17" s="498"/>
      <c r="V17" s="497"/>
      <c r="W17" s="342"/>
      <c r="X17" s="342"/>
      <c r="Y17" s="333"/>
      <c r="Z17" s="495"/>
    </row>
    <row r="18" spans="1:30" ht="16.5" customHeight="1" thickBot="1" x14ac:dyDescent="0.3">
      <c r="A18" s="302"/>
      <c r="B18" s="12"/>
      <c r="C18" s="12" t="s">
        <v>587</v>
      </c>
      <c r="D18" s="296"/>
      <c r="E18" s="296"/>
      <c r="F18" s="296"/>
      <c r="G18" s="48"/>
      <c r="H18" s="48"/>
      <c r="I18" s="12"/>
      <c r="J18" s="308"/>
      <c r="K18" s="48"/>
      <c r="L18" s="48"/>
      <c r="M18" s="367"/>
      <c r="N18" s="9"/>
      <c r="O18" s="48"/>
      <c r="P18" s="48"/>
      <c r="Q18" s="358"/>
      <c r="R18" s="358"/>
      <c r="S18" s="48"/>
      <c r="T18" s="48"/>
      <c r="U18" s="494"/>
      <c r="V18" s="342"/>
      <c r="W18" s="342"/>
      <c r="X18" s="342"/>
      <c r="Y18" s="333"/>
      <c r="Z18" s="495"/>
      <c r="AA18" s="68"/>
    </row>
    <row r="19" spans="1:30" ht="16.5" thickBot="1" x14ac:dyDescent="0.3">
      <c r="A19" s="302"/>
      <c r="B19" s="296"/>
      <c r="C19" s="648" t="s">
        <v>870</v>
      </c>
      <c r="D19" s="648"/>
      <c r="E19" s="648"/>
      <c r="F19" s="296"/>
      <c r="G19" s="622">
        <f>VLOOKUP($F$1,Part3,11,FALSE)</f>
        <v>-280781768</v>
      </c>
      <c r="H19" s="623"/>
      <c r="I19" s="12"/>
      <c r="J19" s="308"/>
      <c r="K19" s="622">
        <f>VLOOKUP($F$1,Part3,12,FALSE)</f>
        <v>-1014135</v>
      </c>
      <c r="L19" s="623"/>
      <c r="M19" s="367"/>
      <c r="N19" s="9"/>
      <c r="O19" s="622">
        <f>VLOOKUP($F$1,Part3,13,FALSE)</f>
        <v>-1351012</v>
      </c>
      <c r="P19" s="623"/>
      <c r="Q19" s="358"/>
      <c r="R19" s="358"/>
      <c r="S19" s="622">
        <f>VLOOKUP($F$1,Part3,14,FALSE)</f>
        <v>0</v>
      </c>
      <c r="T19" s="623"/>
      <c r="U19" s="494"/>
      <c r="V19" s="342"/>
      <c r="W19" s="626">
        <f>VLOOKUP($F$1,Part3,15,FALSE)</f>
        <v>-283146915</v>
      </c>
      <c r="X19" s="627"/>
      <c r="Y19" s="464"/>
      <c r="Z19" s="416"/>
    </row>
    <row r="20" spans="1:30" ht="15.75" x14ac:dyDescent="0.25">
      <c r="A20" s="302"/>
      <c r="B20" s="296"/>
      <c r="C20" s="648"/>
      <c r="D20" s="648"/>
      <c r="E20" s="648"/>
      <c r="F20" s="296"/>
      <c r="G20" s="48"/>
      <c r="H20" s="48"/>
      <c r="I20" s="12"/>
      <c r="J20" s="308"/>
      <c r="K20" s="48"/>
      <c r="L20" s="48"/>
      <c r="M20" s="367"/>
      <c r="N20" s="9"/>
      <c r="O20" s="48"/>
      <c r="P20" s="48"/>
      <c r="Q20" s="358"/>
      <c r="R20" s="358"/>
      <c r="S20" s="48"/>
      <c r="T20" s="48"/>
      <c r="U20" s="494"/>
      <c r="V20" s="342"/>
      <c r="W20" s="342"/>
      <c r="X20" s="342"/>
      <c r="Y20" s="333"/>
      <c r="Z20" s="495"/>
    </row>
    <row r="21" spans="1:30" ht="16.5" customHeight="1" thickBot="1" x14ac:dyDescent="0.3">
      <c r="A21" s="302"/>
      <c r="B21" s="296"/>
      <c r="C21" s="356"/>
      <c r="D21" s="356"/>
      <c r="E21" s="356"/>
      <c r="F21" s="296"/>
      <c r="G21" s="48"/>
      <c r="H21" s="48"/>
      <c r="I21" s="12"/>
      <c r="J21" s="308"/>
      <c r="K21" s="48"/>
      <c r="L21" s="48"/>
      <c r="M21" s="367"/>
      <c r="N21" s="9"/>
      <c r="O21" s="48"/>
      <c r="P21" s="48"/>
      <c r="Q21" s="358"/>
      <c r="R21" s="358"/>
      <c r="S21" s="48"/>
      <c r="T21" s="48"/>
      <c r="U21" s="494"/>
      <c r="V21" s="342"/>
      <c r="W21" s="342"/>
      <c r="X21" s="342"/>
      <c r="Y21" s="333"/>
      <c r="Z21" s="495"/>
      <c r="AA21" s="68"/>
    </row>
    <row r="22" spans="1:30" ht="16.5" thickBot="1" x14ac:dyDescent="0.3">
      <c r="A22" s="302"/>
      <c r="B22" s="296"/>
      <c r="C22" s="648" t="s">
        <v>871</v>
      </c>
      <c r="D22" s="648"/>
      <c r="E22" s="648"/>
      <c r="F22" s="296"/>
      <c r="G22" s="622">
        <f>VLOOKUP($F$1,Part3,16,FALSE)</f>
        <v>-618571991</v>
      </c>
      <c r="H22" s="623"/>
      <c r="I22" s="12"/>
      <c r="J22" s="308"/>
      <c r="K22" s="622">
        <f>VLOOKUP($F$1,Part3,17,FALSE)</f>
        <v>-1766562</v>
      </c>
      <c r="L22" s="623"/>
      <c r="M22" s="367"/>
      <c r="N22" s="9"/>
      <c r="O22" s="622">
        <f>VLOOKUP($F$1,Part3,18,FALSE)</f>
        <v>-698897</v>
      </c>
      <c r="P22" s="623"/>
      <c r="Q22" s="358"/>
      <c r="R22" s="358"/>
      <c r="S22" s="622">
        <f>VLOOKUP($F$1,Part3,19,FALSE)</f>
        <v>0</v>
      </c>
      <c r="T22" s="623"/>
      <c r="U22" s="494"/>
      <c r="V22" s="342"/>
      <c r="W22" s="626">
        <f>VLOOKUP($F$1,Part3,20,FALSE)</f>
        <v>-621037450</v>
      </c>
      <c r="X22" s="627"/>
      <c r="Y22" s="464"/>
      <c r="Z22" s="416"/>
    </row>
    <row r="23" spans="1:30" ht="15.75" x14ac:dyDescent="0.25">
      <c r="A23" s="302"/>
      <c r="B23" s="296"/>
      <c r="C23" s="648"/>
      <c r="D23" s="648"/>
      <c r="E23" s="648"/>
      <c r="F23" s="296"/>
      <c r="G23" s="59"/>
      <c r="H23" s="59"/>
      <c r="I23" s="12"/>
      <c r="J23" s="308"/>
      <c r="K23" s="59"/>
      <c r="L23" s="59"/>
      <c r="M23" s="367"/>
      <c r="N23" s="9"/>
      <c r="O23" s="59"/>
      <c r="P23" s="59"/>
      <c r="Q23" s="59"/>
      <c r="R23" s="59"/>
      <c r="S23" s="59"/>
      <c r="T23" s="59"/>
      <c r="U23" s="499"/>
      <c r="V23" s="500"/>
      <c r="W23" s="420"/>
      <c r="X23" s="342"/>
      <c r="Y23" s="464"/>
      <c r="Z23" s="495"/>
    </row>
    <row r="24" spans="1:30" ht="16.5" thickBot="1" x14ac:dyDescent="0.25">
      <c r="A24" s="302"/>
      <c r="B24" s="296"/>
      <c r="C24" s="356"/>
      <c r="D24" s="356"/>
      <c r="E24" s="356"/>
      <c r="F24" s="296"/>
      <c r="G24" s="59"/>
      <c r="H24" s="59"/>
      <c r="I24" s="318"/>
      <c r="J24" s="31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499"/>
      <c r="V24" s="500"/>
      <c r="W24" s="420"/>
      <c r="X24" s="342"/>
      <c r="Y24" s="464"/>
      <c r="Z24" s="495"/>
    </row>
    <row r="25" spans="1:30" ht="15.75" x14ac:dyDescent="0.2">
      <c r="A25" s="302"/>
      <c r="B25" s="320"/>
      <c r="C25" s="321"/>
      <c r="D25" s="321"/>
      <c r="E25" s="321"/>
      <c r="F25" s="322"/>
      <c r="G25" s="323"/>
      <c r="H25" s="323"/>
      <c r="I25" s="324"/>
      <c r="J25" s="325"/>
      <c r="K25" s="323"/>
      <c r="L25" s="323"/>
      <c r="M25" s="323"/>
      <c r="N25" s="323"/>
      <c r="O25" s="323"/>
      <c r="P25" s="323"/>
      <c r="Q25" s="323"/>
      <c r="R25" s="323"/>
      <c r="S25" s="323"/>
      <c r="T25" s="323"/>
      <c r="U25" s="501"/>
      <c r="V25" s="502"/>
      <c r="W25" s="503"/>
      <c r="X25" s="462"/>
      <c r="Y25" s="504"/>
      <c r="Z25" s="495"/>
    </row>
    <row r="26" spans="1:30" ht="16.5" thickBot="1" x14ac:dyDescent="0.3">
      <c r="A26" s="302"/>
      <c r="B26" s="326"/>
      <c r="C26" s="12" t="s">
        <v>521</v>
      </c>
      <c r="D26" s="296"/>
      <c r="E26" s="296"/>
      <c r="F26" s="296"/>
      <c r="G26" s="48"/>
      <c r="H26" s="48"/>
      <c r="I26" s="12"/>
      <c r="J26" s="308"/>
      <c r="K26" s="48"/>
      <c r="L26" s="48"/>
      <c r="M26" s="367"/>
      <c r="N26" s="9"/>
      <c r="O26" s="48"/>
      <c r="P26" s="48"/>
      <c r="Q26" s="48"/>
      <c r="R26" s="48"/>
      <c r="S26" s="48"/>
      <c r="T26" s="48"/>
      <c r="U26" s="499"/>
      <c r="V26" s="505"/>
      <c r="W26" s="342"/>
      <c r="X26" s="342"/>
      <c r="Y26" s="506"/>
      <c r="Z26" s="495"/>
    </row>
    <row r="27" spans="1:30" ht="16.5" thickBot="1" x14ac:dyDescent="0.3">
      <c r="A27" s="302"/>
      <c r="B27" s="327"/>
      <c r="C27" s="296" t="s">
        <v>593</v>
      </c>
      <c r="D27" s="296"/>
      <c r="E27" s="296"/>
      <c r="F27" s="296"/>
      <c r="G27" s="622">
        <f>VLOOKUP($F$1,Part3,21,FALSE)</f>
        <v>23512675730.180698</v>
      </c>
      <c r="H27" s="623"/>
      <c r="I27" s="12"/>
      <c r="J27" s="308"/>
      <c r="K27" s="622">
        <f>VLOOKUP($F$1,Part3,22,FALSE)</f>
        <v>94445707</v>
      </c>
      <c r="L27" s="623"/>
      <c r="M27" s="367"/>
      <c r="N27" s="9"/>
      <c r="O27" s="622">
        <f>VLOOKUP($F$1,Part3,23,FALSE)</f>
        <v>63698125</v>
      </c>
      <c r="P27" s="623"/>
      <c r="Q27" s="358"/>
      <c r="R27" s="358"/>
      <c r="S27" s="622">
        <f>VLOOKUP($F$1,Part3,24,FALSE)</f>
        <v>0</v>
      </c>
      <c r="T27" s="623"/>
      <c r="U27" s="499"/>
      <c r="V27" s="505"/>
      <c r="W27" s="626">
        <f>VLOOKUP($F$1,Part3,25,FALSE)</f>
        <v>23670819562.180698</v>
      </c>
      <c r="X27" s="627"/>
      <c r="Y27" s="506"/>
      <c r="Z27" s="416"/>
    </row>
    <row r="28" spans="1:30" ht="16.5" thickBot="1" x14ac:dyDescent="0.25">
      <c r="A28" s="302"/>
      <c r="B28" s="328"/>
      <c r="C28" s="329"/>
      <c r="D28" s="329"/>
      <c r="E28" s="329"/>
      <c r="F28" s="329"/>
      <c r="G28" s="330"/>
      <c r="H28" s="330"/>
      <c r="I28" s="318"/>
      <c r="J28" s="319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507"/>
      <c r="V28" s="508"/>
      <c r="W28" s="509"/>
      <c r="X28" s="509"/>
      <c r="Y28" s="510"/>
      <c r="Z28" s="495"/>
    </row>
    <row r="29" spans="1:30" ht="15" customHeight="1" x14ac:dyDescent="0.25">
      <c r="A29" s="302"/>
      <c r="B29" s="296"/>
      <c r="C29" s="296"/>
      <c r="D29" s="296"/>
      <c r="E29" s="296"/>
      <c r="F29" s="296"/>
      <c r="G29" s="48"/>
      <c r="H29" s="48"/>
      <c r="I29" s="324"/>
      <c r="J29" s="325"/>
      <c r="K29" s="48"/>
      <c r="L29" s="48"/>
      <c r="M29" s="367"/>
      <c r="N29" s="48"/>
      <c r="O29" s="48"/>
      <c r="P29" s="48"/>
      <c r="Q29" s="48"/>
      <c r="R29" s="48"/>
      <c r="S29" s="48"/>
      <c r="T29" s="48"/>
      <c r="U29" s="511"/>
      <c r="V29" s="500"/>
      <c r="W29" s="342"/>
      <c r="X29" s="342"/>
      <c r="Y29" s="333"/>
      <c r="Z29" s="495"/>
      <c r="AD29" s="66"/>
    </row>
    <row r="30" spans="1:30" ht="15" customHeight="1" x14ac:dyDescent="0.25">
      <c r="A30" s="302"/>
      <c r="B30" s="296"/>
      <c r="C30" s="12"/>
      <c r="D30" s="296"/>
      <c r="E30" s="682"/>
      <c r="F30" s="296"/>
      <c r="G30" s="48"/>
      <c r="H30" s="48"/>
      <c r="I30" s="12"/>
      <c r="J30" s="308"/>
      <c r="K30" s="48"/>
      <c r="L30" s="48"/>
      <c r="M30" s="367"/>
      <c r="N30" s="9"/>
      <c r="O30" s="48"/>
      <c r="P30" s="48"/>
      <c r="Q30" s="48"/>
      <c r="R30" s="48"/>
      <c r="S30" s="48"/>
      <c r="T30" s="48"/>
      <c r="U30" s="499"/>
      <c r="V30" s="505"/>
      <c r="W30" s="512"/>
      <c r="X30" s="512"/>
      <c r="Y30" s="333"/>
      <c r="Z30" s="495"/>
      <c r="AD30" s="66"/>
    </row>
    <row r="31" spans="1:30" ht="16.5" thickBot="1" x14ac:dyDescent="0.3">
      <c r="A31" s="302"/>
      <c r="B31" s="296"/>
      <c r="C31" s="12" t="s">
        <v>242</v>
      </c>
      <c r="D31" s="296"/>
      <c r="E31" s="659"/>
      <c r="F31" s="296"/>
      <c r="G31" s="48"/>
      <c r="H31" s="48"/>
      <c r="I31" s="12"/>
      <c r="J31" s="308"/>
      <c r="K31" s="48"/>
      <c r="L31" s="48"/>
      <c r="M31" s="367"/>
      <c r="N31" s="9"/>
      <c r="O31" s="48"/>
      <c r="P31" s="48"/>
      <c r="Q31" s="48"/>
      <c r="R31" s="48"/>
      <c r="S31" s="48"/>
      <c r="T31" s="48"/>
      <c r="U31" s="499"/>
      <c r="V31" s="500"/>
      <c r="W31" s="697"/>
      <c r="X31" s="697"/>
      <c r="Y31" s="333"/>
      <c r="Z31" s="495"/>
      <c r="AA31" s="68"/>
      <c r="AD31" s="66"/>
    </row>
    <row r="32" spans="1:30" ht="16.5" thickBot="1" x14ac:dyDescent="0.3">
      <c r="A32" s="302"/>
      <c r="B32" s="9"/>
      <c r="C32" s="9" t="s">
        <v>235</v>
      </c>
      <c r="D32" s="9"/>
      <c r="E32" s="682"/>
      <c r="F32" s="296"/>
      <c r="G32" s="622">
        <f>VLOOKUP($F$1,Part3,26,FALSE)</f>
        <v>39195708</v>
      </c>
      <c r="H32" s="623"/>
      <c r="I32" s="12"/>
      <c r="J32" s="308"/>
      <c r="K32" s="622">
        <f>VLOOKUP($F$1,Part3,27,FALSE)</f>
        <v>10816</v>
      </c>
      <c r="L32" s="623"/>
      <c r="M32" s="367"/>
      <c r="N32" s="9"/>
      <c r="O32" s="622">
        <f>VLOOKUP($F$1,Part3,28,FALSE)</f>
        <v>0</v>
      </c>
      <c r="P32" s="623"/>
      <c r="Q32" s="48"/>
      <c r="R32" s="48"/>
      <c r="S32" s="622">
        <f>VLOOKUP($F$1,Part3,29,FALSE)</f>
        <v>0</v>
      </c>
      <c r="T32" s="623"/>
      <c r="U32" s="494"/>
      <c r="V32" s="342"/>
      <c r="W32" s="626">
        <f>VLOOKUP($F$1,Part3,30,FALSE)</f>
        <v>39206524</v>
      </c>
      <c r="X32" s="627"/>
      <c r="Y32" s="464"/>
      <c r="Z32" s="416"/>
      <c r="AD32" s="66"/>
    </row>
    <row r="33" spans="1:30" ht="16.5" thickBot="1" x14ac:dyDescent="0.3">
      <c r="A33" s="302"/>
      <c r="B33" s="9"/>
      <c r="C33" s="9"/>
      <c r="D33" s="9"/>
      <c r="E33" s="659"/>
      <c r="F33" s="296"/>
      <c r="G33" s="296"/>
      <c r="H33" s="296"/>
      <c r="I33" s="12"/>
      <c r="J33" s="308"/>
      <c r="K33" s="48"/>
      <c r="L33" s="48"/>
      <c r="M33" s="367"/>
      <c r="N33" s="9"/>
      <c r="O33" s="48"/>
      <c r="P33" s="48"/>
      <c r="Q33" s="48"/>
      <c r="R33" s="48"/>
      <c r="S33" s="48"/>
      <c r="T33" s="48"/>
      <c r="U33" s="494"/>
      <c r="V33" s="342"/>
      <c r="W33" s="342"/>
      <c r="X33" s="342"/>
      <c r="Y33" s="333"/>
      <c r="Z33" s="495"/>
      <c r="AD33" s="66"/>
    </row>
    <row r="34" spans="1:30" ht="15.75" customHeight="1" thickBot="1" x14ac:dyDescent="0.3">
      <c r="A34" s="302"/>
      <c r="B34" s="9"/>
      <c r="C34" s="9" t="s">
        <v>236</v>
      </c>
      <c r="D34" s="9"/>
      <c r="E34" s="296"/>
      <c r="F34" s="9"/>
      <c r="G34" s="296"/>
      <c r="H34" s="296"/>
      <c r="I34" s="12"/>
      <c r="J34" s="308"/>
      <c r="K34" s="622">
        <f>VLOOKUP($F$1,Part3,31,FALSE)</f>
        <v>0</v>
      </c>
      <c r="L34" s="623"/>
      <c r="M34" s="367"/>
      <c r="N34" s="9"/>
      <c r="O34" s="622">
        <f>VLOOKUP($F$1,Part3,32,FALSE)</f>
        <v>0</v>
      </c>
      <c r="P34" s="623"/>
      <c r="Q34" s="48"/>
      <c r="R34" s="48"/>
      <c r="S34" s="622">
        <f>VLOOKUP($F$1,Part3,33,FALSE)</f>
        <v>0</v>
      </c>
      <c r="T34" s="623"/>
      <c r="U34" s="494"/>
      <c r="V34" s="342"/>
      <c r="W34" s="696"/>
      <c r="X34" s="696"/>
      <c r="Y34" s="333"/>
      <c r="Z34" s="495"/>
      <c r="AD34" s="66"/>
    </row>
    <row r="35" spans="1:30" ht="16.5" thickBot="1" x14ac:dyDescent="0.3">
      <c r="A35" s="302"/>
      <c r="B35" s="9"/>
      <c r="C35" s="73"/>
      <c r="D35" s="73"/>
      <c r="E35" s="365"/>
      <c r="F35" s="73"/>
      <c r="G35" s="296"/>
      <c r="H35" s="296"/>
      <c r="I35" s="12"/>
      <c r="J35" s="76"/>
      <c r="K35" s="73"/>
      <c r="L35" s="73"/>
      <c r="M35" s="367"/>
      <c r="N35" s="9"/>
      <c r="O35" s="73"/>
      <c r="P35" s="73"/>
      <c r="Q35" s="48"/>
      <c r="R35" s="48"/>
      <c r="S35" s="73"/>
      <c r="T35" s="73"/>
      <c r="U35" s="494"/>
      <c r="V35" s="342"/>
      <c r="W35" s="342"/>
      <c r="X35" s="342"/>
      <c r="Y35" s="333"/>
      <c r="Z35" s="495"/>
      <c r="AA35" s="68"/>
      <c r="AD35" s="66"/>
    </row>
    <row r="36" spans="1:30" ht="16.5" thickBot="1" x14ac:dyDescent="0.3">
      <c r="A36" s="256"/>
      <c r="B36" s="9"/>
      <c r="C36" s="9" t="s">
        <v>237</v>
      </c>
      <c r="D36" s="9"/>
      <c r="E36" s="9"/>
      <c r="F36" s="9"/>
      <c r="G36" s="296"/>
      <c r="H36" s="296"/>
      <c r="I36" s="296"/>
      <c r="J36" s="308"/>
      <c r="K36" s="622">
        <f>VLOOKUP($F$1,Part3,34,FALSE)</f>
        <v>85116048.166666672</v>
      </c>
      <c r="L36" s="623"/>
      <c r="M36" s="367"/>
      <c r="N36" s="9"/>
      <c r="O36" s="622">
        <f>VLOOKUP($F$1,Part3,35,FALSE)</f>
        <v>69817664</v>
      </c>
      <c r="P36" s="623"/>
      <c r="Q36" s="48"/>
      <c r="R36" s="48"/>
      <c r="S36" s="622">
        <f>VLOOKUP($F$1,Part3,36,FALSE)</f>
        <v>171767</v>
      </c>
      <c r="T36" s="623"/>
      <c r="U36" s="494"/>
      <c r="V36" s="342"/>
      <c r="W36" s="342"/>
      <c r="X36" s="342"/>
      <c r="Y36" s="333"/>
      <c r="Z36" s="495"/>
      <c r="AD36" s="66"/>
    </row>
    <row r="37" spans="1:30" ht="15" customHeight="1" thickBot="1" x14ac:dyDescent="0.25">
      <c r="A37" s="256"/>
      <c r="B37" s="9"/>
      <c r="C37" s="9"/>
      <c r="D37" s="9"/>
      <c r="E37" s="9"/>
      <c r="F37" s="9"/>
      <c r="G37" s="48"/>
      <c r="H37" s="48"/>
      <c r="I37" s="48"/>
      <c r="J37" s="308"/>
      <c r="K37" s="59"/>
      <c r="L37" s="48"/>
      <c r="M37" s="48"/>
      <c r="N37" s="9"/>
      <c r="O37" s="48"/>
      <c r="P37" s="48"/>
      <c r="Q37" s="48"/>
      <c r="R37" s="48"/>
      <c r="S37" s="48"/>
      <c r="T37" s="48"/>
      <c r="U37" s="494"/>
      <c r="V37" s="342"/>
      <c r="W37" s="342"/>
      <c r="X37" s="342"/>
      <c r="Y37" s="333"/>
      <c r="Z37" s="495"/>
    </row>
    <row r="38" spans="1:30" x14ac:dyDescent="0.2">
      <c r="A38" s="256"/>
      <c r="B38" s="545"/>
      <c r="C38" s="467"/>
      <c r="D38" s="467"/>
      <c r="E38" s="467"/>
      <c r="F38" s="467"/>
      <c r="G38" s="462"/>
      <c r="H38" s="462"/>
      <c r="I38" s="462"/>
      <c r="J38" s="548"/>
      <c r="K38" s="462"/>
      <c r="L38" s="462"/>
      <c r="M38" s="462"/>
      <c r="N38" s="462"/>
      <c r="O38" s="462"/>
      <c r="P38" s="462"/>
      <c r="Q38" s="462"/>
      <c r="R38" s="462"/>
      <c r="S38" s="462"/>
      <c r="T38" s="462"/>
      <c r="U38" s="513"/>
      <c r="V38" s="462"/>
      <c r="W38" s="693" t="s">
        <v>732</v>
      </c>
      <c r="X38" s="694"/>
      <c r="Y38" s="514"/>
      <c r="Z38" s="495"/>
    </row>
    <row r="39" spans="1:30" ht="27" customHeight="1" thickBot="1" x14ac:dyDescent="0.3">
      <c r="A39" s="256"/>
      <c r="B39" s="546"/>
      <c r="C39" s="469" t="s">
        <v>592</v>
      </c>
      <c r="D39" s="333"/>
      <c r="E39" s="333"/>
      <c r="F39" s="333"/>
      <c r="G39" s="624"/>
      <c r="H39" s="624"/>
      <c r="I39" s="529"/>
      <c r="J39" s="549"/>
      <c r="K39" s="624"/>
      <c r="L39" s="624"/>
      <c r="M39" s="529"/>
      <c r="N39" s="529"/>
      <c r="O39" s="529"/>
      <c r="P39" s="529"/>
      <c r="Q39" s="529"/>
      <c r="R39" s="529"/>
      <c r="S39" s="529"/>
      <c r="T39" s="529"/>
      <c r="U39" s="515"/>
      <c r="V39" s="516"/>
      <c r="W39" s="695"/>
      <c r="X39" s="695"/>
      <c r="Y39" s="506"/>
      <c r="Z39" s="495"/>
    </row>
    <row r="40" spans="1:30" ht="16.5" thickBot="1" x14ac:dyDescent="0.25">
      <c r="A40" s="256"/>
      <c r="B40" s="546"/>
      <c r="C40" s="333" t="s">
        <v>243</v>
      </c>
      <c r="D40" s="333"/>
      <c r="E40" s="333"/>
      <c r="F40" s="333"/>
      <c r="G40" s="333"/>
      <c r="H40" s="333"/>
      <c r="I40" s="333"/>
      <c r="J40" s="546"/>
      <c r="K40" s="622">
        <f>VLOOKUP($F$1,Part3,37,FALSE)</f>
        <v>23351578</v>
      </c>
      <c r="L40" s="623"/>
      <c r="M40" s="342"/>
      <c r="N40" s="342"/>
      <c r="O40" s="622">
        <f>VLOOKUP($F$1,Part3,38,FALSE)</f>
        <v>6107528</v>
      </c>
      <c r="P40" s="623"/>
      <c r="Q40" s="333"/>
      <c r="R40" s="342"/>
      <c r="S40" s="622">
        <f>VLOOKUP($F$1,Part3,39,FALSE)</f>
        <v>0</v>
      </c>
      <c r="T40" s="623"/>
      <c r="U40" s="517"/>
      <c r="V40" s="342"/>
      <c r="W40" s="626">
        <f>VLOOKUP($F$1,Part3,40,FALSE)</f>
        <v>29459106</v>
      </c>
      <c r="X40" s="627"/>
      <c r="Y40" s="506"/>
      <c r="Z40" s="416"/>
    </row>
    <row r="41" spans="1:30" ht="15.75" thickBot="1" x14ac:dyDescent="0.25">
      <c r="A41" s="256"/>
      <c r="B41" s="547"/>
      <c r="C41" s="465"/>
      <c r="D41" s="465"/>
      <c r="E41" s="465"/>
      <c r="F41" s="465"/>
      <c r="G41" s="465"/>
      <c r="H41" s="465"/>
      <c r="I41" s="465"/>
      <c r="J41" s="547"/>
      <c r="K41" s="465"/>
      <c r="L41" s="465"/>
      <c r="M41" s="465"/>
      <c r="N41" s="465"/>
      <c r="O41" s="465"/>
      <c r="P41" s="465"/>
      <c r="Q41" s="465"/>
      <c r="R41" s="465"/>
      <c r="S41" s="465"/>
      <c r="T41" s="465"/>
      <c r="U41" s="510"/>
      <c r="V41" s="465"/>
      <c r="W41" s="465"/>
      <c r="X41" s="465"/>
      <c r="Y41" s="510"/>
      <c r="Z41" s="495"/>
    </row>
    <row r="42" spans="1:30" ht="15.75" thickBot="1" x14ac:dyDescent="0.25">
      <c r="A42" s="33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2"/>
    </row>
    <row r="44" spans="1:30" x14ac:dyDescent="0.2">
      <c r="C44" s="69"/>
      <c r="D44" s="69"/>
      <c r="E44" s="69"/>
    </row>
    <row r="45" spans="1:30" x14ac:dyDescent="0.2">
      <c r="C45" s="8"/>
      <c r="D45" s="54"/>
      <c r="E45" s="54"/>
      <c r="F45" s="163"/>
      <c r="G45" s="163"/>
    </row>
    <row r="46" spans="1:30" s="241" customFormat="1" x14ac:dyDescent="0.2">
      <c r="D46" s="240"/>
      <c r="E46" s="240"/>
    </row>
    <row r="47" spans="1:30" s="588" customFormat="1" x14ac:dyDescent="0.25">
      <c r="D47" s="705"/>
      <c r="E47" s="705"/>
    </row>
    <row r="48" spans="1:30" s="588" customFormat="1" x14ac:dyDescent="0.25">
      <c r="D48" s="705"/>
      <c r="E48" s="705"/>
    </row>
    <row r="49" spans="3:5" s="588" customFormat="1" x14ac:dyDescent="0.25">
      <c r="D49" s="589"/>
      <c r="E49" s="589"/>
    </row>
    <row r="50" spans="3:5" s="588" customFormat="1" x14ac:dyDescent="0.25"/>
    <row r="51" spans="3:5" s="588" customFormat="1" x14ac:dyDescent="0.25">
      <c r="C51" s="588" t="str">
        <f>VLOOKUP($F$1,Part3,43,FALSE)</f>
        <v>Designated Area 1</v>
      </c>
      <c r="D51" s="588" t="str">
        <f>IF(ISBLANK(VLOOKUP($F$1,Part3,44,FALSE)),"",VLOOKUP($F$1,Part3,44,FALSE))</f>
        <v>Designated Area 2</v>
      </c>
      <c r="E51" s="588" t="str">
        <f>IF(ISBLANK(VLOOKUP($F$1,Part3,45,FALSE)),"",VLOOKUP($F$1,Part3,45,FALSE))</f>
        <v>Designated Area 3</v>
      </c>
    </row>
    <row r="52" spans="3:5" s="588" customFormat="1" x14ac:dyDescent="0.25"/>
    <row r="53" spans="3:5" s="588" customFormat="1" x14ac:dyDescent="0.25"/>
    <row r="54" spans="3:5" s="588" customFormat="1" x14ac:dyDescent="0.25"/>
    <row r="55" spans="3:5" s="588" customFormat="1" x14ac:dyDescent="0.25"/>
    <row r="56" spans="3:5" s="588" customFormat="1" x14ac:dyDescent="0.25"/>
    <row r="57" spans="3:5" s="588" customFormat="1" x14ac:dyDescent="0.25"/>
    <row r="58" spans="3:5" s="588" customFormat="1" x14ac:dyDescent="0.25"/>
    <row r="59" spans="3:5" s="588" customFormat="1" x14ac:dyDescent="0.25"/>
    <row r="60" spans="3:5" s="241" customFormat="1" x14ac:dyDescent="0.2"/>
    <row r="61" spans="3:5" s="241" customFormat="1" x14ac:dyDescent="0.2"/>
    <row r="62" spans="3:5" s="241" customFormat="1" x14ac:dyDescent="0.2"/>
    <row r="63" spans="3:5" s="241" customFormat="1" x14ac:dyDescent="0.2"/>
    <row r="64" spans="3:5" s="241" customFormat="1" x14ac:dyDescent="0.2"/>
    <row r="65" s="241" customFormat="1" x14ac:dyDescent="0.2"/>
    <row r="66" s="241" customFormat="1" x14ac:dyDescent="0.2"/>
    <row r="67" s="241" customFormat="1" x14ac:dyDescent="0.2"/>
    <row r="68" s="241" customFormat="1" x14ac:dyDescent="0.2"/>
    <row r="69" s="241" customFormat="1" x14ac:dyDescent="0.2"/>
    <row r="70" s="241" customFormat="1" x14ac:dyDescent="0.2"/>
    <row r="71" s="241" customFormat="1" x14ac:dyDescent="0.2"/>
    <row r="72" s="241" customFormat="1" x14ac:dyDescent="0.2"/>
    <row r="73" s="241" customFormat="1" x14ac:dyDescent="0.2"/>
  </sheetData>
  <mergeCells count="68">
    <mergeCell ref="D47:E47"/>
    <mergeCell ref="D48:E48"/>
    <mergeCell ref="C9:E9"/>
    <mergeCell ref="G9:H9"/>
    <mergeCell ref="K9:L9"/>
    <mergeCell ref="G13:H13"/>
    <mergeCell ref="K13:L13"/>
    <mergeCell ref="K34:L34"/>
    <mergeCell ref="G10:H12"/>
    <mergeCell ref="C5:G5"/>
    <mergeCell ref="O9:P9"/>
    <mergeCell ref="K8:T8"/>
    <mergeCell ref="A2:Z2"/>
    <mergeCell ref="A3:Z3"/>
    <mergeCell ref="W9:X9"/>
    <mergeCell ref="S9:T9"/>
    <mergeCell ref="W10:X11"/>
    <mergeCell ref="W12:X12"/>
    <mergeCell ref="K10:L12"/>
    <mergeCell ref="O10:P12"/>
    <mergeCell ref="S10:T12"/>
    <mergeCell ref="W13:X13"/>
    <mergeCell ref="C14:E16"/>
    <mergeCell ref="G14:H14"/>
    <mergeCell ref="K14:L14"/>
    <mergeCell ref="O14:P14"/>
    <mergeCell ref="S14:T14"/>
    <mergeCell ref="W14:X14"/>
    <mergeCell ref="O13:P13"/>
    <mergeCell ref="S13:T13"/>
    <mergeCell ref="W19:X19"/>
    <mergeCell ref="C22:E23"/>
    <mergeCell ref="G22:H22"/>
    <mergeCell ref="K22:L22"/>
    <mergeCell ref="O22:P22"/>
    <mergeCell ref="S22:T22"/>
    <mergeCell ref="W22:X22"/>
    <mergeCell ref="C19:E20"/>
    <mergeCell ref="G19:H19"/>
    <mergeCell ref="K19:L19"/>
    <mergeCell ref="O19:P19"/>
    <mergeCell ref="S19:T19"/>
    <mergeCell ref="W27:X27"/>
    <mergeCell ref="E30:E31"/>
    <mergeCell ref="W31:X31"/>
    <mergeCell ref="E32:E33"/>
    <mergeCell ref="G32:H32"/>
    <mergeCell ref="K32:L32"/>
    <mergeCell ref="O32:P32"/>
    <mergeCell ref="S32:T32"/>
    <mergeCell ref="W32:X32"/>
    <mergeCell ref="G27:H27"/>
    <mergeCell ref="K27:L27"/>
    <mergeCell ref="O27:P27"/>
    <mergeCell ref="S27:T27"/>
    <mergeCell ref="O34:P34"/>
    <mergeCell ref="S34:T34"/>
    <mergeCell ref="W34:X34"/>
    <mergeCell ref="K36:L36"/>
    <mergeCell ref="O36:P36"/>
    <mergeCell ref="S36:T36"/>
    <mergeCell ref="W38:X39"/>
    <mergeCell ref="G39:H39"/>
    <mergeCell ref="K40:L40"/>
    <mergeCell ref="O40:P40"/>
    <mergeCell ref="S40:T40"/>
    <mergeCell ref="W40:X40"/>
    <mergeCell ref="K39:L39"/>
  </mergeCells>
  <conditionalFormatting sqref="Z19">
    <cfRule type="expression" dxfId="12" priority="14">
      <formula>AND($AC19=0)=FALSE</formula>
    </cfRule>
  </conditionalFormatting>
  <conditionalFormatting sqref="Z22">
    <cfRule type="expression" dxfId="11" priority="13">
      <formula>AND($AC22=0)=FALSE</formula>
    </cfRule>
  </conditionalFormatting>
  <conditionalFormatting sqref="Z32">
    <cfRule type="expression" dxfId="10" priority="12">
      <formula>AND($AC32=0)=FALSE</formula>
    </cfRule>
  </conditionalFormatting>
  <conditionalFormatting sqref="Z40">
    <cfRule type="expression" dxfId="9" priority="11">
      <formula>AND($AC40=0)=FALSE</formula>
    </cfRule>
  </conditionalFormatting>
  <conditionalFormatting sqref="Z14">
    <cfRule type="expression" dxfId="8" priority="10">
      <formula>AND($AC14+AC16=0)=FALSE</formula>
    </cfRule>
  </conditionalFormatting>
  <conditionalFormatting sqref="Z27">
    <cfRule type="expression" dxfId="7" priority="9">
      <formula>AND($AC27+AC29+AC30=0)=FALSE</formula>
    </cfRule>
  </conditionalFormatting>
  <dataValidations disablePrompts="1" count="1">
    <dataValidation allowBlank="1" showInputMessage="1" sqref="D47:E48"/>
  </dataValidations>
  <printOptions horizontalCentered="1" verticalCentered="1"/>
  <pageMargins left="0.7" right="0.7" top="0.75" bottom="0.75" header="0.3" footer="0.3"/>
  <pageSetup paperSize="9" scale="42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389CB83D-84D5-41D1-926F-D7678975FF88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R13:U13 R15:U18 R14 U14 R20:U21 R19 U19 R23:U26 R22 U22 R28:U31 R27 U27 R33:U33 R32 U32 R35:U35 R34 U34 R37:U39 R36 U36 R41:U41 R40 U40</xm:sqref>
        </x14:conditionalFormatting>
        <x14:conditionalFormatting xmlns:xm="http://schemas.microsoft.com/office/excel/2006/main">
          <x14:cfRule type="expression" priority="15" id="{9C204D0E-B467-4D82-ACD5-A6B2E7C91C55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N15:U18 N14 Q14:R14 U14 N20:U21 N19 Q19:R19 U19 N23:U26 N22 Q22:R22 U22 N28:U31 N27 Q27:R27 U27 N33:U33 N32 Q32:R32 U32 N35:U35 N34 Q34:R34 U34 N37:U39 N36 Q36:R36 U36 N41:U41 N40 Q40:R40 U40 N13:U13</xm:sqref>
        </x14:conditionalFormatting>
        <x14:conditionalFormatting xmlns:xm="http://schemas.microsoft.com/office/excel/2006/main">
          <x14:cfRule type="expression" priority="1" id="{9AEE5BEF-C63E-43D8-BFCC-EDDB8A157DA8}">
            <xm:f>AND('\\desktop21.dclg.gov.uk\DCLGDFS\LGF3Data\NNDR 1 - 3\NNDR1\2016-17\Docs to LAS\[NNDR1 2016-17 form v1.3c.xlsx]Part 1'!#REF!=0)=TRUE</xm:f>
            <x14:dxf>
              <fill>
                <patternFill>
                  <bgColor theme="0" tint="-0.24994659260841701"/>
                </patternFill>
              </fill>
            </x14:dxf>
          </x14:cfRule>
          <xm:sqref>J15:U18 J14 M14:N14 Q14:R14 U14 J20:U21 J19 M19:N19 Q19:R19 U19 J23:U26 J22 M22:N22 Q22:R22 U22 J28:U31 J27 M27:N27 Q27:R27 U27 J33:U33 J32 M32:N32 Q32:R32 U32 J35:U35 J34 M34:N34 Q34:R34 U34 J37:U39 J36 M36:N36 Q36:R36 U36 J41:U41 J40 M40:N40 Q40:R40 U40 J13:U13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P64"/>
  <sheetViews>
    <sheetView showGridLines="0" topLeftCell="A26" zoomScaleNormal="100" zoomScaleSheetLayoutView="100" workbookViewId="0">
      <selection activeCell="K11" sqref="K11:L56"/>
    </sheetView>
  </sheetViews>
  <sheetFormatPr defaultRowHeight="12.75" x14ac:dyDescent="0.2"/>
  <cols>
    <col min="1" max="2" width="2.28515625" customWidth="1"/>
    <col min="3" max="4" width="14.28515625" customWidth="1"/>
    <col min="5" max="5" width="47.42578125" customWidth="1"/>
    <col min="6" max="7" width="14.28515625" customWidth="1"/>
    <col min="8" max="9" width="9.7109375" customWidth="1"/>
    <col min="10" max="10" width="11.42578125" customWidth="1"/>
    <col min="11" max="12" width="9.85546875" customWidth="1"/>
    <col min="13" max="14" width="2.28515625" customWidth="1"/>
    <col min="15" max="15" width="10.140625" bestFit="1" customWidth="1"/>
  </cols>
  <sheetData>
    <row r="1" spans="1:16" ht="15" x14ac:dyDescent="0.2">
      <c r="A1" s="41"/>
      <c r="B1" s="42"/>
      <c r="C1" s="42"/>
      <c r="D1" s="42"/>
      <c r="E1" s="42"/>
      <c r="F1" s="160">
        <f>+'Part 3'!F1</f>
        <v>327</v>
      </c>
      <c r="G1" s="42"/>
      <c r="H1" s="42"/>
      <c r="I1" s="42"/>
      <c r="J1" s="42"/>
      <c r="K1" s="42"/>
      <c r="L1" s="42"/>
      <c r="M1" s="42"/>
      <c r="N1" s="43"/>
    </row>
    <row r="2" spans="1:16" ht="15.75" x14ac:dyDescent="0.25">
      <c r="A2" s="684" t="s">
        <v>583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6"/>
    </row>
    <row r="3" spans="1:16" ht="15.75" x14ac:dyDescent="0.25">
      <c r="A3" s="684" t="s">
        <v>835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6"/>
    </row>
    <row r="4" spans="1:16" ht="15.75" thickBot="1" x14ac:dyDescent="0.25">
      <c r="A4" s="44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64"/>
      <c r="N4" s="46"/>
    </row>
    <row r="5" spans="1:16" x14ac:dyDescent="0.2">
      <c r="A5" s="20"/>
      <c r="B5" s="700"/>
      <c r="C5" s="700"/>
      <c r="D5" s="368"/>
      <c r="E5" s="368"/>
      <c r="F5" s="2"/>
      <c r="G5" s="2"/>
      <c r="H5" s="2"/>
      <c r="I5" s="2"/>
      <c r="J5" s="2"/>
      <c r="K5" s="2"/>
      <c r="L5" s="2"/>
      <c r="M5" s="2"/>
      <c r="N5" s="39"/>
    </row>
    <row r="6" spans="1:16" ht="18" x14ac:dyDescent="0.25">
      <c r="A6" s="256"/>
      <c r="B6" s="47" t="str">
        <f>+CONCATENATE("Local Authority : ",+'Part 1'!N140)</f>
        <v>Local Authority : England</v>
      </c>
      <c r="C6" s="47"/>
      <c r="D6" s="47"/>
      <c r="E6" s="47"/>
      <c r="F6" s="9"/>
      <c r="G6" s="9"/>
      <c r="H6" s="9"/>
      <c r="I6" s="9"/>
      <c r="J6" s="9"/>
      <c r="K6" s="9"/>
      <c r="L6" s="9"/>
      <c r="M6" s="9"/>
      <c r="N6" s="170"/>
    </row>
    <row r="7" spans="1:16" ht="15.75" x14ac:dyDescent="0.25">
      <c r="A7" s="295"/>
      <c r="B7" s="362"/>
      <c r="C7" s="362"/>
      <c r="D7" s="362"/>
      <c r="E7" s="362"/>
      <c r="F7" s="12"/>
      <c r="G7" s="9"/>
      <c r="H7" s="9"/>
      <c r="I7" s="9"/>
      <c r="J7" s="9"/>
      <c r="K7" s="9"/>
      <c r="L7" s="9"/>
      <c r="M7" s="9"/>
      <c r="N7" s="170"/>
    </row>
    <row r="8" spans="1:16" ht="15.75" x14ac:dyDescent="0.25">
      <c r="A8" s="20"/>
      <c r="B8" s="10" t="s">
        <v>588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170"/>
    </row>
    <row r="9" spans="1:16" ht="15.75" x14ac:dyDescent="0.25">
      <c r="A9" s="20"/>
      <c r="B9" s="10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70"/>
    </row>
    <row r="10" spans="1:16" ht="16.5" thickBot="1" x14ac:dyDescent="0.3">
      <c r="A10" s="20"/>
      <c r="B10" s="10" t="s">
        <v>238</v>
      </c>
      <c r="C10" s="9"/>
      <c r="D10" s="9"/>
      <c r="E10" s="9"/>
      <c r="F10" s="9"/>
      <c r="G10" s="9"/>
      <c r="H10" s="647" t="s">
        <v>555</v>
      </c>
      <c r="I10" s="647"/>
      <c r="J10" s="9"/>
      <c r="K10" s="691" t="s">
        <v>555</v>
      </c>
      <c r="L10" s="691"/>
      <c r="M10" s="9"/>
      <c r="N10" s="170"/>
    </row>
    <row r="11" spans="1:16" ht="16.5" thickBot="1" x14ac:dyDescent="0.25">
      <c r="A11" s="20"/>
      <c r="B11" s="9" t="s">
        <v>20</v>
      </c>
      <c r="C11" s="9"/>
      <c r="D11" s="9"/>
      <c r="E11" s="9"/>
      <c r="F11" s="9"/>
      <c r="G11" s="9"/>
      <c r="H11" s="48"/>
      <c r="I11" s="48"/>
      <c r="J11" s="48"/>
      <c r="K11" s="622">
        <f>VLOOKUP($F$1,Part4,6,FALSE)</f>
        <v>-1417783189.6010003</v>
      </c>
      <c r="L11" s="623"/>
      <c r="M11" s="9"/>
      <c r="N11" s="170"/>
    </row>
    <row r="12" spans="1:16" ht="15.75" x14ac:dyDescent="0.25">
      <c r="A12" s="20"/>
      <c r="B12" s="10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170"/>
    </row>
    <row r="13" spans="1:16" ht="16.5" thickBot="1" x14ac:dyDescent="0.3">
      <c r="A13" s="20"/>
      <c r="B13" s="10" t="s">
        <v>872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170"/>
    </row>
    <row r="14" spans="1:16" ht="16.5" thickBot="1" x14ac:dyDescent="0.25">
      <c r="A14" s="20"/>
      <c r="B14" s="9" t="s">
        <v>873</v>
      </c>
      <c r="C14" s="9"/>
      <c r="D14" s="9"/>
      <c r="E14" s="9"/>
      <c r="F14" s="9"/>
      <c r="G14" s="9"/>
      <c r="H14" s="622">
        <f>VLOOKUP($F$1,Part4,7,FALSE)</f>
        <v>23537417652</v>
      </c>
      <c r="I14" s="623"/>
      <c r="J14" s="9"/>
      <c r="K14" s="9"/>
      <c r="L14" s="9"/>
      <c r="M14" s="9"/>
      <c r="N14" s="170"/>
      <c r="P14" s="69"/>
    </row>
    <row r="15" spans="1:16" ht="16.5" thickBot="1" x14ac:dyDescent="0.3">
      <c r="A15" s="20"/>
      <c r="B15" s="10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170"/>
    </row>
    <row r="16" spans="1:16" ht="16.5" thickBot="1" x14ac:dyDescent="0.25">
      <c r="A16" s="20"/>
      <c r="B16" s="9" t="s">
        <v>874</v>
      </c>
      <c r="C16" s="9"/>
      <c r="D16" s="9"/>
      <c r="E16" s="9"/>
      <c r="F16" s="9"/>
      <c r="G16" s="9"/>
      <c r="H16" s="622">
        <f>VLOOKUP($F$1,Part4,8,FALSE)</f>
        <v>-50292038</v>
      </c>
      <c r="I16" s="623"/>
      <c r="J16" s="9"/>
      <c r="K16" s="9"/>
      <c r="L16" s="9"/>
      <c r="M16" s="9"/>
      <c r="N16" s="170"/>
      <c r="P16" s="69"/>
    </row>
    <row r="17" spans="1:16" ht="16.5" thickBot="1" x14ac:dyDescent="0.3">
      <c r="A17" s="20"/>
      <c r="B17" s="1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170"/>
    </row>
    <row r="18" spans="1:16" ht="16.5" thickBot="1" x14ac:dyDescent="0.25">
      <c r="A18" s="20"/>
      <c r="B18" s="9" t="s">
        <v>875</v>
      </c>
      <c r="C18" s="9"/>
      <c r="D18" s="9"/>
      <c r="E18" s="9"/>
      <c r="F18" s="9"/>
      <c r="G18" s="9"/>
      <c r="H18" s="622">
        <f>VLOOKUP($F$1,Part4,9,FALSE)</f>
        <v>-172018627</v>
      </c>
      <c r="I18" s="623"/>
      <c r="J18" s="9"/>
      <c r="K18" s="9"/>
      <c r="L18" s="9"/>
      <c r="M18" s="9"/>
      <c r="N18" s="170"/>
      <c r="P18" s="69"/>
    </row>
    <row r="19" spans="1:16" ht="16.5" thickBot="1" x14ac:dyDescent="0.3">
      <c r="A19" s="20"/>
      <c r="B19" s="1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170"/>
    </row>
    <row r="20" spans="1:16" ht="16.5" thickBot="1" x14ac:dyDescent="0.25">
      <c r="A20" s="20"/>
      <c r="B20" s="9" t="s">
        <v>876</v>
      </c>
      <c r="C20" s="9"/>
      <c r="D20" s="9"/>
      <c r="E20" s="9"/>
      <c r="F20" s="9"/>
      <c r="G20" s="9"/>
      <c r="H20" s="622">
        <f>VLOOKUP($F$1,Part4,10,FALSE)</f>
        <v>562745063</v>
      </c>
      <c r="I20" s="623"/>
      <c r="J20" s="9"/>
      <c r="K20" s="9"/>
      <c r="L20" s="9"/>
      <c r="M20" s="9"/>
      <c r="N20" s="170"/>
      <c r="P20" s="69"/>
    </row>
    <row r="21" spans="1:16" ht="16.5" thickBot="1" x14ac:dyDescent="0.3">
      <c r="A21" s="20"/>
      <c r="B21" s="1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170"/>
    </row>
    <row r="22" spans="1:16" ht="16.5" thickBot="1" x14ac:dyDescent="0.25">
      <c r="A22" s="20"/>
      <c r="B22" s="9" t="s">
        <v>877</v>
      </c>
      <c r="C22" s="9"/>
      <c r="D22" s="9"/>
      <c r="E22" s="9"/>
      <c r="F22" s="9"/>
      <c r="G22" s="9"/>
      <c r="H22" s="622">
        <f>VLOOKUP($F$1,Part4,11,FALSE)</f>
        <v>-844332263</v>
      </c>
      <c r="I22" s="623"/>
      <c r="J22" s="9"/>
      <c r="K22" s="9"/>
      <c r="L22" s="9"/>
      <c r="M22" s="9"/>
      <c r="N22" s="170"/>
      <c r="P22" s="69"/>
    </row>
    <row r="23" spans="1:16" ht="15.75" thickBot="1" x14ac:dyDescent="0.25">
      <c r="A23" s="2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170"/>
    </row>
    <row r="24" spans="1:16" ht="16.5" thickBot="1" x14ac:dyDescent="0.3">
      <c r="A24" s="20"/>
      <c r="B24" s="10" t="s">
        <v>878</v>
      </c>
      <c r="C24" s="9"/>
      <c r="D24" s="9"/>
      <c r="E24" s="9"/>
      <c r="F24" s="9"/>
      <c r="G24" s="9"/>
      <c r="H24" s="332"/>
      <c r="I24" s="332"/>
      <c r="J24" s="9"/>
      <c r="K24" s="622">
        <f>VLOOKUP($F$1,Part4,12,FALSE)</f>
        <v>23033519787</v>
      </c>
      <c r="L24" s="623"/>
      <c r="M24" s="9"/>
      <c r="N24" s="39"/>
    </row>
    <row r="25" spans="1:16" ht="15.75" x14ac:dyDescent="0.25">
      <c r="A25" s="20"/>
      <c r="B25" s="1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170"/>
      <c r="P25" s="69"/>
    </row>
    <row r="26" spans="1:16" ht="16.5" thickBot="1" x14ac:dyDescent="0.3">
      <c r="A26" s="20"/>
      <c r="B26" s="10" t="s">
        <v>879</v>
      </c>
      <c r="C26" s="9"/>
      <c r="D26" s="9"/>
      <c r="E26" s="9"/>
      <c r="F26" s="9"/>
      <c r="G26" s="9"/>
      <c r="H26" s="48"/>
      <c r="I26" s="48"/>
      <c r="J26" s="48"/>
      <c r="K26" s="48"/>
      <c r="L26" s="48"/>
      <c r="M26" s="9"/>
      <c r="N26" s="170"/>
    </row>
    <row r="27" spans="1:16" ht="16.5" thickBot="1" x14ac:dyDescent="0.25">
      <c r="A27" s="20"/>
      <c r="B27" s="9" t="s">
        <v>880</v>
      </c>
      <c r="C27" s="9"/>
      <c r="D27" s="9"/>
      <c r="E27" s="9"/>
      <c r="F27" s="9"/>
      <c r="G27" s="9"/>
      <c r="H27" s="622">
        <f>VLOOKUP($F$1,Part4,13,FALSE)</f>
        <v>28976999</v>
      </c>
      <c r="I27" s="623"/>
      <c r="J27" s="48"/>
      <c r="K27" s="48"/>
      <c r="L27" s="48"/>
      <c r="M27" s="9"/>
      <c r="N27" s="170"/>
      <c r="P27" s="69"/>
    </row>
    <row r="28" spans="1:16" ht="15.75" thickBot="1" x14ac:dyDescent="0.25">
      <c r="A28" s="20"/>
      <c r="B28" s="9"/>
      <c r="C28" s="9"/>
      <c r="D28" s="9"/>
      <c r="E28" s="9"/>
      <c r="F28" s="9"/>
      <c r="G28" s="9"/>
      <c r="H28" s="48"/>
      <c r="I28" s="48"/>
      <c r="J28" s="48"/>
      <c r="K28" s="48"/>
      <c r="L28" s="48"/>
      <c r="M28" s="9"/>
      <c r="N28" s="170"/>
    </row>
    <row r="29" spans="1:16" ht="16.5" customHeight="1" thickBot="1" x14ac:dyDescent="0.25">
      <c r="A29" s="20"/>
      <c r="B29" s="9" t="s">
        <v>881</v>
      </c>
      <c r="C29" s="9"/>
      <c r="D29" s="9"/>
      <c r="E29" s="9"/>
      <c r="F29" s="9"/>
      <c r="G29" s="9"/>
      <c r="H29" s="622">
        <f>VLOOKUP($F$1,Part4,14,FALSE)</f>
        <v>8959612</v>
      </c>
      <c r="I29" s="623"/>
      <c r="J29" s="48"/>
      <c r="K29" s="48"/>
      <c r="L29" s="48"/>
      <c r="M29" s="9"/>
      <c r="N29" s="170"/>
      <c r="P29" s="69"/>
    </row>
    <row r="30" spans="1:16" ht="16.5" thickBot="1" x14ac:dyDescent="0.25">
      <c r="A30" s="20"/>
      <c r="B30" s="9"/>
      <c r="C30" s="9"/>
      <c r="D30" s="9"/>
      <c r="E30" s="9"/>
      <c r="F30" s="9"/>
      <c r="G30" s="9"/>
      <c r="H30" s="59"/>
      <c r="I30" s="59"/>
      <c r="J30" s="48"/>
      <c r="K30" s="48"/>
      <c r="L30" s="48"/>
      <c r="M30" s="9"/>
      <c r="N30" s="170"/>
    </row>
    <row r="31" spans="1:16" ht="16.5" thickBot="1" x14ac:dyDescent="0.25">
      <c r="A31" s="20"/>
      <c r="B31" s="9" t="s">
        <v>882</v>
      </c>
      <c r="C31" s="9"/>
      <c r="D31" s="9"/>
      <c r="E31" s="9"/>
      <c r="F31" s="9"/>
      <c r="G31" s="9"/>
      <c r="H31" s="622">
        <f>VLOOKUP($F$1,Part4,15,FALSE)</f>
        <v>671244578</v>
      </c>
      <c r="I31" s="623"/>
      <c r="J31" s="48"/>
      <c r="K31" s="48"/>
      <c r="L31" s="48"/>
      <c r="M31" s="9"/>
      <c r="N31" s="170"/>
    </row>
    <row r="32" spans="1:16" ht="16.5" thickBot="1" x14ac:dyDescent="0.25">
      <c r="A32" s="20"/>
      <c r="B32" s="9"/>
      <c r="C32" s="9"/>
      <c r="D32" s="9"/>
      <c r="E32" s="9"/>
      <c r="F32" s="9"/>
      <c r="G32" s="9"/>
      <c r="H32" s="59"/>
      <c r="I32" s="59"/>
      <c r="J32" s="48"/>
      <c r="K32" s="48"/>
      <c r="L32" s="48"/>
      <c r="M32" s="9"/>
      <c r="N32" s="170"/>
      <c r="P32" s="69"/>
    </row>
    <row r="33" spans="1:16" ht="16.5" thickBot="1" x14ac:dyDescent="0.3">
      <c r="A33" s="20"/>
      <c r="B33" s="10" t="s">
        <v>883</v>
      </c>
      <c r="C33" s="9"/>
      <c r="D33" s="9"/>
      <c r="E33" s="9"/>
      <c r="F33" s="9"/>
      <c r="G33" s="9"/>
      <c r="H33" s="48"/>
      <c r="I33" s="48"/>
      <c r="J33" s="48"/>
      <c r="K33" s="622">
        <f>VLOOKUP($F$1,Part4,16,FALSE)</f>
        <v>709181189</v>
      </c>
      <c r="L33" s="623"/>
      <c r="M33" s="9"/>
      <c r="N33" s="39"/>
    </row>
    <row r="34" spans="1:16" ht="15" x14ac:dyDescent="0.2">
      <c r="A34" s="20"/>
      <c r="B34" s="9"/>
      <c r="C34" s="9"/>
      <c r="D34" s="9"/>
      <c r="E34" s="9"/>
      <c r="F34" s="9"/>
      <c r="G34" s="9"/>
      <c r="H34" s="48"/>
      <c r="I34" s="48"/>
      <c r="J34" s="48"/>
      <c r="K34" s="48"/>
      <c r="L34" s="48"/>
      <c r="M34" s="9"/>
      <c r="N34" s="170"/>
    </row>
    <row r="35" spans="1:16" ht="16.5" customHeight="1" thickBot="1" x14ac:dyDescent="0.3">
      <c r="A35" s="20"/>
      <c r="B35" s="10" t="s">
        <v>884</v>
      </c>
      <c r="C35" s="9"/>
      <c r="D35" s="9"/>
      <c r="E35" s="9"/>
      <c r="F35" s="9"/>
      <c r="G35" s="9"/>
      <c r="H35" s="48"/>
      <c r="I35" s="48"/>
      <c r="J35" s="48"/>
      <c r="K35" s="48"/>
      <c r="L35" s="48"/>
      <c r="M35" s="9"/>
      <c r="N35" s="170"/>
      <c r="P35" s="69"/>
    </row>
    <row r="36" spans="1:16" ht="16.5" thickBot="1" x14ac:dyDescent="0.25">
      <c r="A36" s="20"/>
      <c r="B36" s="9" t="s">
        <v>885</v>
      </c>
      <c r="C36" s="9"/>
      <c r="D36" s="9"/>
      <c r="E36" s="9"/>
      <c r="F36" s="9"/>
      <c r="G36" s="9"/>
      <c r="H36" s="622">
        <f>VLOOKUP($F$1,Part4,17,FALSE)</f>
        <v>-146542784</v>
      </c>
      <c r="I36" s="623"/>
      <c r="J36" s="48"/>
      <c r="K36" s="48"/>
      <c r="L36" s="48"/>
      <c r="M36" s="9"/>
      <c r="N36" s="170"/>
    </row>
    <row r="37" spans="1:16" ht="15.75" thickBot="1" x14ac:dyDescent="0.25">
      <c r="A37" s="20"/>
      <c r="B37" s="9"/>
      <c r="C37" s="9"/>
      <c r="D37" s="9"/>
      <c r="E37" s="9"/>
      <c r="F37" s="9"/>
      <c r="G37" s="9"/>
      <c r="H37" s="48"/>
      <c r="I37" s="48"/>
      <c r="J37" s="48"/>
      <c r="K37" s="48"/>
      <c r="L37" s="48"/>
      <c r="M37" s="9"/>
      <c r="N37" s="170"/>
    </row>
    <row r="38" spans="1:16" ht="16.5" thickBot="1" x14ac:dyDescent="0.25">
      <c r="A38" s="20"/>
      <c r="B38" s="657" t="s">
        <v>886</v>
      </c>
      <c r="C38" s="657"/>
      <c r="D38" s="657"/>
      <c r="E38" s="657"/>
      <c r="F38" s="657"/>
      <c r="G38" s="9"/>
      <c r="H38" s="622">
        <f>VLOOKUP($F$1,Part4,18,FALSE)</f>
        <v>-11542029516</v>
      </c>
      <c r="I38" s="623"/>
      <c r="J38" s="48"/>
      <c r="K38" s="48"/>
      <c r="L38" s="48"/>
      <c r="M38" s="9"/>
      <c r="N38" s="170"/>
      <c r="P38" s="69"/>
    </row>
    <row r="39" spans="1:16" ht="15" x14ac:dyDescent="0.2">
      <c r="A39" s="20"/>
      <c r="B39" s="657"/>
      <c r="C39" s="657"/>
      <c r="D39" s="657"/>
      <c r="E39" s="657"/>
      <c r="F39" s="657"/>
      <c r="G39" s="9"/>
      <c r="H39" s="48"/>
      <c r="I39" s="48"/>
      <c r="J39" s="48"/>
      <c r="K39" s="48"/>
      <c r="L39" s="48"/>
      <c r="M39" s="9"/>
      <c r="N39" s="170"/>
    </row>
    <row r="40" spans="1:16" ht="15.75" thickBot="1" x14ac:dyDescent="0.25">
      <c r="A40" s="20"/>
      <c r="B40" s="9"/>
      <c r="C40" s="9"/>
      <c r="D40" s="9"/>
      <c r="E40" s="9"/>
      <c r="F40" s="9"/>
      <c r="G40" s="9"/>
      <c r="H40" s="48"/>
      <c r="I40" s="48"/>
      <c r="J40" s="48"/>
      <c r="K40" s="48"/>
      <c r="L40" s="48"/>
      <c r="M40" s="9"/>
      <c r="N40" s="170"/>
    </row>
    <row r="41" spans="1:16" ht="16.5" thickBot="1" x14ac:dyDescent="0.25">
      <c r="A41" s="20"/>
      <c r="B41" s="9" t="s">
        <v>887</v>
      </c>
      <c r="C41" s="9"/>
      <c r="D41" s="9"/>
      <c r="E41" s="9"/>
      <c r="F41" s="9"/>
      <c r="G41" s="9"/>
      <c r="H41" s="622">
        <f>VLOOKUP($F$1,Part4,19,FALSE)</f>
        <v>-2318464423</v>
      </c>
      <c r="I41" s="623"/>
      <c r="J41" s="48"/>
      <c r="K41" s="48"/>
      <c r="L41" s="48"/>
      <c r="M41" s="9"/>
      <c r="N41" s="170"/>
      <c r="P41" s="69"/>
    </row>
    <row r="42" spans="1:16" ht="15" x14ac:dyDescent="0.2">
      <c r="A42" s="20"/>
      <c r="B42" s="9" t="s">
        <v>888</v>
      </c>
      <c r="C42" s="9"/>
      <c r="D42" s="9"/>
      <c r="E42" s="9"/>
      <c r="F42" s="9"/>
      <c r="G42" s="9"/>
      <c r="H42" s="9"/>
      <c r="I42" s="9"/>
      <c r="J42" s="9"/>
      <c r="K42" s="48"/>
      <c r="L42" s="48"/>
      <c r="M42" s="9"/>
      <c r="N42" s="170"/>
    </row>
    <row r="43" spans="1:16" ht="15.75" thickBot="1" x14ac:dyDescent="0.25">
      <c r="A43" s="20"/>
      <c r="B43" s="9"/>
      <c r="C43" s="9"/>
      <c r="D43" s="9"/>
      <c r="E43" s="9"/>
      <c r="F43" s="9"/>
      <c r="G43" s="9"/>
      <c r="H43" s="48"/>
      <c r="I43" s="48"/>
      <c r="J43" s="48"/>
      <c r="K43" s="48"/>
      <c r="L43" s="48"/>
      <c r="M43" s="9"/>
      <c r="N43" s="170"/>
      <c r="P43" s="69"/>
    </row>
    <row r="44" spans="1:16" ht="16.5" thickBot="1" x14ac:dyDescent="0.25">
      <c r="A44" s="20"/>
      <c r="B44" s="657" t="s">
        <v>889</v>
      </c>
      <c r="C44" s="657"/>
      <c r="D44" s="657"/>
      <c r="E44" s="657"/>
      <c r="F44" s="657"/>
      <c r="G44" s="9"/>
      <c r="H44" s="622">
        <f>VLOOKUP($F$1,Part4,20,FALSE)</f>
        <v>-9250255232</v>
      </c>
      <c r="I44" s="623"/>
      <c r="J44" s="48"/>
      <c r="K44" s="48"/>
      <c r="L44" s="48"/>
      <c r="M44" s="9"/>
      <c r="N44" s="170"/>
    </row>
    <row r="45" spans="1:16" ht="15" x14ac:dyDescent="0.2">
      <c r="A45" s="20"/>
      <c r="B45" s="657"/>
      <c r="C45" s="657"/>
      <c r="D45" s="657"/>
      <c r="E45" s="657"/>
      <c r="F45" s="657"/>
      <c r="G45" s="9"/>
      <c r="H45" s="48"/>
      <c r="I45" s="48"/>
      <c r="J45" s="48"/>
      <c r="K45" s="48"/>
      <c r="L45" s="48"/>
      <c r="M45" s="9"/>
      <c r="N45" s="170"/>
      <c r="P45" s="69"/>
    </row>
    <row r="46" spans="1:16" ht="15.75" thickBot="1" x14ac:dyDescent="0.25">
      <c r="A46" s="20"/>
      <c r="B46" s="356"/>
      <c r="C46" s="356"/>
      <c r="D46" s="356"/>
      <c r="E46" s="356"/>
      <c r="F46" s="356"/>
      <c r="G46" s="9"/>
      <c r="H46" s="48"/>
      <c r="I46" s="48"/>
      <c r="J46" s="48"/>
      <c r="K46" s="48"/>
      <c r="L46" s="48"/>
      <c r="M46" s="9"/>
      <c r="N46" s="170"/>
    </row>
    <row r="47" spans="1:16" ht="16.5" thickBot="1" x14ac:dyDescent="0.25">
      <c r="A47" s="20"/>
      <c r="B47" s="296" t="s">
        <v>890</v>
      </c>
      <c r="C47" s="356"/>
      <c r="D47" s="356"/>
      <c r="E47" s="356"/>
      <c r="F47" s="356"/>
      <c r="G47" s="9"/>
      <c r="H47" s="622">
        <f>VLOOKUP($F$1,Part4,21,FALSE)</f>
        <v>-140932676</v>
      </c>
      <c r="I47" s="623"/>
      <c r="J47" s="48"/>
      <c r="K47" s="48"/>
      <c r="L47" s="48"/>
      <c r="M47" s="9"/>
      <c r="N47" s="170"/>
      <c r="P47" s="69"/>
    </row>
    <row r="48" spans="1:16" ht="15" x14ac:dyDescent="0.2">
      <c r="A48" s="20"/>
      <c r="B48" s="296" t="s">
        <v>891</v>
      </c>
      <c r="C48" s="356"/>
      <c r="D48" s="356"/>
      <c r="E48" s="356"/>
      <c r="F48" s="356"/>
      <c r="G48" s="9"/>
      <c r="H48" s="48"/>
      <c r="I48" s="48"/>
      <c r="J48" s="48"/>
      <c r="K48" s="48"/>
      <c r="L48" s="48"/>
      <c r="M48" s="9"/>
      <c r="N48" s="170"/>
    </row>
    <row r="49" spans="1:15" ht="15.75" thickBot="1" x14ac:dyDescent="0.25">
      <c r="A49" s="20"/>
      <c r="B49" s="296"/>
      <c r="C49" s="356"/>
      <c r="D49" s="356"/>
      <c r="E49" s="356"/>
      <c r="F49" s="356"/>
      <c r="G49" s="9"/>
      <c r="H49" s="48"/>
      <c r="I49" s="48"/>
      <c r="J49" s="48"/>
      <c r="K49" s="48"/>
      <c r="L49" s="48"/>
      <c r="M49" s="9"/>
      <c r="N49" s="170"/>
    </row>
    <row r="50" spans="1:15" ht="16.5" thickBot="1" x14ac:dyDescent="0.25">
      <c r="A50" s="561"/>
      <c r="B50" s="9" t="s">
        <v>892</v>
      </c>
      <c r="C50" s="9"/>
      <c r="D50" s="9"/>
      <c r="E50" s="9"/>
      <c r="F50" s="9"/>
      <c r="G50" s="9"/>
      <c r="H50" s="622">
        <f>VLOOKUP($F$1,Part4,22,FALSE)</f>
        <v>-29450874</v>
      </c>
      <c r="I50" s="623"/>
      <c r="J50" s="2"/>
      <c r="K50" s="48"/>
      <c r="L50" s="48"/>
      <c r="M50" s="9"/>
      <c r="N50" s="170"/>
    </row>
    <row r="51" spans="1:15" ht="16.5" thickBot="1" x14ac:dyDescent="0.25">
      <c r="A51" s="20"/>
      <c r="B51" s="9"/>
      <c r="C51" s="9"/>
      <c r="D51" s="9"/>
      <c r="E51" s="9"/>
      <c r="F51" s="9"/>
      <c r="G51" s="9"/>
      <c r="H51" s="59"/>
      <c r="I51" s="59"/>
      <c r="J51" s="48"/>
      <c r="K51" s="48"/>
      <c r="L51" s="48"/>
      <c r="M51" s="9"/>
      <c r="N51" s="170"/>
    </row>
    <row r="52" spans="1:15" ht="16.5" thickBot="1" x14ac:dyDescent="0.25">
      <c r="A52" s="20"/>
      <c r="B52" s="9" t="s">
        <v>893</v>
      </c>
      <c r="C52" s="9"/>
      <c r="D52" s="9"/>
      <c r="E52" s="9"/>
      <c r="F52" s="9"/>
      <c r="G52" s="9"/>
      <c r="H52" s="622">
        <f>VLOOKUP($F$1,Part4,23,FALSE)</f>
        <v>-221778410</v>
      </c>
      <c r="I52" s="623"/>
      <c r="J52" s="48"/>
      <c r="K52" s="48"/>
      <c r="L52" s="48"/>
      <c r="M52" s="9"/>
      <c r="N52" s="170"/>
      <c r="O52" s="63"/>
    </row>
    <row r="53" spans="1:15" ht="16.5" thickBot="1" x14ac:dyDescent="0.25">
      <c r="A53" s="20"/>
      <c r="B53" s="9"/>
      <c r="C53" s="9"/>
      <c r="D53" s="9"/>
      <c r="E53" s="9"/>
      <c r="F53" s="9"/>
      <c r="G53" s="9"/>
      <c r="H53" s="59"/>
      <c r="I53" s="59"/>
      <c r="J53" s="48"/>
      <c r="K53" s="48"/>
      <c r="L53" s="48"/>
      <c r="M53" s="9"/>
      <c r="N53" s="170"/>
    </row>
    <row r="54" spans="1:15" ht="16.5" thickBot="1" x14ac:dyDescent="0.3">
      <c r="A54" s="20"/>
      <c r="B54" s="10" t="s">
        <v>894</v>
      </c>
      <c r="C54" s="9"/>
      <c r="D54" s="9"/>
      <c r="E54" s="9"/>
      <c r="F54" s="9"/>
      <c r="G54" s="9"/>
      <c r="H54" s="48"/>
      <c r="I54" s="48"/>
      <c r="J54" s="48"/>
      <c r="K54" s="622">
        <f>VLOOKUP($F$1,Part4,24,FALSE)</f>
        <v>-23649453915</v>
      </c>
      <c r="L54" s="623"/>
      <c r="M54" s="363"/>
      <c r="N54" s="39"/>
    </row>
    <row r="55" spans="1:15" ht="16.5" thickBot="1" x14ac:dyDescent="0.3">
      <c r="A55" s="20"/>
      <c r="B55" s="10"/>
      <c r="C55" s="9"/>
      <c r="D55" s="333"/>
      <c r="E55" s="9"/>
      <c r="F55" s="9"/>
      <c r="G55" s="9"/>
      <c r="H55" s="48"/>
      <c r="I55" s="48"/>
      <c r="J55" s="48"/>
      <c r="K55" s="48"/>
      <c r="L55" s="48"/>
      <c r="M55" s="48"/>
      <c r="N55" s="170"/>
    </row>
    <row r="56" spans="1:15" ht="16.5" thickBot="1" x14ac:dyDescent="0.3">
      <c r="A56" s="20"/>
      <c r="B56" s="10" t="s">
        <v>895</v>
      </c>
      <c r="C56" s="9"/>
      <c r="D56" s="9"/>
      <c r="E56" s="9"/>
      <c r="F56" s="9"/>
      <c r="G56" s="9"/>
      <c r="H56" s="48"/>
      <c r="I56" s="48"/>
      <c r="J56" s="48"/>
      <c r="K56" s="622">
        <f>VLOOKUP($F$1,Part4,25,FALSE)</f>
        <v>61720047.5</v>
      </c>
      <c r="L56" s="623"/>
      <c r="M56" s="363"/>
      <c r="N56" s="170"/>
    </row>
    <row r="57" spans="1:15" ht="16.5" thickBot="1" x14ac:dyDescent="0.3">
      <c r="A57" s="20"/>
      <c r="B57" s="10"/>
      <c r="C57" s="9"/>
      <c r="D57" s="9"/>
      <c r="E57" s="9"/>
      <c r="F57" s="9"/>
      <c r="G57" s="9"/>
      <c r="H57" s="48"/>
      <c r="I57" s="48"/>
      <c r="J57" s="48"/>
      <c r="K57" s="48"/>
      <c r="L57" s="48"/>
      <c r="M57" s="363"/>
      <c r="N57" s="170"/>
    </row>
    <row r="58" spans="1:15" ht="15.75" x14ac:dyDescent="0.25">
      <c r="A58" s="567"/>
      <c r="B58" s="562"/>
      <c r="C58" s="563"/>
      <c r="D58" s="563"/>
      <c r="E58" s="563"/>
      <c r="F58" s="563"/>
      <c r="G58" s="563"/>
      <c r="H58" s="564"/>
      <c r="I58" s="564"/>
      <c r="J58" s="564"/>
      <c r="K58" s="564"/>
      <c r="L58" s="564"/>
      <c r="M58" s="565"/>
      <c r="N58" s="170"/>
    </row>
    <row r="59" spans="1:15" ht="15.75" x14ac:dyDescent="0.25">
      <c r="A59" s="561"/>
      <c r="B59" s="469" t="s">
        <v>896</v>
      </c>
      <c r="C59" s="333"/>
      <c r="D59" s="333"/>
      <c r="E59" s="333"/>
      <c r="F59" s="333"/>
      <c r="G59" s="333"/>
      <c r="H59" s="342"/>
      <c r="I59" s="342"/>
      <c r="J59" s="342"/>
      <c r="K59" s="342"/>
      <c r="L59" s="342"/>
      <c r="M59" s="566"/>
      <c r="N59" s="170"/>
    </row>
    <row r="60" spans="1:15" ht="16.5" thickBot="1" x14ac:dyDescent="0.3">
      <c r="A60" s="561"/>
      <c r="B60" s="469"/>
      <c r="C60" s="333"/>
      <c r="D60" s="333"/>
      <c r="E60" s="333"/>
      <c r="F60" s="333"/>
      <c r="G60" s="333"/>
      <c r="H60" s="342"/>
      <c r="I60" s="342"/>
      <c r="J60" s="342"/>
      <c r="K60" s="660" t="s">
        <v>555</v>
      </c>
      <c r="L60" s="660"/>
      <c r="M60" s="566"/>
      <c r="N60" s="170"/>
    </row>
    <row r="61" spans="1:15" ht="16.5" thickBot="1" x14ac:dyDescent="0.25">
      <c r="A61" s="561"/>
      <c r="B61" s="333" t="s">
        <v>897</v>
      </c>
      <c r="C61" s="333"/>
      <c r="D61" s="333"/>
      <c r="E61" s="333"/>
      <c r="F61" s="333"/>
      <c r="G61" s="333"/>
      <c r="H61" s="342"/>
      <c r="I61" s="342"/>
      <c r="J61" s="342"/>
      <c r="K61" s="622">
        <f>VLOOKUP($F$1,Part4,26,FALSE)</f>
        <v>-1262816081.1010003</v>
      </c>
      <c r="L61" s="623"/>
      <c r="M61" s="572"/>
      <c r="N61" s="39"/>
    </row>
    <row r="62" spans="1:15" ht="16.5" thickBot="1" x14ac:dyDescent="0.3">
      <c r="A62" s="568"/>
      <c r="B62" s="569"/>
      <c r="C62" s="570"/>
      <c r="D62" s="570"/>
      <c r="E62" s="570"/>
      <c r="F62" s="570"/>
      <c r="G62" s="570"/>
      <c r="H62" s="570"/>
      <c r="I62" s="570"/>
      <c r="J62" s="570"/>
      <c r="K62" s="570"/>
      <c r="L62" s="570"/>
      <c r="M62" s="571"/>
      <c r="N62" s="170"/>
    </row>
    <row r="63" spans="1:15" ht="15.75" x14ac:dyDescent="0.25">
      <c r="A63" s="561"/>
      <c r="B63" s="469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M63" s="333"/>
      <c r="N63" s="495"/>
    </row>
    <row r="64" spans="1:15" ht="13.5" thickBot="1" x14ac:dyDescent="0.25">
      <c r="A64" s="573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2"/>
    </row>
  </sheetData>
  <mergeCells count="29">
    <mergeCell ref="B38:F39"/>
    <mergeCell ref="H18:I18"/>
    <mergeCell ref="H20:I20"/>
    <mergeCell ref="H22:I22"/>
    <mergeCell ref="K24:L24"/>
    <mergeCell ref="H27:I27"/>
    <mergeCell ref="H38:I38"/>
    <mergeCell ref="H44:I44"/>
    <mergeCell ref="H10:I10"/>
    <mergeCell ref="K10:L10"/>
    <mergeCell ref="K11:L11"/>
    <mergeCell ref="H14:I14"/>
    <mergeCell ref="H16:I16"/>
    <mergeCell ref="A2:N2"/>
    <mergeCell ref="A3:N3"/>
    <mergeCell ref="B5:C5"/>
    <mergeCell ref="K60:L60"/>
    <mergeCell ref="K61:L61"/>
    <mergeCell ref="H29:I29"/>
    <mergeCell ref="H31:I31"/>
    <mergeCell ref="K33:L33"/>
    <mergeCell ref="H36:I36"/>
    <mergeCell ref="H41:I41"/>
    <mergeCell ref="K54:L54"/>
    <mergeCell ref="K56:L56"/>
    <mergeCell ref="H47:I47"/>
    <mergeCell ref="H50:I50"/>
    <mergeCell ref="H52:I52"/>
    <mergeCell ref="B44:F45"/>
  </mergeCells>
  <phoneticPr fontId="5" type="noConversion"/>
  <conditionalFormatting sqref="N61">
    <cfRule type="expression" dxfId="3" priority="4">
      <formula>AND($Q61=0)=FALSE</formula>
    </cfRule>
  </conditionalFormatting>
  <conditionalFormatting sqref="N54">
    <cfRule type="expression" dxfId="2" priority="3">
      <formula>AND($Q54=0)=FALSE</formula>
    </cfRule>
  </conditionalFormatting>
  <conditionalFormatting sqref="N33">
    <cfRule type="expression" dxfId="1" priority="2">
      <formula>AND($Q33=0)=FALSE</formula>
    </cfRule>
  </conditionalFormatting>
  <conditionalFormatting sqref="N24">
    <cfRule type="expression" dxfId="0" priority="1">
      <formula>AND($Q24=0)=FALSE</formula>
    </cfRule>
  </conditionalFormatting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Z340"/>
  <sheetViews>
    <sheetView workbookViewId="0">
      <pane xSplit="3" ySplit="7" topLeftCell="E8" activePane="bottomRight" state="frozen"/>
      <selection pane="topRight" activeCell="D1" sqref="D1"/>
      <selection pane="bottomLeft" activeCell="A8" sqref="A8"/>
      <selection pane="bottomRight" activeCell="E8" sqref="E8"/>
    </sheetView>
  </sheetViews>
  <sheetFormatPr defaultRowHeight="15" x14ac:dyDescent="0.2"/>
  <cols>
    <col min="1" max="1" width="7.85546875" style="90" customWidth="1"/>
    <col min="2" max="2" width="8.42578125" style="8" customWidth="1"/>
    <col min="3" max="3" width="6.7109375" style="8" hidden="1" customWidth="1"/>
    <col min="4" max="4" width="8.140625" style="8" hidden="1" customWidth="1"/>
    <col min="5" max="5" width="27" style="8" bestFit="1" customWidth="1"/>
    <col min="6" max="6" width="14.7109375" style="79" customWidth="1"/>
    <col min="7" max="8" width="14.7109375" style="8" customWidth="1"/>
    <col min="9" max="32" width="14.7109375" customWidth="1"/>
    <col min="33" max="37" width="5.140625" customWidth="1"/>
    <col min="38" max="55" width="14.7109375" customWidth="1"/>
    <col min="56" max="59" width="5.42578125" customWidth="1"/>
    <col min="60" max="98" width="14.7109375" customWidth="1"/>
    <col min="99" max="99" width="27.5703125" bestFit="1" customWidth="1"/>
    <col min="100" max="100" width="23.28515625" bestFit="1" customWidth="1"/>
    <col min="101" max="101" width="33" bestFit="1" customWidth="1"/>
  </cols>
  <sheetData>
    <row r="1" spans="1:104" ht="13.5" thickBot="1" x14ac:dyDescent="0.25">
      <c r="A1" s="142"/>
      <c r="B1" s="122"/>
      <c r="C1" s="24"/>
      <c r="D1" s="61"/>
      <c r="E1" s="94"/>
      <c r="F1" s="710" t="s">
        <v>761</v>
      </c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2"/>
      <c r="R1" s="713" t="s">
        <v>807</v>
      </c>
      <c r="S1" s="714"/>
      <c r="T1" s="714"/>
      <c r="U1" s="714"/>
      <c r="V1" s="714"/>
      <c r="W1" s="715"/>
      <c r="X1" s="715"/>
      <c r="Y1" s="715"/>
      <c r="Z1" s="715"/>
      <c r="AA1" s="715"/>
      <c r="AB1" s="715"/>
      <c r="AC1" s="715"/>
      <c r="AD1" s="715"/>
      <c r="AE1" s="715"/>
      <c r="AF1" s="715"/>
      <c r="AG1" s="715"/>
      <c r="AH1" s="715"/>
      <c r="AI1" s="715"/>
      <c r="AJ1" s="715"/>
      <c r="AK1" s="715"/>
      <c r="AL1" s="715"/>
      <c r="AM1" s="715"/>
      <c r="AN1" s="715"/>
      <c r="AO1" s="715"/>
      <c r="AP1" s="715"/>
      <c r="AQ1" s="715"/>
      <c r="AR1" s="715"/>
      <c r="AS1" s="715"/>
      <c r="AT1" s="715"/>
      <c r="AU1" s="715"/>
      <c r="AV1" s="715"/>
      <c r="AW1" s="715"/>
      <c r="AX1" s="715"/>
      <c r="AY1" s="715"/>
      <c r="AZ1" s="715"/>
      <c r="BA1" s="715"/>
      <c r="BB1" s="715"/>
      <c r="BC1" s="715"/>
      <c r="BD1" s="715"/>
      <c r="BE1" s="715"/>
      <c r="BF1" s="715"/>
      <c r="BG1" s="715"/>
      <c r="BH1" s="715"/>
      <c r="BI1" s="715"/>
      <c r="BJ1" s="715"/>
      <c r="BK1" s="715"/>
      <c r="BL1" s="715"/>
      <c r="BM1" s="713" t="s">
        <v>806</v>
      </c>
      <c r="BN1" s="714"/>
      <c r="BO1" s="714"/>
      <c r="BP1" s="714"/>
      <c r="BQ1" s="714"/>
      <c r="BR1" s="715"/>
      <c r="BS1" s="715"/>
      <c r="BT1" s="715"/>
      <c r="BU1" s="715"/>
      <c r="BV1" s="715"/>
      <c r="BW1" s="715"/>
      <c r="BX1" s="715"/>
      <c r="BY1" s="715"/>
      <c r="BZ1" s="715"/>
      <c r="CA1" s="715"/>
      <c r="CB1" s="715"/>
      <c r="CC1" s="715"/>
      <c r="CD1" s="715"/>
      <c r="CE1" s="715"/>
      <c r="CF1" s="715"/>
      <c r="CG1" s="715"/>
      <c r="CH1" s="715"/>
      <c r="CI1" s="715"/>
      <c r="CJ1" s="715"/>
      <c r="CK1" s="715"/>
      <c r="CL1" s="715"/>
      <c r="CM1" s="716"/>
      <c r="CN1" s="247"/>
      <c r="CO1" s="247"/>
      <c r="CP1" s="366"/>
      <c r="CQ1" s="366"/>
      <c r="CR1" s="366"/>
      <c r="CS1" s="366"/>
      <c r="CT1" s="247"/>
    </row>
    <row r="2" spans="1:104" s="35" customFormat="1" ht="90.75" customHeight="1" thickBot="1" x14ac:dyDescent="0.25">
      <c r="A2" s="347"/>
      <c r="B2" s="95"/>
      <c r="C2" s="25"/>
      <c r="D2" s="348"/>
      <c r="E2" s="25"/>
      <c r="F2" s="349" t="s">
        <v>898</v>
      </c>
      <c r="G2" s="349" t="s">
        <v>556</v>
      </c>
      <c r="H2" s="349" t="s">
        <v>557</v>
      </c>
      <c r="I2" s="349" t="s">
        <v>899</v>
      </c>
      <c r="J2" s="349" t="s">
        <v>573</v>
      </c>
      <c r="K2" s="349" t="s">
        <v>574</v>
      </c>
      <c r="L2" s="349" t="s">
        <v>900</v>
      </c>
      <c r="M2" s="349" t="s">
        <v>901</v>
      </c>
      <c r="N2" s="349" t="s">
        <v>902</v>
      </c>
      <c r="O2" s="349" t="s">
        <v>720</v>
      </c>
      <c r="P2" s="349" t="s">
        <v>721</v>
      </c>
      <c r="Q2" s="349" t="s">
        <v>722</v>
      </c>
      <c r="R2" s="717" t="s">
        <v>903</v>
      </c>
      <c r="S2" s="708"/>
      <c r="T2" s="708"/>
      <c r="U2" s="708"/>
      <c r="V2" s="708"/>
      <c r="W2" s="717" t="s">
        <v>598</v>
      </c>
      <c r="X2" s="708"/>
      <c r="Y2" s="708"/>
      <c r="Z2" s="708"/>
      <c r="AA2" s="708"/>
      <c r="AB2" s="717" t="s">
        <v>240</v>
      </c>
      <c r="AC2" s="708"/>
      <c r="AD2" s="708"/>
      <c r="AE2" s="708"/>
      <c r="AF2" s="708"/>
      <c r="AG2" s="717" t="s">
        <v>815</v>
      </c>
      <c r="AH2" s="708"/>
      <c r="AI2" s="708"/>
      <c r="AJ2" s="708"/>
      <c r="AK2" s="708"/>
      <c r="AL2" s="717" t="s">
        <v>904</v>
      </c>
      <c r="AM2" s="708"/>
      <c r="AN2" s="708"/>
      <c r="AO2" s="708"/>
      <c r="AP2" s="708"/>
      <c r="AQ2" s="717" t="s">
        <v>817</v>
      </c>
      <c r="AR2" s="708"/>
      <c r="AS2" s="717" t="s">
        <v>818</v>
      </c>
      <c r="AT2" s="708"/>
      <c r="AU2" s="717" t="s">
        <v>819</v>
      </c>
      <c r="AV2" s="708"/>
      <c r="AW2" s="708"/>
      <c r="AX2" s="717" t="s">
        <v>820</v>
      </c>
      <c r="AY2" s="708"/>
      <c r="AZ2" s="708"/>
      <c r="BA2" s="708"/>
      <c r="BB2" s="717" t="s">
        <v>821</v>
      </c>
      <c r="BC2" s="708"/>
      <c r="BD2" s="717" t="s">
        <v>822</v>
      </c>
      <c r="BE2" s="717"/>
      <c r="BF2" s="717"/>
      <c r="BG2" s="717"/>
      <c r="BH2" s="717" t="s">
        <v>823</v>
      </c>
      <c r="BI2" s="708"/>
      <c r="BJ2" s="708"/>
      <c r="BK2" s="708"/>
      <c r="BL2" s="708"/>
      <c r="BM2" s="708" t="s">
        <v>824</v>
      </c>
      <c r="BN2" s="708"/>
      <c r="BO2" s="708"/>
      <c r="BP2" s="708"/>
      <c r="BQ2" s="708"/>
      <c r="BR2" s="707" t="s">
        <v>827</v>
      </c>
      <c r="BS2" s="708"/>
      <c r="BT2" s="708"/>
      <c r="BU2" s="709"/>
      <c r="BV2" s="707" t="s">
        <v>828</v>
      </c>
      <c r="BW2" s="708"/>
      <c r="BX2" s="708"/>
      <c r="BY2" s="709"/>
      <c r="BZ2" s="707" t="s">
        <v>829</v>
      </c>
      <c r="CA2" s="708"/>
      <c r="CB2" s="708"/>
      <c r="CC2" s="709"/>
      <c r="CD2" s="707" t="s">
        <v>830</v>
      </c>
      <c r="CE2" s="708"/>
      <c r="CF2" s="708"/>
      <c r="CG2" s="709"/>
      <c r="CH2" s="707" t="s">
        <v>831</v>
      </c>
      <c r="CI2" s="708"/>
      <c r="CJ2" s="708"/>
      <c r="CK2" s="709"/>
      <c r="CL2" s="707" t="s">
        <v>833</v>
      </c>
      <c r="CM2" s="708"/>
      <c r="CN2" s="708"/>
      <c r="CO2" s="708"/>
      <c r="CP2" s="707" t="s">
        <v>905</v>
      </c>
      <c r="CQ2" s="708"/>
      <c r="CR2" s="708"/>
      <c r="CS2" s="709"/>
      <c r="CT2" s="369"/>
      <c r="CU2" s="369"/>
      <c r="CV2" s="383"/>
      <c r="CW2" s="158" t="s">
        <v>767</v>
      </c>
    </row>
    <row r="3" spans="1:104" s="90" customFormat="1" ht="13.5" thickBot="1" x14ac:dyDescent="0.25">
      <c r="A3" s="148">
        <v>1</v>
      </c>
      <c r="B3" s="26">
        <v>2</v>
      </c>
      <c r="C3" s="26">
        <v>3</v>
      </c>
      <c r="D3" s="149">
        <v>4</v>
      </c>
      <c r="E3" s="26">
        <v>5</v>
      </c>
      <c r="F3" s="142">
        <v>6</v>
      </c>
      <c r="G3" s="142">
        <v>7</v>
      </c>
      <c r="H3" s="142">
        <v>8</v>
      </c>
      <c r="I3" s="142">
        <v>9</v>
      </c>
      <c r="J3" s="142">
        <v>10</v>
      </c>
      <c r="K3" s="142">
        <v>11</v>
      </c>
      <c r="L3" s="142">
        <v>12</v>
      </c>
      <c r="M3" s="142">
        <v>13</v>
      </c>
      <c r="N3" s="142">
        <v>14</v>
      </c>
      <c r="O3" s="142">
        <v>15</v>
      </c>
      <c r="P3" s="142">
        <v>16</v>
      </c>
      <c r="Q3" s="142">
        <v>17</v>
      </c>
      <c r="R3" s="142">
        <v>18</v>
      </c>
      <c r="S3" s="142">
        <v>19</v>
      </c>
      <c r="T3" s="142">
        <v>20</v>
      </c>
      <c r="U3" s="142">
        <v>21</v>
      </c>
      <c r="V3" s="142">
        <v>22</v>
      </c>
      <c r="W3" s="142">
        <v>23</v>
      </c>
      <c r="X3" s="142">
        <v>24</v>
      </c>
      <c r="Y3" s="142">
        <v>25</v>
      </c>
      <c r="Z3" s="142">
        <v>26</v>
      </c>
      <c r="AA3" s="142">
        <v>27</v>
      </c>
      <c r="AB3" s="142">
        <v>28</v>
      </c>
      <c r="AC3" s="142">
        <v>29</v>
      </c>
      <c r="AD3" s="142">
        <v>30</v>
      </c>
      <c r="AE3" s="142">
        <v>31</v>
      </c>
      <c r="AF3" s="142">
        <v>32</v>
      </c>
      <c r="AG3" s="142">
        <v>33</v>
      </c>
      <c r="AH3" s="142">
        <v>34</v>
      </c>
      <c r="AI3" s="142">
        <v>35</v>
      </c>
      <c r="AJ3" s="142">
        <v>36</v>
      </c>
      <c r="AK3" s="142">
        <v>37</v>
      </c>
      <c r="AL3" s="142">
        <v>38</v>
      </c>
      <c r="AM3" s="142">
        <v>39</v>
      </c>
      <c r="AN3" s="142">
        <v>40</v>
      </c>
      <c r="AO3" s="142">
        <v>41</v>
      </c>
      <c r="AP3" s="142">
        <v>42</v>
      </c>
      <c r="AQ3" s="142">
        <v>43</v>
      </c>
      <c r="AR3" s="142">
        <v>44</v>
      </c>
      <c r="AS3" s="142">
        <v>45</v>
      </c>
      <c r="AT3" s="142">
        <v>46</v>
      </c>
      <c r="AU3" s="142">
        <v>47</v>
      </c>
      <c r="AV3" s="142">
        <v>48</v>
      </c>
      <c r="AW3" s="142">
        <v>49</v>
      </c>
      <c r="AX3" s="142">
        <v>50</v>
      </c>
      <c r="AY3" s="142">
        <v>51</v>
      </c>
      <c r="AZ3" s="142">
        <v>52</v>
      </c>
      <c r="BA3" s="142">
        <v>53</v>
      </c>
      <c r="BB3" s="142">
        <v>54</v>
      </c>
      <c r="BC3" s="142">
        <v>55</v>
      </c>
      <c r="BD3" s="142">
        <v>56</v>
      </c>
      <c r="BE3" s="142">
        <v>57</v>
      </c>
      <c r="BF3" s="142">
        <v>58</v>
      </c>
      <c r="BG3" s="142">
        <v>59</v>
      </c>
      <c r="BH3" s="142">
        <v>61</v>
      </c>
      <c r="BI3" s="142">
        <v>62</v>
      </c>
      <c r="BJ3" s="142">
        <v>63</v>
      </c>
      <c r="BK3" s="142">
        <v>64</v>
      </c>
      <c r="BL3" s="142">
        <v>65</v>
      </c>
      <c r="BM3" s="142">
        <v>66</v>
      </c>
      <c r="BN3" s="142">
        <v>67</v>
      </c>
      <c r="BO3" s="142">
        <v>68</v>
      </c>
      <c r="BP3" s="142">
        <v>69</v>
      </c>
      <c r="BQ3" s="142"/>
      <c r="BR3" s="142">
        <v>70</v>
      </c>
      <c r="BS3" s="142">
        <v>71</v>
      </c>
      <c r="BT3" s="142">
        <v>72</v>
      </c>
      <c r="BU3" s="142">
        <v>73</v>
      </c>
      <c r="BV3" s="142">
        <v>74</v>
      </c>
      <c r="BW3" s="142">
        <v>75</v>
      </c>
      <c r="BX3" s="142">
        <v>76</v>
      </c>
      <c r="BY3" s="142">
        <v>77</v>
      </c>
      <c r="BZ3" s="142">
        <v>78</v>
      </c>
      <c r="CA3" s="142">
        <v>79</v>
      </c>
      <c r="CB3" s="142">
        <v>80</v>
      </c>
      <c r="CC3" s="142">
        <v>81</v>
      </c>
      <c r="CD3" s="142">
        <v>82</v>
      </c>
      <c r="CE3" s="142">
        <v>83</v>
      </c>
      <c r="CF3" s="142">
        <v>84</v>
      </c>
      <c r="CG3" s="142">
        <v>85</v>
      </c>
      <c r="CH3" s="142">
        <v>86</v>
      </c>
      <c r="CI3" s="142">
        <v>87</v>
      </c>
      <c r="CJ3" s="142">
        <v>88</v>
      </c>
      <c r="CK3" s="142">
        <v>89</v>
      </c>
      <c r="CL3" s="142">
        <v>90</v>
      </c>
      <c r="CM3" s="142">
        <v>91</v>
      </c>
      <c r="CN3" s="142">
        <v>92</v>
      </c>
      <c r="CO3" s="142">
        <v>93</v>
      </c>
      <c r="CP3" s="142">
        <v>94</v>
      </c>
      <c r="CQ3" s="142">
        <v>95</v>
      </c>
      <c r="CR3" s="142">
        <v>96</v>
      </c>
      <c r="CS3" s="142">
        <v>97</v>
      </c>
      <c r="CT3" s="142"/>
      <c r="CU3" s="173">
        <v>99</v>
      </c>
      <c r="CV3" s="173">
        <f t="shared" ref="CV3:CW3" si="0">+CU3+1</f>
        <v>100</v>
      </c>
      <c r="CW3" s="173">
        <f t="shared" si="0"/>
        <v>101</v>
      </c>
    </row>
    <row r="4" spans="1:104" ht="13.5" thickBot="1" x14ac:dyDescent="0.25">
      <c r="A4" s="148"/>
      <c r="B4" s="124"/>
      <c r="C4" s="27"/>
      <c r="D4" s="62"/>
      <c r="E4" s="94"/>
      <c r="F4" s="143"/>
      <c r="G4" s="144"/>
      <c r="H4" s="144"/>
      <c r="I4" s="145"/>
      <c r="J4" s="145"/>
      <c r="K4" s="145"/>
      <c r="L4" s="145"/>
      <c r="M4" s="145"/>
      <c r="N4" s="145"/>
      <c r="O4" s="145"/>
      <c r="P4" s="145"/>
      <c r="Q4" s="145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344"/>
      <c r="CN4" s="344"/>
      <c r="CO4" s="344"/>
      <c r="CP4" s="344"/>
      <c r="CQ4" s="344"/>
      <c r="CR4" s="344"/>
      <c r="CS4" s="344"/>
      <c r="CT4" s="344"/>
      <c r="CU4" s="36"/>
      <c r="CV4" s="36"/>
      <c r="CW4" s="36"/>
      <c r="CX4" s="36"/>
    </row>
    <row r="5" spans="1:104" s="90" customFormat="1" ht="13.5" thickBot="1" x14ac:dyDescent="0.25">
      <c r="A5" s="148"/>
      <c r="B5" s="178" t="s">
        <v>602</v>
      </c>
      <c r="C5" s="178" t="s">
        <v>740</v>
      </c>
      <c r="D5" s="125" t="s">
        <v>741</v>
      </c>
      <c r="E5" s="178" t="s">
        <v>601</v>
      </c>
      <c r="F5" s="146">
        <v>1</v>
      </c>
      <c r="G5" s="146">
        <v>2</v>
      </c>
      <c r="H5" s="146">
        <v>3</v>
      </c>
      <c r="I5" s="146">
        <v>4</v>
      </c>
      <c r="J5" s="146">
        <v>5</v>
      </c>
      <c r="K5" s="146">
        <v>6</v>
      </c>
      <c r="L5" s="146">
        <v>7</v>
      </c>
      <c r="M5" s="146">
        <v>8</v>
      </c>
      <c r="N5" s="146">
        <v>9</v>
      </c>
      <c r="O5" s="146">
        <v>10</v>
      </c>
      <c r="P5" s="146">
        <v>11</v>
      </c>
      <c r="Q5" s="146">
        <v>12</v>
      </c>
      <c r="R5" s="146">
        <v>13</v>
      </c>
      <c r="S5" s="146">
        <v>14</v>
      </c>
      <c r="T5" s="146">
        <v>15</v>
      </c>
      <c r="U5" s="146">
        <v>16</v>
      </c>
      <c r="V5" s="146">
        <v>17</v>
      </c>
      <c r="W5" s="146">
        <v>18</v>
      </c>
      <c r="X5" s="146">
        <v>19</v>
      </c>
      <c r="Y5" s="146">
        <v>20</v>
      </c>
      <c r="Z5" s="146">
        <v>21</v>
      </c>
      <c r="AA5" s="146">
        <v>22</v>
      </c>
      <c r="AB5" s="146">
        <v>23</v>
      </c>
      <c r="AC5" s="146">
        <v>24</v>
      </c>
      <c r="AD5" s="146">
        <v>25</v>
      </c>
      <c r="AE5" s="146">
        <v>26</v>
      </c>
      <c r="AF5" s="146">
        <v>27</v>
      </c>
      <c r="AG5" s="146">
        <v>28</v>
      </c>
      <c r="AH5" s="146">
        <v>29</v>
      </c>
      <c r="AI5" s="146">
        <v>30</v>
      </c>
      <c r="AJ5" s="146">
        <v>31</v>
      </c>
      <c r="AK5" s="146">
        <v>32</v>
      </c>
      <c r="AL5" s="146">
        <v>33</v>
      </c>
      <c r="AM5" s="146">
        <v>34</v>
      </c>
      <c r="AN5" s="146">
        <v>35</v>
      </c>
      <c r="AO5" s="146">
        <v>36</v>
      </c>
      <c r="AP5" s="146">
        <v>37</v>
      </c>
      <c r="AQ5" s="146">
        <v>38</v>
      </c>
      <c r="AR5" s="146">
        <v>39</v>
      </c>
      <c r="AS5" s="146">
        <v>40</v>
      </c>
      <c r="AT5" s="146">
        <v>41</v>
      </c>
      <c r="AU5" s="146">
        <v>42</v>
      </c>
      <c r="AV5" s="146">
        <v>43</v>
      </c>
      <c r="AW5" s="146">
        <v>44</v>
      </c>
      <c r="AX5" s="146">
        <v>45</v>
      </c>
      <c r="AY5" s="146">
        <v>46</v>
      </c>
      <c r="AZ5" s="146">
        <v>47</v>
      </c>
      <c r="BA5" s="146">
        <v>48</v>
      </c>
      <c r="BB5" s="146">
        <v>49</v>
      </c>
      <c r="BC5" s="146">
        <v>50</v>
      </c>
      <c r="BD5" s="146">
        <v>51</v>
      </c>
      <c r="BE5" s="146">
        <v>52</v>
      </c>
      <c r="BF5" s="146">
        <v>53</v>
      </c>
      <c r="BG5" s="146">
        <v>54</v>
      </c>
      <c r="BH5" s="146">
        <v>56</v>
      </c>
      <c r="BI5" s="146">
        <v>57</v>
      </c>
      <c r="BJ5" s="146">
        <v>58</v>
      </c>
      <c r="BK5" s="146">
        <v>59</v>
      </c>
      <c r="BL5" s="146">
        <v>60</v>
      </c>
      <c r="BM5" s="146">
        <v>61</v>
      </c>
      <c r="BN5" s="146">
        <v>62</v>
      </c>
      <c r="BO5" s="146">
        <v>63</v>
      </c>
      <c r="BP5" s="146">
        <v>64</v>
      </c>
      <c r="BQ5" s="146"/>
      <c r="BR5" s="146">
        <v>65</v>
      </c>
      <c r="BS5" s="146">
        <v>66</v>
      </c>
      <c r="BT5" s="146">
        <v>67</v>
      </c>
      <c r="BU5" s="146">
        <v>68</v>
      </c>
      <c r="BV5" s="146">
        <v>69</v>
      </c>
      <c r="BW5" s="146">
        <v>70</v>
      </c>
      <c r="BX5" s="146">
        <v>71</v>
      </c>
      <c r="BY5" s="146">
        <v>72</v>
      </c>
      <c r="BZ5" s="146">
        <v>73</v>
      </c>
      <c r="CA5" s="146">
        <v>74</v>
      </c>
      <c r="CB5" s="146">
        <v>75</v>
      </c>
      <c r="CC5" s="146">
        <v>76</v>
      </c>
      <c r="CD5" s="146">
        <v>77</v>
      </c>
      <c r="CE5" s="146">
        <v>78</v>
      </c>
      <c r="CF5" s="146">
        <v>79</v>
      </c>
      <c r="CG5" s="146">
        <v>80</v>
      </c>
      <c r="CH5" s="146">
        <v>81</v>
      </c>
      <c r="CI5" s="146">
        <v>82</v>
      </c>
      <c r="CJ5" s="146">
        <v>83</v>
      </c>
      <c r="CK5" s="146">
        <v>84</v>
      </c>
      <c r="CL5" s="146">
        <v>85</v>
      </c>
      <c r="CM5" s="146">
        <v>86</v>
      </c>
      <c r="CN5" s="146">
        <v>87</v>
      </c>
      <c r="CO5" s="146">
        <v>88</v>
      </c>
      <c r="CP5" s="146">
        <v>89</v>
      </c>
      <c r="CQ5" s="146">
        <v>90</v>
      </c>
      <c r="CR5" s="146">
        <v>91</v>
      </c>
      <c r="CS5" s="146">
        <v>92</v>
      </c>
      <c r="CT5" s="146"/>
      <c r="CU5" s="150"/>
      <c r="CV5" s="150"/>
      <c r="CW5" s="150"/>
      <c r="CX5" s="150"/>
    </row>
    <row r="6" spans="1:104" s="90" customFormat="1" ht="13.5" thickBot="1" x14ac:dyDescent="0.25">
      <c r="A6" s="175"/>
      <c r="B6" s="126"/>
      <c r="C6" s="92"/>
      <c r="D6" s="127"/>
      <c r="E6" s="92"/>
      <c r="F6" s="147">
        <v>1</v>
      </c>
      <c r="G6" s="147">
        <v>1</v>
      </c>
      <c r="H6" s="147">
        <v>1</v>
      </c>
      <c r="I6" s="147">
        <v>1</v>
      </c>
      <c r="J6" s="147">
        <v>1</v>
      </c>
      <c r="K6" s="147">
        <v>1</v>
      </c>
      <c r="L6" s="147">
        <v>1</v>
      </c>
      <c r="M6" s="147">
        <v>1</v>
      </c>
      <c r="N6" s="147">
        <v>1</v>
      </c>
      <c r="O6" s="147">
        <v>1</v>
      </c>
      <c r="P6" s="147">
        <v>1</v>
      </c>
      <c r="Q6" s="147">
        <v>1</v>
      </c>
      <c r="R6" s="147">
        <v>1</v>
      </c>
      <c r="S6" s="147">
        <v>2</v>
      </c>
      <c r="T6" s="147">
        <v>3</v>
      </c>
      <c r="U6" s="147">
        <v>4</v>
      </c>
      <c r="V6" s="147">
        <v>5</v>
      </c>
      <c r="W6" s="409">
        <v>1</v>
      </c>
      <c r="X6" s="409">
        <v>2</v>
      </c>
      <c r="Y6" s="409">
        <v>3</v>
      </c>
      <c r="Z6" s="409">
        <v>4</v>
      </c>
      <c r="AA6" s="409">
        <v>5</v>
      </c>
      <c r="AB6" s="409">
        <v>1</v>
      </c>
      <c r="AC6" s="409">
        <v>2</v>
      </c>
      <c r="AD6" s="409">
        <v>3</v>
      </c>
      <c r="AE6" s="409">
        <v>4</v>
      </c>
      <c r="AF6" s="409">
        <v>5</v>
      </c>
      <c r="AG6" s="409">
        <v>1</v>
      </c>
      <c r="AH6" s="409">
        <v>2</v>
      </c>
      <c r="AI6" s="409">
        <v>3</v>
      </c>
      <c r="AJ6" s="409">
        <v>4</v>
      </c>
      <c r="AK6" s="409">
        <v>5</v>
      </c>
      <c r="AL6" s="409">
        <v>1</v>
      </c>
      <c r="AM6" s="409">
        <v>2</v>
      </c>
      <c r="AN6" s="409">
        <v>3</v>
      </c>
      <c r="AO6" s="409">
        <v>4</v>
      </c>
      <c r="AP6" s="409">
        <v>5</v>
      </c>
      <c r="AQ6" s="409">
        <v>1</v>
      </c>
      <c r="AR6" s="409">
        <v>2</v>
      </c>
      <c r="AS6" s="409">
        <v>1</v>
      </c>
      <c r="AT6" s="409">
        <v>2</v>
      </c>
      <c r="AU6" s="409">
        <v>1</v>
      </c>
      <c r="AV6" s="409">
        <v>2</v>
      </c>
      <c r="AW6" s="409">
        <v>3</v>
      </c>
      <c r="AX6" s="409">
        <v>1</v>
      </c>
      <c r="AY6" s="409">
        <v>2</v>
      </c>
      <c r="AZ6" s="409">
        <v>3</v>
      </c>
      <c r="BA6" s="409">
        <v>4</v>
      </c>
      <c r="BB6" s="409">
        <v>1</v>
      </c>
      <c r="BC6" s="409">
        <v>2</v>
      </c>
      <c r="BD6" s="409">
        <v>1</v>
      </c>
      <c r="BE6" s="409">
        <v>2</v>
      </c>
      <c r="BF6" s="409">
        <v>3</v>
      </c>
      <c r="BG6" s="409">
        <v>4</v>
      </c>
      <c r="BH6" s="409">
        <v>1</v>
      </c>
      <c r="BI6" s="409">
        <v>2</v>
      </c>
      <c r="BJ6" s="409">
        <v>3</v>
      </c>
      <c r="BK6" s="409">
        <v>4</v>
      </c>
      <c r="BL6" s="409">
        <v>5</v>
      </c>
      <c r="BM6" s="409">
        <v>1</v>
      </c>
      <c r="BN6" s="409">
        <v>2</v>
      </c>
      <c r="BO6" s="409">
        <v>3</v>
      </c>
      <c r="BP6" s="409">
        <v>4</v>
      </c>
      <c r="BQ6" s="409">
        <v>5</v>
      </c>
      <c r="BR6" s="409">
        <v>1</v>
      </c>
      <c r="BS6" s="409">
        <v>2</v>
      </c>
      <c r="BT6" s="409">
        <v>3</v>
      </c>
      <c r="BU6" s="409">
        <v>4</v>
      </c>
      <c r="BV6" s="409">
        <v>1</v>
      </c>
      <c r="BW6" s="409">
        <v>2</v>
      </c>
      <c r="BX6" s="409">
        <v>3</v>
      </c>
      <c r="BY6" s="409">
        <v>4</v>
      </c>
      <c r="BZ6" s="409">
        <v>1</v>
      </c>
      <c r="CA6" s="409">
        <v>2</v>
      </c>
      <c r="CB6" s="409">
        <v>3</v>
      </c>
      <c r="CC6" s="409">
        <v>4</v>
      </c>
      <c r="CD6" s="409">
        <v>1</v>
      </c>
      <c r="CE6" s="409">
        <v>2</v>
      </c>
      <c r="CF6" s="409">
        <v>3</v>
      </c>
      <c r="CG6" s="409">
        <v>4</v>
      </c>
      <c r="CH6" s="409">
        <v>1</v>
      </c>
      <c r="CI6" s="409">
        <v>2</v>
      </c>
      <c r="CJ6" s="409">
        <v>3</v>
      </c>
      <c r="CK6" s="409">
        <v>4</v>
      </c>
      <c r="CL6" s="409">
        <v>1</v>
      </c>
      <c r="CM6" s="409">
        <v>2</v>
      </c>
      <c r="CN6" s="409">
        <v>3</v>
      </c>
      <c r="CO6" s="409">
        <v>4</v>
      </c>
      <c r="CP6" s="409">
        <v>1</v>
      </c>
      <c r="CQ6" s="409">
        <v>2</v>
      </c>
      <c r="CR6" s="409">
        <v>3</v>
      </c>
      <c r="CS6" s="409">
        <v>4</v>
      </c>
      <c r="CT6" s="150"/>
      <c r="CU6" s="150"/>
      <c r="CV6" s="150"/>
      <c r="CW6" s="150"/>
      <c r="CX6" s="150"/>
    </row>
    <row r="7" spans="1:104" ht="13.5" thickBot="1" x14ac:dyDescent="0.25">
      <c r="A7" s="176"/>
      <c r="B7" s="89"/>
      <c r="C7" s="88"/>
      <c r="D7" s="87"/>
      <c r="E7" s="128"/>
      <c r="F7" s="86"/>
      <c r="G7" s="85"/>
      <c r="H7" s="85"/>
      <c r="I7" s="83"/>
      <c r="J7" s="84"/>
      <c r="K7" s="83"/>
      <c r="L7" s="83"/>
      <c r="M7" s="83"/>
      <c r="N7" s="83"/>
      <c r="O7" s="83"/>
      <c r="P7" s="83"/>
      <c r="Q7" s="83"/>
      <c r="R7" s="83"/>
      <c r="S7" s="407"/>
      <c r="T7" s="83"/>
      <c r="U7" s="83"/>
      <c r="V7" s="408"/>
      <c r="W7" s="410"/>
      <c r="X7" s="410"/>
      <c r="Y7" s="410"/>
      <c r="Z7" s="410"/>
      <c r="AA7" s="410"/>
      <c r="AB7" s="410"/>
      <c r="AC7" s="410"/>
      <c r="AD7" s="410"/>
      <c r="AE7" s="410"/>
      <c r="AF7" s="410"/>
      <c r="AG7" s="410"/>
      <c r="AH7" s="410"/>
      <c r="AI7" s="410"/>
      <c r="AJ7" s="410"/>
      <c r="AK7" s="410"/>
      <c r="AL7" s="410"/>
      <c r="AM7" s="410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  <c r="BR7" s="410"/>
      <c r="BS7" s="410"/>
      <c r="BT7" s="410"/>
      <c r="BU7" s="410"/>
      <c r="BV7" s="410"/>
      <c r="BW7" s="410"/>
      <c r="BX7" s="410"/>
      <c r="BY7" s="410"/>
      <c r="BZ7" s="410"/>
      <c r="CA7" s="410"/>
      <c r="CB7" s="410"/>
      <c r="CC7" s="410"/>
      <c r="CD7" s="410"/>
      <c r="CE7" s="410"/>
      <c r="CF7" s="410"/>
      <c r="CG7" s="410"/>
      <c r="CH7" s="410"/>
      <c r="CI7" s="410"/>
      <c r="CJ7" s="410"/>
      <c r="CK7" s="410"/>
      <c r="CL7" s="410"/>
      <c r="CM7" s="410"/>
      <c r="CN7" s="410"/>
      <c r="CO7" s="410"/>
      <c r="CP7" s="410"/>
      <c r="CQ7" s="410"/>
      <c r="CR7" s="410"/>
      <c r="CS7" s="410"/>
      <c r="CU7" s="36"/>
      <c r="CV7" s="36"/>
      <c r="CW7" s="36"/>
      <c r="CX7" s="36"/>
    </row>
    <row r="8" spans="1:104" ht="12.75" x14ac:dyDescent="0.2">
      <c r="A8" s="90">
        <v>1</v>
      </c>
      <c r="B8" s="129" t="s">
        <v>604</v>
      </c>
      <c r="C8" s="130" t="s">
        <v>742</v>
      </c>
      <c r="D8" s="131" t="s">
        <v>743</v>
      </c>
      <c r="E8" s="132" t="s">
        <v>603</v>
      </c>
      <c r="F8" s="63">
        <v>18956652</v>
      </c>
      <c r="G8" s="63">
        <v>0</v>
      </c>
      <c r="H8" s="63">
        <v>0</v>
      </c>
      <c r="I8" s="63">
        <v>86697</v>
      </c>
      <c r="J8" s="63">
        <v>0</v>
      </c>
      <c r="K8" s="63">
        <v>86697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18869955</v>
      </c>
      <c r="R8" s="474">
        <v>0.5</v>
      </c>
      <c r="S8" s="474">
        <v>0.4</v>
      </c>
      <c r="T8" s="474">
        <v>0.1</v>
      </c>
      <c r="U8" s="474">
        <v>0</v>
      </c>
      <c r="V8" s="474">
        <v>1</v>
      </c>
      <c r="W8" s="63">
        <v>9434977</v>
      </c>
      <c r="X8" s="63">
        <v>7547982</v>
      </c>
      <c r="Y8" s="63">
        <v>1886996</v>
      </c>
      <c r="Z8" s="63">
        <v>0</v>
      </c>
      <c r="AA8" s="63">
        <v>18869955</v>
      </c>
      <c r="AB8" s="63">
        <v>0</v>
      </c>
      <c r="AC8" s="63">
        <v>0</v>
      </c>
      <c r="AD8" s="63">
        <v>0</v>
      </c>
      <c r="AE8" s="63">
        <v>0</v>
      </c>
      <c r="AF8" s="63">
        <v>0</v>
      </c>
      <c r="AG8" s="63">
        <v>0</v>
      </c>
      <c r="AH8" s="63">
        <v>0</v>
      </c>
      <c r="AI8" s="63">
        <v>0</v>
      </c>
      <c r="AJ8" s="63">
        <v>0</v>
      </c>
      <c r="AK8" s="63">
        <v>0</v>
      </c>
      <c r="AL8" s="63">
        <v>9434977</v>
      </c>
      <c r="AM8" s="63">
        <v>7547982</v>
      </c>
      <c r="AN8" s="63">
        <v>1886996</v>
      </c>
      <c r="AO8" s="63">
        <v>0</v>
      </c>
      <c r="AP8" s="63">
        <v>18869955</v>
      </c>
      <c r="AQ8" s="63">
        <v>86697</v>
      </c>
      <c r="AR8" s="63">
        <v>86697</v>
      </c>
      <c r="AS8" s="63">
        <v>0</v>
      </c>
      <c r="AT8" s="63">
        <v>0</v>
      </c>
      <c r="AU8" s="63">
        <v>0</v>
      </c>
      <c r="AV8" s="63">
        <v>0</v>
      </c>
      <c r="AW8" s="63">
        <v>0</v>
      </c>
      <c r="AX8" s="63">
        <v>0</v>
      </c>
      <c r="AY8" s="63">
        <v>0</v>
      </c>
      <c r="AZ8" s="63">
        <v>0</v>
      </c>
      <c r="BA8" s="63">
        <v>0</v>
      </c>
      <c r="BB8" s="63">
        <v>0</v>
      </c>
      <c r="BC8" s="63">
        <v>0</v>
      </c>
      <c r="BD8" s="63">
        <v>0</v>
      </c>
      <c r="BE8" s="63">
        <v>0</v>
      </c>
      <c r="BF8" s="63">
        <v>0</v>
      </c>
      <c r="BG8" s="63">
        <v>0</v>
      </c>
      <c r="BH8" s="63">
        <v>475801</v>
      </c>
      <c r="BI8" s="63">
        <v>380640</v>
      </c>
      <c r="BJ8" s="63">
        <v>95160</v>
      </c>
      <c r="BK8" s="63">
        <v>0</v>
      </c>
      <c r="BL8" s="63">
        <v>951601</v>
      </c>
      <c r="BM8" s="63">
        <v>9910778</v>
      </c>
      <c r="BN8" s="63">
        <v>8015319</v>
      </c>
      <c r="BO8" s="63">
        <v>1982156</v>
      </c>
      <c r="BP8" s="63">
        <v>0</v>
      </c>
      <c r="BQ8" s="63">
        <v>19908253</v>
      </c>
      <c r="BR8" s="63">
        <v>109165</v>
      </c>
      <c r="BS8" s="63">
        <v>27291</v>
      </c>
      <c r="BT8" s="63">
        <v>0</v>
      </c>
      <c r="BU8" s="63">
        <v>136456</v>
      </c>
      <c r="BV8" s="63">
        <v>261531</v>
      </c>
      <c r="BW8" s="63">
        <v>65383</v>
      </c>
      <c r="BX8" s="63">
        <v>0</v>
      </c>
      <c r="BY8" s="63">
        <v>326914</v>
      </c>
      <c r="BZ8" s="63">
        <v>0</v>
      </c>
      <c r="CA8" s="63">
        <v>0</v>
      </c>
      <c r="CB8" s="63">
        <v>0</v>
      </c>
      <c r="CC8" s="63">
        <v>0</v>
      </c>
      <c r="CD8" s="63">
        <v>5647</v>
      </c>
      <c r="CE8" s="63">
        <v>1412</v>
      </c>
      <c r="CF8" s="63">
        <v>0</v>
      </c>
      <c r="CG8" s="63">
        <v>7059</v>
      </c>
      <c r="CH8" s="63">
        <v>854</v>
      </c>
      <c r="CI8" s="63">
        <v>214</v>
      </c>
      <c r="CJ8" s="63">
        <v>0</v>
      </c>
      <c r="CK8" s="63">
        <v>1068</v>
      </c>
      <c r="CL8" s="63">
        <v>1263</v>
      </c>
      <c r="CM8" s="63">
        <v>316</v>
      </c>
      <c r="CN8" s="63">
        <v>0</v>
      </c>
      <c r="CO8" s="63">
        <v>1579</v>
      </c>
      <c r="CP8" s="63">
        <v>378460</v>
      </c>
      <c r="CQ8" s="63">
        <v>94616</v>
      </c>
      <c r="CR8" s="63">
        <v>0</v>
      </c>
      <c r="CS8" s="63">
        <v>473076</v>
      </c>
      <c r="CU8" s="141" t="s">
        <v>603</v>
      </c>
      <c r="CV8" s="157" t="s">
        <v>927</v>
      </c>
      <c r="CW8" s="156" t="s">
        <v>928</v>
      </c>
      <c r="CX8" s="345"/>
      <c r="CY8" s="345"/>
      <c r="CZ8" s="345"/>
    </row>
    <row r="9" spans="1:104" ht="12.75" x14ac:dyDescent="0.2">
      <c r="A9" s="90">
        <v>2</v>
      </c>
      <c r="B9" s="129" t="s">
        <v>606</v>
      </c>
      <c r="C9" s="130" t="s">
        <v>742</v>
      </c>
      <c r="D9" s="131" t="s">
        <v>744</v>
      </c>
      <c r="E9" s="132" t="s">
        <v>605</v>
      </c>
      <c r="F9" s="63">
        <v>28405554</v>
      </c>
      <c r="G9" s="63">
        <v>0</v>
      </c>
      <c r="H9" s="63">
        <v>0</v>
      </c>
      <c r="I9" s="63">
        <v>182110</v>
      </c>
      <c r="J9" s="63">
        <v>0</v>
      </c>
      <c r="K9" s="63">
        <v>182110</v>
      </c>
      <c r="L9" s="63">
        <v>0</v>
      </c>
      <c r="M9" s="63">
        <v>0</v>
      </c>
      <c r="N9" s="63">
        <v>425597</v>
      </c>
      <c r="O9" s="63">
        <v>425597</v>
      </c>
      <c r="P9" s="63">
        <v>0</v>
      </c>
      <c r="Q9" s="63">
        <v>27797847</v>
      </c>
      <c r="R9" s="474">
        <v>0.5</v>
      </c>
      <c r="S9" s="474">
        <v>0.4</v>
      </c>
      <c r="T9" s="474">
        <v>0.1</v>
      </c>
      <c r="U9" s="474">
        <v>0</v>
      </c>
      <c r="V9" s="474">
        <v>1</v>
      </c>
      <c r="W9" s="63">
        <v>13898923</v>
      </c>
      <c r="X9" s="63">
        <v>11119139</v>
      </c>
      <c r="Y9" s="63">
        <v>2779785</v>
      </c>
      <c r="Z9" s="63">
        <v>0</v>
      </c>
      <c r="AA9" s="63">
        <v>27797847</v>
      </c>
      <c r="AB9" s="63">
        <v>0</v>
      </c>
      <c r="AC9" s="63">
        <v>0</v>
      </c>
      <c r="AD9" s="63">
        <v>0</v>
      </c>
      <c r="AE9" s="63">
        <v>0</v>
      </c>
      <c r="AF9" s="63">
        <v>0</v>
      </c>
      <c r="AG9" s="63">
        <v>0</v>
      </c>
      <c r="AH9" s="63">
        <v>0</v>
      </c>
      <c r="AI9" s="63">
        <v>0</v>
      </c>
      <c r="AJ9" s="63">
        <v>0</v>
      </c>
      <c r="AK9" s="63">
        <v>0</v>
      </c>
      <c r="AL9" s="63">
        <v>13898923</v>
      </c>
      <c r="AM9" s="63">
        <v>11119139</v>
      </c>
      <c r="AN9" s="63">
        <v>2779785</v>
      </c>
      <c r="AO9" s="63">
        <v>0</v>
      </c>
      <c r="AP9" s="63">
        <v>27797847</v>
      </c>
      <c r="AQ9" s="63">
        <v>182110</v>
      </c>
      <c r="AR9" s="63">
        <v>182110</v>
      </c>
      <c r="AS9" s="63">
        <v>0</v>
      </c>
      <c r="AT9" s="63">
        <v>0</v>
      </c>
      <c r="AU9" s="63">
        <v>425597</v>
      </c>
      <c r="AV9" s="63">
        <v>0</v>
      </c>
      <c r="AW9" s="63">
        <v>425597</v>
      </c>
      <c r="AX9" s="63">
        <v>0</v>
      </c>
      <c r="AY9" s="63">
        <v>0</v>
      </c>
      <c r="AZ9" s="63">
        <v>0</v>
      </c>
      <c r="BA9" s="63">
        <v>0</v>
      </c>
      <c r="BB9" s="63">
        <v>0</v>
      </c>
      <c r="BC9" s="63">
        <v>0</v>
      </c>
      <c r="BD9" s="63">
        <v>0</v>
      </c>
      <c r="BE9" s="63">
        <v>0</v>
      </c>
      <c r="BF9" s="63">
        <v>0</v>
      </c>
      <c r="BG9" s="63">
        <v>0</v>
      </c>
      <c r="BH9" s="63">
        <v>-326194</v>
      </c>
      <c r="BI9" s="63">
        <v>-260956</v>
      </c>
      <c r="BJ9" s="63">
        <v>-65239</v>
      </c>
      <c r="BK9" s="63">
        <v>0</v>
      </c>
      <c r="BL9" s="63">
        <v>-652389</v>
      </c>
      <c r="BM9" s="63">
        <v>13572729</v>
      </c>
      <c r="BN9" s="63">
        <v>11465890</v>
      </c>
      <c r="BO9" s="63">
        <v>2714546</v>
      </c>
      <c r="BP9" s="63">
        <v>0</v>
      </c>
      <c r="BQ9" s="63">
        <v>27753165</v>
      </c>
      <c r="BR9" s="63">
        <v>166969</v>
      </c>
      <c r="BS9" s="63">
        <v>40204</v>
      </c>
      <c r="BT9" s="63">
        <v>0</v>
      </c>
      <c r="BU9" s="63">
        <v>207173</v>
      </c>
      <c r="BV9" s="63">
        <v>726074</v>
      </c>
      <c r="BW9" s="63">
        <v>181518</v>
      </c>
      <c r="BX9" s="63">
        <v>0</v>
      </c>
      <c r="BY9" s="63">
        <v>907592</v>
      </c>
      <c r="BZ9" s="63">
        <v>4123</v>
      </c>
      <c r="CA9" s="63">
        <v>1031</v>
      </c>
      <c r="CB9" s="63">
        <v>0</v>
      </c>
      <c r="CC9" s="63">
        <v>5154</v>
      </c>
      <c r="CD9" s="63">
        <v>0</v>
      </c>
      <c r="CE9" s="63">
        <v>0</v>
      </c>
      <c r="CF9" s="63">
        <v>0</v>
      </c>
      <c r="CG9" s="63">
        <v>0</v>
      </c>
      <c r="CH9" s="63">
        <v>11996</v>
      </c>
      <c r="CI9" s="63">
        <v>2999</v>
      </c>
      <c r="CJ9" s="63">
        <v>0</v>
      </c>
      <c r="CK9" s="63">
        <v>14995</v>
      </c>
      <c r="CL9" s="63">
        <v>4058</v>
      </c>
      <c r="CM9" s="63">
        <v>1014</v>
      </c>
      <c r="CN9" s="63">
        <v>0</v>
      </c>
      <c r="CO9" s="63">
        <v>5072</v>
      </c>
      <c r="CP9" s="63">
        <v>913220</v>
      </c>
      <c r="CQ9" s="63">
        <v>226766</v>
      </c>
      <c r="CR9" s="63">
        <v>0</v>
      </c>
      <c r="CS9" s="63">
        <v>1139986</v>
      </c>
      <c r="CU9" s="141" t="s">
        <v>605</v>
      </c>
      <c r="CV9" s="157" t="s">
        <v>929</v>
      </c>
      <c r="CW9" s="156" t="s">
        <v>928</v>
      </c>
      <c r="CX9" s="345"/>
      <c r="CY9" s="345"/>
      <c r="CZ9" s="345"/>
    </row>
    <row r="10" spans="1:104" ht="12.75" x14ac:dyDescent="0.2">
      <c r="A10" s="90">
        <v>3</v>
      </c>
      <c r="B10" s="129" t="s">
        <v>608</v>
      </c>
      <c r="C10" s="130" t="s">
        <v>742</v>
      </c>
      <c r="D10" s="131" t="s">
        <v>745</v>
      </c>
      <c r="E10" s="132" t="s">
        <v>607</v>
      </c>
      <c r="F10" s="63">
        <v>31078059</v>
      </c>
      <c r="G10" s="63">
        <v>0</v>
      </c>
      <c r="H10" s="63">
        <v>0</v>
      </c>
      <c r="I10" s="63">
        <v>151716</v>
      </c>
      <c r="J10" s="63">
        <v>0</v>
      </c>
      <c r="K10" s="63">
        <v>151716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30926343</v>
      </c>
      <c r="R10" s="474">
        <v>0.5</v>
      </c>
      <c r="S10" s="474">
        <v>0.4</v>
      </c>
      <c r="T10" s="474">
        <v>0.09</v>
      </c>
      <c r="U10" s="474">
        <v>0.01</v>
      </c>
      <c r="V10" s="474">
        <v>1</v>
      </c>
      <c r="W10" s="63">
        <v>15463172</v>
      </c>
      <c r="X10" s="63">
        <v>12370537</v>
      </c>
      <c r="Y10" s="63">
        <v>2783371</v>
      </c>
      <c r="Z10" s="63">
        <v>309263</v>
      </c>
      <c r="AA10" s="63">
        <v>30926343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3">
        <v>0</v>
      </c>
      <c r="AH10" s="63">
        <v>0</v>
      </c>
      <c r="AI10" s="63">
        <v>0</v>
      </c>
      <c r="AJ10" s="63">
        <v>0</v>
      </c>
      <c r="AK10" s="63">
        <v>0</v>
      </c>
      <c r="AL10" s="63">
        <v>15463172</v>
      </c>
      <c r="AM10" s="63">
        <v>12370537</v>
      </c>
      <c r="AN10" s="63">
        <v>2783371</v>
      </c>
      <c r="AO10" s="63">
        <v>309263</v>
      </c>
      <c r="AP10" s="63">
        <v>30926343</v>
      </c>
      <c r="AQ10" s="63">
        <v>151716</v>
      </c>
      <c r="AR10" s="63">
        <v>151716</v>
      </c>
      <c r="AS10" s="63">
        <v>0</v>
      </c>
      <c r="AT10" s="63">
        <v>0</v>
      </c>
      <c r="AU10" s="63">
        <v>0</v>
      </c>
      <c r="AV10" s="63">
        <v>0</v>
      </c>
      <c r="AW10" s="63">
        <v>0</v>
      </c>
      <c r="AX10" s="63">
        <v>0</v>
      </c>
      <c r="AY10" s="63">
        <v>0</v>
      </c>
      <c r="AZ10" s="63">
        <v>0</v>
      </c>
      <c r="BA10" s="63">
        <v>0</v>
      </c>
      <c r="BB10" s="63">
        <v>0</v>
      </c>
      <c r="BC10" s="63">
        <v>0</v>
      </c>
      <c r="BD10" s="63">
        <v>0</v>
      </c>
      <c r="BE10" s="63">
        <v>0</v>
      </c>
      <c r="BF10" s="63">
        <v>0</v>
      </c>
      <c r="BG10" s="63">
        <v>0</v>
      </c>
      <c r="BH10" s="63">
        <v>-135747</v>
      </c>
      <c r="BI10" s="63">
        <v>-108597</v>
      </c>
      <c r="BJ10" s="63">
        <v>-24434</v>
      </c>
      <c r="BK10" s="63">
        <v>-2715</v>
      </c>
      <c r="BL10" s="63">
        <v>-271493</v>
      </c>
      <c r="BM10" s="63">
        <v>15327425</v>
      </c>
      <c r="BN10" s="63">
        <v>12413656</v>
      </c>
      <c r="BO10" s="63">
        <v>2758937</v>
      </c>
      <c r="BP10" s="63">
        <v>306548</v>
      </c>
      <c r="BQ10" s="63">
        <v>30806566</v>
      </c>
      <c r="BR10" s="63">
        <v>178913</v>
      </c>
      <c r="BS10" s="63">
        <v>40255</v>
      </c>
      <c r="BT10" s="63">
        <v>4473</v>
      </c>
      <c r="BU10" s="63">
        <v>223641</v>
      </c>
      <c r="BV10" s="63">
        <v>543952</v>
      </c>
      <c r="BW10" s="63">
        <v>122389</v>
      </c>
      <c r="BX10" s="63">
        <v>13599</v>
      </c>
      <c r="BY10" s="63">
        <v>679940</v>
      </c>
      <c r="BZ10" s="63">
        <v>440</v>
      </c>
      <c r="CA10" s="63">
        <v>99</v>
      </c>
      <c r="CB10" s="63">
        <v>11</v>
      </c>
      <c r="CC10" s="63">
        <v>550</v>
      </c>
      <c r="CD10" s="63">
        <v>0</v>
      </c>
      <c r="CE10" s="63">
        <v>0</v>
      </c>
      <c r="CF10" s="63">
        <v>0</v>
      </c>
      <c r="CG10" s="63">
        <v>0</v>
      </c>
      <c r="CH10" s="63">
        <v>5018</v>
      </c>
      <c r="CI10" s="63">
        <v>1129</v>
      </c>
      <c r="CJ10" s="63">
        <v>125</v>
      </c>
      <c r="CK10" s="63">
        <v>6272</v>
      </c>
      <c r="CL10" s="63">
        <v>6847</v>
      </c>
      <c r="CM10" s="63">
        <v>1540</v>
      </c>
      <c r="CN10" s="63">
        <v>171</v>
      </c>
      <c r="CO10" s="63">
        <v>8558</v>
      </c>
      <c r="CP10" s="63">
        <v>735170</v>
      </c>
      <c r="CQ10" s="63">
        <v>165412</v>
      </c>
      <c r="CR10" s="63">
        <v>18379</v>
      </c>
      <c r="CS10" s="63">
        <v>918961</v>
      </c>
      <c r="CU10" s="141" t="s">
        <v>607</v>
      </c>
      <c r="CV10" s="157" t="s">
        <v>930</v>
      </c>
      <c r="CW10" s="156" t="s">
        <v>931</v>
      </c>
      <c r="CX10" s="345"/>
      <c r="CY10" s="345"/>
      <c r="CZ10" s="345"/>
    </row>
    <row r="11" spans="1:104" ht="12.75" x14ac:dyDescent="0.2">
      <c r="A11" s="90">
        <v>4</v>
      </c>
      <c r="B11" s="129" t="s">
        <v>610</v>
      </c>
      <c r="C11" s="130" t="s">
        <v>742</v>
      </c>
      <c r="D11" s="131" t="s">
        <v>743</v>
      </c>
      <c r="E11" s="132" t="s">
        <v>609</v>
      </c>
      <c r="F11" s="63">
        <v>34970940</v>
      </c>
      <c r="G11" s="63">
        <v>0</v>
      </c>
      <c r="H11" s="63">
        <v>0</v>
      </c>
      <c r="I11" s="63">
        <v>177222</v>
      </c>
      <c r="J11" s="63">
        <v>0</v>
      </c>
      <c r="K11" s="63">
        <v>177222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34793718</v>
      </c>
      <c r="R11" s="474">
        <v>0.5</v>
      </c>
      <c r="S11" s="474">
        <v>0.4</v>
      </c>
      <c r="T11" s="474">
        <v>0.1</v>
      </c>
      <c r="U11" s="474">
        <v>0</v>
      </c>
      <c r="V11" s="474">
        <v>1</v>
      </c>
      <c r="W11" s="63">
        <v>17396859</v>
      </c>
      <c r="X11" s="63">
        <v>13917487</v>
      </c>
      <c r="Y11" s="63">
        <v>3479372</v>
      </c>
      <c r="Z11" s="63">
        <v>0</v>
      </c>
      <c r="AA11" s="63">
        <v>34793718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  <c r="AG11" s="63">
        <v>0</v>
      </c>
      <c r="AH11" s="63">
        <v>0</v>
      </c>
      <c r="AI11" s="63">
        <v>0</v>
      </c>
      <c r="AJ11" s="63">
        <v>0</v>
      </c>
      <c r="AK11" s="63">
        <v>0</v>
      </c>
      <c r="AL11" s="63">
        <v>17396859</v>
      </c>
      <c r="AM11" s="63">
        <v>13917487</v>
      </c>
      <c r="AN11" s="63">
        <v>3479372</v>
      </c>
      <c r="AO11" s="63">
        <v>0</v>
      </c>
      <c r="AP11" s="63">
        <v>34793718</v>
      </c>
      <c r="AQ11" s="63">
        <v>177222</v>
      </c>
      <c r="AR11" s="63">
        <v>177222</v>
      </c>
      <c r="AS11" s="63">
        <v>0</v>
      </c>
      <c r="AT11" s="63">
        <v>0</v>
      </c>
      <c r="AU11" s="63">
        <v>0</v>
      </c>
      <c r="AV11" s="63">
        <v>0</v>
      </c>
      <c r="AW11" s="63">
        <v>0</v>
      </c>
      <c r="AX11" s="63">
        <v>0</v>
      </c>
      <c r="AY11" s="63">
        <v>0</v>
      </c>
      <c r="AZ11" s="63">
        <v>0</v>
      </c>
      <c r="BA11" s="63">
        <v>0</v>
      </c>
      <c r="BB11" s="63">
        <v>0</v>
      </c>
      <c r="BC11" s="63">
        <v>0</v>
      </c>
      <c r="BD11" s="63">
        <v>0</v>
      </c>
      <c r="BE11" s="63">
        <v>0</v>
      </c>
      <c r="BF11" s="63">
        <v>0</v>
      </c>
      <c r="BG11" s="63">
        <v>0</v>
      </c>
      <c r="BH11" s="63">
        <v>-1805738</v>
      </c>
      <c r="BI11" s="63">
        <v>-1444591</v>
      </c>
      <c r="BJ11" s="63">
        <v>-361148</v>
      </c>
      <c r="BK11" s="63">
        <v>0</v>
      </c>
      <c r="BL11" s="63">
        <v>-3611477</v>
      </c>
      <c r="BM11" s="63">
        <v>15591121</v>
      </c>
      <c r="BN11" s="63">
        <v>12650118</v>
      </c>
      <c r="BO11" s="63">
        <v>3118224</v>
      </c>
      <c r="BP11" s="63">
        <v>0</v>
      </c>
      <c r="BQ11" s="63">
        <v>31359463</v>
      </c>
      <c r="BR11" s="63">
        <v>201286</v>
      </c>
      <c r="BS11" s="63">
        <v>50321</v>
      </c>
      <c r="BT11" s="63">
        <v>0</v>
      </c>
      <c r="BU11" s="63">
        <v>251607</v>
      </c>
      <c r="BV11" s="63">
        <v>688160</v>
      </c>
      <c r="BW11" s="63">
        <v>172040</v>
      </c>
      <c r="BX11" s="63">
        <v>0</v>
      </c>
      <c r="BY11" s="63">
        <v>860200</v>
      </c>
      <c r="BZ11" s="63">
        <v>5460</v>
      </c>
      <c r="CA11" s="63">
        <v>1365</v>
      </c>
      <c r="CB11" s="63">
        <v>0</v>
      </c>
      <c r="CC11" s="63">
        <v>6825</v>
      </c>
      <c r="CD11" s="63">
        <v>0</v>
      </c>
      <c r="CE11" s="63">
        <v>0</v>
      </c>
      <c r="CF11" s="63">
        <v>0</v>
      </c>
      <c r="CG11" s="63">
        <v>0</v>
      </c>
      <c r="CH11" s="63">
        <v>10100</v>
      </c>
      <c r="CI11" s="63">
        <v>2525</v>
      </c>
      <c r="CJ11" s="63">
        <v>0</v>
      </c>
      <c r="CK11" s="63">
        <v>12625</v>
      </c>
      <c r="CL11" s="63">
        <v>0</v>
      </c>
      <c r="CM11" s="63">
        <v>0</v>
      </c>
      <c r="CN11" s="63">
        <v>0</v>
      </c>
      <c r="CO11" s="63">
        <v>0</v>
      </c>
      <c r="CP11" s="63">
        <v>905006</v>
      </c>
      <c r="CQ11" s="63">
        <v>226251</v>
      </c>
      <c r="CR11" s="63">
        <v>0</v>
      </c>
      <c r="CS11" s="63">
        <v>1131257</v>
      </c>
      <c r="CU11" s="141" t="s">
        <v>609</v>
      </c>
      <c r="CV11" s="157" t="s">
        <v>927</v>
      </c>
      <c r="CW11" s="156" t="s">
        <v>928</v>
      </c>
      <c r="CX11" s="345"/>
      <c r="CY11" s="345"/>
      <c r="CZ11" s="345"/>
    </row>
    <row r="12" spans="1:104" ht="12.75" x14ac:dyDescent="0.2">
      <c r="A12" s="90">
        <v>5</v>
      </c>
      <c r="B12" s="129" t="s">
        <v>612</v>
      </c>
      <c r="C12" s="130" t="s">
        <v>742</v>
      </c>
      <c r="D12" s="131" t="s">
        <v>745</v>
      </c>
      <c r="E12" s="132" t="s">
        <v>611</v>
      </c>
      <c r="F12" s="63">
        <v>35033691</v>
      </c>
      <c r="G12" s="63">
        <v>0</v>
      </c>
      <c r="H12" s="63">
        <v>0</v>
      </c>
      <c r="I12" s="63">
        <v>132117</v>
      </c>
      <c r="J12" s="63">
        <v>0</v>
      </c>
      <c r="K12" s="63">
        <v>132117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34901574</v>
      </c>
      <c r="R12" s="474">
        <v>0.5</v>
      </c>
      <c r="S12" s="474">
        <v>0.4</v>
      </c>
      <c r="T12" s="474">
        <v>0.09</v>
      </c>
      <c r="U12" s="474">
        <v>0.01</v>
      </c>
      <c r="V12" s="474">
        <v>1</v>
      </c>
      <c r="W12" s="63">
        <v>17450786</v>
      </c>
      <c r="X12" s="63">
        <v>13960630</v>
      </c>
      <c r="Y12" s="63">
        <v>3141142</v>
      </c>
      <c r="Z12" s="63">
        <v>349016</v>
      </c>
      <c r="AA12" s="63">
        <v>34901574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3">
        <v>0</v>
      </c>
      <c r="AH12" s="63">
        <v>0</v>
      </c>
      <c r="AI12" s="63">
        <v>0</v>
      </c>
      <c r="AJ12" s="63">
        <v>0</v>
      </c>
      <c r="AK12" s="63">
        <v>0</v>
      </c>
      <c r="AL12" s="63">
        <v>17450786</v>
      </c>
      <c r="AM12" s="63">
        <v>13960630</v>
      </c>
      <c r="AN12" s="63">
        <v>3141142</v>
      </c>
      <c r="AO12" s="63">
        <v>349016</v>
      </c>
      <c r="AP12" s="63">
        <v>34901574</v>
      </c>
      <c r="AQ12" s="63">
        <v>132117</v>
      </c>
      <c r="AR12" s="63">
        <v>132117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  <c r="BH12" s="63">
        <v>54288</v>
      </c>
      <c r="BI12" s="63">
        <v>43431</v>
      </c>
      <c r="BJ12" s="63">
        <v>9772</v>
      </c>
      <c r="BK12" s="63">
        <v>1086</v>
      </c>
      <c r="BL12" s="63">
        <v>108577</v>
      </c>
      <c r="BM12" s="63">
        <v>17505074</v>
      </c>
      <c r="BN12" s="63">
        <v>14136178</v>
      </c>
      <c r="BO12" s="63">
        <v>3150914</v>
      </c>
      <c r="BP12" s="63">
        <v>350102</v>
      </c>
      <c r="BQ12" s="63">
        <v>35142268</v>
      </c>
      <c r="BR12" s="63">
        <v>201910</v>
      </c>
      <c r="BS12" s="63">
        <v>45430</v>
      </c>
      <c r="BT12" s="63">
        <v>5048</v>
      </c>
      <c r="BU12" s="63">
        <v>252388</v>
      </c>
      <c r="BV12" s="63">
        <v>399563</v>
      </c>
      <c r="BW12" s="63">
        <v>89902</v>
      </c>
      <c r="BX12" s="63">
        <v>9989</v>
      </c>
      <c r="BY12" s="63">
        <v>499454</v>
      </c>
      <c r="BZ12" s="63">
        <v>0</v>
      </c>
      <c r="CA12" s="63">
        <v>0</v>
      </c>
      <c r="CB12" s="63">
        <v>0</v>
      </c>
      <c r="CC12" s="63">
        <v>0</v>
      </c>
      <c r="CD12" s="63">
        <v>10144</v>
      </c>
      <c r="CE12" s="63">
        <v>2283</v>
      </c>
      <c r="CF12" s="63">
        <v>254</v>
      </c>
      <c r="CG12" s="63">
        <v>12681</v>
      </c>
      <c r="CH12" s="63">
        <v>4058</v>
      </c>
      <c r="CI12" s="63">
        <v>913</v>
      </c>
      <c r="CJ12" s="63">
        <v>101</v>
      </c>
      <c r="CK12" s="63">
        <v>5072</v>
      </c>
      <c r="CL12" s="63">
        <v>760</v>
      </c>
      <c r="CM12" s="63">
        <v>171</v>
      </c>
      <c r="CN12" s="63">
        <v>19</v>
      </c>
      <c r="CO12" s="63">
        <v>950</v>
      </c>
      <c r="CP12" s="63">
        <v>616435</v>
      </c>
      <c r="CQ12" s="63">
        <v>138699</v>
      </c>
      <c r="CR12" s="63">
        <v>15411</v>
      </c>
      <c r="CS12" s="63">
        <v>770545</v>
      </c>
      <c r="CU12" s="141" t="s">
        <v>611</v>
      </c>
      <c r="CV12" s="157" t="s">
        <v>932</v>
      </c>
      <c r="CW12" s="156" t="s">
        <v>933</v>
      </c>
      <c r="CX12" s="345"/>
      <c r="CY12" s="345"/>
      <c r="CZ12" s="345"/>
    </row>
    <row r="13" spans="1:104" ht="12.75" x14ac:dyDescent="0.2">
      <c r="A13" s="90">
        <v>6</v>
      </c>
      <c r="B13" s="129" t="s">
        <v>614</v>
      </c>
      <c r="C13" s="130" t="s">
        <v>742</v>
      </c>
      <c r="D13" s="131" t="s">
        <v>743</v>
      </c>
      <c r="E13" s="132" t="s">
        <v>613</v>
      </c>
      <c r="F13" s="63">
        <v>48274952</v>
      </c>
      <c r="G13" s="63">
        <v>0</v>
      </c>
      <c r="H13" s="63">
        <v>0</v>
      </c>
      <c r="I13" s="63">
        <v>180852</v>
      </c>
      <c r="J13" s="63">
        <v>0</v>
      </c>
      <c r="K13" s="63">
        <v>180852</v>
      </c>
      <c r="L13" s="63">
        <v>0</v>
      </c>
      <c r="M13" s="63">
        <v>0</v>
      </c>
      <c r="N13" s="63">
        <v>54000</v>
      </c>
      <c r="O13" s="63">
        <v>54000</v>
      </c>
      <c r="P13" s="63">
        <v>0</v>
      </c>
      <c r="Q13" s="63">
        <v>48040100</v>
      </c>
      <c r="R13" s="474">
        <v>0.5</v>
      </c>
      <c r="S13" s="474">
        <v>0.4</v>
      </c>
      <c r="T13" s="474">
        <v>0.09</v>
      </c>
      <c r="U13" s="474">
        <v>0.01</v>
      </c>
      <c r="V13" s="474">
        <v>1</v>
      </c>
      <c r="W13" s="63">
        <v>24020050</v>
      </c>
      <c r="X13" s="63">
        <v>19216040</v>
      </c>
      <c r="Y13" s="63">
        <v>4323609</v>
      </c>
      <c r="Z13" s="63">
        <v>480401</v>
      </c>
      <c r="AA13" s="63">
        <v>48040100</v>
      </c>
      <c r="AB13" s="63">
        <v>0</v>
      </c>
      <c r="AC13" s="63">
        <v>0</v>
      </c>
      <c r="AD13" s="63">
        <v>0</v>
      </c>
      <c r="AE13" s="63">
        <v>0</v>
      </c>
      <c r="AF13" s="63">
        <v>0</v>
      </c>
      <c r="AG13" s="63">
        <v>0</v>
      </c>
      <c r="AH13" s="63">
        <v>0</v>
      </c>
      <c r="AI13" s="63">
        <v>0</v>
      </c>
      <c r="AJ13" s="63">
        <v>0</v>
      </c>
      <c r="AK13" s="63">
        <v>0</v>
      </c>
      <c r="AL13" s="63">
        <v>24020050</v>
      </c>
      <c r="AM13" s="63">
        <v>19216040</v>
      </c>
      <c r="AN13" s="63">
        <v>4323609</v>
      </c>
      <c r="AO13" s="63">
        <v>480401</v>
      </c>
      <c r="AP13" s="63">
        <v>48040100</v>
      </c>
      <c r="AQ13" s="63">
        <v>180852</v>
      </c>
      <c r="AR13" s="63">
        <v>180852</v>
      </c>
      <c r="AS13" s="63">
        <v>0</v>
      </c>
      <c r="AT13" s="63">
        <v>0</v>
      </c>
      <c r="AU13" s="63">
        <v>54000</v>
      </c>
      <c r="AV13" s="63">
        <v>0</v>
      </c>
      <c r="AW13" s="63">
        <v>54000</v>
      </c>
      <c r="AX13" s="63">
        <v>0</v>
      </c>
      <c r="AY13" s="63">
        <v>0</v>
      </c>
      <c r="AZ13" s="63">
        <v>0</v>
      </c>
      <c r="BA13" s="63">
        <v>0</v>
      </c>
      <c r="BB13" s="63">
        <v>0</v>
      </c>
      <c r="BC13" s="63">
        <v>0</v>
      </c>
      <c r="BD13" s="63">
        <v>0</v>
      </c>
      <c r="BE13" s="63">
        <v>0</v>
      </c>
      <c r="BF13" s="63">
        <v>0</v>
      </c>
      <c r="BG13" s="63">
        <v>0</v>
      </c>
      <c r="BH13" s="63">
        <v>-373383</v>
      </c>
      <c r="BI13" s="63">
        <v>-298707</v>
      </c>
      <c r="BJ13" s="63">
        <v>-67209</v>
      </c>
      <c r="BK13" s="63">
        <v>-7468</v>
      </c>
      <c r="BL13" s="63">
        <v>-746767</v>
      </c>
      <c r="BM13" s="63">
        <v>23646667</v>
      </c>
      <c r="BN13" s="63">
        <v>19152185</v>
      </c>
      <c r="BO13" s="63">
        <v>4256400</v>
      </c>
      <c r="BP13" s="63">
        <v>472933</v>
      </c>
      <c r="BQ13" s="63">
        <v>47528185</v>
      </c>
      <c r="BR13" s="63">
        <v>278699</v>
      </c>
      <c r="BS13" s="63">
        <v>62532</v>
      </c>
      <c r="BT13" s="63">
        <v>6948</v>
      </c>
      <c r="BU13" s="63">
        <v>348179</v>
      </c>
      <c r="BV13" s="63">
        <v>537718</v>
      </c>
      <c r="BW13" s="63">
        <v>120987</v>
      </c>
      <c r="BX13" s="63">
        <v>13443</v>
      </c>
      <c r="BY13" s="63">
        <v>672148</v>
      </c>
      <c r="BZ13" s="63">
        <v>1478</v>
      </c>
      <c r="CA13" s="63">
        <v>332</v>
      </c>
      <c r="CB13" s="63">
        <v>37</v>
      </c>
      <c r="CC13" s="63">
        <v>1847</v>
      </c>
      <c r="CD13" s="63">
        <v>3433</v>
      </c>
      <c r="CE13" s="63">
        <v>773</v>
      </c>
      <c r="CF13" s="63">
        <v>86</v>
      </c>
      <c r="CG13" s="63">
        <v>4292</v>
      </c>
      <c r="CH13" s="63">
        <v>3151</v>
      </c>
      <c r="CI13" s="63">
        <v>709</v>
      </c>
      <c r="CJ13" s="63">
        <v>79</v>
      </c>
      <c r="CK13" s="63">
        <v>3939</v>
      </c>
      <c r="CL13" s="63">
        <v>2841</v>
      </c>
      <c r="CM13" s="63">
        <v>639</v>
      </c>
      <c r="CN13" s="63">
        <v>71</v>
      </c>
      <c r="CO13" s="63">
        <v>3551</v>
      </c>
      <c r="CP13" s="63">
        <v>827320</v>
      </c>
      <c r="CQ13" s="63">
        <v>185972</v>
      </c>
      <c r="CR13" s="63">
        <v>20664</v>
      </c>
      <c r="CS13" s="63">
        <v>1033956</v>
      </c>
      <c r="CU13" s="141" t="s">
        <v>613</v>
      </c>
      <c r="CV13" s="157" t="s">
        <v>934</v>
      </c>
      <c r="CW13" s="156" t="s">
        <v>935</v>
      </c>
      <c r="CX13" s="345"/>
      <c r="CY13" s="345"/>
      <c r="CZ13" s="345"/>
    </row>
    <row r="14" spans="1:104" ht="12.75" x14ac:dyDescent="0.2">
      <c r="A14" s="90">
        <v>7</v>
      </c>
      <c r="B14" s="129" t="s">
        <v>616</v>
      </c>
      <c r="C14" s="130" t="s">
        <v>742</v>
      </c>
      <c r="D14" s="131" t="s">
        <v>743</v>
      </c>
      <c r="E14" s="132" t="s">
        <v>615</v>
      </c>
      <c r="F14" s="63">
        <v>51406334</v>
      </c>
      <c r="G14" s="63">
        <v>0</v>
      </c>
      <c r="H14" s="63">
        <v>0</v>
      </c>
      <c r="I14" s="63">
        <v>227027</v>
      </c>
      <c r="J14" s="63">
        <v>0</v>
      </c>
      <c r="K14" s="63">
        <v>227027</v>
      </c>
      <c r="L14" s="63">
        <v>0</v>
      </c>
      <c r="M14" s="63">
        <v>25047</v>
      </c>
      <c r="N14" s="63">
        <v>0</v>
      </c>
      <c r="O14" s="63">
        <v>0</v>
      </c>
      <c r="P14" s="63">
        <v>0</v>
      </c>
      <c r="Q14" s="63">
        <v>51154260</v>
      </c>
      <c r="R14" s="474">
        <v>0.5</v>
      </c>
      <c r="S14" s="474">
        <v>0.4</v>
      </c>
      <c r="T14" s="474">
        <v>0.09</v>
      </c>
      <c r="U14" s="474">
        <v>0.01</v>
      </c>
      <c r="V14" s="474">
        <v>1</v>
      </c>
      <c r="W14" s="63">
        <v>25577130</v>
      </c>
      <c r="X14" s="63">
        <v>20461704</v>
      </c>
      <c r="Y14" s="63">
        <v>4603883</v>
      </c>
      <c r="Z14" s="63">
        <v>511543</v>
      </c>
      <c r="AA14" s="63">
        <v>51154260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  <c r="AG14" s="63">
        <v>0</v>
      </c>
      <c r="AH14" s="63">
        <v>0</v>
      </c>
      <c r="AI14" s="63">
        <v>0</v>
      </c>
      <c r="AJ14" s="63">
        <v>0</v>
      </c>
      <c r="AK14" s="63">
        <v>0</v>
      </c>
      <c r="AL14" s="63">
        <v>25577130</v>
      </c>
      <c r="AM14" s="63">
        <v>20461704</v>
      </c>
      <c r="AN14" s="63">
        <v>4603883</v>
      </c>
      <c r="AO14" s="63">
        <v>511543</v>
      </c>
      <c r="AP14" s="63">
        <v>51154260</v>
      </c>
      <c r="AQ14" s="63">
        <v>227027</v>
      </c>
      <c r="AR14" s="63">
        <v>227027</v>
      </c>
      <c r="AS14" s="63">
        <v>25047</v>
      </c>
      <c r="AT14" s="63">
        <v>25047</v>
      </c>
      <c r="AU14" s="63">
        <v>0</v>
      </c>
      <c r="AV14" s="63">
        <v>0</v>
      </c>
      <c r="AW14" s="63">
        <v>0</v>
      </c>
      <c r="AX14" s="63">
        <v>0</v>
      </c>
      <c r="AY14" s="63">
        <v>0</v>
      </c>
      <c r="AZ14" s="63">
        <v>0</v>
      </c>
      <c r="BA14" s="63">
        <v>0</v>
      </c>
      <c r="BB14" s="63">
        <v>0</v>
      </c>
      <c r="BC14" s="63">
        <v>0</v>
      </c>
      <c r="BD14" s="63">
        <v>0</v>
      </c>
      <c r="BE14" s="63">
        <v>0</v>
      </c>
      <c r="BF14" s="63">
        <v>0</v>
      </c>
      <c r="BG14" s="63">
        <v>0</v>
      </c>
      <c r="BH14" s="63">
        <v>-222475</v>
      </c>
      <c r="BI14" s="63">
        <v>-177981</v>
      </c>
      <c r="BJ14" s="63">
        <v>-40046</v>
      </c>
      <c r="BK14" s="63">
        <v>-4450</v>
      </c>
      <c r="BL14" s="63">
        <v>-444952</v>
      </c>
      <c r="BM14" s="63">
        <v>25354655</v>
      </c>
      <c r="BN14" s="63">
        <v>20535797</v>
      </c>
      <c r="BO14" s="63">
        <v>4563837</v>
      </c>
      <c r="BP14" s="63">
        <v>507093</v>
      </c>
      <c r="BQ14" s="63">
        <v>50961382</v>
      </c>
      <c r="BR14" s="63">
        <v>296296</v>
      </c>
      <c r="BS14" s="63">
        <v>66585</v>
      </c>
      <c r="BT14" s="63">
        <v>7398</v>
      </c>
      <c r="BU14" s="63">
        <v>370279</v>
      </c>
      <c r="BV14" s="63">
        <v>673848</v>
      </c>
      <c r="BW14" s="63">
        <v>151616</v>
      </c>
      <c r="BX14" s="63">
        <v>16846</v>
      </c>
      <c r="BY14" s="63">
        <v>842310</v>
      </c>
      <c r="BZ14" s="63">
        <v>7640</v>
      </c>
      <c r="CA14" s="63">
        <v>1719</v>
      </c>
      <c r="CB14" s="63">
        <v>191</v>
      </c>
      <c r="CC14" s="63">
        <v>9550</v>
      </c>
      <c r="CD14" s="63">
        <v>42999</v>
      </c>
      <c r="CE14" s="63">
        <v>9675</v>
      </c>
      <c r="CF14" s="63">
        <v>1075</v>
      </c>
      <c r="CG14" s="63">
        <v>53749</v>
      </c>
      <c r="CH14" s="63">
        <v>5572</v>
      </c>
      <c r="CI14" s="63">
        <v>1253</v>
      </c>
      <c r="CJ14" s="63">
        <v>139</v>
      </c>
      <c r="CK14" s="63">
        <v>6964</v>
      </c>
      <c r="CL14" s="63">
        <v>3378</v>
      </c>
      <c r="CM14" s="63">
        <v>760</v>
      </c>
      <c r="CN14" s="63">
        <v>84</v>
      </c>
      <c r="CO14" s="63">
        <v>4222</v>
      </c>
      <c r="CP14" s="63">
        <v>1029733</v>
      </c>
      <c r="CQ14" s="63">
        <v>231608</v>
      </c>
      <c r="CR14" s="63">
        <v>25733</v>
      </c>
      <c r="CS14" s="63">
        <v>1287074</v>
      </c>
      <c r="CU14" s="141" t="s">
        <v>615</v>
      </c>
      <c r="CV14" s="157" t="s">
        <v>936</v>
      </c>
      <c r="CW14" s="156" t="s">
        <v>937</v>
      </c>
      <c r="CX14" s="345"/>
      <c r="CY14" s="345"/>
      <c r="CZ14" s="345"/>
    </row>
    <row r="15" spans="1:104" ht="12.75" x14ac:dyDescent="0.2">
      <c r="A15" s="90">
        <v>8</v>
      </c>
      <c r="B15" s="129" t="s">
        <v>618</v>
      </c>
      <c r="C15" s="130" t="s">
        <v>742</v>
      </c>
      <c r="D15" s="131" t="s">
        <v>746</v>
      </c>
      <c r="E15" s="132" t="s">
        <v>617</v>
      </c>
      <c r="F15" s="63">
        <v>23969570</v>
      </c>
      <c r="G15" s="63">
        <v>0</v>
      </c>
      <c r="H15" s="63">
        <v>0</v>
      </c>
      <c r="I15" s="63">
        <v>128746</v>
      </c>
      <c r="J15" s="63">
        <v>0</v>
      </c>
      <c r="K15" s="63">
        <v>128746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23840824</v>
      </c>
      <c r="R15" s="474">
        <v>0.5</v>
      </c>
      <c r="S15" s="474">
        <v>0.4</v>
      </c>
      <c r="T15" s="474">
        <v>0.1</v>
      </c>
      <c r="U15" s="474">
        <v>0</v>
      </c>
      <c r="V15" s="474">
        <v>1</v>
      </c>
      <c r="W15" s="63">
        <v>11920412</v>
      </c>
      <c r="X15" s="63">
        <v>9536330</v>
      </c>
      <c r="Y15" s="63">
        <v>2384082</v>
      </c>
      <c r="Z15" s="63">
        <v>0</v>
      </c>
      <c r="AA15" s="63">
        <v>23840824</v>
      </c>
      <c r="AB15" s="63">
        <v>0</v>
      </c>
      <c r="AC15" s="63">
        <v>0</v>
      </c>
      <c r="AD15" s="63">
        <v>0</v>
      </c>
      <c r="AE15" s="63">
        <v>0</v>
      </c>
      <c r="AF15" s="63">
        <v>0</v>
      </c>
      <c r="AG15" s="63">
        <v>0</v>
      </c>
      <c r="AH15" s="63">
        <v>0</v>
      </c>
      <c r="AI15" s="63">
        <v>0</v>
      </c>
      <c r="AJ15" s="63">
        <v>0</v>
      </c>
      <c r="AK15" s="63">
        <v>0</v>
      </c>
      <c r="AL15" s="63">
        <v>11920412</v>
      </c>
      <c r="AM15" s="63">
        <v>9536330</v>
      </c>
      <c r="AN15" s="63">
        <v>2384082</v>
      </c>
      <c r="AO15" s="63">
        <v>0</v>
      </c>
      <c r="AP15" s="63">
        <v>23840824</v>
      </c>
      <c r="AQ15" s="63">
        <v>128746</v>
      </c>
      <c r="AR15" s="63">
        <v>128746</v>
      </c>
      <c r="AS15" s="63">
        <v>0</v>
      </c>
      <c r="AT15" s="63">
        <v>0</v>
      </c>
      <c r="AU15" s="63">
        <v>0</v>
      </c>
      <c r="AV15" s="63">
        <v>0</v>
      </c>
      <c r="AW15" s="63">
        <v>0</v>
      </c>
      <c r="AX15" s="63">
        <v>0</v>
      </c>
      <c r="AY15" s="63">
        <v>0</v>
      </c>
      <c r="AZ15" s="63">
        <v>0</v>
      </c>
      <c r="BA15" s="63">
        <v>0</v>
      </c>
      <c r="BB15" s="63">
        <v>0</v>
      </c>
      <c r="BC15" s="63">
        <v>0</v>
      </c>
      <c r="BD15" s="63">
        <v>0</v>
      </c>
      <c r="BE15" s="63">
        <v>0</v>
      </c>
      <c r="BF15" s="63">
        <v>0</v>
      </c>
      <c r="BG15" s="63">
        <v>0</v>
      </c>
      <c r="BH15" s="63">
        <v>-421382</v>
      </c>
      <c r="BI15" s="63">
        <v>-337106</v>
      </c>
      <c r="BJ15" s="63">
        <v>-84276</v>
      </c>
      <c r="BK15" s="63">
        <v>0</v>
      </c>
      <c r="BL15" s="63">
        <v>-842764</v>
      </c>
      <c r="BM15" s="63">
        <v>11499030</v>
      </c>
      <c r="BN15" s="63">
        <v>9327970</v>
      </c>
      <c r="BO15" s="63">
        <v>2299806</v>
      </c>
      <c r="BP15" s="63">
        <v>0</v>
      </c>
      <c r="BQ15" s="63">
        <v>23126806</v>
      </c>
      <c r="BR15" s="63">
        <v>137922</v>
      </c>
      <c r="BS15" s="63">
        <v>34481</v>
      </c>
      <c r="BT15" s="63">
        <v>0</v>
      </c>
      <c r="BU15" s="63">
        <v>172403</v>
      </c>
      <c r="BV15" s="63">
        <v>474528</v>
      </c>
      <c r="BW15" s="63">
        <v>118632</v>
      </c>
      <c r="BX15" s="63">
        <v>0</v>
      </c>
      <c r="BY15" s="63">
        <v>593160</v>
      </c>
      <c r="BZ15" s="63">
        <v>1981</v>
      </c>
      <c r="CA15" s="63">
        <v>495</v>
      </c>
      <c r="CB15" s="63">
        <v>0</v>
      </c>
      <c r="CC15" s="63">
        <v>2476</v>
      </c>
      <c r="CD15" s="63">
        <v>948</v>
      </c>
      <c r="CE15" s="63">
        <v>237</v>
      </c>
      <c r="CF15" s="63">
        <v>0</v>
      </c>
      <c r="CG15" s="63">
        <v>1185</v>
      </c>
      <c r="CH15" s="63">
        <v>7266</v>
      </c>
      <c r="CI15" s="63">
        <v>1816</v>
      </c>
      <c r="CJ15" s="63">
        <v>0</v>
      </c>
      <c r="CK15" s="63">
        <v>9082</v>
      </c>
      <c r="CL15" s="63">
        <v>1612</v>
      </c>
      <c r="CM15" s="63">
        <v>403</v>
      </c>
      <c r="CN15" s="63">
        <v>0</v>
      </c>
      <c r="CO15" s="63">
        <v>2015</v>
      </c>
      <c r="CP15" s="63">
        <v>624257</v>
      </c>
      <c r="CQ15" s="63">
        <v>156064</v>
      </c>
      <c r="CR15" s="63">
        <v>0</v>
      </c>
      <c r="CS15" s="63">
        <v>780321</v>
      </c>
      <c r="CU15" s="141" t="s">
        <v>617</v>
      </c>
      <c r="CV15" s="157" t="s">
        <v>938</v>
      </c>
      <c r="CW15" s="156" t="s">
        <v>928</v>
      </c>
      <c r="CX15" s="345"/>
      <c r="CY15" s="345"/>
      <c r="CZ15" s="345"/>
    </row>
    <row r="16" spans="1:104" ht="12.75" x14ac:dyDescent="0.2">
      <c r="A16" s="90">
        <v>9</v>
      </c>
      <c r="B16" s="129" t="s">
        <v>619</v>
      </c>
      <c r="C16" s="130" t="s">
        <v>747</v>
      </c>
      <c r="D16" s="131" t="s">
        <v>748</v>
      </c>
      <c r="E16" s="132" t="s">
        <v>554</v>
      </c>
      <c r="F16" s="63">
        <v>58044296</v>
      </c>
      <c r="G16" s="63">
        <v>0</v>
      </c>
      <c r="H16" s="63">
        <v>0</v>
      </c>
      <c r="I16" s="63">
        <v>201892</v>
      </c>
      <c r="J16" s="63">
        <v>0</v>
      </c>
      <c r="K16" s="63">
        <v>201892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57842404</v>
      </c>
      <c r="R16" s="474">
        <v>0.5</v>
      </c>
      <c r="S16" s="474">
        <v>0.3</v>
      </c>
      <c r="T16" s="474">
        <v>0.2</v>
      </c>
      <c r="U16" s="474">
        <v>0</v>
      </c>
      <c r="V16" s="474">
        <v>1</v>
      </c>
      <c r="W16" s="63">
        <v>28921202</v>
      </c>
      <c r="X16" s="63">
        <v>17352721</v>
      </c>
      <c r="Y16" s="63">
        <v>11568481</v>
      </c>
      <c r="Z16" s="63">
        <v>0</v>
      </c>
      <c r="AA16" s="63">
        <v>57842404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28921202</v>
      </c>
      <c r="AM16" s="63">
        <v>17352721</v>
      </c>
      <c r="AN16" s="63">
        <v>11568481</v>
      </c>
      <c r="AO16" s="63">
        <v>0</v>
      </c>
      <c r="AP16" s="63">
        <v>57842404</v>
      </c>
      <c r="AQ16" s="63">
        <v>201892</v>
      </c>
      <c r="AR16" s="63">
        <v>201892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-1210704</v>
      </c>
      <c r="BI16" s="63">
        <v>-726423</v>
      </c>
      <c r="BJ16" s="63">
        <v>-484282</v>
      </c>
      <c r="BK16" s="63">
        <v>0</v>
      </c>
      <c r="BL16" s="63">
        <v>-2421409</v>
      </c>
      <c r="BM16" s="63">
        <v>27710498</v>
      </c>
      <c r="BN16" s="63">
        <v>16828190</v>
      </c>
      <c r="BO16" s="63">
        <v>11084199</v>
      </c>
      <c r="BP16" s="63">
        <v>0</v>
      </c>
      <c r="BQ16" s="63">
        <v>55622887</v>
      </c>
      <c r="BR16" s="63">
        <v>250969</v>
      </c>
      <c r="BS16" s="63">
        <v>167313</v>
      </c>
      <c r="BT16" s="63">
        <v>0</v>
      </c>
      <c r="BU16" s="63">
        <v>418282</v>
      </c>
      <c r="BV16" s="63">
        <v>410179</v>
      </c>
      <c r="BW16" s="63">
        <v>273453</v>
      </c>
      <c r="BX16" s="63">
        <v>0</v>
      </c>
      <c r="BY16" s="63">
        <v>683632</v>
      </c>
      <c r="BZ16" s="63">
        <v>0</v>
      </c>
      <c r="CA16" s="63">
        <v>0</v>
      </c>
      <c r="CB16" s="63">
        <v>0</v>
      </c>
      <c r="CC16" s="63">
        <v>0</v>
      </c>
      <c r="CD16" s="63">
        <v>0</v>
      </c>
      <c r="CE16" s="63">
        <v>0</v>
      </c>
      <c r="CF16" s="63">
        <v>0</v>
      </c>
      <c r="CG16" s="63">
        <v>0</v>
      </c>
      <c r="CH16" s="63">
        <v>55304</v>
      </c>
      <c r="CI16" s="63">
        <v>36869</v>
      </c>
      <c r="CJ16" s="63">
        <v>0</v>
      </c>
      <c r="CK16" s="63">
        <v>92173</v>
      </c>
      <c r="CL16" s="63">
        <v>0</v>
      </c>
      <c r="CM16" s="63">
        <v>0</v>
      </c>
      <c r="CN16" s="63">
        <v>0</v>
      </c>
      <c r="CO16" s="63">
        <v>0</v>
      </c>
      <c r="CP16" s="63">
        <v>716452</v>
      </c>
      <c r="CQ16" s="63">
        <v>477635</v>
      </c>
      <c r="CR16" s="63">
        <v>0</v>
      </c>
      <c r="CS16" s="63">
        <v>1194087</v>
      </c>
      <c r="CU16" s="141" t="s">
        <v>554</v>
      </c>
      <c r="CV16" s="157" t="s">
        <v>939</v>
      </c>
      <c r="CW16" s="157" t="s">
        <v>940</v>
      </c>
      <c r="CX16" s="345"/>
      <c r="CY16" s="345"/>
      <c r="CZ16" s="345"/>
    </row>
    <row r="17" spans="1:104" ht="12.75" x14ac:dyDescent="0.2">
      <c r="A17" s="90">
        <v>10</v>
      </c>
      <c r="B17" s="129" t="s">
        <v>621</v>
      </c>
      <c r="C17" s="130" t="s">
        <v>747</v>
      </c>
      <c r="D17" s="131" t="s">
        <v>748</v>
      </c>
      <c r="E17" s="132" t="s">
        <v>620</v>
      </c>
      <c r="F17" s="63">
        <v>110706197</v>
      </c>
      <c r="G17" s="63">
        <v>0</v>
      </c>
      <c r="H17" s="63">
        <v>0</v>
      </c>
      <c r="I17" s="63">
        <v>415924</v>
      </c>
      <c r="J17" s="63">
        <v>0</v>
      </c>
      <c r="K17" s="63">
        <v>415924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110290273</v>
      </c>
      <c r="R17" s="474">
        <v>0.5</v>
      </c>
      <c r="S17" s="474">
        <v>0.3</v>
      </c>
      <c r="T17" s="474">
        <v>0.2</v>
      </c>
      <c r="U17" s="474">
        <v>0</v>
      </c>
      <c r="V17" s="474">
        <v>1</v>
      </c>
      <c r="W17" s="63">
        <v>55145136</v>
      </c>
      <c r="X17" s="63">
        <v>33087082</v>
      </c>
      <c r="Y17" s="63">
        <v>22058055</v>
      </c>
      <c r="Z17" s="63">
        <v>0</v>
      </c>
      <c r="AA17" s="63">
        <v>110290273</v>
      </c>
      <c r="AB17" s="63">
        <v>0</v>
      </c>
      <c r="AC17" s="63">
        <v>0</v>
      </c>
      <c r="AD17" s="63">
        <v>0</v>
      </c>
      <c r="AE17" s="63">
        <v>0</v>
      </c>
      <c r="AF17" s="63">
        <v>0</v>
      </c>
      <c r="AG17" s="63">
        <v>0</v>
      </c>
      <c r="AH17" s="63">
        <v>0</v>
      </c>
      <c r="AI17" s="63">
        <v>0</v>
      </c>
      <c r="AJ17" s="63">
        <v>0</v>
      </c>
      <c r="AK17" s="63">
        <v>0</v>
      </c>
      <c r="AL17" s="63">
        <v>55145136</v>
      </c>
      <c r="AM17" s="63">
        <v>33087082</v>
      </c>
      <c r="AN17" s="63">
        <v>22058055</v>
      </c>
      <c r="AO17" s="63">
        <v>0</v>
      </c>
      <c r="AP17" s="63">
        <v>110290273</v>
      </c>
      <c r="AQ17" s="63">
        <v>415924</v>
      </c>
      <c r="AR17" s="63">
        <v>415924</v>
      </c>
      <c r="AS17" s="63">
        <v>0</v>
      </c>
      <c r="AT17" s="63">
        <v>0</v>
      </c>
      <c r="AU17" s="63">
        <v>0</v>
      </c>
      <c r="AV17" s="63">
        <v>0</v>
      </c>
      <c r="AW17" s="63">
        <v>0</v>
      </c>
      <c r="AX17" s="63">
        <v>0</v>
      </c>
      <c r="AY17" s="63">
        <v>0</v>
      </c>
      <c r="AZ17" s="63">
        <v>0</v>
      </c>
      <c r="BA17" s="63">
        <v>0</v>
      </c>
      <c r="BB17" s="63">
        <v>0</v>
      </c>
      <c r="BC17" s="63">
        <v>0</v>
      </c>
      <c r="BD17" s="63">
        <v>0</v>
      </c>
      <c r="BE17" s="63">
        <v>0</v>
      </c>
      <c r="BF17" s="63">
        <v>0</v>
      </c>
      <c r="BG17" s="63">
        <v>0</v>
      </c>
      <c r="BH17" s="63">
        <v>-7604375</v>
      </c>
      <c r="BI17" s="63">
        <v>-4562625</v>
      </c>
      <c r="BJ17" s="63">
        <v>-3041750</v>
      </c>
      <c r="BK17" s="63">
        <v>0</v>
      </c>
      <c r="BL17" s="63">
        <v>-15208750</v>
      </c>
      <c r="BM17" s="63">
        <v>47540761</v>
      </c>
      <c r="BN17" s="63">
        <v>28940381</v>
      </c>
      <c r="BO17" s="63">
        <v>19016305</v>
      </c>
      <c r="BP17" s="63">
        <v>0</v>
      </c>
      <c r="BQ17" s="63">
        <v>95497447</v>
      </c>
      <c r="BR17" s="63">
        <v>478532</v>
      </c>
      <c r="BS17" s="63">
        <v>319021</v>
      </c>
      <c r="BT17" s="63">
        <v>0</v>
      </c>
      <c r="BU17" s="63">
        <v>797553</v>
      </c>
      <c r="BV17" s="63">
        <v>588686</v>
      </c>
      <c r="BW17" s="63">
        <v>392458</v>
      </c>
      <c r="BX17" s="63">
        <v>0</v>
      </c>
      <c r="BY17" s="63">
        <v>981144</v>
      </c>
      <c r="BZ17" s="63">
        <v>0</v>
      </c>
      <c r="CA17" s="63">
        <v>0</v>
      </c>
      <c r="CB17" s="63">
        <v>0</v>
      </c>
      <c r="CC17" s="63">
        <v>0</v>
      </c>
      <c r="CD17" s="63">
        <v>0</v>
      </c>
      <c r="CE17" s="63">
        <v>0</v>
      </c>
      <c r="CF17" s="63">
        <v>0</v>
      </c>
      <c r="CG17" s="63">
        <v>0</v>
      </c>
      <c r="CH17" s="63">
        <v>0</v>
      </c>
      <c r="CI17" s="63">
        <v>0</v>
      </c>
      <c r="CJ17" s="63">
        <v>0</v>
      </c>
      <c r="CK17" s="63">
        <v>0</v>
      </c>
      <c r="CL17" s="63">
        <v>6130</v>
      </c>
      <c r="CM17" s="63">
        <v>4086</v>
      </c>
      <c r="CN17" s="63">
        <v>0</v>
      </c>
      <c r="CO17" s="63">
        <v>10216</v>
      </c>
      <c r="CP17" s="63">
        <v>1073348</v>
      </c>
      <c r="CQ17" s="63">
        <v>715565</v>
      </c>
      <c r="CR17" s="63">
        <v>0</v>
      </c>
      <c r="CS17" s="63">
        <v>1788913</v>
      </c>
      <c r="CU17" s="141" t="s">
        <v>620</v>
      </c>
      <c r="CV17" s="157" t="s">
        <v>939</v>
      </c>
      <c r="CW17" s="157" t="s">
        <v>940</v>
      </c>
      <c r="CX17" s="345"/>
      <c r="CY17" s="345"/>
      <c r="CZ17" s="345"/>
    </row>
    <row r="18" spans="1:104" ht="12.75" x14ac:dyDescent="0.2">
      <c r="A18" s="90">
        <v>11</v>
      </c>
      <c r="B18" s="129" t="s">
        <v>623</v>
      </c>
      <c r="C18" s="130" t="s">
        <v>749</v>
      </c>
      <c r="D18" s="131" t="s">
        <v>750</v>
      </c>
      <c r="E18" s="132" t="s">
        <v>622</v>
      </c>
      <c r="F18" s="63">
        <v>52143695</v>
      </c>
      <c r="G18" s="63">
        <v>0</v>
      </c>
      <c r="H18" s="63">
        <v>0</v>
      </c>
      <c r="I18" s="63">
        <v>270426</v>
      </c>
      <c r="J18" s="63">
        <v>0</v>
      </c>
      <c r="K18" s="63">
        <v>270426</v>
      </c>
      <c r="L18" s="63">
        <v>0</v>
      </c>
      <c r="M18" s="63">
        <v>252385</v>
      </c>
      <c r="N18" s="63">
        <v>52000</v>
      </c>
      <c r="O18" s="63">
        <v>52000</v>
      </c>
      <c r="P18" s="63">
        <v>0</v>
      </c>
      <c r="Q18" s="63">
        <v>51568884</v>
      </c>
      <c r="R18" s="474">
        <v>0.5</v>
      </c>
      <c r="S18" s="474">
        <v>0.49</v>
      </c>
      <c r="T18" s="474">
        <v>0</v>
      </c>
      <c r="U18" s="474">
        <v>0.01</v>
      </c>
      <c r="V18" s="474">
        <v>1</v>
      </c>
      <c r="W18" s="63">
        <v>25784442</v>
      </c>
      <c r="X18" s="63">
        <v>25268753</v>
      </c>
      <c r="Y18" s="63">
        <v>0</v>
      </c>
      <c r="Z18" s="63">
        <v>515689</v>
      </c>
      <c r="AA18" s="63">
        <v>51568884</v>
      </c>
      <c r="AB18" s="63">
        <v>241525</v>
      </c>
      <c r="AC18" s="63">
        <v>0</v>
      </c>
      <c r="AD18" s="63">
        <v>0</v>
      </c>
      <c r="AE18" s="63">
        <v>0</v>
      </c>
      <c r="AF18" s="63">
        <v>241525</v>
      </c>
      <c r="AG18" s="63">
        <v>0</v>
      </c>
      <c r="AH18" s="63">
        <v>0</v>
      </c>
      <c r="AI18" s="63">
        <v>0</v>
      </c>
      <c r="AJ18" s="63">
        <v>0</v>
      </c>
      <c r="AK18" s="63">
        <v>0</v>
      </c>
      <c r="AL18" s="63">
        <v>25542917</v>
      </c>
      <c r="AM18" s="63">
        <v>25268753</v>
      </c>
      <c r="AN18" s="63">
        <v>0</v>
      </c>
      <c r="AO18" s="63">
        <v>515689</v>
      </c>
      <c r="AP18" s="63">
        <v>51327359</v>
      </c>
      <c r="AQ18" s="63">
        <v>270426</v>
      </c>
      <c r="AR18" s="63">
        <v>270426</v>
      </c>
      <c r="AS18" s="63">
        <v>252385</v>
      </c>
      <c r="AT18" s="63">
        <v>252385</v>
      </c>
      <c r="AU18" s="63">
        <v>52000</v>
      </c>
      <c r="AV18" s="63">
        <v>0</v>
      </c>
      <c r="AW18" s="63">
        <v>52000</v>
      </c>
      <c r="AX18" s="63">
        <v>241525</v>
      </c>
      <c r="AY18" s="63">
        <v>0</v>
      </c>
      <c r="AZ18" s="63">
        <v>0</v>
      </c>
      <c r="BA18" s="63">
        <v>241525</v>
      </c>
      <c r="BB18" s="63">
        <v>0</v>
      </c>
      <c r="BC18" s="63">
        <v>0</v>
      </c>
      <c r="BD18" s="63">
        <v>0</v>
      </c>
      <c r="BE18" s="63">
        <v>0</v>
      </c>
      <c r="BF18" s="63">
        <v>0</v>
      </c>
      <c r="BG18" s="63">
        <v>0</v>
      </c>
      <c r="BH18" s="63">
        <v>121844</v>
      </c>
      <c r="BI18" s="63">
        <v>119408</v>
      </c>
      <c r="BJ18" s="63">
        <v>0</v>
      </c>
      <c r="BK18" s="63">
        <v>2437</v>
      </c>
      <c r="BL18" s="63">
        <v>243689</v>
      </c>
      <c r="BM18" s="63">
        <v>25664761</v>
      </c>
      <c r="BN18" s="63">
        <v>26204497</v>
      </c>
      <c r="BO18" s="63">
        <v>0</v>
      </c>
      <c r="BP18" s="63">
        <v>518126</v>
      </c>
      <c r="BQ18" s="63">
        <v>52387384</v>
      </c>
      <c r="BR18" s="63">
        <v>373353</v>
      </c>
      <c r="BS18" s="63">
        <v>0</v>
      </c>
      <c r="BT18" s="63">
        <v>7458</v>
      </c>
      <c r="BU18" s="63">
        <v>380811</v>
      </c>
      <c r="BV18" s="63">
        <v>1244510</v>
      </c>
      <c r="BW18" s="63">
        <v>0</v>
      </c>
      <c r="BX18" s="63">
        <v>25398</v>
      </c>
      <c r="BY18" s="63">
        <v>1269908</v>
      </c>
      <c r="BZ18" s="63">
        <v>0</v>
      </c>
      <c r="CA18" s="63">
        <v>0</v>
      </c>
      <c r="CB18" s="63">
        <v>0</v>
      </c>
      <c r="CC18" s="63">
        <v>0</v>
      </c>
      <c r="CD18" s="63">
        <v>0</v>
      </c>
      <c r="CE18" s="63">
        <v>0</v>
      </c>
      <c r="CF18" s="63">
        <v>0</v>
      </c>
      <c r="CG18" s="63">
        <v>0</v>
      </c>
      <c r="CH18" s="63">
        <v>6904</v>
      </c>
      <c r="CI18" s="63">
        <v>0</v>
      </c>
      <c r="CJ18" s="63">
        <v>141</v>
      </c>
      <c r="CK18" s="63">
        <v>7045</v>
      </c>
      <c r="CL18" s="63">
        <v>10181</v>
      </c>
      <c r="CM18" s="63">
        <v>0</v>
      </c>
      <c r="CN18" s="63">
        <v>208</v>
      </c>
      <c r="CO18" s="63">
        <v>10389</v>
      </c>
      <c r="CP18" s="63">
        <v>1634948</v>
      </c>
      <c r="CQ18" s="63">
        <v>0</v>
      </c>
      <c r="CR18" s="63">
        <v>33205</v>
      </c>
      <c r="CS18" s="63">
        <v>1668153</v>
      </c>
      <c r="CU18" s="141" t="s">
        <v>622</v>
      </c>
      <c r="CV18" s="157" t="s">
        <v>941</v>
      </c>
      <c r="CW18" s="156" t="s">
        <v>942</v>
      </c>
      <c r="CX18" s="345"/>
      <c r="CY18" s="345"/>
      <c r="CZ18" s="345"/>
    </row>
    <row r="19" spans="1:104" ht="12.75" x14ac:dyDescent="0.2">
      <c r="A19" s="90">
        <v>12</v>
      </c>
      <c r="B19" s="129" t="s">
        <v>625</v>
      </c>
      <c r="C19" s="130" t="s">
        <v>742</v>
      </c>
      <c r="D19" s="131" t="s">
        <v>744</v>
      </c>
      <c r="E19" s="132" t="s">
        <v>624</v>
      </c>
      <c r="F19" s="63">
        <v>24095896</v>
      </c>
      <c r="G19" s="63">
        <v>0</v>
      </c>
      <c r="H19" s="63">
        <v>0</v>
      </c>
      <c r="I19" s="63">
        <v>95866</v>
      </c>
      <c r="J19" s="63">
        <v>0</v>
      </c>
      <c r="K19" s="63">
        <v>95866</v>
      </c>
      <c r="L19" s="63">
        <v>0</v>
      </c>
      <c r="M19" s="63">
        <v>0</v>
      </c>
      <c r="N19" s="63">
        <v>27500</v>
      </c>
      <c r="O19" s="63">
        <v>27500</v>
      </c>
      <c r="P19" s="63">
        <v>0</v>
      </c>
      <c r="Q19" s="63">
        <v>23972530</v>
      </c>
      <c r="R19" s="474">
        <v>0.5</v>
      </c>
      <c r="S19" s="474">
        <v>0.4</v>
      </c>
      <c r="T19" s="474">
        <v>0.1</v>
      </c>
      <c r="U19" s="474">
        <v>0</v>
      </c>
      <c r="V19" s="474">
        <v>1</v>
      </c>
      <c r="W19" s="63">
        <v>11986265</v>
      </c>
      <c r="X19" s="63">
        <v>9589012</v>
      </c>
      <c r="Y19" s="63">
        <v>2397253</v>
      </c>
      <c r="Z19" s="63">
        <v>0</v>
      </c>
      <c r="AA19" s="63">
        <v>23972530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11986265</v>
      </c>
      <c r="AM19" s="63">
        <v>9589012</v>
      </c>
      <c r="AN19" s="63">
        <v>2397253</v>
      </c>
      <c r="AO19" s="63">
        <v>0</v>
      </c>
      <c r="AP19" s="63">
        <v>23972530</v>
      </c>
      <c r="AQ19" s="63">
        <v>95866</v>
      </c>
      <c r="AR19" s="63">
        <v>95866</v>
      </c>
      <c r="AS19" s="63">
        <v>0</v>
      </c>
      <c r="AT19" s="63">
        <v>0</v>
      </c>
      <c r="AU19" s="63">
        <v>27500</v>
      </c>
      <c r="AV19" s="63">
        <v>0</v>
      </c>
      <c r="AW19" s="63">
        <v>27500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-1348444</v>
      </c>
      <c r="BI19" s="63">
        <v>-1078755</v>
      </c>
      <c r="BJ19" s="63">
        <v>-269689</v>
      </c>
      <c r="BK19" s="63">
        <v>0</v>
      </c>
      <c r="BL19" s="63">
        <v>-2696888</v>
      </c>
      <c r="BM19" s="63">
        <v>10637821</v>
      </c>
      <c r="BN19" s="63">
        <v>8633623</v>
      </c>
      <c r="BO19" s="63">
        <v>2127564</v>
      </c>
      <c r="BP19" s="63">
        <v>0</v>
      </c>
      <c r="BQ19" s="63">
        <v>21399008</v>
      </c>
      <c r="BR19" s="63">
        <v>139082</v>
      </c>
      <c r="BS19" s="63">
        <v>34671</v>
      </c>
      <c r="BT19" s="63">
        <v>0</v>
      </c>
      <c r="BU19" s="63">
        <v>173753</v>
      </c>
      <c r="BV19" s="63">
        <v>282931</v>
      </c>
      <c r="BW19" s="63">
        <v>70733</v>
      </c>
      <c r="BX19" s="63">
        <v>0</v>
      </c>
      <c r="BY19" s="63">
        <v>353664</v>
      </c>
      <c r="BZ19" s="63">
        <v>62</v>
      </c>
      <c r="CA19" s="63">
        <v>16</v>
      </c>
      <c r="CB19" s="63">
        <v>0</v>
      </c>
      <c r="CC19" s="63">
        <v>78</v>
      </c>
      <c r="CD19" s="63">
        <v>0</v>
      </c>
      <c r="CE19" s="63">
        <v>0</v>
      </c>
      <c r="CF19" s="63">
        <v>0</v>
      </c>
      <c r="CG19" s="63">
        <v>0</v>
      </c>
      <c r="CH19" s="63">
        <v>1298</v>
      </c>
      <c r="CI19" s="63">
        <v>324</v>
      </c>
      <c r="CJ19" s="63">
        <v>0</v>
      </c>
      <c r="CK19" s="63">
        <v>1622</v>
      </c>
      <c r="CL19" s="63">
        <v>640</v>
      </c>
      <c r="CM19" s="63">
        <v>160</v>
      </c>
      <c r="CN19" s="63">
        <v>0</v>
      </c>
      <c r="CO19" s="63">
        <v>800</v>
      </c>
      <c r="CP19" s="63">
        <v>424013</v>
      </c>
      <c r="CQ19" s="63">
        <v>105904</v>
      </c>
      <c r="CR19" s="63">
        <v>0</v>
      </c>
      <c r="CS19" s="63">
        <v>529917</v>
      </c>
      <c r="CU19" s="141" t="s">
        <v>624</v>
      </c>
      <c r="CV19" s="157" t="s">
        <v>929</v>
      </c>
      <c r="CW19" s="156" t="s">
        <v>928</v>
      </c>
      <c r="CX19" s="345"/>
      <c r="CY19" s="345"/>
      <c r="CZ19" s="345"/>
    </row>
    <row r="20" spans="1:104" ht="12.75" x14ac:dyDescent="0.2">
      <c r="A20" s="90">
        <v>13</v>
      </c>
      <c r="B20" s="129" t="s">
        <v>627</v>
      </c>
      <c r="C20" s="130" t="s">
        <v>742</v>
      </c>
      <c r="D20" s="131" t="s">
        <v>746</v>
      </c>
      <c r="E20" s="132" t="s">
        <v>626</v>
      </c>
      <c r="F20" s="63">
        <v>83148216</v>
      </c>
      <c r="G20" s="63">
        <v>0</v>
      </c>
      <c r="H20" s="63">
        <v>0</v>
      </c>
      <c r="I20" s="63">
        <v>234178</v>
      </c>
      <c r="J20" s="63">
        <v>15000</v>
      </c>
      <c r="K20" s="63">
        <v>249178</v>
      </c>
      <c r="L20" s="63">
        <v>0</v>
      </c>
      <c r="M20" s="63">
        <v>0</v>
      </c>
      <c r="N20" s="63">
        <v>19937</v>
      </c>
      <c r="O20" s="63">
        <v>19937</v>
      </c>
      <c r="P20" s="63">
        <v>0</v>
      </c>
      <c r="Q20" s="63">
        <v>82879101</v>
      </c>
      <c r="R20" s="474">
        <v>0.5</v>
      </c>
      <c r="S20" s="474">
        <v>0.4</v>
      </c>
      <c r="T20" s="474">
        <v>0.09</v>
      </c>
      <c r="U20" s="474">
        <v>0.01</v>
      </c>
      <c r="V20" s="474">
        <v>1</v>
      </c>
      <c r="W20" s="63">
        <v>41439551</v>
      </c>
      <c r="X20" s="63">
        <v>33151640</v>
      </c>
      <c r="Y20" s="63">
        <v>7459119</v>
      </c>
      <c r="Z20" s="63">
        <v>828791</v>
      </c>
      <c r="AA20" s="63">
        <v>82879101</v>
      </c>
      <c r="AB20" s="63">
        <v>0</v>
      </c>
      <c r="AC20" s="63">
        <v>0</v>
      </c>
      <c r="AD20" s="63">
        <v>0</v>
      </c>
      <c r="AE20" s="63">
        <v>0</v>
      </c>
      <c r="AF20" s="63">
        <v>0</v>
      </c>
      <c r="AG20" s="63">
        <v>0</v>
      </c>
      <c r="AH20" s="63">
        <v>0</v>
      </c>
      <c r="AI20" s="63">
        <v>0</v>
      </c>
      <c r="AJ20" s="63">
        <v>0</v>
      </c>
      <c r="AK20" s="63">
        <v>0</v>
      </c>
      <c r="AL20" s="63">
        <v>41439551</v>
      </c>
      <c r="AM20" s="63">
        <v>33151640</v>
      </c>
      <c r="AN20" s="63">
        <v>7459119</v>
      </c>
      <c r="AO20" s="63">
        <v>828791</v>
      </c>
      <c r="AP20" s="63">
        <v>82879101</v>
      </c>
      <c r="AQ20" s="63">
        <v>249178</v>
      </c>
      <c r="AR20" s="63">
        <v>249178</v>
      </c>
      <c r="AS20" s="63">
        <v>0</v>
      </c>
      <c r="AT20" s="63">
        <v>0</v>
      </c>
      <c r="AU20" s="63">
        <v>19937</v>
      </c>
      <c r="AV20" s="63">
        <v>0</v>
      </c>
      <c r="AW20" s="63">
        <v>19937</v>
      </c>
      <c r="AX20" s="63">
        <v>0</v>
      </c>
      <c r="AY20" s="63">
        <v>0</v>
      </c>
      <c r="AZ20" s="63">
        <v>0</v>
      </c>
      <c r="BA20" s="63">
        <v>0</v>
      </c>
      <c r="BB20" s="63">
        <v>0</v>
      </c>
      <c r="BC20" s="63">
        <v>0</v>
      </c>
      <c r="BD20" s="63">
        <v>0</v>
      </c>
      <c r="BE20" s="63">
        <v>0</v>
      </c>
      <c r="BF20" s="63">
        <v>0</v>
      </c>
      <c r="BG20" s="63">
        <v>0</v>
      </c>
      <c r="BH20" s="63">
        <v>-3975520</v>
      </c>
      <c r="BI20" s="63">
        <v>-3180416</v>
      </c>
      <c r="BJ20" s="63">
        <v>-715594</v>
      </c>
      <c r="BK20" s="63">
        <v>-79510</v>
      </c>
      <c r="BL20" s="63">
        <v>-7951040</v>
      </c>
      <c r="BM20" s="63">
        <v>37464031</v>
      </c>
      <c r="BN20" s="63">
        <v>30240339</v>
      </c>
      <c r="BO20" s="63">
        <v>6743525</v>
      </c>
      <c r="BP20" s="63">
        <v>749281</v>
      </c>
      <c r="BQ20" s="63">
        <v>75197176</v>
      </c>
      <c r="BR20" s="63">
        <v>479754</v>
      </c>
      <c r="BS20" s="63">
        <v>107880</v>
      </c>
      <c r="BT20" s="63">
        <v>11987</v>
      </c>
      <c r="BU20" s="63">
        <v>599621</v>
      </c>
      <c r="BV20" s="63">
        <v>519467</v>
      </c>
      <c r="BW20" s="63">
        <v>116880</v>
      </c>
      <c r="BX20" s="63">
        <v>12987</v>
      </c>
      <c r="BY20" s="63">
        <v>649334</v>
      </c>
      <c r="BZ20" s="63">
        <v>0</v>
      </c>
      <c r="CA20" s="63">
        <v>0</v>
      </c>
      <c r="CB20" s="63">
        <v>0</v>
      </c>
      <c r="CC20" s="63">
        <v>0</v>
      </c>
      <c r="CD20" s="63">
        <v>0</v>
      </c>
      <c r="CE20" s="63">
        <v>0</v>
      </c>
      <c r="CF20" s="63">
        <v>0</v>
      </c>
      <c r="CG20" s="63">
        <v>0</v>
      </c>
      <c r="CH20" s="63">
        <v>0</v>
      </c>
      <c r="CI20" s="63">
        <v>0</v>
      </c>
      <c r="CJ20" s="63">
        <v>0</v>
      </c>
      <c r="CK20" s="63">
        <v>0</v>
      </c>
      <c r="CL20" s="63">
        <v>0</v>
      </c>
      <c r="CM20" s="63">
        <v>0</v>
      </c>
      <c r="CN20" s="63">
        <v>0</v>
      </c>
      <c r="CO20" s="63">
        <v>0</v>
      </c>
      <c r="CP20" s="63">
        <v>999221</v>
      </c>
      <c r="CQ20" s="63">
        <v>224760</v>
      </c>
      <c r="CR20" s="63">
        <v>24974</v>
      </c>
      <c r="CS20" s="63">
        <v>1248955</v>
      </c>
      <c r="CU20" s="141" t="s">
        <v>626</v>
      </c>
      <c r="CV20" s="157" t="s">
        <v>943</v>
      </c>
      <c r="CW20" s="156" t="s">
        <v>944</v>
      </c>
      <c r="CX20" s="345"/>
      <c r="CY20" s="345"/>
      <c r="CZ20" s="345"/>
    </row>
    <row r="21" spans="1:104" ht="12.75" x14ac:dyDescent="0.2">
      <c r="A21" s="90">
        <v>14</v>
      </c>
      <c r="B21" s="129" t="s">
        <v>629</v>
      </c>
      <c r="C21" s="130" t="s">
        <v>742</v>
      </c>
      <c r="D21" s="131" t="s">
        <v>743</v>
      </c>
      <c r="E21" s="132" t="s">
        <v>628</v>
      </c>
      <c r="F21" s="63">
        <v>76974849</v>
      </c>
      <c r="G21" s="63">
        <v>0</v>
      </c>
      <c r="H21" s="63">
        <v>0</v>
      </c>
      <c r="I21" s="63">
        <v>203511</v>
      </c>
      <c r="J21" s="63">
        <v>0</v>
      </c>
      <c r="K21" s="63">
        <v>203511</v>
      </c>
      <c r="L21" s="63">
        <v>0</v>
      </c>
      <c r="M21" s="63">
        <v>0</v>
      </c>
      <c r="N21" s="63">
        <v>312383</v>
      </c>
      <c r="O21" s="63">
        <v>96398</v>
      </c>
      <c r="P21" s="63">
        <v>215985</v>
      </c>
      <c r="Q21" s="63">
        <v>76458955</v>
      </c>
      <c r="R21" s="474">
        <v>0.5</v>
      </c>
      <c r="S21" s="474">
        <v>0.4</v>
      </c>
      <c r="T21" s="474">
        <v>0.09</v>
      </c>
      <c r="U21" s="474">
        <v>0.01</v>
      </c>
      <c r="V21" s="474">
        <v>1</v>
      </c>
      <c r="W21" s="63">
        <v>38229477</v>
      </c>
      <c r="X21" s="63">
        <v>30583582</v>
      </c>
      <c r="Y21" s="63">
        <v>6881306</v>
      </c>
      <c r="Z21" s="63">
        <v>764590</v>
      </c>
      <c r="AA21" s="63">
        <v>76458955</v>
      </c>
      <c r="AB21" s="63">
        <v>0</v>
      </c>
      <c r="AC21" s="63">
        <v>0</v>
      </c>
      <c r="AD21" s="63">
        <v>0</v>
      </c>
      <c r="AE21" s="63">
        <v>0</v>
      </c>
      <c r="AF21" s="63">
        <v>0</v>
      </c>
      <c r="AG21" s="63">
        <v>0</v>
      </c>
      <c r="AH21" s="63">
        <v>0</v>
      </c>
      <c r="AI21" s="63">
        <v>0</v>
      </c>
      <c r="AJ21" s="63">
        <v>0</v>
      </c>
      <c r="AK21" s="63">
        <v>0</v>
      </c>
      <c r="AL21" s="63">
        <v>38229477</v>
      </c>
      <c r="AM21" s="63">
        <v>30583582</v>
      </c>
      <c r="AN21" s="63">
        <v>6881306</v>
      </c>
      <c r="AO21" s="63">
        <v>764590</v>
      </c>
      <c r="AP21" s="63">
        <v>76458955</v>
      </c>
      <c r="AQ21" s="63">
        <v>203511</v>
      </c>
      <c r="AR21" s="63">
        <v>203511</v>
      </c>
      <c r="AS21" s="63">
        <v>0</v>
      </c>
      <c r="AT21" s="63">
        <v>0</v>
      </c>
      <c r="AU21" s="63">
        <v>96398</v>
      </c>
      <c r="AV21" s="63">
        <v>215985</v>
      </c>
      <c r="AW21" s="63">
        <v>312383</v>
      </c>
      <c r="AX21" s="63">
        <v>0</v>
      </c>
      <c r="AY21" s="63">
        <v>0</v>
      </c>
      <c r="AZ21" s="63">
        <v>0</v>
      </c>
      <c r="BA21" s="63">
        <v>0</v>
      </c>
      <c r="BB21" s="63">
        <v>0</v>
      </c>
      <c r="BC21" s="63">
        <v>0</v>
      </c>
      <c r="BD21" s="63">
        <v>0</v>
      </c>
      <c r="BE21" s="63">
        <v>0</v>
      </c>
      <c r="BF21" s="63">
        <v>0</v>
      </c>
      <c r="BG21" s="63">
        <v>0</v>
      </c>
      <c r="BH21" s="63">
        <v>-1796871</v>
      </c>
      <c r="BI21" s="63">
        <v>-1437496</v>
      </c>
      <c r="BJ21" s="63">
        <v>-323437</v>
      </c>
      <c r="BK21" s="63">
        <v>-35937</v>
      </c>
      <c r="BL21" s="63">
        <v>-3593741</v>
      </c>
      <c r="BM21" s="63">
        <v>36432606</v>
      </c>
      <c r="BN21" s="63">
        <v>29445995</v>
      </c>
      <c r="BO21" s="63">
        <v>6773854</v>
      </c>
      <c r="BP21" s="63">
        <v>728653</v>
      </c>
      <c r="BQ21" s="63">
        <v>73381108</v>
      </c>
      <c r="BR21" s="63">
        <v>443719</v>
      </c>
      <c r="BS21" s="63">
        <v>102647</v>
      </c>
      <c r="BT21" s="63">
        <v>11058</v>
      </c>
      <c r="BU21" s="63">
        <v>557424</v>
      </c>
      <c r="BV21" s="63">
        <v>342867</v>
      </c>
      <c r="BW21" s="63">
        <v>77145</v>
      </c>
      <c r="BX21" s="63">
        <v>8572</v>
      </c>
      <c r="BY21" s="63">
        <v>428584</v>
      </c>
      <c r="BZ21" s="63">
        <v>6922</v>
      </c>
      <c r="CA21" s="63">
        <v>1558</v>
      </c>
      <c r="CB21" s="63">
        <v>173</v>
      </c>
      <c r="CC21" s="63">
        <v>8653</v>
      </c>
      <c r="CD21" s="63">
        <v>0</v>
      </c>
      <c r="CE21" s="63">
        <v>0</v>
      </c>
      <c r="CF21" s="63">
        <v>0</v>
      </c>
      <c r="CG21" s="63">
        <v>0</v>
      </c>
      <c r="CH21" s="63">
        <v>30540</v>
      </c>
      <c r="CI21" s="63">
        <v>6872</v>
      </c>
      <c r="CJ21" s="63">
        <v>764</v>
      </c>
      <c r="CK21" s="63">
        <v>38176</v>
      </c>
      <c r="CL21" s="63">
        <v>2141</v>
      </c>
      <c r="CM21" s="63">
        <v>482</v>
      </c>
      <c r="CN21" s="63">
        <v>54</v>
      </c>
      <c r="CO21" s="63">
        <v>2677</v>
      </c>
      <c r="CP21" s="63">
        <v>826189</v>
      </c>
      <c r="CQ21" s="63">
        <v>188704</v>
      </c>
      <c r="CR21" s="63">
        <v>20621</v>
      </c>
      <c r="CS21" s="63">
        <v>1035514</v>
      </c>
      <c r="CU21" s="141" t="s">
        <v>628</v>
      </c>
      <c r="CV21" s="157" t="s">
        <v>945</v>
      </c>
      <c r="CW21" s="156" t="s">
        <v>946</v>
      </c>
      <c r="CX21" s="345"/>
      <c r="CY21" s="345"/>
      <c r="CZ21" s="345"/>
    </row>
    <row r="22" spans="1:104" ht="12.75" x14ac:dyDescent="0.2">
      <c r="A22" s="90">
        <v>15</v>
      </c>
      <c r="B22" s="129" t="s">
        <v>631</v>
      </c>
      <c r="C22" s="130" t="s">
        <v>742</v>
      </c>
      <c r="D22" s="131" t="s">
        <v>745</v>
      </c>
      <c r="E22" s="132" t="s">
        <v>630</v>
      </c>
      <c r="F22" s="63">
        <v>50050710</v>
      </c>
      <c r="G22" s="63">
        <v>0</v>
      </c>
      <c r="H22" s="63">
        <v>0</v>
      </c>
      <c r="I22" s="63">
        <v>174205</v>
      </c>
      <c r="J22" s="63">
        <v>0</v>
      </c>
      <c r="K22" s="63">
        <v>174205</v>
      </c>
      <c r="L22" s="63">
        <v>0</v>
      </c>
      <c r="M22" s="63">
        <v>0</v>
      </c>
      <c r="N22" s="63">
        <v>485070</v>
      </c>
      <c r="O22" s="63">
        <v>485070</v>
      </c>
      <c r="P22" s="63">
        <v>0</v>
      </c>
      <c r="Q22" s="63">
        <v>49391435</v>
      </c>
      <c r="R22" s="474">
        <v>0.5</v>
      </c>
      <c r="S22" s="474">
        <v>0.4</v>
      </c>
      <c r="T22" s="474">
        <v>0.09</v>
      </c>
      <c r="U22" s="474">
        <v>0.01</v>
      </c>
      <c r="V22" s="474">
        <v>1</v>
      </c>
      <c r="W22" s="63">
        <v>24695718</v>
      </c>
      <c r="X22" s="63">
        <v>19756574</v>
      </c>
      <c r="Y22" s="63">
        <v>4445229</v>
      </c>
      <c r="Z22" s="63">
        <v>493914</v>
      </c>
      <c r="AA22" s="63">
        <v>49391435</v>
      </c>
      <c r="AB22" s="63">
        <v>0</v>
      </c>
      <c r="AC22" s="63">
        <v>0</v>
      </c>
      <c r="AD22" s="63">
        <v>0</v>
      </c>
      <c r="AE22" s="63">
        <v>0</v>
      </c>
      <c r="AF22" s="63">
        <v>0</v>
      </c>
      <c r="AG22" s="63">
        <v>0</v>
      </c>
      <c r="AH22" s="63">
        <v>0</v>
      </c>
      <c r="AI22" s="63">
        <v>0</v>
      </c>
      <c r="AJ22" s="63">
        <v>0</v>
      </c>
      <c r="AK22" s="63">
        <v>0</v>
      </c>
      <c r="AL22" s="63">
        <v>24695718</v>
      </c>
      <c r="AM22" s="63">
        <v>19756574</v>
      </c>
      <c r="AN22" s="63">
        <v>4445229</v>
      </c>
      <c r="AO22" s="63">
        <v>493914</v>
      </c>
      <c r="AP22" s="63">
        <v>49391435</v>
      </c>
      <c r="AQ22" s="63">
        <v>174205</v>
      </c>
      <c r="AR22" s="63">
        <v>174205</v>
      </c>
      <c r="AS22" s="63">
        <v>0</v>
      </c>
      <c r="AT22" s="63">
        <v>0</v>
      </c>
      <c r="AU22" s="63">
        <v>485070</v>
      </c>
      <c r="AV22" s="63">
        <v>0</v>
      </c>
      <c r="AW22" s="63">
        <v>485070</v>
      </c>
      <c r="AX22" s="63">
        <v>0</v>
      </c>
      <c r="AY22" s="63">
        <v>0</v>
      </c>
      <c r="AZ22" s="63">
        <v>0</v>
      </c>
      <c r="BA22" s="63">
        <v>0</v>
      </c>
      <c r="BB22" s="63">
        <v>0</v>
      </c>
      <c r="BC22" s="63">
        <v>0</v>
      </c>
      <c r="BD22" s="63">
        <v>0</v>
      </c>
      <c r="BE22" s="63">
        <v>0</v>
      </c>
      <c r="BF22" s="63">
        <v>0</v>
      </c>
      <c r="BG22" s="63">
        <v>0</v>
      </c>
      <c r="BH22" s="63">
        <v>3510476</v>
      </c>
      <c r="BI22" s="63">
        <v>2808381</v>
      </c>
      <c r="BJ22" s="63">
        <v>631886</v>
      </c>
      <c r="BK22" s="63">
        <v>70210</v>
      </c>
      <c r="BL22" s="63">
        <v>7020953</v>
      </c>
      <c r="BM22" s="63">
        <v>28206194</v>
      </c>
      <c r="BN22" s="63">
        <v>23224230</v>
      </c>
      <c r="BO22" s="63">
        <v>5077115</v>
      </c>
      <c r="BP22" s="63">
        <v>564124</v>
      </c>
      <c r="BQ22" s="63">
        <v>57071663</v>
      </c>
      <c r="BR22" s="63">
        <v>292751</v>
      </c>
      <c r="BS22" s="63">
        <v>64291</v>
      </c>
      <c r="BT22" s="63">
        <v>7143</v>
      </c>
      <c r="BU22" s="63">
        <v>364185</v>
      </c>
      <c r="BV22" s="63">
        <v>536346</v>
      </c>
      <c r="BW22" s="63">
        <v>120678</v>
      </c>
      <c r="BX22" s="63">
        <v>13409</v>
      </c>
      <c r="BY22" s="63">
        <v>670433</v>
      </c>
      <c r="BZ22" s="63">
        <v>6696</v>
      </c>
      <c r="CA22" s="63">
        <v>1506</v>
      </c>
      <c r="CB22" s="63">
        <v>167</v>
      </c>
      <c r="CC22" s="63">
        <v>8369</v>
      </c>
      <c r="CD22" s="63">
        <v>31306</v>
      </c>
      <c r="CE22" s="63">
        <v>7044</v>
      </c>
      <c r="CF22" s="63">
        <v>783</v>
      </c>
      <c r="CG22" s="63">
        <v>39133</v>
      </c>
      <c r="CH22" s="63">
        <v>6756</v>
      </c>
      <c r="CI22" s="63">
        <v>1520</v>
      </c>
      <c r="CJ22" s="63">
        <v>169</v>
      </c>
      <c r="CK22" s="63">
        <v>8445</v>
      </c>
      <c r="CL22" s="63">
        <v>4820</v>
      </c>
      <c r="CM22" s="63">
        <v>1085</v>
      </c>
      <c r="CN22" s="63">
        <v>121</v>
      </c>
      <c r="CO22" s="63">
        <v>6026</v>
      </c>
      <c r="CP22" s="63">
        <v>878675</v>
      </c>
      <c r="CQ22" s="63">
        <v>196124</v>
      </c>
      <c r="CR22" s="63">
        <v>21792</v>
      </c>
      <c r="CS22" s="63">
        <v>1096591</v>
      </c>
      <c r="CU22" s="141" t="s">
        <v>630</v>
      </c>
      <c r="CV22" s="157" t="s">
        <v>932</v>
      </c>
      <c r="CW22" s="156" t="s">
        <v>933</v>
      </c>
      <c r="CX22" s="345"/>
      <c r="CY22" s="345"/>
      <c r="CZ22" s="345"/>
    </row>
    <row r="23" spans="1:104" ht="12.75" x14ac:dyDescent="0.2">
      <c r="A23" s="90">
        <v>16</v>
      </c>
      <c r="B23" s="129" t="s">
        <v>633</v>
      </c>
      <c r="C23" s="130" t="s">
        <v>501</v>
      </c>
      <c r="D23" s="131" t="s">
        <v>751</v>
      </c>
      <c r="E23" s="132" t="s">
        <v>632</v>
      </c>
      <c r="F23" s="63">
        <v>67058612</v>
      </c>
      <c r="G23" s="63">
        <v>0</v>
      </c>
      <c r="H23" s="63">
        <v>0</v>
      </c>
      <c r="I23" s="63">
        <v>259777</v>
      </c>
      <c r="J23" s="63">
        <v>0</v>
      </c>
      <c r="K23" s="63">
        <v>259777</v>
      </c>
      <c r="L23" s="63">
        <v>0</v>
      </c>
      <c r="M23" s="63">
        <v>590317</v>
      </c>
      <c r="N23" s="63">
        <v>29000</v>
      </c>
      <c r="O23" s="63">
        <v>29000</v>
      </c>
      <c r="P23" s="63">
        <v>0</v>
      </c>
      <c r="Q23" s="63">
        <v>66179518</v>
      </c>
      <c r="R23" s="474">
        <v>0.5</v>
      </c>
      <c r="S23" s="474">
        <v>0.49</v>
      </c>
      <c r="T23" s="474">
        <v>0</v>
      </c>
      <c r="U23" s="474">
        <v>0.01</v>
      </c>
      <c r="V23" s="474">
        <v>1</v>
      </c>
      <c r="W23" s="63">
        <v>33089759</v>
      </c>
      <c r="X23" s="63">
        <v>32427964</v>
      </c>
      <c r="Y23" s="63">
        <v>0</v>
      </c>
      <c r="Z23" s="63">
        <v>661795</v>
      </c>
      <c r="AA23" s="63">
        <v>66179518</v>
      </c>
      <c r="AB23" s="63">
        <v>0</v>
      </c>
      <c r="AC23" s="63">
        <v>0</v>
      </c>
      <c r="AD23" s="63">
        <v>0</v>
      </c>
      <c r="AE23" s="63">
        <v>0</v>
      </c>
      <c r="AF23" s="63">
        <v>0</v>
      </c>
      <c r="AG23" s="63">
        <v>0</v>
      </c>
      <c r="AH23" s="63">
        <v>0</v>
      </c>
      <c r="AI23" s="63">
        <v>0</v>
      </c>
      <c r="AJ23" s="63">
        <v>0</v>
      </c>
      <c r="AK23" s="63">
        <v>0</v>
      </c>
      <c r="AL23" s="63">
        <v>33089759</v>
      </c>
      <c r="AM23" s="63">
        <v>32427964</v>
      </c>
      <c r="AN23" s="63">
        <v>0</v>
      </c>
      <c r="AO23" s="63">
        <v>661795</v>
      </c>
      <c r="AP23" s="63">
        <v>66179518</v>
      </c>
      <c r="AQ23" s="63">
        <v>259777</v>
      </c>
      <c r="AR23" s="63">
        <v>259777</v>
      </c>
      <c r="AS23" s="63">
        <v>590317</v>
      </c>
      <c r="AT23" s="63">
        <v>590317</v>
      </c>
      <c r="AU23" s="63">
        <v>29000</v>
      </c>
      <c r="AV23" s="63">
        <v>0</v>
      </c>
      <c r="AW23" s="63">
        <v>29000</v>
      </c>
      <c r="AX23" s="63">
        <v>0</v>
      </c>
      <c r="AY23" s="63">
        <v>0</v>
      </c>
      <c r="AZ23" s="63">
        <v>0</v>
      </c>
      <c r="BA23" s="63">
        <v>0</v>
      </c>
      <c r="BB23" s="63">
        <v>0</v>
      </c>
      <c r="BC23" s="63">
        <v>0</v>
      </c>
      <c r="BD23" s="63">
        <v>0</v>
      </c>
      <c r="BE23" s="63">
        <v>0</v>
      </c>
      <c r="BF23" s="63">
        <v>0</v>
      </c>
      <c r="BG23" s="63">
        <v>0</v>
      </c>
      <c r="BH23" s="63">
        <v>-1161168</v>
      </c>
      <c r="BI23" s="63">
        <v>-1137945</v>
      </c>
      <c r="BJ23" s="63">
        <v>0</v>
      </c>
      <c r="BK23" s="63">
        <v>-23223</v>
      </c>
      <c r="BL23" s="63">
        <v>-2322336</v>
      </c>
      <c r="BM23" s="63">
        <v>31928591</v>
      </c>
      <c r="BN23" s="63">
        <v>32169113</v>
      </c>
      <c r="BO23" s="63">
        <v>0</v>
      </c>
      <c r="BP23" s="63">
        <v>638572</v>
      </c>
      <c r="BQ23" s="63">
        <v>64736276</v>
      </c>
      <c r="BR23" s="63">
        <v>477957</v>
      </c>
      <c r="BS23" s="63">
        <v>0</v>
      </c>
      <c r="BT23" s="63">
        <v>9571</v>
      </c>
      <c r="BU23" s="63">
        <v>487528</v>
      </c>
      <c r="BV23" s="63">
        <v>1021340</v>
      </c>
      <c r="BW23" s="63">
        <v>0</v>
      </c>
      <c r="BX23" s="63">
        <v>19865</v>
      </c>
      <c r="BY23" s="63">
        <v>1041205</v>
      </c>
      <c r="BZ23" s="63">
        <v>3779</v>
      </c>
      <c r="CA23" s="63">
        <v>0</v>
      </c>
      <c r="CB23" s="63">
        <v>77</v>
      </c>
      <c r="CC23" s="63">
        <v>3856</v>
      </c>
      <c r="CD23" s="63">
        <v>0</v>
      </c>
      <c r="CE23" s="63">
        <v>0</v>
      </c>
      <c r="CF23" s="63">
        <v>0</v>
      </c>
      <c r="CG23" s="63">
        <v>0</v>
      </c>
      <c r="CH23" s="63">
        <v>23600</v>
      </c>
      <c r="CI23" s="63">
        <v>0</v>
      </c>
      <c r="CJ23" s="63">
        <v>482</v>
      </c>
      <c r="CK23" s="63">
        <v>24082</v>
      </c>
      <c r="CL23" s="63">
        <v>331</v>
      </c>
      <c r="CM23" s="63">
        <v>0</v>
      </c>
      <c r="CN23" s="63">
        <v>7</v>
      </c>
      <c r="CO23" s="63">
        <v>338</v>
      </c>
      <c r="CP23" s="63">
        <v>1527007</v>
      </c>
      <c r="CQ23" s="63">
        <v>0</v>
      </c>
      <c r="CR23" s="63">
        <v>30002</v>
      </c>
      <c r="CS23" s="63">
        <v>1557009</v>
      </c>
      <c r="CU23" s="141" t="s">
        <v>632</v>
      </c>
      <c r="CV23" s="157" t="s">
        <v>501</v>
      </c>
      <c r="CW23" s="156" t="s">
        <v>947</v>
      </c>
      <c r="CX23" s="345"/>
      <c r="CY23" s="345"/>
      <c r="CZ23" s="345"/>
    </row>
    <row r="24" spans="1:104" ht="12.75" x14ac:dyDescent="0.2">
      <c r="A24" s="90">
        <v>17</v>
      </c>
      <c r="B24" s="129" t="s">
        <v>635</v>
      </c>
      <c r="C24" s="130" t="s">
        <v>501</v>
      </c>
      <c r="D24" s="131" t="s">
        <v>746</v>
      </c>
      <c r="E24" s="132" t="s">
        <v>634</v>
      </c>
      <c r="F24" s="63">
        <v>66606740</v>
      </c>
      <c r="G24" s="63">
        <v>0</v>
      </c>
      <c r="H24" s="63">
        <v>0</v>
      </c>
      <c r="I24" s="63">
        <v>231612</v>
      </c>
      <c r="J24" s="63">
        <v>0</v>
      </c>
      <c r="K24" s="63">
        <v>231612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66375128</v>
      </c>
      <c r="R24" s="474">
        <v>0.5</v>
      </c>
      <c r="S24" s="474">
        <v>0.49</v>
      </c>
      <c r="T24" s="474">
        <v>0</v>
      </c>
      <c r="U24" s="474">
        <v>0.01</v>
      </c>
      <c r="V24" s="474">
        <v>1</v>
      </c>
      <c r="W24" s="63">
        <v>33187564</v>
      </c>
      <c r="X24" s="63">
        <v>32523813</v>
      </c>
      <c r="Y24" s="63">
        <v>0</v>
      </c>
      <c r="Z24" s="63">
        <v>663751</v>
      </c>
      <c r="AA24" s="63">
        <v>66375128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  <c r="AG24" s="63">
        <v>0</v>
      </c>
      <c r="AH24" s="63">
        <v>0</v>
      </c>
      <c r="AI24" s="63">
        <v>0</v>
      </c>
      <c r="AJ24" s="63">
        <v>0</v>
      </c>
      <c r="AK24" s="63">
        <v>0</v>
      </c>
      <c r="AL24" s="63">
        <v>33187564</v>
      </c>
      <c r="AM24" s="63">
        <v>32523813</v>
      </c>
      <c r="AN24" s="63">
        <v>0</v>
      </c>
      <c r="AO24" s="63">
        <v>663751</v>
      </c>
      <c r="AP24" s="63">
        <v>66375128</v>
      </c>
      <c r="AQ24" s="63">
        <v>231612</v>
      </c>
      <c r="AR24" s="63">
        <v>231612</v>
      </c>
      <c r="AS24" s="63">
        <v>0</v>
      </c>
      <c r="AT24" s="63">
        <v>0</v>
      </c>
      <c r="AU24" s="63">
        <v>0</v>
      </c>
      <c r="AV24" s="63">
        <v>0</v>
      </c>
      <c r="AW24" s="63">
        <v>0</v>
      </c>
      <c r="AX24" s="63">
        <v>0</v>
      </c>
      <c r="AY24" s="63">
        <v>0</v>
      </c>
      <c r="AZ24" s="63">
        <v>0</v>
      </c>
      <c r="BA24" s="63">
        <v>0</v>
      </c>
      <c r="BB24" s="63">
        <v>0</v>
      </c>
      <c r="BC24" s="63">
        <v>0</v>
      </c>
      <c r="BD24" s="63">
        <v>0</v>
      </c>
      <c r="BE24" s="63">
        <v>0</v>
      </c>
      <c r="BF24" s="63">
        <v>0</v>
      </c>
      <c r="BG24" s="63">
        <v>0</v>
      </c>
      <c r="BH24" s="63">
        <v>-1998960</v>
      </c>
      <c r="BI24" s="63">
        <v>-1958981</v>
      </c>
      <c r="BJ24" s="63">
        <v>0</v>
      </c>
      <c r="BK24" s="63">
        <v>-39979</v>
      </c>
      <c r="BL24" s="63">
        <v>-3997920</v>
      </c>
      <c r="BM24" s="63">
        <v>31188604</v>
      </c>
      <c r="BN24" s="63">
        <v>30796444</v>
      </c>
      <c r="BO24" s="63">
        <v>0</v>
      </c>
      <c r="BP24" s="63">
        <v>623772</v>
      </c>
      <c r="BQ24" s="63">
        <v>62608820</v>
      </c>
      <c r="BR24" s="63">
        <v>470386</v>
      </c>
      <c r="BS24" s="63">
        <v>0</v>
      </c>
      <c r="BT24" s="63">
        <v>9600</v>
      </c>
      <c r="BU24" s="63">
        <v>479986</v>
      </c>
      <c r="BV24" s="63">
        <v>818458</v>
      </c>
      <c r="BW24" s="63">
        <v>0</v>
      </c>
      <c r="BX24" s="63">
        <v>16703</v>
      </c>
      <c r="BY24" s="63">
        <v>835161</v>
      </c>
      <c r="BZ24" s="63">
        <v>746</v>
      </c>
      <c r="CA24" s="63">
        <v>0</v>
      </c>
      <c r="CB24" s="63">
        <v>15</v>
      </c>
      <c r="CC24" s="63">
        <v>761</v>
      </c>
      <c r="CD24" s="63">
        <v>34466</v>
      </c>
      <c r="CE24" s="63">
        <v>0</v>
      </c>
      <c r="CF24" s="63">
        <v>703</v>
      </c>
      <c r="CG24" s="63">
        <v>35169</v>
      </c>
      <c r="CH24" s="63">
        <v>15399</v>
      </c>
      <c r="CI24" s="63">
        <v>0</v>
      </c>
      <c r="CJ24" s="63">
        <v>314</v>
      </c>
      <c r="CK24" s="63">
        <v>15713</v>
      </c>
      <c r="CL24" s="63">
        <v>0</v>
      </c>
      <c r="CM24" s="63">
        <v>0</v>
      </c>
      <c r="CN24" s="63">
        <v>0</v>
      </c>
      <c r="CO24" s="63">
        <v>0</v>
      </c>
      <c r="CP24" s="63">
        <v>1339455</v>
      </c>
      <c r="CQ24" s="63">
        <v>0</v>
      </c>
      <c r="CR24" s="63">
        <v>27335</v>
      </c>
      <c r="CS24" s="63">
        <v>1366790</v>
      </c>
      <c r="CU24" s="141" t="s">
        <v>634</v>
      </c>
      <c r="CV24" s="157" t="s">
        <v>501</v>
      </c>
      <c r="CW24" s="156" t="s">
        <v>948</v>
      </c>
      <c r="CX24" s="345"/>
      <c r="CY24" s="345"/>
      <c r="CZ24" s="345"/>
    </row>
    <row r="25" spans="1:104" ht="12.75" x14ac:dyDescent="0.2">
      <c r="A25" s="90">
        <v>18</v>
      </c>
      <c r="B25" s="129" t="s">
        <v>637</v>
      </c>
      <c r="C25" s="130" t="s">
        <v>747</v>
      </c>
      <c r="D25" s="131" t="s">
        <v>748</v>
      </c>
      <c r="E25" s="132" t="s">
        <v>636</v>
      </c>
      <c r="F25" s="63">
        <v>72001949</v>
      </c>
      <c r="G25" s="63">
        <v>0</v>
      </c>
      <c r="H25" s="63">
        <v>0</v>
      </c>
      <c r="I25" s="63">
        <v>253817</v>
      </c>
      <c r="J25" s="63">
        <v>0</v>
      </c>
      <c r="K25" s="63">
        <v>253817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71748132</v>
      </c>
      <c r="R25" s="474">
        <v>0.5</v>
      </c>
      <c r="S25" s="474">
        <v>0.3</v>
      </c>
      <c r="T25" s="474">
        <v>0.2</v>
      </c>
      <c r="U25" s="474">
        <v>0</v>
      </c>
      <c r="V25" s="474">
        <v>1</v>
      </c>
      <c r="W25" s="63">
        <v>35874066</v>
      </c>
      <c r="X25" s="63">
        <v>21524440</v>
      </c>
      <c r="Y25" s="63">
        <v>14349626</v>
      </c>
      <c r="Z25" s="63">
        <v>0</v>
      </c>
      <c r="AA25" s="63">
        <v>71748132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63">
        <v>0</v>
      </c>
      <c r="AK25" s="63">
        <v>0</v>
      </c>
      <c r="AL25" s="63">
        <v>35874066</v>
      </c>
      <c r="AM25" s="63">
        <v>21524440</v>
      </c>
      <c r="AN25" s="63">
        <v>14349626</v>
      </c>
      <c r="AO25" s="63">
        <v>0</v>
      </c>
      <c r="AP25" s="63">
        <v>71748132</v>
      </c>
      <c r="AQ25" s="63">
        <v>253817</v>
      </c>
      <c r="AR25" s="63">
        <v>253817</v>
      </c>
      <c r="AS25" s="63">
        <v>0</v>
      </c>
      <c r="AT25" s="63">
        <v>0</v>
      </c>
      <c r="AU25" s="63">
        <v>0</v>
      </c>
      <c r="AV25" s="63">
        <v>0</v>
      </c>
      <c r="AW25" s="63">
        <v>0</v>
      </c>
      <c r="AX25" s="63">
        <v>0</v>
      </c>
      <c r="AY25" s="63">
        <v>0</v>
      </c>
      <c r="AZ25" s="63">
        <v>0</v>
      </c>
      <c r="BA25" s="63">
        <v>0</v>
      </c>
      <c r="BB25" s="63">
        <v>0</v>
      </c>
      <c r="BC25" s="63">
        <v>0</v>
      </c>
      <c r="BD25" s="63">
        <v>0</v>
      </c>
      <c r="BE25" s="63">
        <v>0</v>
      </c>
      <c r="BF25" s="63">
        <v>0</v>
      </c>
      <c r="BG25" s="63">
        <v>0</v>
      </c>
      <c r="BH25" s="63">
        <v>-877958</v>
      </c>
      <c r="BI25" s="63">
        <v>-526775</v>
      </c>
      <c r="BJ25" s="63">
        <v>-351183</v>
      </c>
      <c r="BK25" s="63">
        <v>0</v>
      </c>
      <c r="BL25" s="63">
        <v>-1755916</v>
      </c>
      <c r="BM25" s="63">
        <v>34996108</v>
      </c>
      <c r="BN25" s="63">
        <v>21251482</v>
      </c>
      <c r="BO25" s="63">
        <v>13998443</v>
      </c>
      <c r="BP25" s="63">
        <v>0</v>
      </c>
      <c r="BQ25" s="63">
        <v>70246033</v>
      </c>
      <c r="BR25" s="63">
        <v>311304</v>
      </c>
      <c r="BS25" s="63">
        <v>207536</v>
      </c>
      <c r="BT25" s="63">
        <v>0</v>
      </c>
      <c r="BU25" s="63">
        <v>518840</v>
      </c>
      <c r="BV25" s="63">
        <v>618027</v>
      </c>
      <c r="BW25" s="63">
        <v>412019</v>
      </c>
      <c r="BX25" s="63">
        <v>0</v>
      </c>
      <c r="BY25" s="63">
        <v>1030046</v>
      </c>
      <c r="BZ25" s="63">
        <v>0</v>
      </c>
      <c r="CA25" s="63">
        <v>0</v>
      </c>
      <c r="CB25" s="63">
        <v>0</v>
      </c>
      <c r="CC25" s="63">
        <v>0</v>
      </c>
      <c r="CD25" s="63">
        <v>0</v>
      </c>
      <c r="CE25" s="63">
        <v>0</v>
      </c>
      <c r="CF25" s="63">
        <v>0</v>
      </c>
      <c r="CG25" s="63">
        <v>0</v>
      </c>
      <c r="CH25" s="63">
        <v>907</v>
      </c>
      <c r="CI25" s="63">
        <v>605</v>
      </c>
      <c r="CJ25" s="63">
        <v>0</v>
      </c>
      <c r="CK25" s="63">
        <v>1512</v>
      </c>
      <c r="CL25" s="63">
        <v>11</v>
      </c>
      <c r="CM25" s="63">
        <v>8</v>
      </c>
      <c r="CN25" s="63">
        <v>0</v>
      </c>
      <c r="CO25" s="63">
        <v>19</v>
      </c>
      <c r="CP25" s="63">
        <v>930249</v>
      </c>
      <c r="CQ25" s="63">
        <v>620168</v>
      </c>
      <c r="CR25" s="63">
        <v>0</v>
      </c>
      <c r="CS25" s="63">
        <v>1550417</v>
      </c>
      <c r="CU25" s="141" t="s">
        <v>636</v>
      </c>
      <c r="CV25" s="157" t="s">
        <v>939</v>
      </c>
      <c r="CW25" s="157" t="s">
        <v>940</v>
      </c>
      <c r="CX25" s="345"/>
      <c r="CY25" s="345"/>
      <c r="CZ25" s="345"/>
    </row>
    <row r="26" spans="1:104" ht="12.75" x14ac:dyDescent="0.2">
      <c r="A26" s="90">
        <v>19</v>
      </c>
      <c r="B26" s="129" t="s">
        <v>639</v>
      </c>
      <c r="C26" s="130" t="s">
        <v>749</v>
      </c>
      <c r="D26" s="131" t="s">
        <v>752</v>
      </c>
      <c r="E26" s="132" t="s">
        <v>638</v>
      </c>
      <c r="F26" s="63">
        <v>427879313</v>
      </c>
      <c r="G26" s="63">
        <v>0</v>
      </c>
      <c r="H26" s="63">
        <v>0</v>
      </c>
      <c r="I26" s="63">
        <v>1924036</v>
      </c>
      <c r="J26" s="63">
        <v>0</v>
      </c>
      <c r="K26" s="63">
        <v>1924036</v>
      </c>
      <c r="L26" s="63">
        <v>0</v>
      </c>
      <c r="M26" s="63">
        <v>5870388</v>
      </c>
      <c r="N26" s="63">
        <v>0</v>
      </c>
      <c r="O26" s="63">
        <v>0</v>
      </c>
      <c r="P26" s="63">
        <v>0</v>
      </c>
      <c r="Q26" s="63">
        <v>420084889</v>
      </c>
      <c r="R26" s="474">
        <v>0.5</v>
      </c>
      <c r="S26" s="474">
        <v>0.49</v>
      </c>
      <c r="T26" s="474">
        <v>0</v>
      </c>
      <c r="U26" s="474">
        <v>0.01</v>
      </c>
      <c r="V26" s="474">
        <v>1</v>
      </c>
      <c r="W26" s="63">
        <v>210042444</v>
      </c>
      <c r="X26" s="63">
        <v>205841596</v>
      </c>
      <c r="Y26" s="63">
        <v>0</v>
      </c>
      <c r="Z26" s="63">
        <v>4200849</v>
      </c>
      <c r="AA26" s="63">
        <v>420084889</v>
      </c>
      <c r="AB26" s="63">
        <v>423987</v>
      </c>
      <c r="AC26" s="63">
        <v>0</v>
      </c>
      <c r="AD26" s="63">
        <v>0</v>
      </c>
      <c r="AE26" s="63">
        <v>0</v>
      </c>
      <c r="AF26" s="63">
        <v>423987</v>
      </c>
      <c r="AG26" s="63">
        <v>0</v>
      </c>
      <c r="AH26" s="63">
        <v>0</v>
      </c>
      <c r="AI26" s="63">
        <v>0</v>
      </c>
      <c r="AJ26" s="63">
        <v>0</v>
      </c>
      <c r="AK26" s="63">
        <v>0</v>
      </c>
      <c r="AL26" s="63">
        <v>209618457</v>
      </c>
      <c r="AM26" s="63">
        <v>205841596</v>
      </c>
      <c r="AN26" s="63">
        <v>0</v>
      </c>
      <c r="AO26" s="63">
        <v>4200849</v>
      </c>
      <c r="AP26" s="63">
        <v>419660902</v>
      </c>
      <c r="AQ26" s="63">
        <v>1924036</v>
      </c>
      <c r="AR26" s="63">
        <v>1924036</v>
      </c>
      <c r="AS26" s="63">
        <v>5870388</v>
      </c>
      <c r="AT26" s="63">
        <v>5870388</v>
      </c>
      <c r="AU26" s="63">
        <v>0</v>
      </c>
      <c r="AV26" s="63">
        <v>0</v>
      </c>
      <c r="AW26" s="63">
        <v>0</v>
      </c>
      <c r="AX26" s="63">
        <v>423987</v>
      </c>
      <c r="AY26" s="63">
        <v>0</v>
      </c>
      <c r="AZ26" s="63">
        <v>0</v>
      </c>
      <c r="BA26" s="63">
        <v>423987</v>
      </c>
      <c r="BB26" s="63">
        <v>0</v>
      </c>
      <c r="BC26" s="63">
        <v>0</v>
      </c>
      <c r="BD26" s="63">
        <v>0</v>
      </c>
      <c r="BE26" s="63">
        <v>0</v>
      </c>
      <c r="BF26" s="63">
        <v>0</v>
      </c>
      <c r="BG26" s="63">
        <v>0</v>
      </c>
      <c r="BH26" s="63">
        <v>-18324328</v>
      </c>
      <c r="BI26" s="63">
        <v>-17957841</v>
      </c>
      <c r="BJ26" s="63">
        <v>0</v>
      </c>
      <c r="BK26" s="63">
        <v>-366487</v>
      </c>
      <c r="BL26" s="63">
        <v>-36648656</v>
      </c>
      <c r="BM26" s="63">
        <v>191294129</v>
      </c>
      <c r="BN26" s="63">
        <v>196102166</v>
      </c>
      <c r="BO26" s="63">
        <v>0</v>
      </c>
      <c r="BP26" s="63">
        <v>3834362</v>
      </c>
      <c r="BQ26" s="63">
        <v>391230657</v>
      </c>
      <c r="BR26" s="63">
        <v>3068082</v>
      </c>
      <c r="BS26" s="63">
        <v>0</v>
      </c>
      <c r="BT26" s="63">
        <v>60756</v>
      </c>
      <c r="BU26" s="63">
        <v>3128838</v>
      </c>
      <c r="BV26" s="63">
        <v>6417648</v>
      </c>
      <c r="BW26" s="63">
        <v>0</v>
      </c>
      <c r="BX26" s="63">
        <v>126949</v>
      </c>
      <c r="BY26" s="63">
        <v>6544597</v>
      </c>
      <c r="BZ26" s="63">
        <v>0</v>
      </c>
      <c r="CA26" s="63">
        <v>0</v>
      </c>
      <c r="CB26" s="63">
        <v>0</v>
      </c>
      <c r="CC26" s="63">
        <v>0</v>
      </c>
      <c r="CD26" s="63">
        <v>0</v>
      </c>
      <c r="CE26" s="63">
        <v>0</v>
      </c>
      <c r="CF26" s="63">
        <v>0</v>
      </c>
      <c r="CG26" s="63">
        <v>0</v>
      </c>
      <c r="CH26" s="63">
        <v>0</v>
      </c>
      <c r="CI26" s="63">
        <v>0</v>
      </c>
      <c r="CJ26" s="63">
        <v>0</v>
      </c>
      <c r="CK26" s="63">
        <v>0</v>
      </c>
      <c r="CL26" s="63">
        <v>0</v>
      </c>
      <c r="CM26" s="63">
        <v>0</v>
      </c>
      <c r="CN26" s="63">
        <v>0</v>
      </c>
      <c r="CO26" s="63">
        <v>0</v>
      </c>
      <c r="CP26" s="63">
        <v>9485730</v>
      </c>
      <c r="CQ26" s="63">
        <v>0</v>
      </c>
      <c r="CR26" s="63">
        <v>187705</v>
      </c>
      <c r="CS26" s="63">
        <v>9673435</v>
      </c>
      <c r="CU26" s="141" t="s">
        <v>638</v>
      </c>
      <c r="CV26" s="157" t="s">
        <v>941</v>
      </c>
      <c r="CW26" s="156" t="s">
        <v>949</v>
      </c>
      <c r="CX26" s="345"/>
      <c r="CY26" s="345"/>
      <c r="CZ26" s="345"/>
    </row>
    <row r="27" spans="1:104" ht="12.75" x14ac:dyDescent="0.2">
      <c r="A27" s="90">
        <v>20</v>
      </c>
      <c r="B27" s="129" t="s">
        <v>641</v>
      </c>
      <c r="C27" s="130" t="s">
        <v>742</v>
      </c>
      <c r="D27" s="131" t="s">
        <v>745</v>
      </c>
      <c r="E27" s="132" t="s">
        <v>640</v>
      </c>
      <c r="F27" s="63">
        <v>42932321</v>
      </c>
      <c r="G27" s="63">
        <v>0</v>
      </c>
      <c r="H27" s="63">
        <v>0</v>
      </c>
      <c r="I27" s="63">
        <v>101202</v>
      </c>
      <c r="J27" s="63">
        <v>0</v>
      </c>
      <c r="K27" s="63">
        <v>101202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42831119</v>
      </c>
      <c r="R27" s="474">
        <v>0.5</v>
      </c>
      <c r="S27" s="474">
        <v>0.4</v>
      </c>
      <c r="T27" s="474">
        <v>0.09</v>
      </c>
      <c r="U27" s="474">
        <v>0.01</v>
      </c>
      <c r="V27" s="474">
        <v>1</v>
      </c>
      <c r="W27" s="63">
        <v>21415559</v>
      </c>
      <c r="X27" s="63">
        <v>17132448</v>
      </c>
      <c r="Y27" s="63">
        <v>3854801</v>
      </c>
      <c r="Z27" s="63">
        <v>428311</v>
      </c>
      <c r="AA27" s="63">
        <v>42831119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  <c r="AH27" s="63">
        <v>0</v>
      </c>
      <c r="AI27" s="63">
        <v>0</v>
      </c>
      <c r="AJ27" s="63">
        <v>0</v>
      </c>
      <c r="AK27" s="63">
        <v>0</v>
      </c>
      <c r="AL27" s="63">
        <v>21415559</v>
      </c>
      <c r="AM27" s="63">
        <v>17132448</v>
      </c>
      <c r="AN27" s="63">
        <v>3854801</v>
      </c>
      <c r="AO27" s="63">
        <v>428311</v>
      </c>
      <c r="AP27" s="63">
        <v>42831119</v>
      </c>
      <c r="AQ27" s="63">
        <v>101202</v>
      </c>
      <c r="AR27" s="63">
        <v>101202</v>
      </c>
      <c r="AS27" s="63">
        <v>0</v>
      </c>
      <c r="AT27" s="63">
        <v>0</v>
      </c>
      <c r="AU27" s="63">
        <v>0</v>
      </c>
      <c r="AV27" s="63">
        <v>0</v>
      </c>
      <c r="AW27" s="63">
        <v>0</v>
      </c>
      <c r="AX27" s="63">
        <v>0</v>
      </c>
      <c r="AY27" s="63">
        <v>0</v>
      </c>
      <c r="AZ27" s="63">
        <v>0</v>
      </c>
      <c r="BA27" s="63">
        <v>0</v>
      </c>
      <c r="BB27" s="63">
        <v>0</v>
      </c>
      <c r="BC27" s="63">
        <v>0</v>
      </c>
      <c r="BD27" s="63">
        <v>0</v>
      </c>
      <c r="BE27" s="63">
        <v>0</v>
      </c>
      <c r="BF27" s="63">
        <v>0</v>
      </c>
      <c r="BG27" s="63">
        <v>0</v>
      </c>
      <c r="BH27" s="63">
        <v>-1490983</v>
      </c>
      <c r="BI27" s="63">
        <v>-1192787</v>
      </c>
      <c r="BJ27" s="63">
        <v>-268377</v>
      </c>
      <c r="BK27" s="63">
        <v>-29820</v>
      </c>
      <c r="BL27" s="63">
        <v>-2981967</v>
      </c>
      <c r="BM27" s="63">
        <v>19924576</v>
      </c>
      <c r="BN27" s="63">
        <v>16040863</v>
      </c>
      <c r="BO27" s="63">
        <v>3586424</v>
      </c>
      <c r="BP27" s="63">
        <v>398491</v>
      </c>
      <c r="BQ27" s="63">
        <v>39950354</v>
      </c>
      <c r="BR27" s="63">
        <v>247783</v>
      </c>
      <c r="BS27" s="63">
        <v>55751</v>
      </c>
      <c r="BT27" s="63">
        <v>6195</v>
      </c>
      <c r="BU27" s="63">
        <v>309729</v>
      </c>
      <c r="BV27" s="63">
        <v>256096</v>
      </c>
      <c r="BW27" s="63">
        <v>57622</v>
      </c>
      <c r="BX27" s="63">
        <v>6402</v>
      </c>
      <c r="BY27" s="63">
        <v>320120</v>
      </c>
      <c r="BZ27" s="63">
        <v>0</v>
      </c>
      <c r="CA27" s="63">
        <v>0</v>
      </c>
      <c r="CB27" s="63">
        <v>0</v>
      </c>
      <c r="CC27" s="63">
        <v>0</v>
      </c>
      <c r="CD27" s="63">
        <v>0</v>
      </c>
      <c r="CE27" s="63">
        <v>0</v>
      </c>
      <c r="CF27" s="63">
        <v>0</v>
      </c>
      <c r="CG27" s="63">
        <v>0</v>
      </c>
      <c r="CH27" s="63">
        <v>0</v>
      </c>
      <c r="CI27" s="63">
        <v>0</v>
      </c>
      <c r="CJ27" s="63">
        <v>0</v>
      </c>
      <c r="CK27" s="63">
        <v>0</v>
      </c>
      <c r="CL27" s="63">
        <v>0</v>
      </c>
      <c r="CM27" s="63">
        <v>0</v>
      </c>
      <c r="CN27" s="63">
        <v>0</v>
      </c>
      <c r="CO27" s="63">
        <v>0</v>
      </c>
      <c r="CP27" s="63">
        <v>503879</v>
      </c>
      <c r="CQ27" s="63">
        <v>113373</v>
      </c>
      <c r="CR27" s="63">
        <v>12597</v>
      </c>
      <c r="CS27" s="63">
        <v>629849</v>
      </c>
      <c r="CU27" s="141" t="s">
        <v>640</v>
      </c>
      <c r="CV27" s="157" t="s">
        <v>950</v>
      </c>
      <c r="CW27" s="156" t="s">
        <v>951</v>
      </c>
      <c r="CX27" s="345"/>
      <c r="CY27" s="345"/>
      <c r="CZ27" s="345"/>
    </row>
    <row r="28" spans="1:104" ht="12.75" x14ac:dyDescent="0.2">
      <c r="A28" s="90">
        <v>21</v>
      </c>
      <c r="B28" s="129" t="s">
        <v>642</v>
      </c>
      <c r="C28" s="130" t="s">
        <v>501</v>
      </c>
      <c r="D28" s="131" t="s">
        <v>744</v>
      </c>
      <c r="E28" s="132" t="s">
        <v>538</v>
      </c>
      <c r="F28" s="63">
        <v>47046407</v>
      </c>
      <c r="G28" s="63">
        <v>0</v>
      </c>
      <c r="H28" s="63">
        <v>0</v>
      </c>
      <c r="I28" s="63">
        <v>255158</v>
      </c>
      <c r="J28" s="63">
        <v>0</v>
      </c>
      <c r="K28" s="63">
        <v>255158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46791249</v>
      </c>
      <c r="R28" s="474">
        <v>0.5</v>
      </c>
      <c r="S28" s="474">
        <v>0.49</v>
      </c>
      <c r="T28" s="474">
        <v>0</v>
      </c>
      <c r="U28" s="474">
        <v>0.01</v>
      </c>
      <c r="V28" s="474">
        <v>1</v>
      </c>
      <c r="W28" s="63">
        <v>23395625</v>
      </c>
      <c r="X28" s="63">
        <v>22927712</v>
      </c>
      <c r="Y28" s="63">
        <v>0</v>
      </c>
      <c r="Z28" s="63">
        <v>467912</v>
      </c>
      <c r="AA28" s="63">
        <v>46791249</v>
      </c>
      <c r="AB28" s="63">
        <v>0</v>
      </c>
      <c r="AC28" s="63">
        <v>0</v>
      </c>
      <c r="AD28" s="63">
        <v>0</v>
      </c>
      <c r="AE28" s="63">
        <v>0</v>
      </c>
      <c r="AF28" s="63">
        <v>0</v>
      </c>
      <c r="AG28" s="63">
        <v>0</v>
      </c>
      <c r="AH28" s="63">
        <v>0</v>
      </c>
      <c r="AI28" s="63">
        <v>0</v>
      </c>
      <c r="AJ28" s="63">
        <v>0</v>
      </c>
      <c r="AK28" s="63">
        <v>0</v>
      </c>
      <c r="AL28" s="63">
        <v>23395625</v>
      </c>
      <c r="AM28" s="63">
        <v>22927712</v>
      </c>
      <c r="AN28" s="63">
        <v>0</v>
      </c>
      <c r="AO28" s="63">
        <v>467912</v>
      </c>
      <c r="AP28" s="63">
        <v>46791249</v>
      </c>
      <c r="AQ28" s="63">
        <v>255158</v>
      </c>
      <c r="AR28" s="63">
        <v>255158</v>
      </c>
      <c r="AS28" s="63">
        <v>0</v>
      </c>
      <c r="AT28" s="63">
        <v>0</v>
      </c>
      <c r="AU28" s="63">
        <v>0</v>
      </c>
      <c r="AV28" s="63">
        <v>0</v>
      </c>
      <c r="AW28" s="63">
        <v>0</v>
      </c>
      <c r="AX28" s="63">
        <v>0</v>
      </c>
      <c r="AY28" s="63">
        <v>0</v>
      </c>
      <c r="AZ28" s="63">
        <v>0</v>
      </c>
      <c r="BA28" s="63">
        <v>0</v>
      </c>
      <c r="BB28" s="63">
        <v>0</v>
      </c>
      <c r="BC28" s="63">
        <v>0</v>
      </c>
      <c r="BD28" s="63">
        <v>0</v>
      </c>
      <c r="BE28" s="63">
        <v>0</v>
      </c>
      <c r="BF28" s="63">
        <v>0</v>
      </c>
      <c r="BG28" s="63">
        <v>0</v>
      </c>
      <c r="BH28" s="63">
        <v>424184</v>
      </c>
      <c r="BI28" s="63">
        <v>415700</v>
      </c>
      <c r="BJ28" s="63">
        <v>0</v>
      </c>
      <c r="BK28" s="63">
        <v>8484</v>
      </c>
      <c r="BL28" s="63">
        <v>848368</v>
      </c>
      <c r="BM28" s="63">
        <v>23819809</v>
      </c>
      <c r="BN28" s="63">
        <v>23598570</v>
      </c>
      <c r="BO28" s="63">
        <v>0</v>
      </c>
      <c r="BP28" s="63">
        <v>476396</v>
      </c>
      <c r="BQ28" s="63">
        <v>47894775</v>
      </c>
      <c r="BR28" s="63">
        <v>331599</v>
      </c>
      <c r="BS28" s="63">
        <v>0</v>
      </c>
      <c r="BT28" s="63">
        <v>6767</v>
      </c>
      <c r="BU28" s="63">
        <v>338366</v>
      </c>
      <c r="BV28" s="63">
        <v>1359532</v>
      </c>
      <c r="BW28" s="63">
        <v>0</v>
      </c>
      <c r="BX28" s="63">
        <v>27746</v>
      </c>
      <c r="BY28" s="63">
        <v>1387278</v>
      </c>
      <c r="BZ28" s="63">
        <v>14913</v>
      </c>
      <c r="CA28" s="63">
        <v>0</v>
      </c>
      <c r="CB28" s="63">
        <v>304</v>
      </c>
      <c r="CC28" s="63">
        <v>15217</v>
      </c>
      <c r="CD28" s="63">
        <v>49709</v>
      </c>
      <c r="CE28" s="63">
        <v>0</v>
      </c>
      <c r="CF28" s="63">
        <v>1014</v>
      </c>
      <c r="CG28" s="63">
        <v>50723</v>
      </c>
      <c r="CH28" s="63">
        <v>74563</v>
      </c>
      <c r="CI28" s="63">
        <v>0</v>
      </c>
      <c r="CJ28" s="63">
        <v>1522</v>
      </c>
      <c r="CK28" s="63">
        <v>76085</v>
      </c>
      <c r="CL28" s="63">
        <v>4971</v>
      </c>
      <c r="CM28" s="63">
        <v>0</v>
      </c>
      <c r="CN28" s="63">
        <v>101</v>
      </c>
      <c r="CO28" s="63">
        <v>5072</v>
      </c>
      <c r="CP28" s="63">
        <v>1835287</v>
      </c>
      <c r="CQ28" s="63">
        <v>0</v>
      </c>
      <c r="CR28" s="63">
        <v>37454</v>
      </c>
      <c r="CS28" s="63">
        <v>1872741</v>
      </c>
      <c r="CU28" s="141" t="s">
        <v>538</v>
      </c>
      <c r="CV28" s="157" t="s">
        <v>501</v>
      </c>
      <c r="CW28" s="156" t="s">
        <v>952</v>
      </c>
      <c r="CX28" s="345"/>
      <c r="CY28" s="345"/>
      <c r="CZ28" s="345"/>
    </row>
    <row r="29" spans="1:104" ht="12.75" x14ac:dyDescent="0.2">
      <c r="A29" s="90">
        <v>22</v>
      </c>
      <c r="B29" s="129" t="s">
        <v>643</v>
      </c>
      <c r="C29" s="130" t="s">
        <v>501</v>
      </c>
      <c r="D29" s="131" t="s">
        <v>744</v>
      </c>
      <c r="E29" s="132" t="s">
        <v>539</v>
      </c>
      <c r="F29" s="63">
        <v>49328446</v>
      </c>
      <c r="G29" s="63">
        <v>0</v>
      </c>
      <c r="H29" s="63">
        <v>0</v>
      </c>
      <c r="I29" s="63">
        <v>270621</v>
      </c>
      <c r="J29" s="63">
        <v>0</v>
      </c>
      <c r="K29" s="63">
        <v>270621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49057825</v>
      </c>
      <c r="R29" s="474">
        <v>0.5</v>
      </c>
      <c r="S29" s="474">
        <v>0.49</v>
      </c>
      <c r="T29" s="474">
        <v>0</v>
      </c>
      <c r="U29" s="474">
        <v>0.01</v>
      </c>
      <c r="V29" s="474">
        <v>1</v>
      </c>
      <c r="W29" s="63">
        <v>24528913</v>
      </c>
      <c r="X29" s="63">
        <v>24038334</v>
      </c>
      <c r="Y29" s="63">
        <v>0</v>
      </c>
      <c r="Z29" s="63">
        <v>490578</v>
      </c>
      <c r="AA29" s="63">
        <v>49057825</v>
      </c>
      <c r="AB29" s="63">
        <v>0</v>
      </c>
      <c r="AC29" s="63">
        <v>0</v>
      </c>
      <c r="AD29" s="63">
        <v>0</v>
      </c>
      <c r="AE29" s="63">
        <v>0</v>
      </c>
      <c r="AF29" s="63">
        <v>0</v>
      </c>
      <c r="AG29" s="63">
        <v>0</v>
      </c>
      <c r="AH29" s="63">
        <v>0</v>
      </c>
      <c r="AI29" s="63">
        <v>0</v>
      </c>
      <c r="AJ29" s="63">
        <v>0</v>
      </c>
      <c r="AK29" s="63">
        <v>0</v>
      </c>
      <c r="AL29" s="63">
        <v>24528913</v>
      </c>
      <c r="AM29" s="63">
        <v>24038334</v>
      </c>
      <c r="AN29" s="63">
        <v>0</v>
      </c>
      <c r="AO29" s="63">
        <v>490578</v>
      </c>
      <c r="AP29" s="63">
        <v>49057825</v>
      </c>
      <c r="AQ29" s="63">
        <v>270621</v>
      </c>
      <c r="AR29" s="63">
        <v>270621</v>
      </c>
      <c r="AS29" s="63">
        <v>0</v>
      </c>
      <c r="AT29" s="63">
        <v>0</v>
      </c>
      <c r="AU29" s="63">
        <v>0</v>
      </c>
      <c r="AV29" s="63">
        <v>0</v>
      </c>
      <c r="AW29" s="63">
        <v>0</v>
      </c>
      <c r="AX29" s="63">
        <v>0</v>
      </c>
      <c r="AY29" s="63">
        <v>0</v>
      </c>
      <c r="AZ29" s="63">
        <v>0</v>
      </c>
      <c r="BA29" s="63">
        <v>0</v>
      </c>
      <c r="BB29" s="63">
        <v>0</v>
      </c>
      <c r="BC29" s="63">
        <v>0</v>
      </c>
      <c r="BD29" s="63">
        <v>0</v>
      </c>
      <c r="BE29" s="63">
        <v>0</v>
      </c>
      <c r="BF29" s="63">
        <v>0</v>
      </c>
      <c r="BG29" s="63">
        <v>0</v>
      </c>
      <c r="BH29" s="63">
        <v>-1709215</v>
      </c>
      <c r="BI29" s="63">
        <v>-1675031</v>
      </c>
      <c r="BJ29" s="63">
        <v>0</v>
      </c>
      <c r="BK29" s="63">
        <v>-34184</v>
      </c>
      <c r="BL29" s="63">
        <v>-3418430</v>
      </c>
      <c r="BM29" s="63">
        <v>22819698</v>
      </c>
      <c r="BN29" s="63">
        <v>22633924</v>
      </c>
      <c r="BO29" s="63">
        <v>0</v>
      </c>
      <c r="BP29" s="63">
        <v>456394</v>
      </c>
      <c r="BQ29" s="63">
        <v>45910016</v>
      </c>
      <c r="BR29" s="63">
        <v>347662</v>
      </c>
      <c r="BS29" s="63">
        <v>0</v>
      </c>
      <c r="BT29" s="63">
        <v>7095</v>
      </c>
      <c r="BU29" s="63">
        <v>354757</v>
      </c>
      <c r="BV29" s="63">
        <v>1536995</v>
      </c>
      <c r="BW29" s="63">
        <v>0</v>
      </c>
      <c r="BX29" s="63">
        <v>31367</v>
      </c>
      <c r="BY29" s="63">
        <v>1568362</v>
      </c>
      <c r="BZ29" s="63">
        <v>2610</v>
      </c>
      <c r="CA29" s="63">
        <v>0</v>
      </c>
      <c r="CB29" s="63">
        <v>53</v>
      </c>
      <c r="CC29" s="63">
        <v>2663</v>
      </c>
      <c r="CD29" s="63">
        <v>0</v>
      </c>
      <c r="CE29" s="63">
        <v>0</v>
      </c>
      <c r="CF29" s="63">
        <v>0</v>
      </c>
      <c r="CG29" s="63">
        <v>0</v>
      </c>
      <c r="CH29" s="63">
        <v>42602</v>
      </c>
      <c r="CI29" s="63">
        <v>0</v>
      </c>
      <c r="CJ29" s="63">
        <v>869</v>
      </c>
      <c r="CK29" s="63">
        <v>43471</v>
      </c>
      <c r="CL29" s="63">
        <v>2485</v>
      </c>
      <c r="CM29" s="63">
        <v>0</v>
      </c>
      <c r="CN29" s="63">
        <v>51</v>
      </c>
      <c r="CO29" s="63">
        <v>2536</v>
      </c>
      <c r="CP29" s="63">
        <v>1932354</v>
      </c>
      <c r="CQ29" s="63">
        <v>0</v>
      </c>
      <c r="CR29" s="63">
        <v>39435</v>
      </c>
      <c r="CS29" s="63">
        <v>1971789</v>
      </c>
      <c r="CU29" s="141" t="s">
        <v>539</v>
      </c>
      <c r="CV29" s="157" t="s">
        <v>501</v>
      </c>
      <c r="CW29" s="156" t="s">
        <v>952</v>
      </c>
      <c r="CX29" s="345"/>
      <c r="CY29" s="345"/>
      <c r="CZ29" s="345"/>
    </row>
    <row r="30" spans="1:104" ht="12.75" x14ac:dyDescent="0.2">
      <c r="A30" s="90">
        <v>23</v>
      </c>
      <c r="B30" s="129" t="s">
        <v>645</v>
      </c>
      <c r="C30" s="130" t="s">
        <v>742</v>
      </c>
      <c r="D30" s="131" t="s">
        <v>745</v>
      </c>
      <c r="E30" s="132" t="s">
        <v>644</v>
      </c>
      <c r="F30" s="63">
        <v>23743148</v>
      </c>
      <c r="G30" s="63">
        <v>0</v>
      </c>
      <c r="H30" s="63">
        <v>0</v>
      </c>
      <c r="I30" s="63">
        <v>95614</v>
      </c>
      <c r="J30" s="63">
        <v>0</v>
      </c>
      <c r="K30" s="63">
        <v>95614</v>
      </c>
      <c r="L30" s="63">
        <v>0</v>
      </c>
      <c r="M30" s="63">
        <v>0</v>
      </c>
      <c r="N30" s="63">
        <v>21005</v>
      </c>
      <c r="O30" s="63">
        <v>21005</v>
      </c>
      <c r="P30" s="63">
        <v>0</v>
      </c>
      <c r="Q30" s="63">
        <v>23626529</v>
      </c>
      <c r="R30" s="474">
        <v>0.5</v>
      </c>
      <c r="S30" s="474">
        <v>0.4</v>
      </c>
      <c r="T30" s="474">
        <v>0.09</v>
      </c>
      <c r="U30" s="474">
        <v>0.01</v>
      </c>
      <c r="V30" s="474">
        <v>1</v>
      </c>
      <c r="W30" s="63">
        <v>11813264</v>
      </c>
      <c r="X30" s="63">
        <v>9450612</v>
      </c>
      <c r="Y30" s="63">
        <v>2126388</v>
      </c>
      <c r="Z30" s="63">
        <v>236265</v>
      </c>
      <c r="AA30" s="63">
        <v>23626529</v>
      </c>
      <c r="AB30" s="63">
        <v>0</v>
      </c>
      <c r="AC30" s="63">
        <v>0</v>
      </c>
      <c r="AD30" s="63">
        <v>0</v>
      </c>
      <c r="AE30" s="63">
        <v>0</v>
      </c>
      <c r="AF30" s="63">
        <v>0</v>
      </c>
      <c r="AG30" s="63">
        <v>0</v>
      </c>
      <c r="AH30" s="63">
        <v>0</v>
      </c>
      <c r="AI30" s="63">
        <v>0</v>
      </c>
      <c r="AJ30" s="63">
        <v>0</v>
      </c>
      <c r="AK30" s="63">
        <v>0</v>
      </c>
      <c r="AL30" s="63">
        <v>11813264</v>
      </c>
      <c r="AM30" s="63">
        <v>9450612</v>
      </c>
      <c r="AN30" s="63">
        <v>2126388</v>
      </c>
      <c r="AO30" s="63">
        <v>236265</v>
      </c>
      <c r="AP30" s="63">
        <v>23626529</v>
      </c>
      <c r="AQ30" s="63">
        <v>95614</v>
      </c>
      <c r="AR30" s="63">
        <v>95614</v>
      </c>
      <c r="AS30" s="63">
        <v>0</v>
      </c>
      <c r="AT30" s="63">
        <v>0</v>
      </c>
      <c r="AU30" s="63">
        <v>21005</v>
      </c>
      <c r="AV30" s="63">
        <v>0</v>
      </c>
      <c r="AW30" s="63">
        <v>21005</v>
      </c>
      <c r="AX30" s="63">
        <v>0</v>
      </c>
      <c r="AY30" s="63">
        <v>0</v>
      </c>
      <c r="AZ30" s="63">
        <v>0</v>
      </c>
      <c r="BA30" s="63">
        <v>0</v>
      </c>
      <c r="BB30" s="63">
        <v>0</v>
      </c>
      <c r="BC30" s="63">
        <v>0</v>
      </c>
      <c r="BD30" s="63">
        <v>0</v>
      </c>
      <c r="BE30" s="63">
        <v>0</v>
      </c>
      <c r="BF30" s="63">
        <v>0</v>
      </c>
      <c r="BG30" s="63">
        <v>0</v>
      </c>
      <c r="BH30" s="63">
        <v>-811195</v>
      </c>
      <c r="BI30" s="63">
        <v>-648956</v>
      </c>
      <c r="BJ30" s="63">
        <v>-146015</v>
      </c>
      <c r="BK30" s="63">
        <v>-16224</v>
      </c>
      <c r="BL30" s="63">
        <v>-1622390</v>
      </c>
      <c r="BM30" s="63">
        <v>11002069</v>
      </c>
      <c r="BN30" s="63">
        <v>8918275</v>
      </c>
      <c r="BO30" s="63">
        <v>1980373</v>
      </c>
      <c r="BP30" s="63">
        <v>220041</v>
      </c>
      <c r="BQ30" s="63">
        <v>22120758</v>
      </c>
      <c r="BR30" s="63">
        <v>136986</v>
      </c>
      <c r="BS30" s="63">
        <v>30754</v>
      </c>
      <c r="BT30" s="63">
        <v>3417</v>
      </c>
      <c r="BU30" s="63">
        <v>171157</v>
      </c>
      <c r="BV30" s="63">
        <v>275401</v>
      </c>
      <c r="BW30" s="63">
        <v>61965</v>
      </c>
      <c r="BX30" s="63">
        <v>6885</v>
      </c>
      <c r="BY30" s="63">
        <v>344251</v>
      </c>
      <c r="BZ30" s="63">
        <v>0</v>
      </c>
      <c r="CA30" s="63">
        <v>0</v>
      </c>
      <c r="CB30" s="63">
        <v>0</v>
      </c>
      <c r="CC30" s="63">
        <v>0</v>
      </c>
      <c r="CD30" s="63">
        <v>754</v>
      </c>
      <c r="CE30" s="63">
        <v>170</v>
      </c>
      <c r="CF30" s="63">
        <v>19</v>
      </c>
      <c r="CG30" s="63">
        <v>943</v>
      </c>
      <c r="CH30" s="63">
        <v>0</v>
      </c>
      <c r="CI30" s="63">
        <v>0</v>
      </c>
      <c r="CJ30" s="63">
        <v>0</v>
      </c>
      <c r="CK30" s="63">
        <v>0</v>
      </c>
      <c r="CL30" s="63">
        <v>0</v>
      </c>
      <c r="CM30" s="63">
        <v>0</v>
      </c>
      <c r="CN30" s="63">
        <v>0</v>
      </c>
      <c r="CO30" s="63">
        <v>0</v>
      </c>
      <c r="CP30" s="63">
        <v>413141</v>
      </c>
      <c r="CQ30" s="63">
        <v>92889</v>
      </c>
      <c r="CR30" s="63">
        <v>10321</v>
      </c>
      <c r="CS30" s="63">
        <v>516351</v>
      </c>
      <c r="CU30" s="141" t="s">
        <v>644</v>
      </c>
      <c r="CV30" s="157" t="s">
        <v>930</v>
      </c>
      <c r="CW30" s="156" t="s">
        <v>931</v>
      </c>
      <c r="CX30" s="345"/>
      <c r="CY30" s="345"/>
      <c r="CZ30" s="345"/>
    </row>
    <row r="31" spans="1:104" ht="12.75" x14ac:dyDescent="0.2">
      <c r="A31" s="90">
        <v>24</v>
      </c>
      <c r="B31" s="129" t="s">
        <v>647</v>
      </c>
      <c r="C31" s="130" t="s">
        <v>749</v>
      </c>
      <c r="D31" s="131" t="s">
        <v>744</v>
      </c>
      <c r="E31" s="132" t="s">
        <v>646</v>
      </c>
      <c r="F31" s="63">
        <v>92312301</v>
      </c>
      <c r="G31" s="63">
        <v>0</v>
      </c>
      <c r="H31" s="63">
        <v>0</v>
      </c>
      <c r="I31" s="63">
        <v>400997</v>
      </c>
      <c r="J31" s="63">
        <v>0</v>
      </c>
      <c r="K31" s="63">
        <v>400997</v>
      </c>
      <c r="L31" s="63">
        <v>0</v>
      </c>
      <c r="M31" s="63">
        <v>0</v>
      </c>
      <c r="N31" s="63">
        <v>0</v>
      </c>
      <c r="O31" s="63">
        <v>0</v>
      </c>
      <c r="P31" s="63">
        <v>0</v>
      </c>
      <c r="Q31" s="63">
        <v>91911304</v>
      </c>
      <c r="R31" s="474">
        <v>0.5</v>
      </c>
      <c r="S31" s="474">
        <v>0.49</v>
      </c>
      <c r="T31" s="474">
        <v>0</v>
      </c>
      <c r="U31" s="474">
        <v>0.01</v>
      </c>
      <c r="V31" s="474">
        <v>1</v>
      </c>
      <c r="W31" s="63">
        <v>45955652</v>
      </c>
      <c r="X31" s="63">
        <v>45036539</v>
      </c>
      <c r="Y31" s="63">
        <v>0</v>
      </c>
      <c r="Z31" s="63">
        <v>919113</v>
      </c>
      <c r="AA31" s="63">
        <v>91911304</v>
      </c>
      <c r="AB31" s="63">
        <v>0</v>
      </c>
      <c r="AC31" s="63">
        <v>0</v>
      </c>
      <c r="AD31" s="63">
        <v>0</v>
      </c>
      <c r="AE31" s="63">
        <v>0</v>
      </c>
      <c r="AF31" s="63">
        <v>0</v>
      </c>
      <c r="AG31" s="63">
        <v>0</v>
      </c>
      <c r="AH31" s="63">
        <v>0</v>
      </c>
      <c r="AI31" s="63">
        <v>0</v>
      </c>
      <c r="AJ31" s="63">
        <v>0</v>
      </c>
      <c r="AK31" s="63">
        <v>0</v>
      </c>
      <c r="AL31" s="63">
        <v>45955652</v>
      </c>
      <c r="AM31" s="63">
        <v>45036539</v>
      </c>
      <c r="AN31" s="63">
        <v>0</v>
      </c>
      <c r="AO31" s="63">
        <v>919113</v>
      </c>
      <c r="AP31" s="63">
        <v>91911304</v>
      </c>
      <c r="AQ31" s="63">
        <v>400997</v>
      </c>
      <c r="AR31" s="63">
        <v>400997</v>
      </c>
      <c r="AS31" s="63">
        <v>0</v>
      </c>
      <c r="AT31" s="63">
        <v>0</v>
      </c>
      <c r="AU31" s="63">
        <v>0</v>
      </c>
      <c r="AV31" s="63">
        <v>0</v>
      </c>
      <c r="AW31" s="63">
        <v>0</v>
      </c>
      <c r="AX31" s="63">
        <v>0</v>
      </c>
      <c r="AY31" s="63">
        <v>0</v>
      </c>
      <c r="AZ31" s="63">
        <v>0</v>
      </c>
      <c r="BA31" s="63">
        <v>0</v>
      </c>
      <c r="BB31" s="63">
        <v>0</v>
      </c>
      <c r="BC31" s="63">
        <v>0</v>
      </c>
      <c r="BD31" s="63">
        <v>0</v>
      </c>
      <c r="BE31" s="63">
        <v>0</v>
      </c>
      <c r="BF31" s="63">
        <v>0</v>
      </c>
      <c r="BG31" s="63">
        <v>0</v>
      </c>
      <c r="BH31" s="63">
        <v>-5101806</v>
      </c>
      <c r="BI31" s="63">
        <v>-4999770</v>
      </c>
      <c r="BJ31" s="63">
        <v>0</v>
      </c>
      <c r="BK31" s="63">
        <v>-102036</v>
      </c>
      <c r="BL31" s="63">
        <v>-10203612</v>
      </c>
      <c r="BM31" s="63">
        <v>40853846</v>
      </c>
      <c r="BN31" s="63">
        <v>40437766</v>
      </c>
      <c r="BO31" s="63">
        <v>0</v>
      </c>
      <c r="BP31" s="63">
        <v>817077</v>
      </c>
      <c r="BQ31" s="63">
        <v>82108689</v>
      </c>
      <c r="BR31" s="63">
        <v>651355</v>
      </c>
      <c r="BS31" s="63">
        <v>0</v>
      </c>
      <c r="BT31" s="63">
        <v>13293</v>
      </c>
      <c r="BU31" s="63">
        <v>664648</v>
      </c>
      <c r="BV31" s="63">
        <v>1839221</v>
      </c>
      <c r="BW31" s="63">
        <v>0</v>
      </c>
      <c r="BX31" s="63">
        <v>37535</v>
      </c>
      <c r="BY31" s="63">
        <v>1876756</v>
      </c>
      <c r="BZ31" s="63">
        <v>0</v>
      </c>
      <c r="CA31" s="63">
        <v>0</v>
      </c>
      <c r="CB31" s="63">
        <v>0</v>
      </c>
      <c r="CC31" s="63">
        <v>0</v>
      </c>
      <c r="CD31" s="63">
        <v>1988</v>
      </c>
      <c r="CE31" s="63">
        <v>0</v>
      </c>
      <c r="CF31" s="63">
        <v>41</v>
      </c>
      <c r="CG31" s="63">
        <v>2029</v>
      </c>
      <c r="CH31" s="63">
        <v>89973</v>
      </c>
      <c r="CI31" s="63">
        <v>0</v>
      </c>
      <c r="CJ31" s="63">
        <v>1836</v>
      </c>
      <c r="CK31" s="63">
        <v>91809</v>
      </c>
      <c r="CL31" s="63">
        <v>29825</v>
      </c>
      <c r="CM31" s="63">
        <v>0</v>
      </c>
      <c r="CN31" s="63">
        <v>609</v>
      </c>
      <c r="CO31" s="63">
        <v>30434</v>
      </c>
      <c r="CP31" s="63">
        <v>2612362</v>
      </c>
      <c r="CQ31" s="63">
        <v>0</v>
      </c>
      <c r="CR31" s="63">
        <v>53314</v>
      </c>
      <c r="CS31" s="63">
        <v>2665676</v>
      </c>
      <c r="CU31" s="141" t="s">
        <v>646</v>
      </c>
      <c r="CV31" s="157" t="s">
        <v>941</v>
      </c>
      <c r="CW31" s="156" t="s">
        <v>953</v>
      </c>
      <c r="CX31" s="345"/>
      <c r="CY31" s="345"/>
      <c r="CZ31" s="345"/>
    </row>
    <row r="32" spans="1:104" ht="12.75" x14ac:dyDescent="0.2">
      <c r="A32" s="90">
        <v>25</v>
      </c>
      <c r="B32" s="129" t="s">
        <v>649</v>
      </c>
      <c r="C32" s="130" t="s">
        <v>742</v>
      </c>
      <c r="D32" s="131" t="s">
        <v>745</v>
      </c>
      <c r="E32" s="132" t="s">
        <v>648</v>
      </c>
      <c r="F32" s="63">
        <v>20213713</v>
      </c>
      <c r="G32" s="63">
        <v>0</v>
      </c>
      <c r="H32" s="63">
        <v>0</v>
      </c>
      <c r="I32" s="63">
        <v>90714</v>
      </c>
      <c r="J32" s="63">
        <v>0</v>
      </c>
      <c r="K32" s="63">
        <v>90714</v>
      </c>
      <c r="L32" s="63">
        <v>0</v>
      </c>
      <c r="M32" s="63">
        <v>0</v>
      </c>
      <c r="N32" s="63">
        <v>112000</v>
      </c>
      <c r="O32" s="63">
        <v>112000</v>
      </c>
      <c r="P32" s="63">
        <v>0</v>
      </c>
      <c r="Q32" s="63">
        <v>20010999</v>
      </c>
      <c r="R32" s="474">
        <v>0.5</v>
      </c>
      <c r="S32" s="474">
        <v>0.4</v>
      </c>
      <c r="T32" s="474">
        <v>0.1</v>
      </c>
      <c r="U32" s="474">
        <v>0</v>
      </c>
      <c r="V32" s="474">
        <v>1</v>
      </c>
      <c r="W32" s="63">
        <v>10005499</v>
      </c>
      <c r="X32" s="63">
        <v>8004400</v>
      </c>
      <c r="Y32" s="63">
        <v>2001100</v>
      </c>
      <c r="Z32" s="63">
        <v>0</v>
      </c>
      <c r="AA32" s="63">
        <v>20010999</v>
      </c>
      <c r="AB32" s="63">
        <v>0</v>
      </c>
      <c r="AC32" s="63">
        <v>0</v>
      </c>
      <c r="AD32" s="63">
        <v>0</v>
      </c>
      <c r="AE32" s="63">
        <v>0</v>
      </c>
      <c r="AF32" s="63">
        <v>0</v>
      </c>
      <c r="AG32" s="63">
        <v>0</v>
      </c>
      <c r="AH32" s="63">
        <v>0</v>
      </c>
      <c r="AI32" s="63">
        <v>0</v>
      </c>
      <c r="AJ32" s="63">
        <v>0</v>
      </c>
      <c r="AK32" s="63">
        <v>0</v>
      </c>
      <c r="AL32" s="63">
        <v>10005499</v>
      </c>
      <c r="AM32" s="63">
        <v>8004400</v>
      </c>
      <c r="AN32" s="63">
        <v>2001100</v>
      </c>
      <c r="AO32" s="63">
        <v>0</v>
      </c>
      <c r="AP32" s="63">
        <v>20010999</v>
      </c>
      <c r="AQ32" s="63">
        <v>90714</v>
      </c>
      <c r="AR32" s="63">
        <v>90714</v>
      </c>
      <c r="AS32" s="63">
        <v>0</v>
      </c>
      <c r="AT32" s="63">
        <v>0</v>
      </c>
      <c r="AU32" s="63">
        <v>112000</v>
      </c>
      <c r="AV32" s="63">
        <v>0</v>
      </c>
      <c r="AW32" s="63">
        <v>112000</v>
      </c>
      <c r="AX32" s="63">
        <v>0</v>
      </c>
      <c r="AY32" s="63">
        <v>0</v>
      </c>
      <c r="AZ32" s="63">
        <v>0</v>
      </c>
      <c r="BA32" s="63">
        <v>0</v>
      </c>
      <c r="BB32" s="63">
        <v>0</v>
      </c>
      <c r="BC32" s="63">
        <v>0</v>
      </c>
      <c r="BD32" s="63">
        <v>0</v>
      </c>
      <c r="BE32" s="63">
        <v>0</v>
      </c>
      <c r="BF32" s="63">
        <v>0</v>
      </c>
      <c r="BG32" s="63">
        <v>0</v>
      </c>
      <c r="BH32" s="63">
        <v>-735778</v>
      </c>
      <c r="BI32" s="63">
        <v>-588622</v>
      </c>
      <c r="BJ32" s="63">
        <v>-147156</v>
      </c>
      <c r="BK32" s="63">
        <v>0</v>
      </c>
      <c r="BL32" s="63">
        <v>-1471556</v>
      </c>
      <c r="BM32" s="63">
        <v>9269721</v>
      </c>
      <c r="BN32" s="63">
        <v>7618492</v>
      </c>
      <c r="BO32" s="63">
        <v>1853944</v>
      </c>
      <c r="BP32" s="63">
        <v>0</v>
      </c>
      <c r="BQ32" s="63">
        <v>18742157</v>
      </c>
      <c r="BR32" s="63">
        <v>117386</v>
      </c>
      <c r="BS32" s="63">
        <v>28942</v>
      </c>
      <c r="BT32" s="63">
        <v>0</v>
      </c>
      <c r="BU32" s="63">
        <v>146328</v>
      </c>
      <c r="BV32" s="63">
        <v>316173</v>
      </c>
      <c r="BW32" s="63">
        <v>79043</v>
      </c>
      <c r="BX32" s="63">
        <v>0</v>
      </c>
      <c r="BY32" s="63">
        <v>395216</v>
      </c>
      <c r="BZ32" s="63">
        <v>0</v>
      </c>
      <c r="CA32" s="63">
        <v>0</v>
      </c>
      <c r="CB32" s="63">
        <v>0</v>
      </c>
      <c r="CC32" s="63">
        <v>0</v>
      </c>
      <c r="CD32" s="63">
        <v>0</v>
      </c>
      <c r="CE32" s="63">
        <v>0</v>
      </c>
      <c r="CF32" s="63">
        <v>0</v>
      </c>
      <c r="CG32" s="63">
        <v>0</v>
      </c>
      <c r="CH32" s="63">
        <v>3435</v>
      </c>
      <c r="CI32" s="63">
        <v>859</v>
      </c>
      <c r="CJ32" s="63">
        <v>0</v>
      </c>
      <c r="CK32" s="63">
        <v>4294</v>
      </c>
      <c r="CL32" s="63">
        <v>203</v>
      </c>
      <c r="CM32" s="63">
        <v>51</v>
      </c>
      <c r="CN32" s="63">
        <v>0</v>
      </c>
      <c r="CO32" s="63">
        <v>254</v>
      </c>
      <c r="CP32" s="63">
        <v>437197</v>
      </c>
      <c r="CQ32" s="63">
        <v>108895</v>
      </c>
      <c r="CR32" s="63">
        <v>0</v>
      </c>
      <c r="CS32" s="63">
        <v>546092</v>
      </c>
      <c r="CU32" s="141" t="s">
        <v>648</v>
      </c>
      <c r="CV32" s="157" t="s">
        <v>954</v>
      </c>
      <c r="CW32" s="156" t="s">
        <v>928</v>
      </c>
      <c r="CX32" s="345"/>
      <c r="CY32" s="345"/>
      <c r="CZ32" s="345"/>
    </row>
    <row r="33" spans="1:104" ht="12.75" x14ac:dyDescent="0.2">
      <c r="A33" s="90">
        <v>26</v>
      </c>
      <c r="B33" s="129" t="s">
        <v>650</v>
      </c>
      <c r="C33" s="130" t="s">
        <v>501</v>
      </c>
      <c r="D33" s="131" t="s">
        <v>751</v>
      </c>
      <c r="E33" s="132" t="s">
        <v>525</v>
      </c>
      <c r="F33" s="63">
        <v>70624270</v>
      </c>
      <c r="G33" s="63">
        <v>0</v>
      </c>
      <c r="H33" s="63">
        <v>0</v>
      </c>
      <c r="I33" s="63">
        <v>299908</v>
      </c>
      <c r="J33" s="63">
        <v>0</v>
      </c>
      <c r="K33" s="63">
        <v>299908</v>
      </c>
      <c r="L33" s="63">
        <v>0</v>
      </c>
      <c r="M33" s="63">
        <v>0</v>
      </c>
      <c r="N33" s="63">
        <v>190</v>
      </c>
      <c r="O33" s="63">
        <v>190</v>
      </c>
      <c r="P33" s="63">
        <v>0</v>
      </c>
      <c r="Q33" s="63">
        <v>70324172</v>
      </c>
      <c r="R33" s="474">
        <v>0.5</v>
      </c>
      <c r="S33" s="474">
        <v>0.49</v>
      </c>
      <c r="T33" s="474">
        <v>0</v>
      </c>
      <c r="U33" s="474">
        <v>0.01</v>
      </c>
      <c r="V33" s="474">
        <v>1</v>
      </c>
      <c r="W33" s="63">
        <v>35162086</v>
      </c>
      <c r="X33" s="63">
        <v>34458844</v>
      </c>
      <c r="Y33" s="63">
        <v>0</v>
      </c>
      <c r="Z33" s="63">
        <v>703242</v>
      </c>
      <c r="AA33" s="63">
        <v>70324172</v>
      </c>
      <c r="AB33" s="63">
        <v>0</v>
      </c>
      <c r="AC33" s="63">
        <v>0</v>
      </c>
      <c r="AD33" s="63">
        <v>0</v>
      </c>
      <c r="AE33" s="63">
        <v>0</v>
      </c>
      <c r="AF33" s="63">
        <v>0</v>
      </c>
      <c r="AG33" s="63">
        <v>0</v>
      </c>
      <c r="AH33" s="63">
        <v>0</v>
      </c>
      <c r="AI33" s="63">
        <v>0</v>
      </c>
      <c r="AJ33" s="63">
        <v>0</v>
      </c>
      <c r="AK33" s="63">
        <v>0</v>
      </c>
      <c r="AL33" s="63">
        <v>35162086</v>
      </c>
      <c r="AM33" s="63">
        <v>34458844</v>
      </c>
      <c r="AN33" s="63">
        <v>0</v>
      </c>
      <c r="AO33" s="63">
        <v>703242</v>
      </c>
      <c r="AP33" s="63">
        <v>70324172</v>
      </c>
      <c r="AQ33" s="63">
        <v>299908</v>
      </c>
      <c r="AR33" s="63">
        <v>299908</v>
      </c>
      <c r="AS33" s="63">
        <v>0</v>
      </c>
      <c r="AT33" s="63">
        <v>0</v>
      </c>
      <c r="AU33" s="63">
        <v>190</v>
      </c>
      <c r="AV33" s="63">
        <v>0</v>
      </c>
      <c r="AW33" s="63">
        <v>190</v>
      </c>
      <c r="AX33" s="63">
        <v>0</v>
      </c>
      <c r="AY33" s="63">
        <v>0</v>
      </c>
      <c r="AZ33" s="63">
        <v>0</v>
      </c>
      <c r="BA33" s="63">
        <v>0</v>
      </c>
      <c r="BB33" s="63">
        <v>0</v>
      </c>
      <c r="BC33" s="63">
        <v>0</v>
      </c>
      <c r="BD33" s="63">
        <v>0</v>
      </c>
      <c r="BE33" s="63">
        <v>0</v>
      </c>
      <c r="BF33" s="63">
        <v>0</v>
      </c>
      <c r="BG33" s="63">
        <v>0</v>
      </c>
      <c r="BH33" s="63">
        <v>702591</v>
      </c>
      <c r="BI33" s="63">
        <v>688539</v>
      </c>
      <c r="BJ33" s="63">
        <v>0</v>
      </c>
      <c r="BK33" s="63">
        <v>14052</v>
      </c>
      <c r="BL33" s="63">
        <v>1405182</v>
      </c>
      <c r="BM33" s="63">
        <v>35864677</v>
      </c>
      <c r="BN33" s="63">
        <v>35447481</v>
      </c>
      <c r="BO33" s="63">
        <v>0</v>
      </c>
      <c r="BP33" s="63">
        <v>717294</v>
      </c>
      <c r="BQ33" s="63">
        <v>72029452</v>
      </c>
      <c r="BR33" s="63">
        <v>498374</v>
      </c>
      <c r="BS33" s="63">
        <v>0</v>
      </c>
      <c r="BT33" s="63">
        <v>10171</v>
      </c>
      <c r="BU33" s="63">
        <v>508545</v>
      </c>
      <c r="BV33" s="63">
        <v>1130464</v>
      </c>
      <c r="BW33" s="63">
        <v>0</v>
      </c>
      <c r="BX33" s="63">
        <v>23071</v>
      </c>
      <c r="BY33" s="63">
        <v>1153535</v>
      </c>
      <c r="BZ33" s="63">
        <v>1268</v>
      </c>
      <c r="CA33" s="63">
        <v>0</v>
      </c>
      <c r="CB33" s="63">
        <v>26</v>
      </c>
      <c r="CC33" s="63">
        <v>1294</v>
      </c>
      <c r="CD33" s="63">
        <v>0</v>
      </c>
      <c r="CE33" s="63">
        <v>0</v>
      </c>
      <c r="CF33" s="63">
        <v>0</v>
      </c>
      <c r="CG33" s="63">
        <v>0</v>
      </c>
      <c r="CH33" s="63">
        <v>24165</v>
      </c>
      <c r="CI33" s="63">
        <v>0</v>
      </c>
      <c r="CJ33" s="63">
        <v>493</v>
      </c>
      <c r="CK33" s="63">
        <v>24658</v>
      </c>
      <c r="CL33" s="63">
        <v>548</v>
      </c>
      <c r="CM33" s="63">
        <v>0</v>
      </c>
      <c r="CN33" s="63">
        <v>11</v>
      </c>
      <c r="CO33" s="63">
        <v>559</v>
      </c>
      <c r="CP33" s="63">
        <v>1654819</v>
      </c>
      <c r="CQ33" s="63">
        <v>0</v>
      </c>
      <c r="CR33" s="63">
        <v>33772</v>
      </c>
      <c r="CS33" s="63">
        <v>1688591</v>
      </c>
      <c r="CU33" s="141" t="s">
        <v>525</v>
      </c>
      <c r="CV33" s="157" t="s">
        <v>501</v>
      </c>
      <c r="CW33" s="156" t="s">
        <v>955</v>
      </c>
      <c r="CX33" s="345"/>
      <c r="CY33" s="345"/>
      <c r="CZ33" s="345"/>
    </row>
    <row r="34" spans="1:104" ht="12.75" x14ac:dyDescent="0.2">
      <c r="A34" s="90">
        <v>27</v>
      </c>
      <c r="B34" s="129" t="s">
        <v>651</v>
      </c>
      <c r="C34" s="130" t="s">
        <v>501</v>
      </c>
      <c r="D34" s="131" t="s">
        <v>743</v>
      </c>
      <c r="E34" s="132" t="s">
        <v>505</v>
      </c>
      <c r="F34" s="63">
        <v>62573002</v>
      </c>
      <c r="G34" s="63">
        <v>0</v>
      </c>
      <c r="H34" s="63">
        <v>0</v>
      </c>
      <c r="I34" s="63">
        <v>149777</v>
      </c>
      <c r="J34" s="63">
        <v>0</v>
      </c>
      <c r="K34" s="63">
        <v>149777</v>
      </c>
      <c r="L34" s="63">
        <v>0</v>
      </c>
      <c r="M34" s="63">
        <v>0</v>
      </c>
      <c r="N34" s="63">
        <v>768</v>
      </c>
      <c r="O34" s="63">
        <v>768</v>
      </c>
      <c r="P34" s="63">
        <v>0</v>
      </c>
      <c r="Q34" s="63">
        <v>62422457</v>
      </c>
      <c r="R34" s="474">
        <v>0.5</v>
      </c>
      <c r="S34" s="474">
        <v>0.49</v>
      </c>
      <c r="T34" s="474">
        <v>0</v>
      </c>
      <c r="U34" s="474">
        <v>0.01</v>
      </c>
      <c r="V34" s="474">
        <v>1</v>
      </c>
      <c r="W34" s="63">
        <v>31211228</v>
      </c>
      <c r="X34" s="63">
        <v>30587004</v>
      </c>
      <c r="Y34" s="63">
        <v>0</v>
      </c>
      <c r="Z34" s="63">
        <v>624225</v>
      </c>
      <c r="AA34" s="63">
        <v>62422457</v>
      </c>
      <c r="AB34" s="63">
        <v>0</v>
      </c>
      <c r="AC34" s="63">
        <v>0</v>
      </c>
      <c r="AD34" s="63">
        <v>0</v>
      </c>
      <c r="AE34" s="63">
        <v>0</v>
      </c>
      <c r="AF34" s="63">
        <v>0</v>
      </c>
      <c r="AG34" s="63">
        <v>0</v>
      </c>
      <c r="AH34" s="63">
        <v>0</v>
      </c>
      <c r="AI34" s="63">
        <v>0</v>
      </c>
      <c r="AJ34" s="63">
        <v>0</v>
      </c>
      <c r="AK34" s="63">
        <v>0</v>
      </c>
      <c r="AL34" s="63">
        <v>31211228</v>
      </c>
      <c r="AM34" s="63">
        <v>30587004</v>
      </c>
      <c r="AN34" s="63">
        <v>0</v>
      </c>
      <c r="AO34" s="63">
        <v>624225</v>
      </c>
      <c r="AP34" s="63">
        <v>62422457</v>
      </c>
      <c r="AQ34" s="63">
        <v>149777</v>
      </c>
      <c r="AR34" s="63">
        <v>149777</v>
      </c>
      <c r="AS34" s="63">
        <v>0</v>
      </c>
      <c r="AT34" s="63">
        <v>0</v>
      </c>
      <c r="AU34" s="63">
        <v>768</v>
      </c>
      <c r="AV34" s="63">
        <v>0</v>
      </c>
      <c r="AW34" s="63">
        <v>768</v>
      </c>
      <c r="AX34" s="63">
        <v>0</v>
      </c>
      <c r="AY34" s="63">
        <v>0</v>
      </c>
      <c r="AZ34" s="63">
        <v>0</v>
      </c>
      <c r="BA34" s="63">
        <v>0</v>
      </c>
      <c r="BB34" s="63">
        <v>0</v>
      </c>
      <c r="BC34" s="63">
        <v>0</v>
      </c>
      <c r="BD34" s="63">
        <v>0</v>
      </c>
      <c r="BE34" s="63">
        <v>0</v>
      </c>
      <c r="BF34" s="63">
        <v>0</v>
      </c>
      <c r="BG34" s="63">
        <v>0</v>
      </c>
      <c r="BH34" s="63">
        <v>-12043921</v>
      </c>
      <c r="BI34" s="63">
        <v>-11803043</v>
      </c>
      <c r="BJ34" s="63">
        <v>0</v>
      </c>
      <c r="BK34" s="63">
        <v>-240878</v>
      </c>
      <c r="BL34" s="63">
        <v>-24087842</v>
      </c>
      <c r="BM34" s="63">
        <v>19167307</v>
      </c>
      <c r="BN34" s="63">
        <v>18934506</v>
      </c>
      <c r="BO34" s="63">
        <v>0</v>
      </c>
      <c r="BP34" s="63">
        <v>383347</v>
      </c>
      <c r="BQ34" s="63">
        <v>38485160</v>
      </c>
      <c r="BR34" s="63">
        <v>442385</v>
      </c>
      <c r="BS34" s="63">
        <v>0</v>
      </c>
      <c r="BT34" s="63">
        <v>9028</v>
      </c>
      <c r="BU34" s="63">
        <v>451413</v>
      </c>
      <c r="BV34" s="63">
        <v>248544</v>
      </c>
      <c r="BW34" s="63">
        <v>0</v>
      </c>
      <c r="BX34" s="63">
        <v>5072</v>
      </c>
      <c r="BY34" s="63">
        <v>253616</v>
      </c>
      <c r="BZ34" s="63">
        <v>4971</v>
      </c>
      <c r="CA34" s="63">
        <v>0</v>
      </c>
      <c r="CB34" s="63">
        <v>101</v>
      </c>
      <c r="CC34" s="63">
        <v>5072</v>
      </c>
      <c r="CD34" s="63">
        <v>0</v>
      </c>
      <c r="CE34" s="63">
        <v>0</v>
      </c>
      <c r="CF34" s="63">
        <v>0</v>
      </c>
      <c r="CG34" s="63">
        <v>0</v>
      </c>
      <c r="CH34" s="63">
        <v>24855</v>
      </c>
      <c r="CI34" s="63">
        <v>0</v>
      </c>
      <c r="CJ34" s="63">
        <v>507</v>
      </c>
      <c r="CK34" s="63">
        <v>25362</v>
      </c>
      <c r="CL34" s="63">
        <v>0</v>
      </c>
      <c r="CM34" s="63">
        <v>0</v>
      </c>
      <c r="CN34" s="63">
        <v>0</v>
      </c>
      <c r="CO34" s="63">
        <v>0</v>
      </c>
      <c r="CP34" s="63">
        <v>720755</v>
      </c>
      <c r="CQ34" s="63">
        <v>0</v>
      </c>
      <c r="CR34" s="63">
        <v>14708</v>
      </c>
      <c r="CS34" s="63">
        <v>735463</v>
      </c>
      <c r="CU34" s="141" t="s">
        <v>505</v>
      </c>
      <c r="CV34" s="157" t="s">
        <v>501</v>
      </c>
      <c r="CW34" s="156" t="s">
        <v>956</v>
      </c>
      <c r="CX34" s="345"/>
      <c r="CY34" s="345"/>
      <c r="CZ34" s="345"/>
    </row>
    <row r="35" spans="1:104" ht="12.75" x14ac:dyDescent="0.2">
      <c r="A35" s="90">
        <v>28</v>
      </c>
      <c r="B35" s="129" t="s">
        <v>653</v>
      </c>
      <c r="C35" s="130" t="s">
        <v>749</v>
      </c>
      <c r="D35" s="131" t="s">
        <v>750</v>
      </c>
      <c r="E35" s="132" t="s">
        <v>652</v>
      </c>
      <c r="F35" s="63">
        <v>150384897</v>
      </c>
      <c r="G35" s="63">
        <v>0</v>
      </c>
      <c r="H35" s="63">
        <v>0</v>
      </c>
      <c r="I35" s="63">
        <v>741111</v>
      </c>
      <c r="J35" s="63">
        <v>0</v>
      </c>
      <c r="K35" s="63">
        <v>741111</v>
      </c>
      <c r="L35" s="63">
        <v>0</v>
      </c>
      <c r="M35" s="63">
        <v>0</v>
      </c>
      <c r="N35" s="63">
        <v>0</v>
      </c>
      <c r="O35" s="63">
        <v>0</v>
      </c>
      <c r="P35" s="63">
        <v>0</v>
      </c>
      <c r="Q35" s="63">
        <v>149643786</v>
      </c>
      <c r="R35" s="474">
        <v>0.5</v>
      </c>
      <c r="S35" s="474">
        <v>0.49</v>
      </c>
      <c r="T35" s="474">
        <v>0</v>
      </c>
      <c r="U35" s="474">
        <v>0.01</v>
      </c>
      <c r="V35" s="474">
        <v>1</v>
      </c>
      <c r="W35" s="63">
        <v>74821893</v>
      </c>
      <c r="X35" s="63">
        <v>73325455</v>
      </c>
      <c r="Y35" s="63">
        <v>0</v>
      </c>
      <c r="Z35" s="63">
        <v>1496438</v>
      </c>
      <c r="AA35" s="63">
        <v>149643786</v>
      </c>
      <c r="AB35" s="63">
        <v>0</v>
      </c>
      <c r="AC35" s="63">
        <v>0</v>
      </c>
      <c r="AD35" s="63">
        <v>0</v>
      </c>
      <c r="AE35" s="63">
        <v>0</v>
      </c>
      <c r="AF35" s="63">
        <v>0</v>
      </c>
      <c r="AG35" s="63">
        <v>0</v>
      </c>
      <c r="AH35" s="63">
        <v>0</v>
      </c>
      <c r="AI35" s="63">
        <v>0</v>
      </c>
      <c r="AJ35" s="63">
        <v>0</v>
      </c>
      <c r="AK35" s="63">
        <v>0</v>
      </c>
      <c r="AL35" s="63">
        <v>74821893</v>
      </c>
      <c r="AM35" s="63">
        <v>73325455</v>
      </c>
      <c r="AN35" s="63">
        <v>0</v>
      </c>
      <c r="AO35" s="63">
        <v>1496438</v>
      </c>
      <c r="AP35" s="63">
        <v>149643786</v>
      </c>
      <c r="AQ35" s="63">
        <v>741111</v>
      </c>
      <c r="AR35" s="63">
        <v>741111</v>
      </c>
      <c r="AS35" s="63">
        <v>0</v>
      </c>
      <c r="AT35" s="63">
        <v>0</v>
      </c>
      <c r="AU35" s="63">
        <v>0</v>
      </c>
      <c r="AV35" s="63">
        <v>0</v>
      </c>
      <c r="AW35" s="63">
        <v>0</v>
      </c>
      <c r="AX35" s="63">
        <v>0</v>
      </c>
      <c r="AY35" s="63">
        <v>0</v>
      </c>
      <c r="AZ35" s="63">
        <v>0</v>
      </c>
      <c r="BA35" s="63">
        <v>0</v>
      </c>
      <c r="BB35" s="63">
        <v>0</v>
      </c>
      <c r="BC35" s="63">
        <v>0</v>
      </c>
      <c r="BD35" s="63">
        <v>0</v>
      </c>
      <c r="BE35" s="63">
        <v>0</v>
      </c>
      <c r="BF35" s="63">
        <v>0</v>
      </c>
      <c r="BG35" s="63">
        <v>0</v>
      </c>
      <c r="BH35" s="63">
        <v>-10595685</v>
      </c>
      <c r="BI35" s="63">
        <v>-10383772</v>
      </c>
      <c r="BJ35" s="63">
        <v>0</v>
      </c>
      <c r="BK35" s="63">
        <v>-211914</v>
      </c>
      <c r="BL35" s="63">
        <v>-21191371</v>
      </c>
      <c r="BM35" s="63">
        <v>64226208</v>
      </c>
      <c r="BN35" s="63">
        <v>63682794</v>
      </c>
      <c r="BO35" s="63">
        <v>0</v>
      </c>
      <c r="BP35" s="63">
        <v>1284524</v>
      </c>
      <c r="BQ35" s="63">
        <v>129193526</v>
      </c>
      <c r="BR35" s="63">
        <v>1060492</v>
      </c>
      <c r="BS35" s="63">
        <v>0</v>
      </c>
      <c r="BT35" s="63">
        <v>21643</v>
      </c>
      <c r="BU35" s="63">
        <v>1082135</v>
      </c>
      <c r="BV35" s="63">
        <v>4086053</v>
      </c>
      <c r="BW35" s="63">
        <v>0</v>
      </c>
      <c r="BX35" s="63">
        <v>83389</v>
      </c>
      <c r="BY35" s="63">
        <v>4169442</v>
      </c>
      <c r="BZ35" s="63">
        <v>29825</v>
      </c>
      <c r="CA35" s="63">
        <v>0</v>
      </c>
      <c r="CB35" s="63">
        <v>609</v>
      </c>
      <c r="CC35" s="63">
        <v>30434</v>
      </c>
      <c r="CD35" s="63">
        <v>9942</v>
      </c>
      <c r="CE35" s="63">
        <v>0</v>
      </c>
      <c r="CF35" s="63">
        <v>203</v>
      </c>
      <c r="CG35" s="63">
        <v>10145</v>
      </c>
      <c r="CH35" s="63">
        <v>48794</v>
      </c>
      <c r="CI35" s="63">
        <v>0</v>
      </c>
      <c r="CJ35" s="63">
        <v>996</v>
      </c>
      <c r="CK35" s="63">
        <v>49790</v>
      </c>
      <c r="CL35" s="63">
        <v>12427</v>
      </c>
      <c r="CM35" s="63">
        <v>0</v>
      </c>
      <c r="CN35" s="63">
        <v>254</v>
      </c>
      <c r="CO35" s="63">
        <v>12681</v>
      </c>
      <c r="CP35" s="63">
        <v>5247533</v>
      </c>
      <c r="CQ35" s="63">
        <v>0</v>
      </c>
      <c r="CR35" s="63">
        <v>107094</v>
      </c>
      <c r="CS35" s="63">
        <v>5354627</v>
      </c>
      <c r="CU35" s="141" t="s">
        <v>652</v>
      </c>
      <c r="CV35" s="157" t="s">
        <v>941</v>
      </c>
      <c r="CW35" s="156" t="s">
        <v>957</v>
      </c>
      <c r="CX35" s="345"/>
      <c r="CY35" s="345"/>
      <c r="CZ35" s="345"/>
    </row>
    <row r="36" spans="1:104" ht="12.75" x14ac:dyDescent="0.2">
      <c r="A36" s="90">
        <v>29</v>
      </c>
      <c r="B36" s="129" t="s">
        <v>655</v>
      </c>
      <c r="C36" s="130" t="s">
        <v>742</v>
      </c>
      <c r="D36" s="131" t="s">
        <v>746</v>
      </c>
      <c r="E36" s="132" t="s">
        <v>654</v>
      </c>
      <c r="F36" s="63">
        <v>42675623.289999999</v>
      </c>
      <c r="G36" s="63">
        <v>0</v>
      </c>
      <c r="H36" s="63">
        <v>0</v>
      </c>
      <c r="I36" s="63">
        <v>194671</v>
      </c>
      <c r="J36" s="63">
        <v>0</v>
      </c>
      <c r="K36" s="63">
        <v>194671</v>
      </c>
      <c r="L36" s="63">
        <v>0</v>
      </c>
      <c r="M36" s="63">
        <v>0</v>
      </c>
      <c r="N36" s="63">
        <v>0</v>
      </c>
      <c r="O36" s="63">
        <v>0</v>
      </c>
      <c r="P36" s="63">
        <v>0</v>
      </c>
      <c r="Q36" s="63">
        <v>42480952</v>
      </c>
      <c r="R36" s="474">
        <v>0.5</v>
      </c>
      <c r="S36" s="474">
        <v>0.4</v>
      </c>
      <c r="T36" s="474">
        <v>0.09</v>
      </c>
      <c r="U36" s="474">
        <v>0.01</v>
      </c>
      <c r="V36" s="474">
        <v>1</v>
      </c>
      <c r="W36" s="63">
        <v>21240475</v>
      </c>
      <c r="X36" s="63">
        <v>16992381</v>
      </c>
      <c r="Y36" s="63">
        <v>3823286</v>
      </c>
      <c r="Z36" s="63">
        <v>424810</v>
      </c>
      <c r="AA36" s="63">
        <v>42480952</v>
      </c>
      <c r="AB36" s="63">
        <v>0</v>
      </c>
      <c r="AC36" s="63">
        <v>0</v>
      </c>
      <c r="AD36" s="63">
        <v>0</v>
      </c>
      <c r="AE36" s="63">
        <v>0</v>
      </c>
      <c r="AF36" s="63">
        <v>0</v>
      </c>
      <c r="AG36" s="63">
        <v>0</v>
      </c>
      <c r="AH36" s="63">
        <v>0</v>
      </c>
      <c r="AI36" s="63">
        <v>0</v>
      </c>
      <c r="AJ36" s="63">
        <v>0</v>
      </c>
      <c r="AK36" s="63">
        <v>0</v>
      </c>
      <c r="AL36" s="63">
        <v>21240475</v>
      </c>
      <c r="AM36" s="63">
        <v>16992381</v>
      </c>
      <c r="AN36" s="63">
        <v>3823286</v>
      </c>
      <c r="AO36" s="63">
        <v>424810</v>
      </c>
      <c r="AP36" s="63">
        <v>42480952</v>
      </c>
      <c r="AQ36" s="63">
        <v>194671</v>
      </c>
      <c r="AR36" s="63">
        <v>194671</v>
      </c>
      <c r="AS36" s="63">
        <v>0</v>
      </c>
      <c r="AT36" s="63">
        <v>0</v>
      </c>
      <c r="AU36" s="63">
        <v>0</v>
      </c>
      <c r="AV36" s="63">
        <v>0</v>
      </c>
      <c r="AW36" s="63">
        <v>0</v>
      </c>
      <c r="AX36" s="63">
        <v>0</v>
      </c>
      <c r="AY36" s="63">
        <v>0</v>
      </c>
      <c r="AZ36" s="63">
        <v>0</v>
      </c>
      <c r="BA36" s="63">
        <v>0</v>
      </c>
      <c r="BB36" s="63">
        <v>0</v>
      </c>
      <c r="BC36" s="63">
        <v>0</v>
      </c>
      <c r="BD36" s="63">
        <v>0</v>
      </c>
      <c r="BE36" s="63">
        <v>0</v>
      </c>
      <c r="BF36" s="63">
        <v>0</v>
      </c>
      <c r="BG36" s="63">
        <v>0</v>
      </c>
      <c r="BH36" s="63">
        <v>-513920</v>
      </c>
      <c r="BI36" s="63">
        <v>-411135</v>
      </c>
      <c r="BJ36" s="63">
        <v>-92505</v>
      </c>
      <c r="BK36" s="63">
        <v>-10278</v>
      </c>
      <c r="BL36" s="63">
        <v>-1027838</v>
      </c>
      <c r="BM36" s="63">
        <v>20726555</v>
      </c>
      <c r="BN36" s="63">
        <v>16775917</v>
      </c>
      <c r="BO36" s="63">
        <v>3730781</v>
      </c>
      <c r="BP36" s="63">
        <v>414532</v>
      </c>
      <c r="BQ36" s="63">
        <v>41647785</v>
      </c>
      <c r="BR36" s="63">
        <v>245758</v>
      </c>
      <c r="BS36" s="63">
        <v>55295</v>
      </c>
      <c r="BT36" s="63">
        <v>6144</v>
      </c>
      <c r="BU36" s="63">
        <v>307197</v>
      </c>
      <c r="BV36" s="63">
        <v>669748</v>
      </c>
      <c r="BW36" s="63">
        <v>150693</v>
      </c>
      <c r="BX36" s="63">
        <v>16744</v>
      </c>
      <c r="BY36" s="63">
        <v>837185</v>
      </c>
      <c r="BZ36" s="63">
        <v>0</v>
      </c>
      <c r="CA36" s="63">
        <v>0</v>
      </c>
      <c r="CB36" s="63">
        <v>0</v>
      </c>
      <c r="CC36" s="63">
        <v>0</v>
      </c>
      <c r="CD36" s="63">
        <v>4075</v>
      </c>
      <c r="CE36" s="63">
        <v>917</v>
      </c>
      <c r="CF36" s="63">
        <v>102</v>
      </c>
      <c r="CG36" s="63">
        <v>5094</v>
      </c>
      <c r="CH36" s="63">
        <v>9722</v>
      </c>
      <c r="CI36" s="63">
        <v>2187</v>
      </c>
      <c r="CJ36" s="63">
        <v>243</v>
      </c>
      <c r="CK36" s="63">
        <v>12152</v>
      </c>
      <c r="CL36" s="63">
        <v>4869</v>
      </c>
      <c r="CM36" s="63">
        <v>1096</v>
      </c>
      <c r="CN36" s="63">
        <v>122</v>
      </c>
      <c r="CO36" s="63">
        <v>6087</v>
      </c>
      <c r="CP36" s="63">
        <v>934172</v>
      </c>
      <c r="CQ36" s="63">
        <v>210188</v>
      </c>
      <c r="CR36" s="63">
        <v>23355</v>
      </c>
      <c r="CS36" s="63">
        <v>1167715</v>
      </c>
      <c r="CU36" s="141" t="s">
        <v>654</v>
      </c>
      <c r="CV36" s="157" t="s">
        <v>943</v>
      </c>
      <c r="CW36" s="156" t="s">
        <v>944</v>
      </c>
      <c r="CX36" s="345"/>
      <c r="CY36" s="345"/>
      <c r="CZ36" s="345"/>
    </row>
    <row r="37" spans="1:104" ht="12.75" x14ac:dyDescent="0.2">
      <c r="A37" s="90">
        <v>30</v>
      </c>
      <c r="B37" s="129" t="s">
        <v>657</v>
      </c>
      <c r="C37" s="130" t="s">
        <v>742</v>
      </c>
      <c r="D37" s="131" t="s">
        <v>746</v>
      </c>
      <c r="E37" s="132" t="s">
        <v>656</v>
      </c>
      <c r="F37" s="63">
        <v>31221376</v>
      </c>
      <c r="G37" s="63">
        <v>0</v>
      </c>
      <c r="H37" s="63">
        <v>0</v>
      </c>
      <c r="I37" s="63">
        <v>165631</v>
      </c>
      <c r="J37" s="63">
        <v>0</v>
      </c>
      <c r="K37" s="63">
        <v>165631</v>
      </c>
      <c r="L37" s="63">
        <v>0</v>
      </c>
      <c r="M37" s="63">
        <v>0</v>
      </c>
      <c r="N37" s="63">
        <v>158295</v>
      </c>
      <c r="O37" s="63">
        <v>158295</v>
      </c>
      <c r="P37" s="63">
        <v>0</v>
      </c>
      <c r="Q37" s="63">
        <v>30897450</v>
      </c>
      <c r="R37" s="474">
        <v>0.5</v>
      </c>
      <c r="S37" s="474">
        <v>0.4</v>
      </c>
      <c r="T37" s="474">
        <v>0.1</v>
      </c>
      <c r="U37" s="474">
        <v>0</v>
      </c>
      <c r="V37" s="474">
        <v>1</v>
      </c>
      <c r="W37" s="63">
        <v>15448725</v>
      </c>
      <c r="X37" s="63">
        <v>12358980</v>
      </c>
      <c r="Y37" s="63">
        <v>3089745</v>
      </c>
      <c r="Z37" s="63">
        <v>0</v>
      </c>
      <c r="AA37" s="63">
        <v>30897450</v>
      </c>
      <c r="AB37" s="63">
        <v>0</v>
      </c>
      <c r="AC37" s="63">
        <v>0</v>
      </c>
      <c r="AD37" s="63">
        <v>0</v>
      </c>
      <c r="AE37" s="63">
        <v>0</v>
      </c>
      <c r="AF37" s="63">
        <v>0</v>
      </c>
      <c r="AG37" s="63">
        <v>0</v>
      </c>
      <c r="AH37" s="63">
        <v>0</v>
      </c>
      <c r="AI37" s="63">
        <v>0</v>
      </c>
      <c r="AJ37" s="63">
        <v>0</v>
      </c>
      <c r="AK37" s="63">
        <v>0</v>
      </c>
      <c r="AL37" s="63">
        <v>15448725</v>
      </c>
      <c r="AM37" s="63">
        <v>12358980</v>
      </c>
      <c r="AN37" s="63">
        <v>3089745</v>
      </c>
      <c r="AO37" s="63">
        <v>0</v>
      </c>
      <c r="AP37" s="63">
        <v>30897450</v>
      </c>
      <c r="AQ37" s="63">
        <v>165631</v>
      </c>
      <c r="AR37" s="63">
        <v>165631</v>
      </c>
      <c r="AS37" s="63">
        <v>0</v>
      </c>
      <c r="AT37" s="63">
        <v>0</v>
      </c>
      <c r="AU37" s="63">
        <v>158295</v>
      </c>
      <c r="AV37" s="63">
        <v>0</v>
      </c>
      <c r="AW37" s="63">
        <v>158295</v>
      </c>
      <c r="AX37" s="63">
        <v>0</v>
      </c>
      <c r="AY37" s="63">
        <v>0</v>
      </c>
      <c r="AZ37" s="63">
        <v>0</v>
      </c>
      <c r="BA37" s="63">
        <v>0</v>
      </c>
      <c r="BB37" s="63">
        <v>0</v>
      </c>
      <c r="BC37" s="63">
        <v>0</v>
      </c>
      <c r="BD37" s="63">
        <v>0</v>
      </c>
      <c r="BE37" s="63">
        <v>0</v>
      </c>
      <c r="BF37" s="63">
        <v>0</v>
      </c>
      <c r="BG37" s="63">
        <v>0</v>
      </c>
      <c r="BH37" s="63">
        <v>-1818341</v>
      </c>
      <c r="BI37" s="63">
        <v>-1454673</v>
      </c>
      <c r="BJ37" s="63">
        <v>-363668</v>
      </c>
      <c r="BK37" s="63">
        <v>0</v>
      </c>
      <c r="BL37" s="63">
        <v>-3636682</v>
      </c>
      <c r="BM37" s="63">
        <v>13630384</v>
      </c>
      <c r="BN37" s="63">
        <v>11228233</v>
      </c>
      <c r="BO37" s="63">
        <v>2726077</v>
      </c>
      <c r="BP37" s="63">
        <v>0</v>
      </c>
      <c r="BQ37" s="63">
        <v>27584694</v>
      </c>
      <c r="BR37" s="63">
        <v>181035</v>
      </c>
      <c r="BS37" s="63">
        <v>44686</v>
      </c>
      <c r="BT37" s="63">
        <v>0</v>
      </c>
      <c r="BU37" s="63">
        <v>225721</v>
      </c>
      <c r="BV37" s="63">
        <v>607685</v>
      </c>
      <c r="BW37" s="63">
        <v>151921</v>
      </c>
      <c r="BX37" s="63">
        <v>0</v>
      </c>
      <c r="BY37" s="63">
        <v>759606</v>
      </c>
      <c r="BZ37" s="63">
        <v>491</v>
      </c>
      <c r="CA37" s="63">
        <v>123</v>
      </c>
      <c r="CB37" s="63">
        <v>0</v>
      </c>
      <c r="CC37" s="63">
        <v>614</v>
      </c>
      <c r="CD37" s="63">
        <v>0</v>
      </c>
      <c r="CE37" s="63">
        <v>0</v>
      </c>
      <c r="CF37" s="63">
        <v>0</v>
      </c>
      <c r="CG37" s="63">
        <v>0</v>
      </c>
      <c r="CH37" s="63">
        <v>7394</v>
      </c>
      <c r="CI37" s="63">
        <v>1849</v>
      </c>
      <c r="CJ37" s="63">
        <v>0</v>
      </c>
      <c r="CK37" s="63">
        <v>9243</v>
      </c>
      <c r="CL37" s="63">
        <v>21</v>
      </c>
      <c r="CM37" s="63">
        <v>5</v>
      </c>
      <c r="CN37" s="63">
        <v>0</v>
      </c>
      <c r="CO37" s="63">
        <v>26</v>
      </c>
      <c r="CP37" s="63">
        <v>796626</v>
      </c>
      <c r="CQ37" s="63">
        <v>198584</v>
      </c>
      <c r="CR37" s="63">
        <v>0</v>
      </c>
      <c r="CS37" s="63">
        <v>995210</v>
      </c>
      <c r="CU37" s="141" t="s">
        <v>656</v>
      </c>
      <c r="CV37" s="157" t="s">
        <v>958</v>
      </c>
      <c r="CW37" s="156" t="s">
        <v>928</v>
      </c>
      <c r="CX37" s="345"/>
      <c r="CY37" s="345"/>
      <c r="CZ37" s="345"/>
    </row>
    <row r="38" spans="1:104" ht="12.75" x14ac:dyDescent="0.2">
      <c r="A38" s="90">
        <v>31</v>
      </c>
      <c r="B38" s="129" t="s">
        <v>659</v>
      </c>
      <c r="C38" s="130" t="s">
        <v>747</v>
      </c>
      <c r="D38" s="131" t="s">
        <v>748</v>
      </c>
      <c r="E38" s="132" t="s">
        <v>658</v>
      </c>
      <c r="F38" s="63">
        <v>118617389</v>
      </c>
      <c r="G38" s="63">
        <v>0</v>
      </c>
      <c r="H38" s="63">
        <v>0</v>
      </c>
      <c r="I38" s="63">
        <v>416161</v>
      </c>
      <c r="J38" s="63">
        <v>0</v>
      </c>
      <c r="K38" s="63">
        <v>416161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63">
        <v>118201228</v>
      </c>
      <c r="R38" s="474">
        <v>0.5</v>
      </c>
      <c r="S38" s="474">
        <v>0.3</v>
      </c>
      <c r="T38" s="474">
        <v>0.2</v>
      </c>
      <c r="U38" s="474">
        <v>0</v>
      </c>
      <c r="V38" s="474">
        <v>1</v>
      </c>
      <c r="W38" s="63">
        <v>59100614</v>
      </c>
      <c r="X38" s="63">
        <v>35460368</v>
      </c>
      <c r="Y38" s="63">
        <v>23640246</v>
      </c>
      <c r="Z38" s="63">
        <v>0</v>
      </c>
      <c r="AA38" s="63">
        <v>118201228</v>
      </c>
      <c r="AB38" s="63">
        <v>0</v>
      </c>
      <c r="AC38" s="63">
        <v>0</v>
      </c>
      <c r="AD38" s="63">
        <v>0</v>
      </c>
      <c r="AE38" s="63">
        <v>0</v>
      </c>
      <c r="AF38" s="63">
        <v>0</v>
      </c>
      <c r="AG38" s="63">
        <v>0</v>
      </c>
      <c r="AH38" s="63">
        <v>0</v>
      </c>
      <c r="AI38" s="63">
        <v>0</v>
      </c>
      <c r="AJ38" s="63">
        <v>0</v>
      </c>
      <c r="AK38" s="63">
        <v>0</v>
      </c>
      <c r="AL38" s="63">
        <v>59100614</v>
      </c>
      <c r="AM38" s="63">
        <v>35460368</v>
      </c>
      <c r="AN38" s="63">
        <v>23640246</v>
      </c>
      <c r="AO38" s="63">
        <v>0</v>
      </c>
      <c r="AP38" s="63">
        <v>118201228</v>
      </c>
      <c r="AQ38" s="63">
        <v>416161</v>
      </c>
      <c r="AR38" s="63">
        <v>416161</v>
      </c>
      <c r="AS38" s="63">
        <v>0</v>
      </c>
      <c r="AT38" s="63">
        <v>0</v>
      </c>
      <c r="AU38" s="63">
        <v>0</v>
      </c>
      <c r="AV38" s="63">
        <v>0</v>
      </c>
      <c r="AW38" s="63">
        <v>0</v>
      </c>
      <c r="AX38" s="63">
        <v>0</v>
      </c>
      <c r="AY38" s="63">
        <v>0</v>
      </c>
      <c r="AZ38" s="63">
        <v>0</v>
      </c>
      <c r="BA38" s="63">
        <v>0</v>
      </c>
      <c r="BB38" s="63">
        <v>0</v>
      </c>
      <c r="BC38" s="63">
        <v>0</v>
      </c>
      <c r="BD38" s="63">
        <v>0</v>
      </c>
      <c r="BE38" s="63">
        <v>0</v>
      </c>
      <c r="BF38" s="63">
        <v>0</v>
      </c>
      <c r="BG38" s="63">
        <v>0</v>
      </c>
      <c r="BH38" s="63">
        <v>-57381</v>
      </c>
      <c r="BI38" s="63">
        <v>-34429</v>
      </c>
      <c r="BJ38" s="63">
        <v>-22952</v>
      </c>
      <c r="BK38" s="63">
        <v>0</v>
      </c>
      <c r="BL38" s="63">
        <v>-114762</v>
      </c>
      <c r="BM38" s="63">
        <v>59043233</v>
      </c>
      <c r="BN38" s="63">
        <v>35842100</v>
      </c>
      <c r="BO38" s="63">
        <v>23617294</v>
      </c>
      <c r="BP38" s="63">
        <v>0</v>
      </c>
      <c r="BQ38" s="63">
        <v>118502627</v>
      </c>
      <c r="BR38" s="63">
        <v>512857</v>
      </c>
      <c r="BS38" s="63">
        <v>341904</v>
      </c>
      <c r="BT38" s="63">
        <v>0</v>
      </c>
      <c r="BU38" s="63">
        <v>854761</v>
      </c>
      <c r="BV38" s="63">
        <v>682609</v>
      </c>
      <c r="BW38" s="63">
        <v>455073</v>
      </c>
      <c r="BX38" s="63">
        <v>0</v>
      </c>
      <c r="BY38" s="63">
        <v>1137682</v>
      </c>
      <c r="BZ38" s="63">
        <v>2075</v>
      </c>
      <c r="CA38" s="63">
        <v>1384</v>
      </c>
      <c r="CB38" s="63">
        <v>0</v>
      </c>
      <c r="CC38" s="63">
        <v>3459</v>
      </c>
      <c r="CD38" s="63">
        <v>6087</v>
      </c>
      <c r="CE38" s="63">
        <v>4058</v>
      </c>
      <c r="CF38" s="63">
        <v>0</v>
      </c>
      <c r="CG38" s="63">
        <v>10145</v>
      </c>
      <c r="CH38" s="63">
        <v>15217</v>
      </c>
      <c r="CI38" s="63">
        <v>10145</v>
      </c>
      <c r="CJ38" s="63">
        <v>0</v>
      </c>
      <c r="CK38" s="63">
        <v>25362</v>
      </c>
      <c r="CL38" s="63">
        <v>395</v>
      </c>
      <c r="CM38" s="63">
        <v>264</v>
      </c>
      <c r="CN38" s="63">
        <v>0</v>
      </c>
      <c r="CO38" s="63">
        <v>659</v>
      </c>
      <c r="CP38" s="63">
        <v>1219240</v>
      </c>
      <c r="CQ38" s="63">
        <v>812828</v>
      </c>
      <c r="CR38" s="63">
        <v>0</v>
      </c>
      <c r="CS38" s="63">
        <v>2032068</v>
      </c>
      <c r="CU38" s="141" t="s">
        <v>658</v>
      </c>
      <c r="CV38" s="157" t="s">
        <v>939</v>
      </c>
      <c r="CW38" s="157" t="s">
        <v>940</v>
      </c>
      <c r="CX38" s="345"/>
      <c r="CY38" s="345"/>
      <c r="CZ38" s="345"/>
    </row>
    <row r="39" spans="1:104" ht="12.75" x14ac:dyDescent="0.2">
      <c r="A39" s="90">
        <v>32</v>
      </c>
      <c r="B39" s="129" t="s">
        <v>661</v>
      </c>
      <c r="C39" s="130" t="s">
        <v>742</v>
      </c>
      <c r="D39" s="131" t="s">
        <v>746</v>
      </c>
      <c r="E39" s="132" t="s">
        <v>660</v>
      </c>
      <c r="F39" s="63">
        <v>30291383</v>
      </c>
      <c r="G39" s="63">
        <v>0</v>
      </c>
      <c r="H39" s="63">
        <v>0</v>
      </c>
      <c r="I39" s="63">
        <v>107735</v>
      </c>
      <c r="J39" s="63">
        <v>0</v>
      </c>
      <c r="K39" s="63">
        <v>107735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63">
        <v>30183648</v>
      </c>
      <c r="R39" s="474">
        <v>0.5</v>
      </c>
      <c r="S39" s="474">
        <v>0.4</v>
      </c>
      <c r="T39" s="474">
        <v>0.09</v>
      </c>
      <c r="U39" s="474">
        <v>0.01</v>
      </c>
      <c r="V39" s="474">
        <v>1</v>
      </c>
      <c r="W39" s="63">
        <v>15091825</v>
      </c>
      <c r="X39" s="63">
        <v>12073459</v>
      </c>
      <c r="Y39" s="63">
        <v>2716528</v>
      </c>
      <c r="Z39" s="63">
        <v>301836</v>
      </c>
      <c r="AA39" s="63">
        <v>30183648</v>
      </c>
      <c r="AB39" s="63">
        <v>0</v>
      </c>
      <c r="AC39" s="63">
        <v>0</v>
      </c>
      <c r="AD39" s="63">
        <v>0</v>
      </c>
      <c r="AE39" s="63">
        <v>0</v>
      </c>
      <c r="AF39" s="63">
        <v>0</v>
      </c>
      <c r="AG39" s="63">
        <v>0</v>
      </c>
      <c r="AH39" s="63">
        <v>0</v>
      </c>
      <c r="AI39" s="63">
        <v>0</v>
      </c>
      <c r="AJ39" s="63">
        <v>0</v>
      </c>
      <c r="AK39" s="63">
        <v>0</v>
      </c>
      <c r="AL39" s="63">
        <v>15091825</v>
      </c>
      <c r="AM39" s="63">
        <v>12073459</v>
      </c>
      <c r="AN39" s="63">
        <v>2716528</v>
      </c>
      <c r="AO39" s="63">
        <v>301836</v>
      </c>
      <c r="AP39" s="63">
        <v>30183648</v>
      </c>
      <c r="AQ39" s="63">
        <v>107735</v>
      </c>
      <c r="AR39" s="63">
        <v>107735</v>
      </c>
      <c r="AS39" s="63">
        <v>0</v>
      </c>
      <c r="AT39" s="63">
        <v>0</v>
      </c>
      <c r="AU39" s="63">
        <v>0</v>
      </c>
      <c r="AV39" s="63">
        <v>0</v>
      </c>
      <c r="AW39" s="63">
        <v>0</v>
      </c>
      <c r="AX39" s="63">
        <v>0</v>
      </c>
      <c r="AY39" s="63">
        <v>0</v>
      </c>
      <c r="AZ39" s="63">
        <v>0</v>
      </c>
      <c r="BA39" s="63">
        <v>0</v>
      </c>
      <c r="BB39" s="63">
        <v>0</v>
      </c>
      <c r="BC39" s="63">
        <v>0</v>
      </c>
      <c r="BD39" s="63">
        <v>0</v>
      </c>
      <c r="BE39" s="63">
        <v>0</v>
      </c>
      <c r="BF39" s="63">
        <v>0</v>
      </c>
      <c r="BG39" s="63">
        <v>0</v>
      </c>
      <c r="BH39" s="63">
        <v>387770</v>
      </c>
      <c r="BI39" s="63">
        <v>310216</v>
      </c>
      <c r="BJ39" s="63">
        <v>69799</v>
      </c>
      <c r="BK39" s="63">
        <v>7755</v>
      </c>
      <c r="BL39" s="63">
        <v>775540</v>
      </c>
      <c r="BM39" s="63">
        <v>15479595</v>
      </c>
      <c r="BN39" s="63">
        <v>12491410</v>
      </c>
      <c r="BO39" s="63">
        <v>2786327</v>
      </c>
      <c r="BP39" s="63">
        <v>309591</v>
      </c>
      <c r="BQ39" s="63">
        <v>31066923</v>
      </c>
      <c r="BR39" s="63">
        <v>174616</v>
      </c>
      <c r="BS39" s="63">
        <v>39289</v>
      </c>
      <c r="BT39" s="63">
        <v>4365</v>
      </c>
      <c r="BU39" s="63">
        <v>218270</v>
      </c>
      <c r="BV39" s="63">
        <v>243471</v>
      </c>
      <c r="BW39" s="63">
        <v>54781</v>
      </c>
      <c r="BX39" s="63">
        <v>6087</v>
      </c>
      <c r="BY39" s="63">
        <v>304339</v>
      </c>
      <c r="BZ39" s="63">
        <v>0</v>
      </c>
      <c r="CA39" s="63">
        <v>0</v>
      </c>
      <c r="CB39" s="63">
        <v>0</v>
      </c>
      <c r="CC39" s="63">
        <v>0</v>
      </c>
      <c r="CD39" s="63">
        <v>0</v>
      </c>
      <c r="CE39" s="63">
        <v>0</v>
      </c>
      <c r="CF39" s="63">
        <v>0</v>
      </c>
      <c r="CG39" s="63">
        <v>0</v>
      </c>
      <c r="CH39" s="63">
        <v>7304</v>
      </c>
      <c r="CI39" s="63">
        <v>1643</v>
      </c>
      <c r="CJ39" s="63">
        <v>183</v>
      </c>
      <c r="CK39" s="63">
        <v>9130</v>
      </c>
      <c r="CL39" s="63">
        <v>1623</v>
      </c>
      <c r="CM39" s="63">
        <v>365</v>
      </c>
      <c r="CN39" s="63">
        <v>41</v>
      </c>
      <c r="CO39" s="63">
        <v>2029</v>
      </c>
      <c r="CP39" s="63">
        <v>427014</v>
      </c>
      <c r="CQ39" s="63">
        <v>96078</v>
      </c>
      <c r="CR39" s="63">
        <v>10676</v>
      </c>
      <c r="CS39" s="63">
        <v>533768</v>
      </c>
      <c r="CU39" s="141" t="s">
        <v>660</v>
      </c>
      <c r="CV39" s="157" t="s">
        <v>943</v>
      </c>
      <c r="CW39" s="156" t="s">
        <v>944</v>
      </c>
      <c r="CX39" s="345"/>
      <c r="CY39" s="345"/>
      <c r="CZ39" s="345"/>
    </row>
    <row r="40" spans="1:104" ht="12.75" x14ac:dyDescent="0.2">
      <c r="A40" s="90">
        <v>33</v>
      </c>
      <c r="B40" s="129" t="s">
        <v>662</v>
      </c>
      <c r="C40" s="130" t="s">
        <v>501</v>
      </c>
      <c r="D40" s="131" t="s">
        <v>743</v>
      </c>
      <c r="E40" s="132" t="s">
        <v>753</v>
      </c>
      <c r="F40" s="63">
        <v>110488372</v>
      </c>
      <c r="G40" s="63">
        <v>0</v>
      </c>
      <c r="H40" s="63">
        <v>0</v>
      </c>
      <c r="I40" s="63">
        <v>423529</v>
      </c>
      <c r="J40" s="63">
        <v>0</v>
      </c>
      <c r="K40" s="63">
        <v>423529</v>
      </c>
      <c r="L40" s="63">
        <v>0</v>
      </c>
      <c r="M40" s="63">
        <v>0</v>
      </c>
      <c r="N40" s="63">
        <v>0</v>
      </c>
      <c r="O40" s="63">
        <v>0</v>
      </c>
      <c r="P40" s="63">
        <v>0</v>
      </c>
      <c r="Q40" s="63">
        <v>110064843</v>
      </c>
      <c r="R40" s="474">
        <v>0.5</v>
      </c>
      <c r="S40" s="474">
        <v>0.49</v>
      </c>
      <c r="T40" s="474">
        <v>0</v>
      </c>
      <c r="U40" s="474">
        <v>0.01</v>
      </c>
      <c r="V40" s="474">
        <v>1</v>
      </c>
      <c r="W40" s="63">
        <v>55032422</v>
      </c>
      <c r="X40" s="63">
        <v>53931773</v>
      </c>
      <c r="Y40" s="63">
        <v>0</v>
      </c>
      <c r="Z40" s="63">
        <v>1100648</v>
      </c>
      <c r="AA40" s="63">
        <v>110064843</v>
      </c>
      <c r="AB40" s="63">
        <v>0</v>
      </c>
      <c r="AC40" s="63">
        <v>0</v>
      </c>
      <c r="AD40" s="63">
        <v>0</v>
      </c>
      <c r="AE40" s="63">
        <v>0</v>
      </c>
      <c r="AF40" s="63">
        <v>0</v>
      </c>
      <c r="AG40" s="63">
        <v>0</v>
      </c>
      <c r="AH40" s="63">
        <v>0</v>
      </c>
      <c r="AI40" s="63">
        <v>0</v>
      </c>
      <c r="AJ40" s="63">
        <v>0</v>
      </c>
      <c r="AK40" s="63">
        <v>0</v>
      </c>
      <c r="AL40" s="63">
        <v>55032422</v>
      </c>
      <c r="AM40" s="63">
        <v>53931773</v>
      </c>
      <c r="AN40" s="63">
        <v>0</v>
      </c>
      <c r="AO40" s="63">
        <v>1100648</v>
      </c>
      <c r="AP40" s="63">
        <v>110064843</v>
      </c>
      <c r="AQ40" s="63">
        <v>423529</v>
      </c>
      <c r="AR40" s="63">
        <v>423529</v>
      </c>
      <c r="AS40" s="63">
        <v>0</v>
      </c>
      <c r="AT40" s="63">
        <v>0</v>
      </c>
      <c r="AU40" s="63">
        <v>0</v>
      </c>
      <c r="AV40" s="63">
        <v>0</v>
      </c>
      <c r="AW40" s="63">
        <v>0</v>
      </c>
      <c r="AX40" s="63">
        <v>0</v>
      </c>
      <c r="AY40" s="63">
        <v>0</v>
      </c>
      <c r="AZ40" s="63">
        <v>0</v>
      </c>
      <c r="BA40" s="63">
        <v>0</v>
      </c>
      <c r="BB40" s="63">
        <v>0</v>
      </c>
      <c r="BC40" s="63">
        <v>0</v>
      </c>
      <c r="BD40" s="63">
        <v>0</v>
      </c>
      <c r="BE40" s="63">
        <v>0</v>
      </c>
      <c r="BF40" s="63">
        <v>0</v>
      </c>
      <c r="BG40" s="63">
        <v>0</v>
      </c>
      <c r="BH40" s="63">
        <v>-1111500</v>
      </c>
      <c r="BI40" s="63">
        <v>-1089270</v>
      </c>
      <c r="BJ40" s="63">
        <v>0</v>
      </c>
      <c r="BK40" s="63">
        <v>-22230</v>
      </c>
      <c r="BL40" s="63">
        <v>-2223000</v>
      </c>
      <c r="BM40" s="63">
        <v>53920922</v>
      </c>
      <c r="BN40" s="63">
        <v>53266032</v>
      </c>
      <c r="BO40" s="63">
        <v>0</v>
      </c>
      <c r="BP40" s="63">
        <v>1078418</v>
      </c>
      <c r="BQ40" s="63">
        <v>108265372</v>
      </c>
      <c r="BR40" s="63">
        <v>780005</v>
      </c>
      <c r="BS40" s="63">
        <v>0</v>
      </c>
      <c r="BT40" s="63">
        <v>15918</v>
      </c>
      <c r="BU40" s="63">
        <v>795923</v>
      </c>
      <c r="BV40" s="63">
        <v>1662753</v>
      </c>
      <c r="BW40" s="63">
        <v>0</v>
      </c>
      <c r="BX40" s="63">
        <v>33934</v>
      </c>
      <c r="BY40" s="63">
        <v>1696687</v>
      </c>
      <c r="BZ40" s="63">
        <v>15732</v>
      </c>
      <c r="CA40" s="63">
        <v>0</v>
      </c>
      <c r="CB40" s="63">
        <v>321</v>
      </c>
      <c r="CC40" s="63">
        <v>16053</v>
      </c>
      <c r="CD40" s="63">
        <v>4445</v>
      </c>
      <c r="CE40" s="63">
        <v>0</v>
      </c>
      <c r="CF40" s="63">
        <v>91</v>
      </c>
      <c r="CG40" s="63">
        <v>4536</v>
      </c>
      <c r="CH40" s="63">
        <v>64261</v>
      </c>
      <c r="CI40" s="63">
        <v>0</v>
      </c>
      <c r="CJ40" s="63">
        <v>1311</v>
      </c>
      <c r="CK40" s="63">
        <v>65572</v>
      </c>
      <c r="CL40" s="63">
        <v>549</v>
      </c>
      <c r="CM40" s="63">
        <v>0</v>
      </c>
      <c r="CN40" s="63">
        <v>11</v>
      </c>
      <c r="CO40" s="63">
        <v>560</v>
      </c>
      <c r="CP40" s="63">
        <v>2527745</v>
      </c>
      <c r="CQ40" s="63">
        <v>0</v>
      </c>
      <c r="CR40" s="63">
        <v>51586</v>
      </c>
      <c r="CS40" s="63">
        <v>2579331</v>
      </c>
      <c r="CU40" s="141" t="s">
        <v>753</v>
      </c>
      <c r="CV40" s="157" t="s">
        <v>501</v>
      </c>
      <c r="CW40" s="156" t="s">
        <v>959</v>
      </c>
      <c r="CX40" s="345"/>
      <c r="CY40" s="345"/>
      <c r="CZ40" s="345"/>
    </row>
    <row r="41" spans="1:104" ht="12.75" x14ac:dyDescent="0.2">
      <c r="A41" s="90">
        <v>34</v>
      </c>
      <c r="B41" s="129" t="s">
        <v>664</v>
      </c>
      <c r="C41" s="130" t="s">
        <v>501</v>
      </c>
      <c r="D41" s="131" t="s">
        <v>751</v>
      </c>
      <c r="E41" s="132" t="s">
        <v>663</v>
      </c>
      <c r="F41" s="63">
        <v>222807751</v>
      </c>
      <c r="G41" s="63">
        <v>0</v>
      </c>
      <c r="H41" s="63">
        <v>0</v>
      </c>
      <c r="I41" s="63">
        <v>721633</v>
      </c>
      <c r="J41" s="63">
        <v>0</v>
      </c>
      <c r="K41" s="63">
        <v>721633</v>
      </c>
      <c r="L41" s="63">
        <v>0</v>
      </c>
      <c r="M41" s="63">
        <v>5812469</v>
      </c>
      <c r="N41" s="63">
        <v>266</v>
      </c>
      <c r="O41" s="63">
        <v>266</v>
      </c>
      <c r="P41" s="63">
        <v>0</v>
      </c>
      <c r="Q41" s="63">
        <v>216273383</v>
      </c>
      <c r="R41" s="474">
        <v>0.5</v>
      </c>
      <c r="S41" s="474">
        <v>0.49</v>
      </c>
      <c r="T41" s="474">
        <v>0</v>
      </c>
      <c r="U41" s="474">
        <v>0.01</v>
      </c>
      <c r="V41" s="474">
        <v>1</v>
      </c>
      <c r="W41" s="63">
        <v>108136691</v>
      </c>
      <c r="X41" s="63">
        <v>105973958</v>
      </c>
      <c r="Y41" s="63">
        <v>0</v>
      </c>
      <c r="Z41" s="63">
        <v>2162734</v>
      </c>
      <c r="AA41" s="63">
        <v>216273383</v>
      </c>
      <c r="AB41" s="63">
        <v>551025</v>
      </c>
      <c r="AC41" s="63">
        <v>0</v>
      </c>
      <c r="AD41" s="63">
        <v>0</v>
      </c>
      <c r="AE41" s="63">
        <v>0</v>
      </c>
      <c r="AF41" s="63">
        <v>551025</v>
      </c>
      <c r="AG41" s="63">
        <v>0</v>
      </c>
      <c r="AH41" s="63">
        <v>0</v>
      </c>
      <c r="AI41" s="63">
        <v>0</v>
      </c>
      <c r="AJ41" s="63">
        <v>0</v>
      </c>
      <c r="AK41" s="63">
        <v>0</v>
      </c>
      <c r="AL41" s="63">
        <v>107585666</v>
      </c>
      <c r="AM41" s="63">
        <v>105973958</v>
      </c>
      <c r="AN41" s="63">
        <v>0</v>
      </c>
      <c r="AO41" s="63">
        <v>2162734</v>
      </c>
      <c r="AP41" s="63">
        <v>215722358</v>
      </c>
      <c r="AQ41" s="63">
        <v>721633</v>
      </c>
      <c r="AR41" s="63">
        <v>721633</v>
      </c>
      <c r="AS41" s="63">
        <v>5812469</v>
      </c>
      <c r="AT41" s="63">
        <v>5812469</v>
      </c>
      <c r="AU41" s="63">
        <v>266</v>
      </c>
      <c r="AV41" s="63">
        <v>0</v>
      </c>
      <c r="AW41" s="63">
        <v>266</v>
      </c>
      <c r="AX41" s="63">
        <v>551025</v>
      </c>
      <c r="AY41" s="63">
        <v>0</v>
      </c>
      <c r="AZ41" s="63">
        <v>0</v>
      </c>
      <c r="BA41" s="63">
        <v>551025</v>
      </c>
      <c r="BB41" s="63">
        <v>0</v>
      </c>
      <c r="BC41" s="63">
        <v>0</v>
      </c>
      <c r="BD41" s="63">
        <v>0</v>
      </c>
      <c r="BE41" s="63">
        <v>0</v>
      </c>
      <c r="BF41" s="63">
        <v>0</v>
      </c>
      <c r="BG41" s="63">
        <v>0</v>
      </c>
      <c r="BH41" s="63">
        <v>-7964360</v>
      </c>
      <c r="BI41" s="63">
        <v>-7805073</v>
      </c>
      <c r="BJ41" s="63">
        <v>0</v>
      </c>
      <c r="BK41" s="63">
        <v>-159287</v>
      </c>
      <c r="BL41" s="63">
        <v>-15928720</v>
      </c>
      <c r="BM41" s="63">
        <v>99621306</v>
      </c>
      <c r="BN41" s="63">
        <v>105254278</v>
      </c>
      <c r="BO41" s="63">
        <v>0</v>
      </c>
      <c r="BP41" s="63">
        <v>2003447</v>
      </c>
      <c r="BQ41" s="63">
        <v>206879031</v>
      </c>
      <c r="BR41" s="63">
        <v>1624719</v>
      </c>
      <c r="BS41" s="63">
        <v>0</v>
      </c>
      <c r="BT41" s="63">
        <v>31279</v>
      </c>
      <c r="BU41" s="63">
        <v>1655998</v>
      </c>
      <c r="BV41" s="63">
        <v>2160110</v>
      </c>
      <c r="BW41" s="63">
        <v>0</v>
      </c>
      <c r="BX41" s="63">
        <v>43110</v>
      </c>
      <c r="BY41" s="63">
        <v>2203220</v>
      </c>
      <c r="BZ41" s="63">
        <v>32284</v>
      </c>
      <c r="CA41" s="63">
        <v>0</v>
      </c>
      <c r="CB41" s="63">
        <v>659</v>
      </c>
      <c r="CC41" s="63">
        <v>32943</v>
      </c>
      <c r="CD41" s="63">
        <v>0</v>
      </c>
      <c r="CE41" s="63">
        <v>0</v>
      </c>
      <c r="CF41" s="63">
        <v>0</v>
      </c>
      <c r="CG41" s="63">
        <v>0</v>
      </c>
      <c r="CH41" s="63">
        <v>80076</v>
      </c>
      <c r="CI41" s="63">
        <v>0</v>
      </c>
      <c r="CJ41" s="63">
        <v>1634</v>
      </c>
      <c r="CK41" s="63">
        <v>81710</v>
      </c>
      <c r="CL41" s="63">
        <v>15386</v>
      </c>
      <c r="CM41" s="63">
        <v>0</v>
      </c>
      <c r="CN41" s="63">
        <v>314</v>
      </c>
      <c r="CO41" s="63">
        <v>15700</v>
      </c>
      <c r="CP41" s="63">
        <v>3912575</v>
      </c>
      <c r="CQ41" s="63">
        <v>0</v>
      </c>
      <c r="CR41" s="63">
        <v>76996</v>
      </c>
      <c r="CS41" s="63">
        <v>3989571</v>
      </c>
      <c r="CU41" s="141" t="s">
        <v>663</v>
      </c>
      <c r="CV41" s="157" t="s">
        <v>501</v>
      </c>
      <c r="CW41" s="156" t="s">
        <v>947</v>
      </c>
      <c r="CX41" s="345"/>
      <c r="CY41" s="345"/>
      <c r="CZ41" s="345"/>
    </row>
    <row r="42" spans="1:104" ht="12.75" x14ac:dyDescent="0.2">
      <c r="A42" s="90">
        <v>35</v>
      </c>
      <c r="B42" s="129" t="s">
        <v>666</v>
      </c>
      <c r="C42" s="130" t="s">
        <v>742</v>
      </c>
      <c r="D42" s="131" t="s">
        <v>746</v>
      </c>
      <c r="E42" s="132" t="s">
        <v>665</v>
      </c>
      <c r="F42" s="63">
        <v>30217384</v>
      </c>
      <c r="G42" s="63">
        <v>0</v>
      </c>
      <c r="H42" s="63">
        <v>0</v>
      </c>
      <c r="I42" s="63">
        <v>138684</v>
      </c>
      <c r="J42" s="63">
        <v>0</v>
      </c>
      <c r="K42" s="63">
        <v>138684</v>
      </c>
      <c r="L42" s="63">
        <v>0</v>
      </c>
      <c r="M42" s="63">
        <v>0</v>
      </c>
      <c r="N42" s="63">
        <v>126984</v>
      </c>
      <c r="O42" s="63">
        <v>126984</v>
      </c>
      <c r="P42" s="63">
        <v>0</v>
      </c>
      <c r="Q42" s="63">
        <v>29951716</v>
      </c>
      <c r="R42" s="474">
        <v>0.5</v>
      </c>
      <c r="S42" s="474">
        <v>0.4</v>
      </c>
      <c r="T42" s="474">
        <v>0.1</v>
      </c>
      <c r="U42" s="474">
        <v>0</v>
      </c>
      <c r="V42" s="474">
        <v>1</v>
      </c>
      <c r="W42" s="63">
        <v>14975858</v>
      </c>
      <c r="X42" s="63">
        <v>11980686</v>
      </c>
      <c r="Y42" s="63">
        <v>2995172</v>
      </c>
      <c r="Z42" s="63">
        <v>0</v>
      </c>
      <c r="AA42" s="63">
        <v>29951716</v>
      </c>
      <c r="AB42" s="63">
        <v>0</v>
      </c>
      <c r="AC42" s="63">
        <v>0</v>
      </c>
      <c r="AD42" s="63">
        <v>0</v>
      </c>
      <c r="AE42" s="63">
        <v>0</v>
      </c>
      <c r="AF42" s="63">
        <v>0</v>
      </c>
      <c r="AG42" s="63">
        <v>0</v>
      </c>
      <c r="AH42" s="63">
        <v>0</v>
      </c>
      <c r="AI42" s="63">
        <v>0</v>
      </c>
      <c r="AJ42" s="63">
        <v>0</v>
      </c>
      <c r="AK42" s="63">
        <v>0</v>
      </c>
      <c r="AL42" s="63">
        <v>14975858</v>
      </c>
      <c r="AM42" s="63">
        <v>11980686</v>
      </c>
      <c r="AN42" s="63">
        <v>2995172</v>
      </c>
      <c r="AO42" s="63">
        <v>0</v>
      </c>
      <c r="AP42" s="63">
        <v>29951716</v>
      </c>
      <c r="AQ42" s="63">
        <v>138684</v>
      </c>
      <c r="AR42" s="63">
        <v>138684</v>
      </c>
      <c r="AS42" s="63">
        <v>0</v>
      </c>
      <c r="AT42" s="63">
        <v>0</v>
      </c>
      <c r="AU42" s="63">
        <v>126984</v>
      </c>
      <c r="AV42" s="63">
        <v>0</v>
      </c>
      <c r="AW42" s="63">
        <v>126984</v>
      </c>
      <c r="AX42" s="63">
        <v>0</v>
      </c>
      <c r="AY42" s="63">
        <v>0</v>
      </c>
      <c r="AZ42" s="63">
        <v>0</v>
      </c>
      <c r="BA42" s="63">
        <v>0</v>
      </c>
      <c r="BB42" s="63">
        <v>0</v>
      </c>
      <c r="BC42" s="63">
        <v>0</v>
      </c>
      <c r="BD42" s="63">
        <v>0</v>
      </c>
      <c r="BE42" s="63">
        <v>0</v>
      </c>
      <c r="BF42" s="63">
        <v>0</v>
      </c>
      <c r="BG42" s="63">
        <v>0</v>
      </c>
      <c r="BH42" s="63">
        <v>-1510118</v>
      </c>
      <c r="BI42" s="63">
        <v>-1208094</v>
      </c>
      <c r="BJ42" s="63">
        <v>-302024</v>
      </c>
      <c r="BK42" s="63">
        <v>0</v>
      </c>
      <c r="BL42" s="63">
        <v>-3020236</v>
      </c>
      <c r="BM42" s="63">
        <v>13465740</v>
      </c>
      <c r="BN42" s="63">
        <v>11038260</v>
      </c>
      <c r="BO42" s="63">
        <v>2693148</v>
      </c>
      <c r="BP42" s="63">
        <v>0</v>
      </c>
      <c r="BQ42" s="63">
        <v>27197148</v>
      </c>
      <c r="BR42" s="63">
        <v>175111</v>
      </c>
      <c r="BS42" s="63">
        <v>43319</v>
      </c>
      <c r="BT42" s="63">
        <v>0</v>
      </c>
      <c r="BU42" s="63">
        <v>218430</v>
      </c>
      <c r="BV42" s="63">
        <v>549230</v>
      </c>
      <c r="BW42" s="63">
        <v>137308</v>
      </c>
      <c r="BX42" s="63">
        <v>0</v>
      </c>
      <c r="BY42" s="63">
        <v>686538</v>
      </c>
      <c r="BZ42" s="63">
        <v>654</v>
      </c>
      <c r="CA42" s="63">
        <v>164</v>
      </c>
      <c r="CB42" s="63">
        <v>0</v>
      </c>
      <c r="CC42" s="63">
        <v>818</v>
      </c>
      <c r="CD42" s="63">
        <v>1170</v>
      </c>
      <c r="CE42" s="63">
        <v>292</v>
      </c>
      <c r="CF42" s="63">
        <v>0</v>
      </c>
      <c r="CG42" s="63">
        <v>1462</v>
      </c>
      <c r="CH42" s="63">
        <v>811</v>
      </c>
      <c r="CI42" s="63">
        <v>203</v>
      </c>
      <c r="CJ42" s="63">
        <v>0</v>
      </c>
      <c r="CK42" s="63">
        <v>1014</v>
      </c>
      <c r="CL42" s="63">
        <v>1416</v>
      </c>
      <c r="CM42" s="63">
        <v>354</v>
      </c>
      <c r="CN42" s="63">
        <v>0</v>
      </c>
      <c r="CO42" s="63">
        <v>1770</v>
      </c>
      <c r="CP42" s="63">
        <v>728392</v>
      </c>
      <c r="CQ42" s="63">
        <v>181640</v>
      </c>
      <c r="CR42" s="63">
        <v>0</v>
      </c>
      <c r="CS42" s="63">
        <v>910032</v>
      </c>
      <c r="CU42" s="141" t="s">
        <v>665</v>
      </c>
      <c r="CV42" s="157" t="s">
        <v>958</v>
      </c>
      <c r="CW42" s="156" t="s">
        <v>928</v>
      </c>
      <c r="CX42" s="345"/>
      <c r="CY42" s="345"/>
      <c r="CZ42" s="345"/>
    </row>
    <row r="43" spans="1:104" ht="12.75" x14ac:dyDescent="0.2">
      <c r="A43" s="90">
        <v>36</v>
      </c>
      <c r="B43" s="129" t="s">
        <v>668</v>
      </c>
      <c r="C43" s="130" t="s">
        <v>747</v>
      </c>
      <c r="D43" s="131" t="s">
        <v>748</v>
      </c>
      <c r="E43" s="132" t="s">
        <v>667</v>
      </c>
      <c r="F43" s="63">
        <v>83915308</v>
      </c>
      <c r="G43" s="63">
        <v>0</v>
      </c>
      <c r="H43" s="63">
        <v>0</v>
      </c>
      <c r="I43" s="63">
        <v>336932</v>
      </c>
      <c r="J43" s="63">
        <v>0</v>
      </c>
      <c r="K43" s="63">
        <v>336932</v>
      </c>
      <c r="L43" s="63">
        <v>0</v>
      </c>
      <c r="M43" s="63">
        <v>0</v>
      </c>
      <c r="N43" s="63">
        <v>0</v>
      </c>
      <c r="O43" s="63">
        <v>0</v>
      </c>
      <c r="P43" s="63">
        <v>0</v>
      </c>
      <c r="Q43" s="63">
        <v>83578376</v>
      </c>
      <c r="R43" s="474">
        <v>0.5</v>
      </c>
      <c r="S43" s="474">
        <v>0.3</v>
      </c>
      <c r="T43" s="474">
        <v>0.2</v>
      </c>
      <c r="U43" s="474">
        <v>0</v>
      </c>
      <c r="V43" s="474">
        <v>1</v>
      </c>
      <c r="W43" s="63">
        <v>41789188</v>
      </c>
      <c r="X43" s="63">
        <v>25073513</v>
      </c>
      <c r="Y43" s="63">
        <v>16715675</v>
      </c>
      <c r="Z43" s="63">
        <v>0</v>
      </c>
      <c r="AA43" s="63">
        <v>83578376</v>
      </c>
      <c r="AB43" s="63">
        <v>0</v>
      </c>
      <c r="AC43" s="63">
        <v>0</v>
      </c>
      <c r="AD43" s="63">
        <v>0</v>
      </c>
      <c r="AE43" s="63">
        <v>0</v>
      </c>
      <c r="AF43" s="63">
        <v>0</v>
      </c>
      <c r="AG43" s="63">
        <v>0</v>
      </c>
      <c r="AH43" s="63">
        <v>0</v>
      </c>
      <c r="AI43" s="63">
        <v>0</v>
      </c>
      <c r="AJ43" s="63">
        <v>0</v>
      </c>
      <c r="AK43" s="63">
        <v>0</v>
      </c>
      <c r="AL43" s="63">
        <v>41789188</v>
      </c>
      <c r="AM43" s="63">
        <v>25073513</v>
      </c>
      <c r="AN43" s="63">
        <v>16715675</v>
      </c>
      <c r="AO43" s="63">
        <v>0</v>
      </c>
      <c r="AP43" s="63">
        <v>83578376</v>
      </c>
      <c r="AQ43" s="63">
        <v>336932</v>
      </c>
      <c r="AR43" s="63">
        <v>336932</v>
      </c>
      <c r="AS43" s="63">
        <v>0</v>
      </c>
      <c r="AT43" s="63">
        <v>0</v>
      </c>
      <c r="AU43" s="63">
        <v>0</v>
      </c>
      <c r="AV43" s="63">
        <v>0</v>
      </c>
      <c r="AW43" s="63">
        <v>0</v>
      </c>
      <c r="AX43" s="63">
        <v>0</v>
      </c>
      <c r="AY43" s="63">
        <v>0</v>
      </c>
      <c r="AZ43" s="63">
        <v>0</v>
      </c>
      <c r="BA43" s="63">
        <v>0</v>
      </c>
      <c r="BB43" s="63">
        <v>0</v>
      </c>
      <c r="BC43" s="63">
        <v>0</v>
      </c>
      <c r="BD43" s="63">
        <v>0</v>
      </c>
      <c r="BE43" s="63">
        <v>0</v>
      </c>
      <c r="BF43" s="63">
        <v>0</v>
      </c>
      <c r="BG43" s="63">
        <v>0</v>
      </c>
      <c r="BH43" s="63">
        <v>-719651</v>
      </c>
      <c r="BI43" s="63">
        <v>-431790</v>
      </c>
      <c r="BJ43" s="63">
        <v>-287860</v>
      </c>
      <c r="BK43" s="63">
        <v>0</v>
      </c>
      <c r="BL43" s="63">
        <v>-1439301</v>
      </c>
      <c r="BM43" s="63">
        <v>41069537</v>
      </c>
      <c r="BN43" s="63">
        <v>24978655</v>
      </c>
      <c r="BO43" s="63">
        <v>16427815</v>
      </c>
      <c r="BP43" s="63">
        <v>0</v>
      </c>
      <c r="BQ43" s="63">
        <v>82476007</v>
      </c>
      <c r="BR43" s="63">
        <v>362633</v>
      </c>
      <c r="BS43" s="63">
        <v>241756</v>
      </c>
      <c r="BT43" s="63">
        <v>0</v>
      </c>
      <c r="BU43" s="63">
        <v>604389</v>
      </c>
      <c r="BV43" s="63">
        <v>684407</v>
      </c>
      <c r="BW43" s="63">
        <v>456271</v>
      </c>
      <c r="BX43" s="63">
        <v>0</v>
      </c>
      <c r="BY43" s="63">
        <v>1140678</v>
      </c>
      <c r="BZ43" s="63">
        <v>0</v>
      </c>
      <c r="CA43" s="63">
        <v>0</v>
      </c>
      <c r="CB43" s="63">
        <v>0</v>
      </c>
      <c r="CC43" s="63">
        <v>0</v>
      </c>
      <c r="CD43" s="63">
        <v>0</v>
      </c>
      <c r="CE43" s="63">
        <v>0</v>
      </c>
      <c r="CF43" s="63">
        <v>0</v>
      </c>
      <c r="CG43" s="63">
        <v>0</v>
      </c>
      <c r="CH43" s="63">
        <v>7562</v>
      </c>
      <c r="CI43" s="63">
        <v>5042</v>
      </c>
      <c r="CJ43" s="63">
        <v>0</v>
      </c>
      <c r="CK43" s="63">
        <v>12604</v>
      </c>
      <c r="CL43" s="63">
        <v>5255</v>
      </c>
      <c r="CM43" s="63">
        <v>3504</v>
      </c>
      <c r="CN43" s="63">
        <v>0</v>
      </c>
      <c r="CO43" s="63">
        <v>8759</v>
      </c>
      <c r="CP43" s="63">
        <v>1059857</v>
      </c>
      <c r="CQ43" s="63">
        <v>706573</v>
      </c>
      <c r="CR43" s="63">
        <v>0</v>
      </c>
      <c r="CS43" s="63">
        <v>1766430</v>
      </c>
      <c r="CU43" s="141" t="s">
        <v>667</v>
      </c>
      <c r="CV43" s="157" t="s">
        <v>939</v>
      </c>
      <c r="CW43" s="157" t="s">
        <v>940</v>
      </c>
      <c r="CX43" s="345"/>
      <c r="CY43" s="345"/>
      <c r="CZ43" s="345"/>
    </row>
    <row r="44" spans="1:104" ht="12.75" x14ac:dyDescent="0.2">
      <c r="A44" s="90">
        <v>37</v>
      </c>
      <c r="B44" s="129" t="s">
        <v>670</v>
      </c>
      <c r="C44" s="130" t="s">
        <v>742</v>
      </c>
      <c r="D44" s="131" t="s">
        <v>752</v>
      </c>
      <c r="E44" s="132" t="s">
        <v>669</v>
      </c>
      <c r="F44" s="63">
        <v>28091974</v>
      </c>
      <c r="G44" s="63">
        <v>0</v>
      </c>
      <c r="H44" s="63">
        <v>0</v>
      </c>
      <c r="I44" s="63">
        <v>123658</v>
      </c>
      <c r="J44" s="63">
        <v>0</v>
      </c>
      <c r="K44" s="63">
        <v>123658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63">
        <v>27968316</v>
      </c>
      <c r="R44" s="474">
        <v>0.5</v>
      </c>
      <c r="S44" s="474">
        <v>0.4</v>
      </c>
      <c r="T44" s="474">
        <v>0.09</v>
      </c>
      <c r="U44" s="474">
        <v>0.01</v>
      </c>
      <c r="V44" s="474">
        <v>1</v>
      </c>
      <c r="W44" s="63">
        <v>13984159</v>
      </c>
      <c r="X44" s="63">
        <v>11187326</v>
      </c>
      <c r="Y44" s="63">
        <v>2517148</v>
      </c>
      <c r="Z44" s="63">
        <v>279683</v>
      </c>
      <c r="AA44" s="63">
        <v>27968316</v>
      </c>
      <c r="AB44" s="63">
        <v>0</v>
      </c>
      <c r="AC44" s="63">
        <v>0</v>
      </c>
      <c r="AD44" s="63">
        <v>0</v>
      </c>
      <c r="AE44" s="63">
        <v>0</v>
      </c>
      <c r="AF44" s="63">
        <v>0</v>
      </c>
      <c r="AG44" s="63">
        <v>0</v>
      </c>
      <c r="AH44" s="63">
        <v>0</v>
      </c>
      <c r="AI44" s="63">
        <v>0</v>
      </c>
      <c r="AJ44" s="63">
        <v>0</v>
      </c>
      <c r="AK44" s="63">
        <v>0</v>
      </c>
      <c r="AL44" s="63">
        <v>13984159</v>
      </c>
      <c r="AM44" s="63">
        <v>11187326</v>
      </c>
      <c r="AN44" s="63">
        <v>2517148</v>
      </c>
      <c r="AO44" s="63">
        <v>279683</v>
      </c>
      <c r="AP44" s="63">
        <v>27968316</v>
      </c>
      <c r="AQ44" s="63">
        <v>123658</v>
      </c>
      <c r="AR44" s="63">
        <v>123658</v>
      </c>
      <c r="AS44" s="63">
        <v>0</v>
      </c>
      <c r="AT44" s="63">
        <v>0</v>
      </c>
      <c r="AU44" s="63">
        <v>0</v>
      </c>
      <c r="AV44" s="63">
        <v>0</v>
      </c>
      <c r="AW44" s="63">
        <v>0</v>
      </c>
      <c r="AX44" s="63">
        <v>0</v>
      </c>
      <c r="AY44" s="63">
        <v>0</v>
      </c>
      <c r="AZ44" s="63">
        <v>0</v>
      </c>
      <c r="BA44" s="63">
        <v>0</v>
      </c>
      <c r="BB44" s="63">
        <v>0</v>
      </c>
      <c r="BC44" s="63">
        <v>0</v>
      </c>
      <c r="BD44" s="63">
        <v>0</v>
      </c>
      <c r="BE44" s="63">
        <v>0</v>
      </c>
      <c r="BF44" s="63">
        <v>0</v>
      </c>
      <c r="BG44" s="63">
        <v>0</v>
      </c>
      <c r="BH44" s="63">
        <v>-1050575</v>
      </c>
      <c r="BI44" s="63">
        <v>-840459</v>
      </c>
      <c r="BJ44" s="63">
        <v>-189103</v>
      </c>
      <c r="BK44" s="63">
        <v>-21011</v>
      </c>
      <c r="BL44" s="63">
        <v>-2101148</v>
      </c>
      <c r="BM44" s="63">
        <v>12933584</v>
      </c>
      <c r="BN44" s="63">
        <v>10470525</v>
      </c>
      <c r="BO44" s="63">
        <v>2328045</v>
      </c>
      <c r="BP44" s="63">
        <v>258672</v>
      </c>
      <c r="BQ44" s="63">
        <v>25990826</v>
      </c>
      <c r="BR44" s="63">
        <v>161800</v>
      </c>
      <c r="BS44" s="63">
        <v>36405</v>
      </c>
      <c r="BT44" s="63">
        <v>4045</v>
      </c>
      <c r="BU44" s="63">
        <v>202250</v>
      </c>
      <c r="BV44" s="63">
        <v>477345</v>
      </c>
      <c r="BW44" s="63">
        <v>107403</v>
      </c>
      <c r="BX44" s="63">
        <v>11934</v>
      </c>
      <c r="BY44" s="63">
        <v>596682</v>
      </c>
      <c r="BZ44" s="63">
        <v>0</v>
      </c>
      <c r="CA44" s="63">
        <v>0</v>
      </c>
      <c r="CB44" s="63">
        <v>0</v>
      </c>
      <c r="CC44" s="63">
        <v>0</v>
      </c>
      <c r="CD44" s="63">
        <v>10475</v>
      </c>
      <c r="CE44" s="63">
        <v>2357</v>
      </c>
      <c r="CF44" s="63">
        <v>262</v>
      </c>
      <c r="CG44" s="63">
        <v>13094</v>
      </c>
      <c r="CH44" s="63">
        <v>5946</v>
      </c>
      <c r="CI44" s="63">
        <v>1338</v>
      </c>
      <c r="CJ44" s="63">
        <v>149</v>
      </c>
      <c r="CK44" s="63">
        <v>7433</v>
      </c>
      <c r="CL44" s="63">
        <v>296</v>
      </c>
      <c r="CM44" s="63">
        <v>66</v>
      </c>
      <c r="CN44" s="63">
        <v>7</v>
      </c>
      <c r="CO44" s="63">
        <v>369</v>
      </c>
      <c r="CP44" s="63">
        <v>655862</v>
      </c>
      <c r="CQ44" s="63">
        <v>147569</v>
      </c>
      <c r="CR44" s="63">
        <v>16397</v>
      </c>
      <c r="CS44" s="63">
        <v>819828</v>
      </c>
      <c r="CU44" s="141" t="s">
        <v>669</v>
      </c>
      <c r="CV44" s="157" t="s">
        <v>762</v>
      </c>
      <c r="CW44" s="156" t="s">
        <v>763</v>
      </c>
      <c r="CX44" s="345"/>
      <c r="CY44" s="345"/>
      <c r="CZ44" s="345"/>
    </row>
    <row r="45" spans="1:104" ht="12.75" x14ac:dyDescent="0.2">
      <c r="A45" s="90">
        <v>38</v>
      </c>
      <c r="B45" s="129" t="s">
        <v>672</v>
      </c>
      <c r="C45" s="130" t="s">
        <v>742</v>
      </c>
      <c r="D45" s="131" t="s">
        <v>746</v>
      </c>
      <c r="E45" s="132" t="s">
        <v>671</v>
      </c>
      <c r="F45" s="63">
        <v>42564323</v>
      </c>
      <c r="G45" s="63">
        <v>0</v>
      </c>
      <c r="H45" s="63">
        <v>0</v>
      </c>
      <c r="I45" s="63">
        <v>116748</v>
      </c>
      <c r="J45" s="63">
        <v>0</v>
      </c>
      <c r="K45" s="63">
        <v>116748</v>
      </c>
      <c r="L45" s="63">
        <v>0</v>
      </c>
      <c r="M45" s="63">
        <v>0</v>
      </c>
      <c r="N45" s="63">
        <v>0</v>
      </c>
      <c r="O45" s="63">
        <v>0</v>
      </c>
      <c r="P45" s="63">
        <v>0</v>
      </c>
      <c r="Q45" s="63">
        <v>42447575</v>
      </c>
      <c r="R45" s="474">
        <v>0.5</v>
      </c>
      <c r="S45" s="474">
        <v>0.4</v>
      </c>
      <c r="T45" s="474">
        <v>0.1</v>
      </c>
      <c r="U45" s="474">
        <v>0</v>
      </c>
      <c r="V45" s="474">
        <v>1</v>
      </c>
      <c r="W45" s="63">
        <v>21223787</v>
      </c>
      <c r="X45" s="63">
        <v>16979030</v>
      </c>
      <c r="Y45" s="63">
        <v>4244758</v>
      </c>
      <c r="Z45" s="63">
        <v>0</v>
      </c>
      <c r="AA45" s="63">
        <v>42447575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v>0</v>
      </c>
      <c r="AH45" s="63">
        <v>0</v>
      </c>
      <c r="AI45" s="63">
        <v>0</v>
      </c>
      <c r="AJ45" s="63">
        <v>0</v>
      </c>
      <c r="AK45" s="63">
        <v>0</v>
      </c>
      <c r="AL45" s="63">
        <v>21223787</v>
      </c>
      <c r="AM45" s="63">
        <v>16979030</v>
      </c>
      <c r="AN45" s="63">
        <v>4244758</v>
      </c>
      <c r="AO45" s="63">
        <v>0</v>
      </c>
      <c r="AP45" s="63">
        <v>42447575</v>
      </c>
      <c r="AQ45" s="63">
        <v>116748</v>
      </c>
      <c r="AR45" s="63">
        <v>116748</v>
      </c>
      <c r="AS45" s="63">
        <v>0</v>
      </c>
      <c r="AT45" s="63">
        <v>0</v>
      </c>
      <c r="AU45" s="63">
        <v>0</v>
      </c>
      <c r="AV45" s="63">
        <v>0</v>
      </c>
      <c r="AW45" s="63">
        <v>0</v>
      </c>
      <c r="AX45" s="63">
        <v>0</v>
      </c>
      <c r="AY45" s="63">
        <v>0</v>
      </c>
      <c r="AZ45" s="63">
        <v>0</v>
      </c>
      <c r="BA45" s="63">
        <v>0</v>
      </c>
      <c r="BB45" s="63">
        <v>0</v>
      </c>
      <c r="BC45" s="63">
        <v>0</v>
      </c>
      <c r="BD45" s="63">
        <v>0</v>
      </c>
      <c r="BE45" s="63">
        <v>0</v>
      </c>
      <c r="BF45" s="63">
        <v>0</v>
      </c>
      <c r="BG45" s="63">
        <v>0</v>
      </c>
      <c r="BH45" s="63">
        <v>-623501</v>
      </c>
      <c r="BI45" s="63">
        <v>-498800</v>
      </c>
      <c r="BJ45" s="63">
        <v>-124700</v>
      </c>
      <c r="BK45" s="63">
        <v>0</v>
      </c>
      <c r="BL45" s="63">
        <v>-1247001</v>
      </c>
      <c r="BM45" s="63">
        <v>20600286</v>
      </c>
      <c r="BN45" s="63">
        <v>16596978</v>
      </c>
      <c r="BO45" s="63">
        <v>4120058</v>
      </c>
      <c r="BP45" s="63">
        <v>0</v>
      </c>
      <c r="BQ45" s="63">
        <v>41317322</v>
      </c>
      <c r="BR45" s="63">
        <v>245564</v>
      </c>
      <c r="BS45" s="63">
        <v>61391</v>
      </c>
      <c r="BT45" s="63">
        <v>0</v>
      </c>
      <c r="BU45" s="63">
        <v>306955</v>
      </c>
      <c r="BV45" s="63">
        <v>300373</v>
      </c>
      <c r="BW45" s="63">
        <v>75093</v>
      </c>
      <c r="BX45" s="63">
        <v>0</v>
      </c>
      <c r="BY45" s="63">
        <v>375466</v>
      </c>
      <c r="BZ45" s="63">
        <v>0</v>
      </c>
      <c r="CA45" s="63">
        <v>0</v>
      </c>
      <c r="CB45" s="63">
        <v>0</v>
      </c>
      <c r="CC45" s="63">
        <v>0</v>
      </c>
      <c r="CD45" s="63">
        <v>0</v>
      </c>
      <c r="CE45" s="63">
        <v>0</v>
      </c>
      <c r="CF45" s="63">
        <v>0</v>
      </c>
      <c r="CG45" s="63">
        <v>0</v>
      </c>
      <c r="CH45" s="63">
        <v>0</v>
      </c>
      <c r="CI45" s="63">
        <v>0</v>
      </c>
      <c r="CJ45" s="63">
        <v>0</v>
      </c>
      <c r="CK45" s="63">
        <v>0</v>
      </c>
      <c r="CL45" s="63">
        <v>0</v>
      </c>
      <c r="CM45" s="63">
        <v>0</v>
      </c>
      <c r="CN45" s="63">
        <v>0</v>
      </c>
      <c r="CO45" s="63">
        <v>0</v>
      </c>
      <c r="CP45" s="63">
        <v>545937</v>
      </c>
      <c r="CQ45" s="63">
        <v>136484</v>
      </c>
      <c r="CR45" s="63">
        <v>0</v>
      </c>
      <c r="CS45" s="63">
        <v>682421</v>
      </c>
      <c r="CU45" s="141" t="s">
        <v>671</v>
      </c>
      <c r="CV45" s="157" t="s">
        <v>960</v>
      </c>
      <c r="CW45" s="156" t="s">
        <v>928</v>
      </c>
      <c r="CX45" s="345"/>
      <c r="CY45" s="345"/>
      <c r="CZ45" s="345"/>
    </row>
    <row r="46" spans="1:104" ht="12.75" x14ac:dyDescent="0.2">
      <c r="A46" s="90">
        <v>39</v>
      </c>
      <c r="B46" s="129" t="s">
        <v>674</v>
      </c>
      <c r="C46" s="130" t="s">
        <v>742</v>
      </c>
      <c r="D46" s="131" t="s">
        <v>745</v>
      </c>
      <c r="E46" s="132" t="s">
        <v>673</v>
      </c>
      <c r="F46" s="63">
        <v>26081915</v>
      </c>
      <c r="G46" s="63">
        <v>0</v>
      </c>
      <c r="H46" s="63">
        <v>0</v>
      </c>
      <c r="I46" s="63">
        <v>107528</v>
      </c>
      <c r="J46" s="63">
        <v>0</v>
      </c>
      <c r="K46" s="63">
        <v>107528</v>
      </c>
      <c r="L46" s="63">
        <v>0</v>
      </c>
      <c r="M46" s="63">
        <v>0</v>
      </c>
      <c r="N46" s="63">
        <v>0</v>
      </c>
      <c r="O46" s="63">
        <v>0</v>
      </c>
      <c r="P46" s="63">
        <v>0</v>
      </c>
      <c r="Q46" s="63">
        <v>25974387</v>
      </c>
      <c r="R46" s="474">
        <v>0.5</v>
      </c>
      <c r="S46" s="474">
        <v>0.4</v>
      </c>
      <c r="T46" s="474">
        <v>0.09</v>
      </c>
      <c r="U46" s="474">
        <v>0.01</v>
      </c>
      <c r="V46" s="474">
        <v>1</v>
      </c>
      <c r="W46" s="63">
        <v>12987193</v>
      </c>
      <c r="X46" s="63">
        <v>10389755</v>
      </c>
      <c r="Y46" s="63">
        <v>2337695</v>
      </c>
      <c r="Z46" s="63">
        <v>259744</v>
      </c>
      <c r="AA46" s="63">
        <v>25974387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v>0</v>
      </c>
      <c r="AH46" s="63">
        <v>0</v>
      </c>
      <c r="AI46" s="63">
        <v>0</v>
      </c>
      <c r="AJ46" s="63">
        <v>0</v>
      </c>
      <c r="AK46" s="63">
        <v>0</v>
      </c>
      <c r="AL46" s="63">
        <v>12987193</v>
      </c>
      <c r="AM46" s="63">
        <v>10389755</v>
      </c>
      <c r="AN46" s="63">
        <v>2337695</v>
      </c>
      <c r="AO46" s="63">
        <v>259744</v>
      </c>
      <c r="AP46" s="63">
        <v>25974387</v>
      </c>
      <c r="AQ46" s="63">
        <v>107528</v>
      </c>
      <c r="AR46" s="63">
        <v>107528</v>
      </c>
      <c r="AS46" s="63">
        <v>0</v>
      </c>
      <c r="AT46" s="63">
        <v>0</v>
      </c>
      <c r="AU46" s="63">
        <v>0</v>
      </c>
      <c r="AV46" s="63">
        <v>0</v>
      </c>
      <c r="AW46" s="63">
        <v>0</v>
      </c>
      <c r="AX46" s="63">
        <v>0</v>
      </c>
      <c r="AY46" s="63">
        <v>0</v>
      </c>
      <c r="AZ46" s="63">
        <v>0</v>
      </c>
      <c r="BA46" s="63">
        <v>0</v>
      </c>
      <c r="BB46" s="63">
        <v>0</v>
      </c>
      <c r="BC46" s="63">
        <v>0</v>
      </c>
      <c r="BD46" s="63">
        <v>0</v>
      </c>
      <c r="BE46" s="63">
        <v>0</v>
      </c>
      <c r="BF46" s="63">
        <v>0</v>
      </c>
      <c r="BG46" s="63">
        <v>0</v>
      </c>
      <c r="BH46" s="63">
        <v>-194534</v>
      </c>
      <c r="BI46" s="63">
        <v>-155628</v>
      </c>
      <c r="BJ46" s="63">
        <v>-35016</v>
      </c>
      <c r="BK46" s="63">
        <v>-3891</v>
      </c>
      <c r="BL46" s="63">
        <v>-389069</v>
      </c>
      <c r="BM46" s="63">
        <v>12792659</v>
      </c>
      <c r="BN46" s="63">
        <v>10341655</v>
      </c>
      <c r="BO46" s="63">
        <v>2302679</v>
      </c>
      <c r="BP46" s="63">
        <v>255853</v>
      </c>
      <c r="BQ46" s="63">
        <v>25692846</v>
      </c>
      <c r="BR46" s="63">
        <v>150265</v>
      </c>
      <c r="BS46" s="63">
        <v>33810</v>
      </c>
      <c r="BT46" s="63">
        <v>3757</v>
      </c>
      <c r="BU46" s="63">
        <v>187832</v>
      </c>
      <c r="BV46" s="63">
        <v>348978</v>
      </c>
      <c r="BW46" s="63">
        <v>77608</v>
      </c>
      <c r="BX46" s="63">
        <v>8623</v>
      </c>
      <c r="BY46" s="63">
        <v>435209</v>
      </c>
      <c r="BZ46" s="63">
        <v>0</v>
      </c>
      <c r="CA46" s="63">
        <v>0</v>
      </c>
      <c r="CB46" s="63">
        <v>0</v>
      </c>
      <c r="CC46" s="63">
        <v>0</v>
      </c>
      <c r="CD46" s="63">
        <v>0</v>
      </c>
      <c r="CE46" s="63">
        <v>0</v>
      </c>
      <c r="CF46" s="63">
        <v>0</v>
      </c>
      <c r="CG46" s="63">
        <v>0</v>
      </c>
      <c r="CH46" s="63">
        <v>0</v>
      </c>
      <c r="CI46" s="63">
        <v>0</v>
      </c>
      <c r="CJ46" s="63">
        <v>0</v>
      </c>
      <c r="CK46" s="63">
        <v>0</v>
      </c>
      <c r="CL46" s="63">
        <v>0</v>
      </c>
      <c r="CM46" s="63">
        <v>0</v>
      </c>
      <c r="CN46" s="63">
        <v>0</v>
      </c>
      <c r="CO46" s="63">
        <v>0</v>
      </c>
      <c r="CP46" s="63">
        <v>499243</v>
      </c>
      <c r="CQ46" s="63">
        <v>111418</v>
      </c>
      <c r="CR46" s="63">
        <v>12380</v>
      </c>
      <c r="CS46" s="63">
        <v>623041</v>
      </c>
      <c r="CU46" s="141" t="s">
        <v>673</v>
      </c>
      <c r="CV46" s="157" t="s">
        <v>932</v>
      </c>
      <c r="CW46" s="156" t="s">
        <v>933</v>
      </c>
      <c r="CX46" s="345"/>
      <c r="CY46" s="345"/>
      <c r="CZ46" s="345"/>
    </row>
    <row r="47" spans="1:104" ht="12.75" x14ac:dyDescent="0.2">
      <c r="A47" s="90">
        <v>40</v>
      </c>
      <c r="B47" s="129" t="s">
        <v>676</v>
      </c>
      <c r="C47" s="130" t="s">
        <v>742</v>
      </c>
      <c r="D47" s="131" t="s">
        <v>744</v>
      </c>
      <c r="E47" s="132" t="s">
        <v>675</v>
      </c>
      <c r="F47" s="63">
        <v>28537340</v>
      </c>
      <c r="G47" s="63">
        <v>0</v>
      </c>
      <c r="H47" s="63">
        <v>0</v>
      </c>
      <c r="I47" s="63">
        <v>151284</v>
      </c>
      <c r="J47" s="63">
        <v>0</v>
      </c>
      <c r="K47" s="63">
        <v>151284</v>
      </c>
      <c r="L47" s="63">
        <v>0</v>
      </c>
      <c r="M47" s="63">
        <v>0</v>
      </c>
      <c r="N47" s="63">
        <v>238391</v>
      </c>
      <c r="O47" s="63">
        <v>238391</v>
      </c>
      <c r="P47" s="63">
        <v>0</v>
      </c>
      <c r="Q47" s="63">
        <v>28147665</v>
      </c>
      <c r="R47" s="474">
        <v>0.5</v>
      </c>
      <c r="S47" s="474">
        <v>0.4</v>
      </c>
      <c r="T47" s="474">
        <v>0.09</v>
      </c>
      <c r="U47" s="474">
        <v>0.01</v>
      </c>
      <c r="V47" s="474">
        <v>1</v>
      </c>
      <c r="W47" s="63">
        <v>14073832</v>
      </c>
      <c r="X47" s="63">
        <v>11259066</v>
      </c>
      <c r="Y47" s="63">
        <v>2533290</v>
      </c>
      <c r="Z47" s="63">
        <v>281477</v>
      </c>
      <c r="AA47" s="63">
        <v>28147665</v>
      </c>
      <c r="AB47" s="63">
        <v>0</v>
      </c>
      <c r="AC47" s="63">
        <v>0</v>
      </c>
      <c r="AD47" s="63">
        <v>0</v>
      </c>
      <c r="AE47" s="63">
        <v>0</v>
      </c>
      <c r="AF47" s="63">
        <v>0</v>
      </c>
      <c r="AG47" s="63">
        <v>0</v>
      </c>
      <c r="AH47" s="63">
        <v>0</v>
      </c>
      <c r="AI47" s="63">
        <v>0</v>
      </c>
      <c r="AJ47" s="63">
        <v>0</v>
      </c>
      <c r="AK47" s="63">
        <v>0</v>
      </c>
      <c r="AL47" s="63">
        <v>14073832</v>
      </c>
      <c r="AM47" s="63">
        <v>11259066</v>
      </c>
      <c r="AN47" s="63">
        <v>2533290</v>
      </c>
      <c r="AO47" s="63">
        <v>281477</v>
      </c>
      <c r="AP47" s="63">
        <v>28147665</v>
      </c>
      <c r="AQ47" s="63">
        <v>151284</v>
      </c>
      <c r="AR47" s="63">
        <v>151284</v>
      </c>
      <c r="AS47" s="63">
        <v>0</v>
      </c>
      <c r="AT47" s="63">
        <v>0</v>
      </c>
      <c r="AU47" s="63">
        <v>238391</v>
      </c>
      <c r="AV47" s="63">
        <v>0</v>
      </c>
      <c r="AW47" s="63">
        <v>238391</v>
      </c>
      <c r="AX47" s="63">
        <v>0</v>
      </c>
      <c r="AY47" s="63">
        <v>0</v>
      </c>
      <c r="AZ47" s="63">
        <v>0</v>
      </c>
      <c r="BA47" s="63">
        <v>0</v>
      </c>
      <c r="BB47" s="63">
        <v>0</v>
      </c>
      <c r="BC47" s="63">
        <v>0</v>
      </c>
      <c r="BD47" s="63">
        <v>0</v>
      </c>
      <c r="BE47" s="63">
        <v>0</v>
      </c>
      <c r="BF47" s="63">
        <v>0</v>
      </c>
      <c r="BG47" s="63">
        <v>0</v>
      </c>
      <c r="BH47" s="63">
        <v>-2951153</v>
      </c>
      <c r="BI47" s="63">
        <v>-2360923</v>
      </c>
      <c r="BJ47" s="63">
        <v>-531208</v>
      </c>
      <c r="BK47" s="63">
        <v>-59023</v>
      </c>
      <c r="BL47" s="63">
        <v>-5902307</v>
      </c>
      <c r="BM47" s="63">
        <v>11122679</v>
      </c>
      <c r="BN47" s="63">
        <v>9287818</v>
      </c>
      <c r="BO47" s="63">
        <v>2002082</v>
      </c>
      <c r="BP47" s="63">
        <v>222454</v>
      </c>
      <c r="BQ47" s="63">
        <v>22635033</v>
      </c>
      <c r="BR47" s="63">
        <v>166286</v>
      </c>
      <c r="BS47" s="63">
        <v>36638</v>
      </c>
      <c r="BT47" s="63">
        <v>4071</v>
      </c>
      <c r="BU47" s="63">
        <v>206995</v>
      </c>
      <c r="BV47" s="63">
        <v>569230</v>
      </c>
      <c r="BW47" s="63">
        <v>128077</v>
      </c>
      <c r="BX47" s="63">
        <v>14231</v>
      </c>
      <c r="BY47" s="63">
        <v>711538</v>
      </c>
      <c r="BZ47" s="63">
        <v>5067</v>
      </c>
      <c r="CA47" s="63">
        <v>1140</v>
      </c>
      <c r="CB47" s="63">
        <v>127</v>
      </c>
      <c r="CC47" s="63">
        <v>6334</v>
      </c>
      <c r="CD47" s="63">
        <v>10144</v>
      </c>
      <c r="CE47" s="63">
        <v>2283</v>
      </c>
      <c r="CF47" s="63">
        <v>254</v>
      </c>
      <c r="CG47" s="63">
        <v>12681</v>
      </c>
      <c r="CH47" s="63">
        <v>10144</v>
      </c>
      <c r="CI47" s="63">
        <v>2283</v>
      </c>
      <c r="CJ47" s="63">
        <v>254</v>
      </c>
      <c r="CK47" s="63">
        <v>12681</v>
      </c>
      <c r="CL47" s="63">
        <v>10144</v>
      </c>
      <c r="CM47" s="63">
        <v>2283</v>
      </c>
      <c r="CN47" s="63">
        <v>254</v>
      </c>
      <c r="CO47" s="63">
        <v>12681</v>
      </c>
      <c r="CP47" s="63">
        <v>771015</v>
      </c>
      <c r="CQ47" s="63">
        <v>172704</v>
      </c>
      <c r="CR47" s="63">
        <v>19191</v>
      </c>
      <c r="CS47" s="63">
        <v>962910</v>
      </c>
      <c r="CU47" s="141" t="s">
        <v>675</v>
      </c>
      <c r="CV47" s="157" t="s">
        <v>961</v>
      </c>
      <c r="CW47" s="156" t="s">
        <v>952</v>
      </c>
      <c r="CX47" s="345"/>
      <c r="CY47" s="345"/>
      <c r="CZ47" s="345"/>
    </row>
    <row r="48" spans="1:104" ht="12.75" x14ac:dyDescent="0.2">
      <c r="A48" s="90">
        <v>41</v>
      </c>
      <c r="B48" s="129" t="s">
        <v>678</v>
      </c>
      <c r="C48" s="130" t="s">
        <v>749</v>
      </c>
      <c r="D48" s="131" t="s">
        <v>744</v>
      </c>
      <c r="E48" s="132" t="s">
        <v>677</v>
      </c>
      <c r="F48" s="63">
        <v>51256374</v>
      </c>
      <c r="G48" s="63">
        <v>0</v>
      </c>
      <c r="H48" s="63">
        <v>0</v>
      </c>
      <c r="I48" s="63">
        <v>244147</v>
      </c>
      <c r="J48" s="63">
        <v>0</v>
      </c>
      <c r="K48" s="63">
        <v>244147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63">
        <v>51012227</v>
      </c>
      <c r="R48" s="474">
        <v>0.5</v>
      </c>
      <c r="S48" s="474">
        <v>0.49</v>
      </c>
      <c r="T48" s="474">
        <v>0</v>
      </c>
      <c r="U48" s="474">
        <v>0.01</v>
      </c>
      <c r="V48" s="474">
        <v>1</v>
      </c>
      <c r="W48" s="63">
        <v>25506114</v>
      </c>
      <c r="X48" s="63">
        <v>24995991</v>
      </c>
      <c r="Y48" s="63">
        <v>0</v>
      </c>
      <c r="Z48" s="63">
        <v>510122</v>
      </c>
      <c r="AA48" s="63">
        <v>51012227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v>0</v>
      </c>
      <c r="AH48" s="63">
        <v>0</v>
      </c>
      <c r="AI48" s="63">
        <v>0</v>
      </c>
      <c r="AJ48" s="63">
        <v>0</v>
      </c>
      <c r="AK48" s="63">
        <v>0</v>
      </c>
      <c r="AL48" s="63">
        <v>25506114</v>
      </c>
      <c r="AM48" s="63">
        <v>24995991</v>
      </c>
      <c r="AN48" s="63">
        <v>0</v>
      </c>
      <c r="AO48" s="63">
        <v>510122</v>
      </c>
      <c r="AP48" s="63">
        <v>51012227</v>
      </c>
      <c r="AQ48" s="63">
        <v>244147</v>
      </c>
      <c r="AR48" s="63">
        <v>244147</v>
      </c>
      <c r="AS48" s="63">
        <v>0</v>
      </c>
      <c r="AT48" s="63">
        <v>0</v>
      </c>
      <c r="AU48" s="63">
        <v>0</v>
      </c>
      <c r="AV48" s="63">
        <v>0</v>
      </c>
      <c r="AW48" s="63">
        <v>0</v>
      </c>
      <c r="AX48" s="63">
        <v>0</v>
      </c>
      <c r="AY48" s="63">
        <v>0</v>
      </c>
      <c r="AZ48" s="63">
        <v>0</v>
      </c>
      <c r="BA48" s="63">
        <v>0</v>
      </c>
      <c r="BB48" s="63">
        <v>0</v>
      </c>
      <c r="BC48" s="63">
        <v>0</v>
      </c>
      <c r="BD48" s="63">
        <v>0</v>
      </c>
      <c r="BE48" s="63">
        <v>0</v>
      </c>
      <c r="BF48" s="63">
        <v>0</v>
      </c>
      <c r="BG48" s="63">
        <v>0</v>
      </c>
      <c r="BH48" s="63">
        <v>-2448786</v>
      </c>
      <c r="BI48" s="63">
        <v>-2399811</v>
      </c>
      <c r="BJ48" s="63">
        <v>0</v>
      </c>
      <c r="BK48" s="63">
        <v>-48976</v>
      </c>
      <c r="BL48" s="63">
        <v>-4897573</v>
      </c>
      <c r="BM48" s="63">
        <v>23057328</v>
      </c>
      <c r="BN48" s="63">
        <v>22840327</v>
      </c>
      <c r="BO48" s="63">
        <v>0</v>
      </c>
      <c r="BP48" s="63">
        <v>461146</v>
      </c>
      <c r="BQ48" s="63">
        <v>46358801</v>
      </c>
      <c r="BR48" s="63">
        <v>361512</v>
      </c>
      <c r="BS48" s="63">
        <v>0</v>
      </c>
      <c r="BT48" s="63">
        <v>7378</v>
      </c>
      <c r="BU48" s="63">
        <v>368890</v>
      </c>
      <c r="BV48" s="63">
        <v>1220287</v>
      </c>
      <c r="BW48" s="63">
        <v>0</v>
      </c>
      <c r="BX48" s="63">
        <v>24904</v>
      </c>
      <c r="BY48" s="63">
        <v>1245191</v>
      </c>
      <c r="BZ48" s="63">
        <v>0</v>
      </c>
      <c r="CA48" s="63">
        <v>0</v>
      </c>
      <c r="CB48" s="63">
        <v>0</v>
      </c>
      <c r="CC48" s="63">
        <v>0</v>
      </c>
      <c r="CD48" s="63">
        <v>0</v>
      </c>
      <c r="CE48" s="63">
        <v>0</v>
      </c>
      <c r="CF48" s="63">
        <v>0</v>
      </c>
      <c r="CG48" s="63">
        <v>0</v>
      </c>
      <c r="CH48" s="63">
        <v>1340</v>
      </c>
      <c r="CI48" s="63">
        <v>0</v>
      </c>
      <c r="CJ48" s="63">
        <v>27</v>
      </c>
      <c r="CK48" s="63">
        <v>1367</v>
      </c>
      <c r="CL48" s="63">
        <v>5435</v>
      </c>
      <c r="CM48" s="63">
        <v>0</v>
      </c>
      <c r="CN48" s="63">
        <v>111</v>
      </c>
      <c r="CO48" s="63">
        <v>5546</v>
      </c>
      <c r="CP48" s="63">
        <v>1588574</v>
      </c>
      <c r="CQ48" s="63">
        <v>0</v>
      </c>
      <c r="CR48" s="63">
        <v>32420</v>
      </c>
      <c r="CS48" s="63">
        <v>1620994</v>
      </c>
      <c r="CU48" s="141" t="s">
        <v>677</v>
      </c>
      <c r="CV48" s="157" t="s">
        <v>941</v>
      </c>
      <c r="CW48" s="156" t="s">
        <v>953</v>
      </c>
      <c r="CX48" s="345"/>
      <c r="CY48" s="345"/>
      <c r="CZ48" s="345"/>
    </row>
    <row r="49" spans="1:104" ht="12.75" x14ac:dyDescent="0.2">
      <c r="A49" s="90">
        <v>42</v>
      </c>
      <c r="B49" s="129" t="s">
        <v>680</v>
      </c>
      <c r="C49" s="130" t="s">
        <v>749</v>
      </c>
      <c r="D49" s="131" t="s">
        <v>750</v>
      </c>
      <c r="E49" s="132" t="s">
        <v>679</v>
      </c>
      <c r="F49" s="63">
        <v>60626993</v>
      </c>
      <c r="G49" s="63">
        <v>0</v>
      </c>
      <c r="H49" s="63">
        <v>0</v>
      </c>
      <c r="I49" s="63">
        <v>356038</v>
      </c>
      <c r="J49" s="63">
        <v>0</v>
      </c>
      <c r="K49" s="63">
        <v>356038</v>
      </c>
      <c r="L49" s="63">
        <v>0</v>
      </c>
      <c r="M49" s="63">
        <v>0</v>
      </c>
      <c r="N49" s="63">
        <v>194824</v>
      </c>
      <c r="O49" s="63">
        <v>194824</v>
      </c>
      <c r="P49" s="63">
        <v>0</v>
      </c>
      <c r="Q49" s="63">
        <v>60076131</v>
      </c>
      <c r="R49" s="474">
        <v>0.5</v>
      </c>
      <c r="S49" s="474">
        <v>0.49</v>
      </c>
      <c r="T49" s="474">
        <v>0</v>
      </c>
      <c r="U49" s="474">
        <v>0.01</v>
      </c>
      <c r="V49" s="474">
        <v>1</v>
      </c>
      <c r="W49" s="63">
        <v>30038066</v>
      </c>
      <c r="X49" s="63">
        <v>29437304</v>
      </c>
      <c r="Y49" s="63">
        <v>0</v>
      </c>
      <c r="Z49" s="63">
        <v>600761</v>
      </c>
      <c r="AA49" s="63">
        <v>60076131</v>
      </c>
      <c r="AB49" s="63">
        <v>0</v>
      </c>
      <c r="AC49" s="63">
        <v>0</v>
      </c>
      <c r="AD49" s="63">
        <v>0</v>
      </c>
      <c r="AE49" s="63">
        <v>0</v>
      </c>
      <c r="AF49" s="63">
        <v>0</v>
      </c>
      <c r="AG49" s="63">
        <v>0</v>
      </c>
      <c r="AH49" s="63">
        <v>0</v>
      </c>
      <c r="AI49" s="63">
        <v>0</v>
      </c>
      <c r="AJ49" s="63">
        <v>0</v>
      </c>
      <c r="AK49" s="63">
        <v>0</v>
      </c>
      <c r="AL49" s="63">
        <v>30038066</v>
      </c>
      <c r="AM49" s="63">
        <v>29437304</v>
      </c>
      <c r="AN49" s="63">
        <v>0</v>
      </c>
      <c r="AO49" s="63">
        <v>600761</v>
      </c>
      <c r="AP49" s="63">
        <v>60076131</v>
      </c>
      <c r="AQ49" s="63">
        <v>356038</v>
      </c>
      <c r="AR49" s="63">
        <v>356038</v>
      </c>
      <c r="AS49" s="63">
        <v>0</v>
      </c>
      <c r="AT49" s="63">
        <v>0</v>
      </c>
      <c r="AU49" s="63">
        <v>194824</v>
      </c>
      <c r="AV49" s="63">
        <v>0</v>
      </c>
      <c r="AW49" s="63">
        <v>194824</v>
      </c>
      <c r="AX49" s="63">
        <v>0</v>
      </c>
      <c r="AY49" s="63">
        <v>0</v>
      </c>
      <c r="AZ49" s="63">
        <v>0</v>
      </c>
      <c r="BA49" s="63">
        <v>0</v>
      </c>
      <c r="BB49" s="63">
        <v>0</v>
      </c>
      <c r="BC49" s="63">
        <v>0</v>
      </c>
      <c r="BD49" s="63">
        <v>0</v>
      </c>
      <c r="BE49" s="63">
        <v>0</v>
      </c>
      <c r="BF49" s="63">
        <v>0</v>
      </c>
      <c r="BG49" s="63">
        <v>0</v>
      </c>
      <c r="BH49" s="63">
        <v>-2142495</v>
      </c>
      <c r="BI49" s="63">
        <v>-2099646</v>
      </c>
      <c r="BJ49" s="63">
        <v>0</v>
      </c>
      <c r="BK49" s="63">
        <v>-42850</v>
      </c>
      <c r="BL49" s="63">
        <v>-4284991</v>
      </c>
      <c r="BM49" s="63">
        <v>27895571</v>
      </c>
      <c r="BN49" s="63">
        <v>27888520</v>
      </c>
      <c r="BO49" s="63">
        <v>0</v>
      </c>
      <c r="BP49" s="63">
        <v>557911</v>
      </c>
      <c r="BQ49" s="63">
        <v>56342002</v>
      </c>
      <c r="BR49" s="63">
        <v>428564</v>
      </c>
      <c r="BS49" s="63">
        <v>0</v>
      </c>
      <c r="BT49" s="63">
        <v>8689</v>
      </c>
      <c r="BU49" s="63">
        <v>437253</v>
      </c>
      <c r="BV49" s="63">
        <v>1695903</v>
      </c>
      <c r="BW49" s="63">
        <v>0</v>
      </c>
      <c r="BX49" s="63">
        <v>34610</v>
      </c>
      <c r="BY49" s="63">
        <v>1730513</v>
      </c>
      <c r="BZ49" s="63">
        <v>24855</v>
      </c>
      <c r="CA49" s="63">
        <v>0</v>
      </c>
      <c r="CB49" s="63">
        <v>507</v>
      </c>
      <c r="CC49" s="63">
        <v>25362</v>
      </c>
      <c r="CD49" s="63">
        <v>0</v>
      </c>
      <c r="CE49" s="63">
        <v>0</v>
      </c>
      <c r="CF49" s="63">
        <v>0</v>
      </c>
      <c r="CG49" s="63">
        <v>0</v>
      </c>
      <c r="CH49" s="63">
        <v>0</v>
      </c>
      <c r="CI49" s="63">
        <v>0</v>
      </c>
      <c r="CJ49" s="63">
        <v>0</v>
      </c>
      <c r="CK49" s="63">
        <v>0</v>
      </c>
      <c r="CL49" s="63">
        <v>6462</v>
      </c>
      <c r="CM49" s="63">
        <v>0</v>
      </c>
      <c r="CN49" s="63">
        <v>132</v>
      </c>
      <c r="CO49" s="63">
        <v>6594</v>
      </c>
      <c r="CP49" s="63">
        <v>2155784</v>
      </c>
      <c r="CQ49" s="63">
        <v>0</v>
      </c>
      <c r="CR49" s="63">
        <v>43938</v>
      </c>
      <c r="CS49" s="63">
        <v>2199722</v>
      </c>
      <c r="CU49" s="141" t="s">
        <v>679</v>
      </c>
      <c r="CV49" s="157" t="s">
        <v>941</v>
      </c>
      <c r="CW49" s="156" t="s">
        <v>957</v>
      </c>
      <c r="CX49" s="345"/>
      <c r="CY49" s="345"/>
      <c r="CZ49" s="345"/>
    </row>
    <row r="50" spans="1:104" ht="12.75" x14ac:dyDescent="0.2">
      <c r="A50" s="90">
        <v>43</v>
      </c>
      <c r="B50" s="129" t="s">
        <v>682</v>
      </c>
      <c r="C50" s="130" t="s">
        <v>742</v>
      </c>
      <c r="D50" s="131" t="s">
        <v>746</v>
      </c>
      <c r="E50" s="132" t="s">
        <v>681</v>
      </c>
      <c r="F50" s="63">
        <v>100159434</v>
      </c>
      <c r="G50" s="63">
        <v>0</v>
      </c>
      <c r="H50" s="63">
        <v>0</v>
      </c>
      <c r="I50" s="63">
        <v>225956</v>
      </c>
      <c r="J50" s="63">
        <v>0</v>
      </c>
      <c r="K50" s="63">
        <v>225956</v>
      </c>
      <c r="L50" s="63">
        <v>0</v>
      </c>
      <c r="M50" s="63">
        <v>0</v>
      </c>
      <c r="N50" s="63">
        <v>0</v>
      </c>
      <c r="O50" s="63">
        <v>0</v>
      </c>
      <c r="P50" s="63">
        <v>0</v>
      </c>
      <c r="Q50" s="63">
        <v>99933478</v>
      </c>
      <c r="R50" s="474">
        <v>0.5</v>
      </c>
      <c r="S50" s="474">
        <v>0.4</v>
      </c>
      <c r="T50" s="474">
        <v>0.09</v>
      </c>
      <c r="U50" s="474">
        <v>0.01</v>
      </c>
      <c r="V50" s="474">
        <v>1</v>
      </c>
      <c r="W50" s="63">
        <v>49966739</v>
      </c>
      <c r="X50" s="63">
        <v>39973391</v>
      </c>
      <c r="Y50" s="63">
        <v>8994013</v>
      </c>
      <c r="Z50" s="63">
        <v>999335</v>
      </c>
      <c r="AA50" s="63">
        <v>99933478</v>
      </c>
      <c r="AB50" s="63">
        <v>0</v>
      </c>
      <c r="AC50" s="63">
        <v>0</v>
      </c>
      <c r="AD50" s="63">
        <v>0</v>
      </c>
      <c r="AE50" s="63">
        <v>0</v>
      </c>
      <c r="AF50" s="63">
        <v>0</v>
      </c>
      <c r="AG50" s="63">
        <v>0</v>
      </c>
      <c r="AH50" s="63">
        <v>0</v>
      </c>
      <c r="AI50" s="63">
        <v>0</v>
      </c>
      <c r="AJ50" s="63">
        <v>0</v>
      </c>
      <c r="AK50" s="63">
        <v>0</v>
      </c>
      <c r="AL50" s="63">
        <v>49966739</v>
      </c>
      <c r="AM50" s="63">
        <v>39973391</v>
      </c>
      <c r="AN50" s="63">
        <v>8994013</v>
      </c>
      <c r="AO50" s="63">
        <v>999335</v>
      </c>
      <c r="AP50" s="63">
        <v>99933478</v>
      </c>
      <c r="AQ50" s="63">
        <v>225956</v>
      </c>
      <c r="AR50" s="63">
        <v>225956</v>
      </c>
      <c r="AS50" s="63">
        <v>0</v>
      </c>
      <c r="AT50" s="63">
        <v>0</v>
      </c>
      <c r="AU50" s="63">
        <v>0</v>
      </c>
      <c r="AV50" s="63">
        <v>0</v>
      </c>
      <c r="AW50" s="63">
        <v>0</v>
      </c>
      <c r="AX50" s="63">
        <v>0</v>
      </c>
      <c r="AY50" s="63">
        <v>0</v>
      </c>
      <c r="AZ50" s="63">
        <v>0</v>
      </c>
      <c r="BA50" s="63">
        <v>0</v>
      </c>
      <c r="BB50" s="63">
        <v>0</v>
      </c>
      <c r="BC50" s="63">
        <v>0</v>
      </c>
      <c r="BD50" s="63">
        <v>0</v>
      </c>
      <c r="BE50" s="63">
        <v>0</v>
      </c>
      <c r="BF50" s="63">
        <v>0</v>
      </c>
      <c r="BG50" s="63">
        <v>0</v>
      </c>
      <c r="BH50" s="63">
        <v>-1751804</v>
      </c>
      <c r="BI50" s="63">
        <v>-1401443</v>
      </c>
      <c r="BJ50" s="63">
        <v>-315325</v>
      </c>
      <c r="BK50" s="63">
        <v>-35036</v>
      </c>
      <c r="BL50" s="63">
        <v>-3503608</v>
      </c>
      <c r="BM50" s="63">
        <v>48214935</v>
      </c>
      <c r="BN50" s="63">
        <v>38797904</v>
      </c>
      <c r="BO50" s="63">
        <v>8678688</v>
      </c>
      <c r="BP50" s="63">
        <v>964299</v>
      </c>
      <c r="BQ50" s="63">
        <v>96655826</v>
      </c>
      <c r="BR50" s="63">
        <v>578128</v>
      </c>
      <c r="BS50" s="63">
        <v>130079</v>
      </c>
      <c r="BT50" s="63">
        <v>14453</v>
      </c>
      <c r="BU50" s="63">
        <v>722660</v>
      </c>
      <c r="BV50" s="63">
        <v>289540</v>
      </c>
      <c r="BW50" s="63">
        <v>65146</v>
      </c>
      <c r="BX50" s="63">
        <v>7238</v>
      </c>
      <c r="BY50" s="63">
        <v>361924</v>
      </c>
      <c r="BZ50" s="63">
        <v>0</v>
      </c>
      <c r="CA50" s="63">
        <v>0</v>
      </c>
      <c r="CB50" s="63">
        <v>0</v>
      </c>
      <c r="CC50" s="63">
        <v>0</v>
      </c>
      <c r="CD50" s="63">
        <v>20290</v>
      </c>
      <c r="CE50" s="63">
        <v>4565</v>
      </c>
      <c r="CF50" s="63">
        <v>507</v>
      </c>
      <c r="CG50" s="63">
        <v>25362</v>
      </c>
      <c r="CH50" s="63">
        <v>40579</v>
      </c>
      <c r="CI50" s="63">
        <v>9130</v>
      </c>
      <c r="CJ50" s="63">
        <v>1014</v>
      </c>
      <c r="CK50" s="63">
        <v>50723</v>
      </c>
      <c r="CL50" s="63">
        <v>10411</v>
      </c>
      <c r="CM50" s="63">
        <v>2342</v>
      </c>
      <c r="CN50" s="63">
        <v>260</v>
      </c>
      <c r="CO50" s="63">
        <v>13013</v>
      </c>
      <c r="CP50" s="63">
        <v>938948</v>
      </c>
      <c r="CQ50" s="63">
        <v>211262</v>
      </c>
      <c r="CR50" s="63">
        <v>23472</v>
      </c>
      <c r="CS50" s="63">
        <v>1173682</v>
      </c>
      <c r="CU50" s="141" t="s">
        <v>681</v>
      </c>
      <c r="CV50" s="157" t="s">
        <v>962</v>
      </c>
      <c r="CW50" s="156" t="s">
        <v>963</v>
      </c>
      <c r="CX50" s="345"/>
      <c r="CY50" s="345"/>
      <c r="CZ50" s="345"/>
    </row>
    <row r="51" spans="1:104" ht="12.75" x14ac:dyDescent="0.2">
      <c r="A51" s="90">
        <v>44</v>
      </c>
      <c r="B51" s="129" t="s">
        <v>684</v>
      </c>
      <c r="C51" s="130" t="s">
        <v>754</v>
      </c>
      <c r="D51" s="131" t="s">
        <v>748</v>
      </c>
      <c r="E51" s="132" t="s">
        <v>683</v>
      </c>
      <c r="F51" s="63">
        <v>525168748</v>
      </c>
      <c r="G51" s="63">
        <v>0</v>
      </c>
      <c r="H51" s="63">
        <v>0</v>
      </c>
      <c r="I51" s="63">
        <v>1168748</v>
      </c>
      <c r="J51" s="63">
        <v>0</v>
      </c>
      <c r="K51" s="63">
        <v>1168748</v>
      </c>
      <c r="L51" s="63">
        <v>0</v>
      </c>
      <c r="M51" s="63">
        <v>0</v>
      </c>
      <c r="N51" s="63">
        <v>0</v>
      </c>
      <c r="O51" s="63">
        <v>0</v>
      </c>
      <c r="P51" s="63">
        <v>0</v>
      </c>
      <c r="Q51" s="63">
        <v>524000000</v>
      </c>
      <c r="R51" s="474">
        <v>0.5</v>
      </c>
      <c r="S51" s="474">
        <v>0.3</v>
      </c>
      <c r="T51" s="474">
        <v>0.2</v>
      </c>
      <c r="U51" s="474">
        <v>0</v>
      </c>
      <c r="V51" s="474">
        <v>1</v>
      </c>
      <c r="W51" s="63">
        <v>262000000</v>
      </c>
      <c r="X51" s="63">
        <v>157200000</v>
      </c>
      <c r="Y51" s="63">
        <v>104800000</v>
      </c>
      <c r="Z51" s="63">
        <v>0</v>
      </c>
      <c r="AA51" s="63">
        <v>524000000</v>
      </c>
      <c r="AB51" s="63">
        <v>0</v>
      </c>
      <c r="AC51" s="63">
        <v>0</v>
      </c>
      <c r="AD51" s="63">
        <v>0</v>
      </c>
      <c r="AE51" s="63">
        <v>0</v>
      </c>
      <c r="AF51" s="63">
        <v>0</v>
      </c>
      <c r="AG51" s="63">
        <v>0</v>
      </c>
      <c r="AH51" s="63">
        <v>0</v>
      </c>
      <c r="AI51" s="63">
        <v>0</v>
      </c>
      <c r="AJ51" s="63">
        <v>0</v>
      </c>
      <c r="AK51" s="63">
        <v>0</v>
      </c>
      <c r="AL51" s="63">
        <v>262000000</v>
      </c>
      <c r="AM51" s="63">
        <v>157200000</v>
      </c>
      <c r="AN51" s="63">
        <v>104800000</v>
      </c>
      <c r="AO51" s="63">
        <v>0</v>
      </c>
      <c r="AP51" s="63">
        <v>524000000</v>
      </c>
      <c r="AQ51" s="63">
        <v>1168748</v>
      </c>
      <c r="AR51" s="63">
        <v>1168748</v>
      </c>
      <c r="AS51" s="63">
        <v>0</v>
      </c>
      <c r="AT51" s="63">
        <v>0</v>
      </c>
      <c r="AU51" s="63">
        <v>0</v>
      </c>
      <c r="AV51" s="63">
        <v>0</v>
      </c>
      <c r="AW51" s="63">
        <v>0</v>
      </c>
      <c r="AX51" s="63">
        <v>0</v>
      </c>
      <c r="AY51" s="63">
        <v>0</v>
      </c>
      <c r="AZ51" s="63">
        <v>0</v>
      </c>
      <c r="BA51" s="63">
        <v>0</v>
      </c>
      <c r="BB51" s="63">
        <v>0</v>
      </c>
      <c r="BC51" s="63">
        <v>0</v>
      </c>
      <c r="BD51" s="63">
        <v>0</v>
      </c>
      <c r="BE51" s="63">
        <v>0</v>
      </c>
      <c r="BF51" s="63">
        <v>0</v>
      </c>
      <c r="BG51" s="63">
        <v>0</v>
      </c>
      <c r="BH51" s="63">
        <v>-23340760</v>
      </c>
      <c r="BI51" s="63">
        <v>-14004456</v>
      </c>
      <c r="BJ51" s="63">
        <v>-9336304</v>
      </c>
      <c r="BK51" s="63">
        <v>0</v>
      </c>
      <c r="BL51" s="63">
        <v>-46681520</v>
      </c>
      <c r="BM51" s="63">
        <v>238659240</v>
      </c>
      <c r="BN51" s="63">
        <v>144364292</v>
      </c>
      <c r="BO51" s="63">
        <v>95463696</v>
      </c>
      <c r="BP51" s="63">
        <v>0</v>
      </c>
      <c r="BQ51" s="63">
        <v>478487228</v>
      </c>
      <c r="BR51" s="63">
        <v>2273554</v>
      </c>
      <c r="BS51" s="63">
        <v>1515702</v>
      </c>
      <c r="BT51" s="63">
        <v>0</v>
      </c>
      <c r="BU51" s="63">
        <v>3789256</v>
      </c>
      <c r="BV51" s="63">
        <v>454548</v>
      </c>
      <c r="BW51" s="63">
        <v>303032</v>
      </c>
      <c r="BX51" s="63">
        <v>0</v>
      </c>
      <c r="BY51" s="63">
        <v>757580</v>
      </c>
      <c r="BZ51" s="63">
        <v>0</v>
      </c>
      <c r="CA51" s="63">
        <v>0</v>
      </c>
      <c r="CB51" s="63">
        <v>0</v>
      </c>
      <c r="CC51" s="63">
        <v>0</v>
      </c>
      <c r="CD51" s="63">
        <v>0</v>
      </c>
      <c r="CE51" s="63">
        <v>0</v>
      </c>
      <c r="CF51" s="63">
        <v>0</v>
      </c>
      <c r="CG51" s="63">
        <v>0</v>
      </c>
      <c r="CH51" s="63">
        <v>0</v>
      </c>
      <c r="CI51" s="63">
        <v>0</v>
      </c>
      <c r="CJ51" s="63">
        <v>0</v>
      </c>
      <c r="CK51" s="63">
        <v>0</v>
      </c>
      <c r="CL51" s="63">
        <v>27478</v>
      </c>
      <c r="CM51" s="63">
        <v>18318</v>
      </c>
      <c r="CN51" s="63">
        <v>0</v>
      </c>
      <c r="CO51" s="63">
        <v>45796</v>
      </c>
      <c r="CP51" s="63">
        <v>2755580</v>
      </c>
      <c r="CQ51" s="63">
        <v>1837052</v>
      </c>
      <c r="CR51" s="63">
        <v>0</v>
      </c>
      <c r="CS51" s="63">
        <v>4592632</v>
      </c>
      <c r="CU51" s="141" t="s">
        <v>683</v>
      </c>
      <c r="CV51" s="157" t="s">
        <v>939</v>
      </c>
      <c r="CW51" s="157" t="s">
        <v>940</v>
      </c>
      <c r="CX51" s="345"/>
      <c r="CY51" s="345"/>
      <c r="CZ51" s="345"/>
    </row>
    <row r="52" spans="1:104" ht="12.75" x14ac:dyDescent="0.2">
      <c r="A52" s="90">
        <v>45</v>
      </c>
      <c r="B52" s="129" t="s">
        <v>686</v>
      </c>
      <c r="C52" s="130" t="s">
        <v>742</v>
      </c>
      <c r="D52" s="131" t="s">
        <v>752</v>
      </c>
      <c r="E52" s="132" t="s">
        <v>685</v>
      </c>
      <c r="F52" s="63">
        <v>36865762</v>
      </c>
      <c r="G52" s="63">
        <v>0</v>
      </c>
      <c r="H52" s="63">
        <v>0</v>
      </c>
      <c r="I52" s="63">
        <v>136708</v>
      </c>
      <c r="J52" s="63">
        <v>0</v>
      </c>
      <c r="K52" s="63">
        <v>136708</v>
      </c>
      <c r="L52" s="63">
        <v>0</v>
      </c>
      <c r="M52" s="63">
        <v>0</v>
      </c>
      <c r="N52" s="63">
        <v>0</v>
      </c>
      <c r="O52" s="63">
        <v>0</v>
      </c>
      <c r="P52" s="63">
        <v>0</v>
      </c>
      <c r="Q52" s="63">
        <v>36729054</v>
      </c>
      <c r="R52" s="474">
        <v>0.5</v>
      </c>
      <c r="S52" s="474">
        <v>0.4</v>
      </c>
      <c r="T52" s="474">
        <v>0.09</v>
      </c>
      <c r="U52" s="474">
        <v>0.01</v>
      </c>
      <c r="V52" s="474">
        <v>1</v>
      </c>
      <c r="W52" s="63">
        <v>18364526</v>
      </c>
      <c r="X52" s="63">
        <v>14691622</v>
      </c>
      <c r="Y52" s="63">
        <v>3305615</v>
      </c>
      <c r="Z52" s="63">
        <v>367291</v>
      </c>
      <c r="AA52" s="63">
        <v>36729054</v>
      </c>
      <c r="AB52" s="63">
        <v>0</v>
      </c>
      <c r="AC52" s="63">
        <v>0</v>
      </c>
      <c r="AD52" s="63">
        <v>0</v>
      </c>
      <c r="AE52" s="63">
        <v>0</v>
      </c>
      <c r="AF52" s="63">
        <v>0</v>
      </c>
      <c r="AG52" s="63">
        <v>0</v>
      </c>
      <c r="AH52" s="63">
        <v>0</v>
      </c>
      <c r="AI52" s="63">
        <v>0</v>
      </c>
      <c r="AJ52" s="63">
        <v>0</v>
      </c>
      <c r="AK52" s="63">
        <v>0</v>
      </c>
      <c r="AL52" s="63">
        <v>18364526</v>
      </c>
      <c r="AM52" s="63">
        <v>14691622</v>
      </c>
      <c r="AN52" s="63">
        <v>3305615</v>
      </c>
      <c r="AO52" s="63">
        <v>367291</v>
      </c>
      <c r="AP52" s="63">
        <v>36729054</v>
      </c>
      <c r="AQ52" s="63">
        <v>136708</v>
      </c>
      <c r="AR52" s="63">
        <v>136708</v>
      </c>
      <c r="AS52" s="63">
        <v>0</v>
      </c>
      <c r="AT52" s="63">
        <v>0</v>
      </c>
      <c r="AU52" s="63">
        <v>0</v>
      </c>
      <c r="AV52" s="63">
        <v>0</v>
      </c>
      <c r="AW52" s="63">
        <v>0</v>
      </c>
      <c r="AX52" s="63">
        <v>0</v>
      </c>
      <c r="AY52" s="63">
        <v>0</v>
      </c>
      <c r="AZ52" s="63">
        <v>0</v>
      </c>
      <c r="BA52" s="63">
        <v>0</v>
      </c>
      <c r="BB52" s="63">
        <v>0</v>
      </c>
      <c r="BC52" s="63">
        <v>0</v>
      </c>
      <c r="BD52" s="63">
        <v>0</v>
      </c>
      <c r="BE52" s="63">
        <v>0</v>
      </c>
      <c r="BF52" s="63">
        <v>0</v>
      </c>
      <c r="BG52" s="63">
        <v>0</v>
      </c>
      <c r="BH52" s="63">
        <v>-3123578</v>
      </c>
      <c r="BI52" s="63">
        <v>-2498862</v>
      </c>
      <c r="BJ52" s="63">
        <v>-562244</v>
      </c>
      <c r="BK52" s="63">
        <v>-62472</v>
      </c>
      <c r="BL52" s="63">
        <v>-6247156</v>
      </c>
      <c r="BM52" s="63">
        <v>15240948</v>
      </c>
      <c r="BN52" s="63">
        <v>12329468</v>
      </c>
      <c r="BO52" s="63">
        <v>2743371</v>
      </c>
      <c r="BP52" s="63">
        <v>304819</v>
      </c>
      <c r="BQ52" s="63">
        <v>30618606</v>
      </c>
      <c r="BR52" s="63">
        <v>212482</v>
      </c>
      <c r="BS52" s="63">
        <v>47808</v>
      </c>
      <c r="BT52" s="63">
        <v>5312</v>
      </c>
      <c r="BU52" s="63">
        <v>265602</v>
      </c>
      <c r="BV52" s="63">
        <v>525639</v>
      </c>
      <c r="BW52" s="63">
        <v>118269</v>
      </c>
      <c r="BX52" s="63">
        <v>13141</v>
      </c>
      <c r="BY52" s="63">
        <v>657049</v>
      </c>
      <c r="BZ52" s="63">
        <v>1719</v>
      </c>
      <c r="CA52" s="63">
        <v>387</v>
      </c>
      <c r="CB52" s="63">
        <v>43</v>
      </c>
      <c r="CC52" s="63">
        <v>2149</v>
      </c>
      <c r="CD52" s="63">
        <v>0</v>
      </c>
      <c r="CE52" s="63">
        <v>0</v>
      </c>
      <c r="CF52" s="63">
        <v>0</v>
      </c>
      <c r="CG52" s="63">
        <v>0</v>
      </c>
      <c r="CH52" s="63">
        <v>10839</v>
      </c>
      <c r="CI52" s="63">
        <v>2439</v>
      </c>
      <c r="CJ52" s="63">
        <v>271</v>
      </c>
      <c r="CK52" s="63">
        <v>13549</v>
      </c>
      <c r="CL52" s="63">
        <v>1644</v>
      </c>
      <c r="CM52" s="63">
        <v>370</v>
      </c>
      <c r="CN52" s="63">
        <v>41</v>
      </c>
      <c r="CO52" s="63">
        <v>2055</v>
      </c>
      <c r="CP52" s="63">
        <v>752323</v>
      </c>
      <c r="CQ52" s="63">
        <v>169273</v>
      </c>
      <c r="CR52" s="63">
        <v>18808</v>
      </c>
      <c r="CS52" s="63">
        <v>940404</v>
      </c>
      <c r="CU52" s="141" t="s">
        <v>685</v>
      </c>
      <c r="CV52" s="157" t="s">
        <v>964</v>
      </c>
      <c r="CW52" s="156" t="s">
        <v>965</v>
      </c>
      <c r="CX52" s="345"/>
      <c r="CY52" s="345"/>
      <c r="CZ52" s="345"/>
    </row>
    <row r="53" spans="1:104" ht="12.75" x14ac:dyDescent="0.2">
      <c r="A53" s="90">
        <v>46</v>
      </c>
      <c r="B53" s="129" t="s">
        <v>688</v>
      </c>
      <c r="C53" s="130" t="s">
        <v>742</v>
      </c>
      <c r="D53" s="131" t="s">
        <v>743</v>
      </c>
      <c r="E53" s="132" t="s">
        <v>687</v>
      </c>
      <c r="F53" s="63">
        <v>49989752.009999998</v>
      </c>
      <c r="G53" s="63">
        <v>0</v>
      </c>
      <c r="H53" s="63">
        <v>0</v>
      </c>
      <c r="I53" s="63">
        <v>232519</v>
      </c>
      <c r="J53" s="63">
        <v>0</v>
      </c>
      <c r="K53" s="63">
        <v>232519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63">
        <v>49757233</v>
      </c>
      <c r="R53" s="474">
        <v>0.5</v>
      </c>
      <c r="S53" s="474">
        <v>0.4</v>
      </c>
      <c r="T53" s="474">
        <v>0.09</v>
      </c>
      <c r="U53" s="474">
        <v>0.01</v>
      </c>
      <c r="V53" s="474">
        <v>1</v>
      </c>
      <c r="W53" s="63">
        <v>24878617</v>
      </c>
      <c r="X53" s="63">
        <v>19902893</v>
      </c>
      <c r="Y53" s="63">
        <v>4478151</v>
      </c>
      <c r="Z53" s="63">
        <v>497572</v>
      </c>
      <c r="AA53" s="63">
        <v>49757233</v>
      </c>
      <c r="AB53" s="63">
        <v>0</v>
      </c>
      <c r="AC53" s="63">
        <v>0</v>
      </c>
      <c r="AD53" s="63">
        <v>0</v>
      </c>
      <c r="AE53" s="63">
        <v>0</v>
      </c>
      <c r="AF53" s="63">
        <v>0</v>
      </c>
      <c r="AG53" s="63">
        <v>0</v>
      </c>
      <c r="AH53" s="63">
        <v>0</v>
      </c>
      <c r="AI53" s="63">
        <v>0</v>
      </c>
      <c r="AJ53" s="63">
        <v>0</v>
      </c>
      <c r="AK53" s="63">
        <v>0</v>
      </c>
      <c r="AL53" s="63">
        <v>24878617</v>
      </c>
      <c r="AM53" s="63">
        <v>19902893</v>
      </c>
      <c r="AN53" s="63">
        <v>4478151</v>
      </c>
      <c r="AO53" s="63">
        <v>497572</v>
      </c>
      <c r="AP53" s="63">
        <v>49757233</v>
      </c>
      <c r="AQ53" s="63">
        <v>232519</v>
      </c>
      <c r="AR53" s="63">
        <v>232519</v>
      </c>
      <c r="AS53" s="63">
        <v>0</v>
      </c>
      <c r="AT53" s="63">
        <v>0</v>
      </c>
      <c r="AU53" s="63">
        <v>0</v>
      </c>
      <c r="AV53" s="63">
        <v>0</v>
      </c>
      <c r="AW53" s="63">
        <v>0</v>
      </c>
      <c r="AX53" s="63">
        <v>0</v>
      </c>
      <c r="AY53" s="63">
        <v>0</v>
      </c>
      <c r="AZ53" s="63">
        <v>0</v>
      </c>
      <c r="BA53" s="63">
        <v>0</v>
      </c>
      <c r="BB53" s="63">
        <v>0</v>
      </c>
      <c r="BC53" s="63">
        <v>0</v>
      </c>
      <c r="BD53" s="63">
        <v>0</v>
      </c>
      <c r="BE53" s="63">
        <v>0</v>
      </c>
      <c r="BF53" s="63">
        <v>0</v>
      </c>
      <c r="BG53" s="63">
        <v>0</v>
      </c>
      <c r="BH53" s="63">
        <v>-2538925</v>
      </c>
      <c r="BI53" s="63">
        <v>-2031140</v>
      </c>
      <c r="BJ53" s="63">
        <v>-457007</v>
      </c>
      <c r="BK53" s="63">
        <v>-50779</v>
      </c>
      <c r="BL53" s="63">
        <v>-5077851</v>
      </c>
      <c r="BM53" s="63">
        <v>22339692</v>
      </c>
      <c r="BN53" s="63">
        <v>18104272</v>
      </c>
      <c r="BO53" s="63">
        <v>4021144</v>
      </c>
      <c r="BP53" s="63">
        <v>446793</v>
      </c>
      <c r="BQ53" s="63">
        <v>44911901</v>
      </c>
      <c r="BR53" s="63">
        <v>287852</v>
      </c>
      <c r="BS53" s="63">
        <v>64767</v>
      </c>
      <c r="BT53" s="63">
        <v>7196</v>
      </c>
      <c r="BU53" s="63">
        <v>359815</v>
      </c>
      <c r="BV53" s="63">
        <v>709282</v>
      </c>
      <c r="BW53" s="63">
        <v>159588</v>
      </c>
      <c r="BX53" s="63">
        <v>17732</v>
      </c>
      <c r="BY53" s="63">
        <v>886602</v>
      </c>
      <c r="BZ53" s="63">
        <v>693</v>
      </c>
      <c r="CA53" s="63">
        <v>156</v>
      </c>
      <c r="CB53" s="63">
        <v>17</v>
      </c>
      <c r="CC53" s="63">
        <v>866</v>
      </c>
      <c r="CD53" s="63">
        <v>0</v>
      </c>
      <c r="CE53" s="63">
        <v>0</v>
      </c>
      <c r="CF53" s="63">
        <v>0</v>
      </c>
      <c r="CG53" s="63">
        <v>0</v>
      </c>
      <c r="CH53" s="63">
        <v>18820</v>
      </c>
      <c r="CI53" s="63">
        <v>4235</v>
      </c>
      <c r="CJ53" s="63">
        <v>471</v>
      </c>
      <c r="CK53" s="63">
        <v>23526</v>
      </c>
      <c r="CL53" s="63">
        <v>4385</v>
      </c>
      <c r="CM53" s="63">
        <v>987</v>
      </c>
      <c r="CN53" s="63">
        <v>110</v>
      </c>
      <c r="CO53" s="63">
        <v>5482</v>
      </c>
      <c r="CP53" s="63">
        <v>1021032</v>
      </c>
      <c r="CQ53" s="63">
        <v>229733</v>
      </c>
      <c r="CR53" s="63">
        <v>25526</v>
      </c>
      <c r="CS53" s="63">
        <v>1276291</v>
      </c>
      <c r="CU53" s="141" t="s">
        <v>687</v>
      </c>
      <c r="CV53" s="157" t="s">
        <v>934</v>
      </c>
      <c r="CW53" s="156" t="s">
        <v>935</v>
      </c>
      <c r="CX53" s="345"/>
      <c r="CY53" s="345"/>
      <c r="CZ53" s="345"/>
    </row>
    <row r="54" spans="1:104" ht="12.75" x14ac:dyDescent="0.2">
      <c r="A54" s="90">
        <v>47</v>
      </c>
      <c r="B54" s="129" t="s">
        <v>690</v>
      </c>
      <c r="C54" s="130" t="s">
        <v>742</v>
      </c>
      <c r="D54" s="131" t="s">
        <v>744</v>
      </c>
      <c r="E54" s="132" t="s">
        <v>689</v>
      </c>
      <c r="F54" s="63">
        <v>44362517</v>
      </c>
      <c r="G54" s="63">
        <v>0</v>
      </c>
      <c r="H54" s="63">
        <v>0</v>
      </c>
      <c r="I54" s="63">
        <v>181291</v>
      </c>
      <c r="J54" s="63">
        <v>0</v>
      </c>
      <c r="K54" s="63">
        <v>181291</v>
      </c>
      <c r="L54" s="63">
        <v>0</v>
      </c>
      <c r="M54" s="63">
        <v>0</v>
      </c>
      <c r="N54" s="63">
        <v>26601</v>
      </c>
      <c r="O54" s="63">
        <v>26601</v>
      </c>
      <c r="P54" s="63">
        <v>0</v>
      </c>
      <c r="Q54" s="63">
        <v>44154625</v>
      </c>
      <c r="R54" s="474">
        <v>0.5</v>
      </c>
      <c r="S54" s="474">
        <v>0.4</v>
      </c>
      <c r="T54" s="474">
        <v>0.1</v>
      </c>
      <c r="U54" s="474">
        <v>0</v>
      </c>
      <c r="V54" s="474">
        <v>1</v>
      </c>
      <c r="W54" s="63">
        <v>22077312</v>
      </c>
      <c r="X54" s="63">
        <v>17661850</v>
      </c>
      <c r="Y54" s="63">
        <v>4415463</v>
      </c>
      <c r="Z54" s="63">
        <v>0</v>
      </c>
      <c r="AA54" s="63">
        <v>44154625</v>
      </c>
      <c r="AB54" s="63">
        <v>0</v>
      </c>
      <c r="AC54" s="63">
        <v>0</v>
      </c>
      <c r="AD54" s="63">
        <v>0</v>
      </c>
      <c r="AE54" s="63">
        <v>0</v>
      </c>
      <c r="AF54" s="63">
        <v>0</v>
      </c>
      <c r="AG54" s="63">
        <v>0</v>
      </c>
      <c r="AH54" s="63">
        <v>0</v>
      </c>
      <c r="AI54" s="63">
        <v>0</v>
      </c>
      <c r="AJ54" s="63">
        <v>0</v>
      </c>
      <c r="AK54" s="63">
        <v>0</v>
      </c>
      <c r="AL54" s="63">
        <v>22077312</v>
      </c>
      <c r="AM54" s="63">
        <v>17661850</v>
      </c>
      <c r="AN54" s="63">
        <v>4415463</v>
      </c>
      <c r="AO54" s="63">
        <v>0</v>
      </c>
      <c r="AP54" s="63">
        <v>44154625</v>
      </c>
      <c r="AQ54" s="63">
        <v>181291</v>
      </c>
      <c r="AR54" s="63">
        <v>181291</v>
      </c>
      <c r="AS54" s="63">
        <v>0</v>
      </c>
      <c r="AT54" s="63">
        <v>0</v>
      </c>
      <c r="AU54" s="63">
        <v>26601</v>
      </c>
      <c r="AV54" s="63">
        <v>0</v>
      </c>
      <c r="AW54" s="63">
        <v>26601</v>
      </c>
      <c r="AX54" s="63">
        <v>0</v>
      </c>
      <c r="AY54" s="63">
        <v>0</v>
      </c>
      <c r="AZ54" s="63">
        <v>0</v>
      </c>
      <c r="BA54" s="63">
        <v>0</v>
      </c>
      <c r="BB54" s="63">
        <v>0</v>
      </c>
      <c r="BC54" s="63">
        <v>0</v>
      </c>
      <c r="BD54" s="63">
        <v>0</v>
      </c>
      <c r="BE54" s="63">
        <v>0</v>
      </c>
      <c r="BF54" s="63">
        <v>0</v>
      </c>
      <c r="BG54" s="63">
        <v>0</v>
      </c>
      <c r="BH54" s="63">
        <v>-197924</v>
      </c>
      <c r="BI54" s="63">
        <v>-158340</v>
      </c>
      <c r="BJ54" s="63">
        <v>-39585</v>
      </c>
      <c r="BK54" s="63">
        <v>0</v>
      </c>
      <c r="BL54" s="63">
        <v>-395849</v>
      </c>
      <c r="BM54" s="63">
        <v>21879388</v>
      </c>
      <c r="BN54" s="63">
        <v>17711402</v>
      </c>
      <c r="BO54" s="63">
        <v>4375878</v>
      </c>
      <c r="BP54" s="63">
        <v>0</v>
      </c>
      <c r="BQ54" s="63">
        <v>43966668</v>
      </c>
      <c r="BR54" s="63">
        <v>255825</v>
      </c>
      <c r="BS54" s="63">
        <v>63860</v>
      </c>
      <c r="BT54" s="63">
        <v>0</v>
      </c>
      <c r="BU54" s="63">
        <v>319685</v>
      </c>
      <c r="BV54" s="63">
        <v>533350</v>
      </c>
      <c r="BW54" s="63">
        <v>128188</v>
      </c>
      <c r="BX54" s="63">
        <v>0</v>
      </c>
      <c r="BY54" s="63">
        <v>661538</v>
      </c>
      <c r="BZ54" s="63">
        <v>5807</v>
      </c>
      <c r="CA54" s="63">
        <v>1452</v>
      </c>
      <c r="CB54" s="63">
        <v>0</v>
      </c>
      <c r="CC54" s="63">
        <v>7259</v>
      </c>
      <c r="CD54" s="63">
        <v>1448</v>
      </c>
      <c r="CE54" s="63">
        <v>362</v>
      </c>
      <c r="CF54" s="63">
        <v>0</v>
      </c>
      <c r="CG54" s="63">
        <v>1810</v>
      </c>
      <c r="CH54" s="63">
        <v>25080</v>
      </c>
      <c r="CI54" s="63">
        <v>6270</v>
      </c>
      <c r="CJ54" s="63">
        <v>0</v>
      </c>
      <c r="CK54" s="63">
        <v>31350</v>
      </c>
      <c r="CL54" s="63">
        <v>3246</v>
      </c>
      <c r="CM54" s="63">
        <v>812</v>
      </c>
      <c r="CN54" s="63">
        <v>0</v>
      </c>
      <c r="CO54" s="63">
        <v>4058</v>
      </c>
      <c r="CP54" s="63">
        <v>824756</v>
      </c>
      <c r="CQ54" s="63">
        <v>200944</v>
      </c>
      <c r="CR54" s="63">
        <v>0</v>
      </c>
      <c r="CS54" s="63">
        <v>1025700</v>
      </c>
      <c r="CU54" s="141" t="s">
        <v>689</v>
      </c>
      <c r="CV54" s="157" t="s">
        <v>929</v>
      </c>
      <c r="CW54" s="156" t="s">
        <v>928</v>
      </c>
      <c r="CX54" s="345"/>
      <c r="CY54" s="345"/>
      <c r="CZ54" s="345"/>
    </row>
    <row r="55" spans="1:104" ht="12.75" x14ac:dyDescent="0.2">
      <c r="A55" s="90">
        <v>48</v>
      </c>
      <c r="B55" s="129" t="s">
        <v>692</v>
      </c>
      <c r="C55" s="130" t="s">
        <v>742</v>
      </c>
      <c r="D55" s="131" t="s">
        <v>746</v>
      </c>
      <c r="E55" s="132" t="s">
        <v>691</v>
      </c>
      <c r="F55" s="63">
        <v>15257840</v>
      </c>
      <c r="G55" s="63">
        <v>0</v>
      </c>
      <c r="H55" s="63">
        <v>0</v>
      </c>
      <c r="I55" s="63">
        <v>81221</v>
      </c>
      <c r="J55" s="63">
        <v>0</v>
      </c>
      <c r="K55" s="63">
        <v>81221</v>
      </c>
      <c r="L55" s="63">
        <v>0</v>
      </c>
      <c r="M55" s="63">
        <v>0</v>
      </c>
      <c r="N55" s="63">
        <v>0</v>
      </c>
      <c r="O55" s="63">
        <v>0</v>
      </c>
      <c r="P55" s="63">
        <v>0</v>
      </c>
      <c r="Q55" s="63">
        <v>15176619</v>
      </c>
      <c r="R55" s="474">
        <v>0.5</v>
      </c>
      <c r="S55" s="474">
        <v>0.4</v>
      </c>
      <c r="T55" s="474">
        <v>0.09</v>
      </c>
      <c r="U55" s="474">
        <v>0.01</v>
      </c>
      <c r="V55" s="474">
        <v>1</v>
      </c>
      <c r="W55" s="63">
        <v>7588309</v>
      </c>
      <c r="X55" s="63">
        <v>6070648</v>
      </c>
      <c r="Y55" s="63">
        <v>1365896</v>
      </c>
      <c r="Z55" s="63">
        <v>151766</v>
      </c>
      <c r="AA55" s="63">
        <v>15176619</v>
      </c>
      <c r="AB55" s="63">
        <v>0</v>
      </c>
      <c r="AC55" s="63">
        <v>0</v>
      </c>
      <c r="AD55" s="63">
        <v>0</v>
      </c>
      <c r="AE55" s="63">
        <v>0</v>
      </c>
      <c r="AF55" s="63">
        <v>0</v>
      </c>
      <c r="AG55" s="63">
        <v>0</v>
      </c>
      <c r="AH55" s="63">
        <v>0</v>
      </c>
      <c r="AI55" s="63">
        <v>0</v>
      </c>
      <c r="AJ55" s="63">
        <v>0</v>
      </c>
      <c r="AK55" s="63">
        <v>0</v>
      </c>
      <c r="AL55" s="63">
        <v>7588309</v>
      </c>
      <c r="AM55" s="63">
        <v>6070648</v>
      </c>
      <c r="AN55" s="63">
        <v>1365896</v>
      </c>
      <c r="AO55" s="63">
        <v>151766</v>
      </c>
      <c r="AP55" s="63">
        <v>15176619</v>
      </c>
      <c r="AQ55" s="63">
        <v>81221</v>
      </c>
      <c r="AR55" s="63">
        <v>81221</v>
      </c>
      <c r="AS55" s="63">
        <v>0</v>
      </c>
      <c r="AT55" s="63">
        <v>0</v>
      </c>
      <c r="AU55" s="63">
        <v>0</v>
      </c>
      <c r="AV55" s="63">
        <v>0</v>
      </c>
      <c r="AW55" s="63">
        <v>0</v>
      </c>
      <c r="AX55" s="63">
        <v>0</v>
      </c>
      <c r="AY55" s="63">
        <v>0</v>
      </c>
      <c r="AZ55" s="63">
        <v>0</v>
      </c>
      <c r="BA55" s="63">
        <v>0</v>
      </c>
      <c r="BB55" s="63">
        <v>0</v>
      </c>
      <c r="BC55" s="63">
        <v>0</v>
      </c>
      <c r="BD55" s="63">
        <v>0</v>
      </c>
      <c r="BE55" s="63">
        <v>0</v>
      </c>
      <c r="BF55" s="63">
        <v>0</v>
      </c>
      <c r="BG55" s="63">
        <v>0</v>
      </c>
      <c r="BH55" s="63">
        <v>-1269646</v>
      </c>
      <c r="BI55" s="63">
        <v>-1015717</v>
      </c>
      <c r="BJ55" s="63">
        <v>-228536</v>
      </c>
      <c r="BK55" s="63">
        <v>-25393</v>
      </c>
      <c r="BL55" s="63">
        <v>-2539292</v>
      </c>
      <c r="BM55" s="63">
        <v>6318663</v>
      </c>
      <c r="BN55" s="63">
        <v>5136152</v>
      </c>
      <c r="BO55" s="63">
        <v>1137360</v>
      </c>
      <c r="BP55" s="63">
        <v>126373</v>
      </c>
      <c r="BQ55" s="63">
        <v>12718548</v>
      </c>
      <c r="BR55" s="63">
        <v>87799</v>
      </c>
      <c r="BS55" s="63">
        <v>19755</v>
      </c>
      <c r="BT55" s="63">
        <v>2195</v>
      </c>
      <c r="BU55" s="63">
        <v>109749</v>
      </c>
      <c r="BV55" s="63">
        <v>368218</v>
      </c>
      <c r="BW55" s="63">
        <v>82849</v>
      </c>
      <c r="BX55" s="63">
        <v>9205</v>
      </c>
      <c r="BY55" s="63">
        <v>460272</v>
      </c>
      <c r="BZ55" s="63">
        <v>767</v>
      </c>
      <c r="CA55" s="63">
        <v>172</v>
      </c>
      <c r="CB55" s="63">
        <v>19</v>
      </c>
      <c r="CC55" s="63">
        <v>958</v>
      </c>
      <c r="CD55" s="63">
        <v>0</v>
      </c>
      <c r="CE55" s="63">
        <v>0</v>
      </c>
      <c r="CF55" s="63">
        <v>0</v>
      </c>
      <c r="CG55" s="63">
        <v>0</v>
      </c>
      <c r="CH55" s="63">
        <v>2484</v>
      </c>
      <c r="CI55" s="63">
        <v>559</v>
      </c>
      <c r="CJ55" s="63">
        <v>62</v>
      </c>
      <c r="CK55" s="63">
        <v>3105</v>
      </c>
      <c r="CL55" s="63">
        <v>0</v>
      </c>
      <c r="CM55" s="63">
        <v>0</v>
      </c>
      <c r="CN55" s="63">
        <v>0</v>
      </c>
      <c r="CO55" s="63">
        <v>0</v>
      </c>
      <c r="CP55" s="63">
        <v>459268</v>
      </c>
      <c r="CQ55" s="63">
        <v>103335</v>
      </c>
      <c r="CR55" s="63">
        <v>11481</v>
      </c>
      <c r="CS55" s="63">
        <v>574084</v>
      </c>
      <c r="CU55" s="141" t="s">
        <v>691</v>
      </c>
      <c r="CV55" s="157" t="s">
        <v>943</v>
      </c>
      <c r="CW55" s="156" t="s">
        <v>944</v>
      </c>
      <c r="CX55" s="345"/>
      <c r="CY55" s="345"/>
      <c r="CZ55" s="345"/>
    </row>
    <row r="56" spans="1:104" ht="12.75" x14ac:dyDescent="0.2">
      <c r="A56" s="90">
        <v>49</v>
      </c>
      <c r="B56" s="129" t="s">
        <v>694</v>
      </c>
      <c r="C56" s="130" t="s">
        <v>501</v>
      </c>
      <c r="D56" s="131" t="s">
        <v>746</v>
      </c>
      <c r="E56" s="132" t="s">
        <v>693</v>
      </c>
      <c r="F56" s="63">
        <v>86137411</v>
      </c>
      <c r="G56" s="63">
        <v>0</v>
      </c>
      <c r="H56" s="63">
        <v>0</v>
      </c>
      <c r="I56" s="63">
        <v>312185</v>
      </c>
      <c r="J56" s="63">
        <v>0</v>
      </c>
      <c r="K56" s="63">
        <v>312185</v>
      </c>
      <c r="L56" s="63">
        <v>0</v>
      </c>
      <c r="M56" s="63">
        <v>0</v>
      </c>
      <c r="N56" s="63">
        <v>401000</v>
      </c>
      <c r="O56" s="63">
        <v>401000</v>
      </c>
      <c r="P56" s="63">
        <v>0</v>
      </c>
      <c r="Q56" s="63">
        <v>85424226</v>
      </c>
      <c r="R56" s="474">
        <v>0.5</v>
      </c>
      <c r="S56" s="474">
        <v>0.49</v>
      </c>
      <c r="T56" s="474">
        <v>0</v>
      </c>
      <c r="U56" s="474">
        <v>0.01</v>
      </c>
      <c r="V56" s="474">
        <v>1</v>
      </c>
      <c r="W56" s="63">
        <v>42712113</v>
      </c>
      <c r="X56" s="63">
        <v>41857871</v>
      </c>
      <c r="Y56" s="63">
        <v>0</v>
      </c>
      <c r="Z56" s="63">
        <v>854242</v>
      </c>
      <c r="AA56" s="63">
        <v>85424226</v>
      </c>
      <c r="AB56" s="63">
        <v>0</v>
      </c>
      <c r="AC56" s="63">
        <v>0</v>
      </c>
      <c r="AD56" s="63">
        <v>0</v>
      </c>
      <c r="AE56" s="63">
        <v>0</v>
      </c>
      <c r="AF56" s="63">
        <v>0</v>
      </c>
      <c r="AG56" s="63">
        <v>0</v>
      </c>
      <c r="AH56" s="63">
        <v>0</v>
      </c>
      <c r="AI56" s="63">
        <v>0</v>
      </c>
      <c r="AJ56" s="63">
        <v>0</v>
      </c>
      <c r="AK56" s="63">
        <v>0</v>
      </c>
      <c r="AL56" s="63">
        <v>42712113</v>
      </c>
      <c r="AM56" s="63">
        <v>41857871</v>
      </c>
      <c r="AN56" s="63">
        <v>0</v>
      </c>
      <c r="AO56" s="63">
        <v>854242</v>
      </c>
      <c r="AP56" s="63">
        <v>85424226</v>
      </c>
      <c r="AQ56" s="63">
        <v>312185</v>
      </c>
      <c r="AR56" s="63">
        <v>312185</v>
      </c>
      <c r="AS56" s="63">
        <v>0</v>
      </c>
      <c r="AT56" s="63">
        <v>0</v>
      </c>
      <c r="AU56" s="63">
        <v>401000</v>
      </c>
      <c r="AV56" s="63">
        <v>0</v>
      </c>
      <c r="AW56" s="63">
        <v>401000</v>
      </c>
      <c r="AX56" s="63">
        <v>0</v>
      </c>
      <c r="AY56" s="63">
        <v>0</v>
      </c>
      <c r="AZ56" s="63">
        <v>0</v>
      </c>
      <c r="BA56" s="63">
        <v>0</v>
      </c>
      <c r="BB56" s="63">
        <v>0</v>
      </c>
      <c r="BC56" s="63">
        <v>0</v>
      </c>
      <c r="BD56" s="63">
        <v>0</v>
      </c>
      <c r="BE56" s="63">
        <v>0</v>
      </c>
      <c r="BF56" s="63">
        <v>0</v>
      </c>
      <c r="BG56" s="63">
        <v>0</v>
      </c>
      <c r="BH56" s="63">
        <v>-2728000</v>
      </c>
      <c r="BI56" s="63">
        <v>-2673440</v>
      </c>
      <c r="BJ56" s="63">
        <v>0</v>
      </c>
      <c r="BK56" s="63">
        <v>-54560</v>
      </c>
      <c r="BL56" s="63">
        <v>-5456000</v>
      </c>
      <c r="BM56" s="63">
        <v>39984113</v>
      </c>
      <c r="BN56" s="63">
        <v>39897616</v>
      </c>
      <c r="BO56" s="63">
        <v>0</v>
      </c>
      <c r="BP56" s="63">
        <v>799682</v>
      </c>
      <c r="BQ56" s="63">
        <v>80681411</v>
      </c>
      <c r="BR56" s="63">
        <v>611182</v>
      </c>
      <c r="BS56" s="63">
        <v>0</v>
      </c>
      <c r="BT56" s="63">
        <v>12355</v>
      </c>
      <c r="BU56" s="63">
        <v>623537</v>
      </c>
      <c r="BV56" s="63">
        <v>1186565</v>
      </c>
      <c r="BW56" s="63">
        <v>0</v>
      </c>
      <c r="BX56" s="63">
        <v>24216</v>
      </c>
      <c r="BY56" s="63">
        <v>1210781</v>
      </c>
      <c r="BZ56" s="63">
        <v>0</v>
      </c>
      <c r="CA56" s="63">
        <v>0</v>
      </c>
      <c r="CB56" s="63">
        <v>0</v>
      </c>
      <c r="CC56" s="63">
        <v>0</v>
      </c>
      <c r="CD56" s="63">
        <v>25447</v>
      </c>
      <c r="CE56" s="63">
        <v>0</v>
      </c>
      <c r="CF56" s="63">
        <v>519</v>
      </c>
      <c r="CG56" s="63">
        <v>25966</v>
      </c>
      <c r="CH56" s="63">
        <v>20999</v>
      </c>
      <c r="CI56" s="63">
        <v>0</v>
      </c>
      <c r="CJ56" s="63">
        <v>429</v>
      </c>
      <c r="CK56" s="63">
        <v>21428</v>
      </c>
      <c r="CL56" s="63">
        <v>6931</v>
      </c>
      <c r="CM56" s="63">
        <v>0</v>
      </c>
      <c r="CN56" s="63">
        <v>141</v>
      </c>
      <c r="CO56" s="63">
        <v>7072</v>
      </c>
      <c r="CP56" s="63">
        <v>1851124</v>
      </c>
      <c r="CQ56" s="63">
        <v>0</v>
      </c>
      <c r="CR56" s="63">
        <v>37660</v>
      </c>
      <c r="CS56" s="63">
        <v>1888784</v>
      </c>
      <c r="CU56" s="141" t="s">
        <v>693</v>
      </c>
      <c r="CV56" s="157" t="s">
        <v>501</v>
      </c>
      <c r="CW56" s="156" t="s">
        <v>948</v>
      </c>
      <c r="CX56" s="345"/>
      <c r="CY56" s="345"/>
      <c r="CZ56" s="345"/>
    </row>
    <row r="57" spans="1:104" ht="12.75" x14ac:dyDescent="0.2">
      <c r="A57" s="90">
        <v>50</v>
      </c>
      <c r="B57" s="129" t="s">
        <v>696</v>
      </c>
      <c r="C57" s="130" t="s">
        <v>742</v>
      </c>
      <c r="D57" s="131" t="s">
        <v>745</v>
      </c>
      <c r="E57" s="132" t="s">
        <v>695</v>
      </c>
      <c r="F57" s="63">
        <v>45341047</v>
      </c>
      <c r="G57" s="63">
        <v>0</v>
      </c>
      <c r="H57" s="63">
        <v>0</v>
      </c>
      <c r="I57" s="63">
        <v>192135</v>
      </c>
      <c r="J57" s="63">
        <v>0</v>
      </c>
      <c r="K57" s="63">
        <v>192135</v>
      </c>
      <c r="L57" s="63">
        <v>0</v>
      </c>
      <c r="M57" s="63">
        <v>0</v>
      </c>
      <c r="N57" s="63">
        <v>152828</v>
      </c>
      <c r="O57" s="63">
        <v>152828</v>
      </c>
      <c r="P57" s="63">
        <v>0</v>
      </c>
      <c r="Q57" s="63">
        <v>44996084</v>
      </c>
      <c r="R57" s="474">
        <v>0.5</v>
      </c>
      <c r="S57" s="474">
        <v>0.4</v>
      </c>
      <c r="T57" s="474">
        <v>0.09</v>
      </c>
      <c r="U57" s="474">
        <v>0.01</v>
      </c>
      <c r="V57" s="474">
        <v>1</v>
      </c>
      <c r="W57" s="63">
        <v>22498041</v>
      </c>
      <c r="X57" s="63">
        <v>17998434</v>
      </c>
      <c r="Y57" s="63">
        <v>4049648</v>
      </c>
      <c r="Z57" s="63">
        <v>449961</v>
      </c>
      <c r="AA57" s="63">
        <v>44996084</v>
      </c>
      <c r="AB57" s="63">
        <v>0</v>
      </c>
      <c r="AC57" s="63">
        <v>0</v>
      </c>
      <c r="AD57" s="63">
        <v>0</v>
      </c>
      <c r="AE57" s="63">
        <v>0</v>
      </c>
      <c r="AF57" s="63">
        <v>0</v>
      </c>
      <c r="AG57" s="63">
        <v>0</v>
      </c>
      <c r="AH57" s="63">
        <v>0</v>
      </c>
      <c r="AI57" s="63">
        <v>0</v>
      </c>
      <c r="AJ57" s="63">
        <v>0</v>
      </c>
      <c r="AK57" s="63">
        <v>0</v>
      </c>
      <c r="AL57" s="63">
        <v>22498041</v>
      </c>
      <c r="AM57" s="63">
        <v>17998434</v>
      </c>
      <c r="AN57" s="63">
        <v>4049648</v>
      </c>
      <c r="AO57" s="63">
        <v>449961</v>
      </c>
      <c r="AP57" s="63">
        <v>44996084</v>
      </c>
      <c r="AQ57" s="63">
        <v>192135</v>
      </c>
      <c r="AR57" s="63">
        <v>192135</v>
      </c>
      <c r="AS57" s="63">
        <v>0</v>
      </c>
      <c r="AT57" s="63">
        <v>0</v>
      </c>
      <c r="AU57" s="63">
        <v>152828</v>
      </c>
      <c r="AV57" s="63">
        <v>0</v>
      </c>
      <c r="AW57" s="63">
        <v>152828</v>
      </c>
      <c r="AX57" s="63">
        <v>0</v>
      </c>
      <c r="AY57" s="63">
        <v>0</v>
      </c>
      <c r="AZ57" s="63">
        <v>0</v>
      </c>
      <c r="BA57" s="63">
        <v>0</v>
      </c>
      <c r="BB57" s="63">
        <v>0</v>
      </c>
      <c r="BC57" s="63">
        <v>0</v>
      </c>
      <c r="BD57" s="63">
        <v>0</v>
      </c>
      <c r="BE57" s="63">
        <v>0</v>
      </c>
      <c r="BF57" s="63">
        <v>0</v>
      </c>
      <c r="BG57" s="63">
        <v>0</v>
      </c>
      <c r="BH57" s="63">
        <v>-428962</v>
      </c>
      <c r="BI57" s="63">
        <v>-343169</v>
      </c>
      <c r="BJ57" s="63">
        <v>-77213</v>
      </c>
      <c r="BK57" s="63">
        <v>-8579</v>
      </c>
      <c r="BL57" s="63">
        <v>-857923</v>
      </c>
      <c r="BM57" s="63">
        <v>22069079</v>
      </c>
      <c r="BN57" s="63">
        <v>18000228</v>
      </c>
      <c r="BO57" s="63">
        <v>3972435</v>
      </c>
      <c r="BP57" s="63">
        <v>441382</v>
      </c>
      <c r="BQ57" s="63">
        <v>44483124</v>
      </c>
      <c r="BR57" s="63">
        <v>262518</v>
      </c>
      <c r="BS57" s="63">
        <v>58569</v>
      </c>
      <c r="BT57" s="63">
        <v>6508</v>
      </c>
      <c r="BU57" s="63">
        <v>327595</v>
      </c>
      <c r="BV57" s="63">
        <v>654768</v>
      </c>
      <c r="BW57" s="63">
        <v>147323</v>
      </c>
      <c r="BX57" s="63">
        <v>16369</v>
      </c>
      <c r="BY57" s="63">
        <v>818460</v>
      </c>
      <c r="BZ57" s="63">
        <v>5074</v>
      </c>
      <c r="CA57" s="63">
        <v>1142</v>
      </c>
      <c r="CB57" s="63">
        <v>127</v>
      </c>
      <c r="CC57" s="63">
        <v>6343</v>
      </c>
      <c r="CD57" s="63">
        <v>20290</v>
      </c>
      <c r="CE57" s="63">
        <v>4565</v>
      </c>
      <c r="CF57" s="63">
        <v>507</v>
      </c>
      <c r="CG57" s="63">
        <v>25362</v>
      </c>
      <c r="CH57" s="63">
        <v>9536</v>
      </c>
      <c r="CI57" s="63">
        <v>2146</v>
      </c>
      <c r="CJ57" s="63">
        <v>238</v>
      </c>
      <c r="CK57" s="63">
        <v>11920</v>
      </c>
      <c r="CL57" s="63">
        <v>1015</v>
      </c>
      <c r="CM57" s="63">
        <v>228</v>
      </c>
      <c r="CN57" s="63">
        <v>25</v>
      </c>
      <c r="CO57" s="63">
        <v>1268</v>
      </c>
      <c r="CP57" s="63">
        <v>953201</v>
      </c>
      <c r="CQ57" s="63">
        <v>213973</v>
      </c>
      <c r="CR57" s="63">
        <v>23774</v>
      </c>
      <c r="CS57" s="63">
        <v>1190948</v>
      </c>
      <c r="CU57" s="141" t="s">
        <v>695</v>
      </c>
      <c r="CV57" s="157" t="s">
        <v>950</v>
      </c>
      <c r="CW57" s="156" t="s">
        <v>951</v>
      </c>
      <c r="CX57" s="345"/>
      <c r="CY57" s="345"/>
      <c r="CZ57" s="345"/>
    </row>
    <row r="58" spans="1:104" ht="12.75" x14ac:dyDescent="0.2">
      <c r="A58" s="90">
        <v>51</v>
      </c>
      <c r="B58" s="129" t="s">
        <v>698</v>
      </c>
      <c r="C58" s="130" t="s">
        <v>742</v>
      </c>
      <c r="D58" s="131" t="s">
        <v>746</v>
      </c>
      <c r="E58" s="132" t="s">
        <v>697</v>
      </c>
      <c r="F58" s="63">
        <v>77530667</v>
      </c>
      <c r="G58" s="63">
        <v>0</v>
      </c>
      <c r="H58" s="63">
        <v>0</v>
      </c>
      <c r="I58" s="63">
        <v>224442</v>
      </c>
      <c r="J58" s="63">
        <v>0</v>
      </c>
      <c r="K58" s="63">
        <v>224442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63">
        <v>77306225</v>
      </c>
      <c r="R58" s="474">
        <v>0.5</v>
      </c>
      <c r="S58" s="474">
        <v>0.4</v>
      </c>
      <c r="T58" s="474">
        <v>0.09</v>
      </c>
      <c r="U58" s="474">
        <v>0.01</v>
      </c>
      <c r="V58" s="474">
        <v>1</v>
      </c>
      <c r="W58" s="63">
        <v>38653113</v>
      </c>
      <c r="X58" s="63">
        <v>30922490</v>
      </c>
      <c r="Y58" s="63">
        <v>6957560</v>
      </c>
      <c r="Z58" s="63">
        <v>773062</v>
      </c>
      <c r="AA58" s="63">
        <v>77306225</v>
      </c>
      <c r="AB58" s="63">
        <v>0</v>
      </c>
      <c r="AC58" s="63">
        <v>0</v>
      </c>
      <c r="AD58" s="63">
        <v>0</v>
      </c>
      <c r="AE58" s="63">
        <v>0</v>
      </c>
      <c r="AF58" s="63">
        <v>0</v>
      </c>
      <c r="AG58" s="63">
        <v>0</v>
      </c>
      <c r="AH58" s="63">
        <v>0</v>
      </c>
      <c r="AI58" s="63">
        <v>0</v>
      </c>
      <c r="AJ58" s="63">
        <v>0</v>
      </c>
      <c r="AK58" s="63">
        <v>0</v>
      </c>
      <c r="AL58" s="63">
        <v>38653113</v>
      </c>
      <c r="AM58" s="63">
        <v>30922490</v>
      </c>
      <c r="AN58" s="63">
        <v>6957560</v>
      </c>
      <c r="AO58" s="63">
        <v>773062</v>
      </c>
      <c r="AP58" s="63">
        <v>77306225</v>
      </c>
      <c r="AQ58" s="63">
        <v>224442</v>
      </c>
      <c r="AR58" s="63">
        <v>224442</v>
      </c>
      <c r="AS58" s="63">
        <v>0</v>
      </c>
      <c r="AT58" s="63">
        <v>0</v>
      </c>
      <c r="AU58" s="63">
        <v>0</v>
      </c>
      <c r="AV58" s="63">
        <v>0</v>
      </c>
      <c r="AW58" s="63">
        <v>0</v>
      </c>
      <c r="AX58" s="63">
        <v>0</v>
      </c>
      <c r="AY58" s="63">
        <v>0</v>
      </c>
      <c r="AZ58" s="63">
        <v>0</v>
      </c>
      <c r="BA58" s="63">
        <v>0</v>
      </c>
      <c r="BB58" s="63">
        <v>0</v>
      </c>
      <c r="BC58" s="63">
        <v>0</v>
      </c>
      <c r="BD58" s="63">
        <v>0</v>
      </c>
      <c r="BE58" s="63">
        <v>0</v>
      </c>
      <c r="BF58" s="63">
        <v>0</v>
      </c>
      <c r="BG58" s="63">
        <v>0</v>
      </c>
      <c r="BH58" s="63">
        <v>-5895624</v>
      </c>
      <c r="BI58" s="63">
        <v>-4716498</v>
      </c>
      <c r="BJ58" s="63">
        <v>-1061212</v>
      </c>
      <c r="BK58" s="63">
        <v>-117912</v>
      </c>
      <c r="BL58" s="63">
        <v>-11791246</v>
      </c>
      <c r="BM58" s="63">
        <v>32757489</v>
      </c>
      <c r="BN58" s="63">
        <v>26430434</v>
      </c>
      <c r="BO58" s="63">
        <v>5896348</v>
      </c>
      <c r="BP58" s="63">
        <v>655150</v>
      </c>
      <c r="BQ58" s="63">
        <v>65739421</v>
      </c>
      <c r="BR58" s="63">
        <v>447226</v>
      </c>
      <c r="BS58" s="63">
        <v>100626</v>
      </c>
      <c r="BT58" s="63">
        <v>11181</v>
      </c>
      <c r="BU58" s="63">
        <v>559033</v>
      </c>
      <c r="BV58" s="63">
        <v>558526</v>
      </c>
      <c r="BW58" s="63">
        <v>125669</v>
      </c>
      <c r="BX58" s="63">
        <v>13963</v>
      </c>
      <c r="BY58" s="63">
        <v>698158</v>
      </c>
      <c r="BZ58" s="63">
        <v>0</v>
      </c>
      <c r="CA58" s="63">
        <v>0</v>
      </c>
      <c r="CB58" s="63">
        <v>0</v>
      </c>
      <c r="CC58" s="63">
        <v>0</v>
      </c>
      <c r="CD58" s="63">
        <v>847</v>
      </c>
      <c r="CE58" s="63">
        <v>191</v>
      </c>
      <c r="CF58" s="63">
        <v>21</v>
      </c>
      <c r="CG58" s="63">
        <v>1059</v>
      </c>
      <c r="CH58" s="63">
        <v>15094</v>
      </c>
      <c r="CI58" s="63">
        <v>3396</v>
      </c>
      <c r="CJ58" s="63">
        <v>377</v>
      </c>
      <c r="CK58" s="63">
        <v>18867</v>
      </c>
      <c r="CL58" s="63">
        <v>6945</v>
      </c>
      <c r="CM58" s="63">
        <v>1563</v>
      </c>
      <c r="CN58" s="63">
        <v>174</v>
      </c>
      <c r="CO58" s="63">
        <v>8682</v>
      </c>
      <c r="CP58" s="63">
        <v>1028638</v>
      </c>
      <c r="CQ58" s="63">
        <v>231445</v>
      </c>
      <c r="CR58" s="63">
        <v>25716</v>
      </c>
      <c r="CS58" s="63">
        <v>1285799</v>
      </c>
      <c r="CU58" s="141" t="s">
        <v>697</v>
      </c>
      <c r="CV58" s="157" t="s">
        <v>943</v>
      </c>
      <c r="CW58" s="156" t="s">
        <v>944</v>
      </c>
      <c r="CX58" s="345"/>
      <c r="CY58" s="345"/>
      <c r="CZ58" s="345"/>
    </row>
    <row r="59" spans="1:104" ht="12.75" x14ac:dyDescent="0.2">
      <c r="A59" s="90">
        <v>52</v>
      </c>
      <c r="B59" s="129" t="s">
        <v>700</v>
      </c>
      <c r="C59" s="130" t="s">
        <v>742</v>
      </c>
      <c r="D59" s="131" t="s">
        <v>751</v>
      </c>
      <c r="E59" s="132" t="s">
        <v>699</v>
      </c>
      <c r="F59" s="63">
        <v>56021358</v>
      </c>
      <c r="G59" s="63">
        <v>0</v>
      </c>
      <c r="H59" s="63">
        <v>0</v>
      </c>
      <c r="I59" s="63">
        <v>181383</v>
      </c>
      <c r="J59" s="63">
        <v>0</v>
      </c>
      <c r="K59" s="63">
        <v>181383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63">
        <v>55839975</v>
      </c>
      <c r="R59" s="474">
        <v>0.5</v>
      </c>
      <c r="S59" s="474">
        <v>0.4</v>
      </c>
      <c r="T59" s="474">
        <v>0.1</v>
      </c>
      <c r="U59" s="474">
        <v>0</v>
      </c>
      <c r="V59" s="474">
        <v>1</v>
      </c>
      <c r="W59" s="63">
        <v>27919987</v>
      </c>
      <c r="X59" s="63">
        <v>22335990</v>
      </c>
      <c r="Y59" s="63">
        <v>5583998</v>
      </c>
      <c r="Z59" s="63">
        <v>0</v>
      </c>
      <c r="AA59" s="63">
        <v>55839975</v>
      </c>
      <c r="AB59" s="63">
        <v>0</v>
      </c>
      <c r="AC59" s="63">
        <v>0</v>
      </c>
      <c r="AD59" s="63">
        <v>0</v>
      </c>
      <c r="AE59" s="63">
        <v>0</v>
      </c>
      <c r="AF59" s="63">
        <v>0</v>
      </c>
      <c r="AG59" s="63">
        <v>0</v>
      </c>
      <c r="AH59" s="63">
        <v>0</v>
      </c>
      <c r="AI59" s="63">
        <v>0</v>
      </c>
      <c r="AJ59" s="63">
        <v>0</v>
      </c>
      <c r="AK59" s="63">
        <v>0</v>
      </c>
      <c r="AL59" s="63">
        <v>27919987</v>
      </c>
      <c r="AM59" s="63">
        <v>22335990</v>
      </c>
      <c r="AN59" s="63">
        <v>5583998</v>
      </c>
      <c r="AO59" s="63">
        <v>0</v>
      </c>
      <c r="AP59" s="63">
        <v>55839975</v>
      </c>
      <c r="AQ59" s="63">
        <v>181383</v>
      </c>
      <c r="AR59" s="63">
        <v>181383</v>
      </c>
      <c r="AS59" s="63">
        <v>0</v>
      </c>
      <c r="AT59" s="63">
        <v>0</v>
      </c>
      <c r="AU59" s="63">
        <v>0</v>
      </c>
      <c r="AV59" s="63">
        <v>0</v>
      </c>
      <c r="AW59" s="63">
        <v>0</v>
      </c>
      <c r="AX59" s="63">
        <v>0</v>
      </c>
      <c r="AY59" s="63">
        <v>0</v>
      </c>
      <c r="AZ59" s="63">
        <v>0</v>
      </c>
      <c r="BA59" s="63">
        <v>0</v>
      </c>
      <c r="BB59" s="63">
        <v>0</v>
      </c>
      <c r="BC59" s="63">
        <v>0</v>
      </c>
      <c r="BD59" s="63">
        <v>0</v>
      </c>
      <c r="BE59" s="63">
        <v>0</v>
      </c>
      <c r="BF59" s="63">
        <v>0</v>
      </c>
      <c r="BG59" s="63">
        <v>0</v>
      </c>
      <c r="BH59" s="63">
        <v>-1286878</v>
      </c>
      <c r="BI59" s="63">
        <v>-1029503</v>
      </c>
      <c r="BJ59" s="63">
        <v>-257376</v>
      </c>
      <c r="BK59" s="63">
        <v>0</v>
      </c>
      <c r="BL59" s="63">
        <v>-2573757</v>
      </c>
      <c r="BM59" s="63">
        <v>26633109</v>
      </c>
      <c r="BN59" s="63">
        <v>21487870</v>
      </c>
      <c r="BO59" s="63">
        <v>5326622</v>
      </c>
      <c r="BP59" s="63">
        <v>0</v>
      </c>
      <c r="BQ59" s="63">
        <v>53447601</v>
      </c>
      <c r="BR59" s="63">
        <v>323041</v>
      </c>
      <c r="BS59" s="63">
        <v>80760</v>
      </c>
      <c r="BT59" s="63">
        <v>0</v>
      </c>
      <c r="BU59" s="63">
        <v>403801</v>
      </c>
      <c r="BV59" s="63">
        <v>479264</v>
      </c>
      <c r="BW59" s="63">
        <v>119816</v>
      </c>
      <c r="BX59" s="63">
        <v>0</v>
      </c>
      <c r="BY59" s="63">
        <v>599080</v>
      </c>
      <c r="BZ59" s="63">
        <v>203</v>
      </c>
      <c r="CA59" s="63">
        <v>51</v>
      </c>
      <c r="CB59" s="63">
        <v>0</v>
      </c>
      <c r="CC59" s="63">
        <v>254</v>
      </c>
      <c r="CD59" s="63">
        <v>0</v>
      </c>
      <c r="CE59" s="63">
        <v>0</v>
      </c>
      <c r="CF59" s="63">
        <v>0</v>
      </c>
      <c r="CG59" s="63">
        <v>0</v>
      </c>
      <c r="CH59" s="63">
        <v>6086</v>
      </c>
      <c r="CI59" s="63">
        <v>1522</v>
      </c>
      <c r="CJ59" s="63">
        <v>0</v>
      </c>
      <c r="CK59" s="63">
        <v>7608</v>
      </c>
      <c r="CL59" s="63">
        <v>329</v>
      </c>
      <c r="CM59" s="63">
        <v>82</v>
      </c>
      <c r="CN59" s="63">
        <v>0</v>
      </c>
      <c r="CO59" s="63">
        <v>411</v>
      </c>
      <c r="CP59" s="63">
        <v>808923</v>
      </c>
      <c r="CQ59" s="63">
        <v>202231</v>
      </c>
      <c r="CR59" s="63">
        <v>0</v>
      </c>
      <c r="CS59" s="63">
        <v>1011154</v>
      </c>
      <c r="CU59" s="141" t="s">
        <v>699</v>
      </c>
      <c r="CV59" s="157" t="s">
        <v>966</v>
      </c>
      <c r="CW59" s="156" t="s">
        <v>928</v>
      </c>
      <c r="CX59" s="345"/>
      <c r="CY59" s="345"/>
      <c r="CZ59" s="345"/>
    </row>
    <row r="60" spans="1:104" ht="12.75" x14ac:dyDescent="0.2">
      <c r="A60" s="90">
        <v>53</v>
      </c>
      <c r="B60" s="129" t="s">
        <v>702</v>
      </c>
      <c r="C60" s="130" t="s">
        <v>742</v>
      </c>
      <c r="D60" s="131" t="s">
        <v>743</v>
      </c>
      <c r="E60" s="132" t="s">
        <v>701</v>
      </c>
      <c r="F60" s="63">
        <v>78727913</v>
      </c>
      <c r="G60" s="63">
        <v>0</v>
      </c>
      <c r="H60" s="63">
        <v>0</v>
      </c>
      <c r="I60" s="63">
        <v>222918</v>
      </c>
      <c r="J60" s="63">
        <v>0</v>
      </c>
      <c r="K60" s="63">
        <v>222918</v>
      </c>
      <c r="L60" s="63">
        <v>0</v>
      </c>
      <c r="M60" s="63">
        <v>0</v>
      </c>
      <c r="N60" s="63">
        <v>517572</v>
      </c>
      <c r="O60" s="63">
        <v>244222</v>
      </c>
      <c r="P60" s="63">
        <v>273350</v>
      </c>
      <c r="Q60" s="63">
        <v>77987423</v>
      </c>
      <c r="R60" s="474">
        <v>0.5</v>
      </c>
      <c r="S60" s="474">
        <v>0.4</v>
      </c>
      <c r="T60" s="474">
        <v>0.1</v>
      </c>
      <c r="U60" s="474">
        <v>0</v>
      </c>
      <c r="V60" s="474">
        <v>1</v>
      </c>
      <c r="W60" s="63">
        <v>38993712</v>
      </c>
      <c r="X60" s="63">
        <v>31194969</v>
      </c>
      <c r="Y60" s="63">
        <v>7798742</v>
      </c>
      <c r="Z60" s="63">
        <v>0</v>
      </c>
      <c r="AA60" s="63">
        <v>77987423</v>
      </c>
      <c r="AB60" s="63">
        <v>0</v>
      </c>
      <c r="AC60" s="63">
        <v>0</v>
      </c>
      <c r="AD60" s="63">
        <v>0</v>
      </c>
      <c r="AE60" s="63">
        <v>0</v>
      </c>
      <c r="AF60" s="63">
        <v>0</v>
      </c>
      <c r="AG60" s="63">
        <v>0</v>
      </c>
      <c r="AH60" s="63">
        <v>0</v>
      </c>
      <c r="AI60" s="63">
        <v>0</v>
      </c>
      <c r="AJ60" s="63">
        <v>0</v>
      </c>
      <c r="AK60" s="63">
        <v>0</v>
      </c>
      <c r="AL60" s="63">
        <v>38993712</v>
      </c>
      <c r="AM60" s="63">
        <v>31194969</v>
      </c>
      <c r="AN60" s="63">
        <v>7798742</v>
      </c>
      <c r="AO60" s="63">
        <v>0</v>
      </c>
      <c r="AP60" s="63">
        <v>77987423</v>
      </c>
      <c r="AQ60" s="63">
        <v>222918</v>
      </c>
      <c r="AR60" s="63">
        <v>222918</v>
      </c>
      <c r="AS60" s="63">
        <v>0</v>
      </c>
      <c r="AT60" s="63">
        <v>0</v>
      </c>
      <c r="AU60" s="63">
        <v>244222</v>
      </c>
      <c r="AV60" s="63">
        <v>273350</v>
      </c>
      <c r="AW60" s="63">
        <v>517572</v>
      </c>
      <c r="AX60" s="63">
        <v>0</v>
      </c>
      <c r="AY60" s="63">
        <v>0</v>
      </c>
      <c r="AZ60" s="63">
        <v>0</v>
      </c>
      <c r="BA60" s="63">
        <v>0</v>
      </c>
      <c r="BB60" s="63">
        <v>0</v>
      </c>
      <c r="BC60" s="63">
        <v>0</v>
      </c>
      <c r="BD60" s="63">
        <v>0</v>
      </c>
      <c r="BE60" s="63">
        <v>0</v>
      </c>
      <c r="BF60" s="63">
        <v>0</v>
      </c>
      <c r="BG60" s="63">
        <v>0</v>
      </c>
      <c r="BH60" s="63">
        <v>-1945333</v>
      </c>
      <c r="BI60" s="63">
        <v>-1556266</v>
      </c>
      <c r="BJ60" s="63">
        <v>-389067</v>
      </c>
      <c r="BK60" s="63">
        <v>0</v>
      </c>
      <c r="BL60" s="63">
        <v>-3890666</v>
      </c>
      <c r="BM60" s="63">
        <v>37048379</v>
      </c>
      <c r="BN60" s="63">
        <v>30105843</v>
      </c>
      <c r="BO60" s="63">
        <v>7683025</v>
      </c>
      <c r="BP60" s="63">
        <v>0</v>
      </c>
      <c r="BQ60" s="63">
        <v>74837247</v>
      </c>
      <c r="BR60" s="63">
        <v>454699</v>
      </c>
      <c r="BS60" s="63">
        <v>116745</v>
      </c>
      <c r="BT60" s="63">
        <v>0</v>
      </c>
      <c r="BU60" s="63">
        <v>571444</v>
      </c>
      <c r="BV60" s="63">
        <v>460069</v>
      </c>
      <c r="BW60" s="63">
        <v>115017</v>
      </c>
      <c r="BX60" s="63">
        <v>0</v>
      </c>
      <c r="BY60" s="63">
        <v>575086</v>
      </c>
      <c r="BZ60" s="63">
        <v>0</v>
      </c>
      <c r="CA60" s="63">
        <v>0</v>
      </c>
      <c r="CB60" s="63">
        <v>0</v>
      </c>
      <c r="CC60" s="63">
        <v>0</v>
      </c>
      <c r="CD60" s="63">
        <v>0</v>
      </c>
      <c r="CE60" s="63">
        <v>0</v>
      </c>
      <c r="CF60" s="63">
        <v>0</v>
      </c>
      <c r="CG60" s="63">
        <v>0</v>
      </c>
      <c r="CH60" s="63">
        <v>12111</v>
      </c>
      <c r="CI60" s="63">
        <v>3028</v>
      </c>
      <c r="CJ60" s="63">
        <v>0</v>
      </c>
      <c r="CK60" s="63">
        <v>15139</v>
      </c>
      <c r="CL60" s="63">
        <v>1098</v>
      </c>
      <c r="CM60" s="63">
        <v>275</v>
      </c>
      <c r="CN60" s="63">
        <v>0</v>
      </c>
      <c r="CO60" s="63">
        <v>1373</v>
      </c>
      <c r="CP60" s="63">
        <v>927977</v>
      </c>
      <c r="CQ60" s="63">
        <v>235065</v>
      </c>
      <c r="CR60" s="63">
        <v>0</v>
      </c>
      <c r="CS60" s="63">
        <v>1163042</v>
      </c>
      <c r="CU60" s="141" t="s">
        <v>701</v>
      </c>
      <c r="CV60" s="157" t="s">
        <v>967</v>
      </c>
      <c r="CW60" s="156" t="s">
        <v>928</v>
      </c>
      <c r="CX60" s="345"/>
      <c r="CY60" s="345"/>
      <c r="CZ60" s="345"/>
    </row>
    <row r="61" spans="1:104" ht="12.75" x14ac:dyDescent="0.2">
      <c r="A61" s="90">
        <v>54</v>
      </c>
      <c r="B61" s="129" t="s">
        <v>704</v>
      </c>
      <c r="C61" s="130" t="s">
        <v>501</v>
      </c>
      <c r="D61" s="131" t="s">
        <v>744</v>
      </c>
      <c r="E61" s="132" t="s">
        <v>703</v>
      </c>
      <c r="F61" s="63">
        <v>141106033</v>
      </c>
      <c r="G61" s="63">
        <v>0</v>
      </c>
      <c r="H61" s="63">
        <v>0</v>
      </c>
      <c r="I61" s="63">
        <v>562451</v>
      </c>
      <c r="J61" s="63">
        <v>0</v>
      </c>
      <c r="K61" s="63">
        <v>562451</v>
      </c>
      <c r="L61" s="63">
        <v>0</v>
      </c>
      <c r="M61" s="63">
        <v>0</v>
      </c>
      <c r="N61" s="63">
        <v>4379</v>
      </c>
      <c r="O61" s="63">
        <v>4379</v>
      </c>
      <c r="P61" s="63">
        <v>0</v>
      </c>
      <c r="Q61" s="63">
        <v>140539203</v>
      </c>
      <c r="R61" s="474">
        <v>0.5</v>
      </c>
      <c r="S61" s="474">
        <v>0.49</v>
      </c>
      <c r="T61" s="474">
        <v>0</v>
      </c>
      <c r="U61" s="474">
        <v>0.01</v>
      </c>
      <c r="V61" s="474">
        <v>1</v>
      </c>
      <c r="W61" s="63">
        <v>70269602</v>
      </c>
      <c r="X61" s="63">
        <v>68864209</v>
      </c>
      <c r="Y61" s="63">
        <v>0</v>
      </c>
      <c r="Z61" s="63">
        <v>1405392</v>
      </c>
      <c r="AA61" s="63">
        <v>140539203</v>
      </c>
      <c r="AB61" s="63">
        <v>1250198</v>
      </c>
      <c r="AC61" s="63">
        <v>0</v>
      </c>
      <c r="AD61" s="63">
        <v>0</v>
      </c>
      <c r="AE61" s="63">
        <v>0</v>
      </c>
      <c r="AF61" s="63">
        <v>1250198</v>
      </c>
      <c r="AG61" s="63">
        <v>0</v>
      </c>
      <c r="AH61" s="63">
        <v>0</v>
      </c>
      <c r="AI61" s="63">
        <v>0</v>
      </c>
      <c r="AJ61" s="63">
        <v>0</v>
      </c>
      <c r="AK61" s="63">
        <v>0</v>
      </c>
      <c r="AL61" s="63">
        <v>69019404</v>
      </c>
      <c r="AM61" s="63">
        <v>68864209</v>
      </c>
      <c r="AN61" s="63">
        <v>0</v>
      </c>
      <c r="AO61" s="63">
        <v>1405392</v>
      </c>
      <c r="AP61" s="63">
        <v>139289005</v>
      </c>
      <c r="AQ61" s="63">
        <v>562451</v>
      </c>
      <c r="AR61" s="63">
        <v>562451</v>
      </c>
      <c r="AS61" s="63">
        <v>0</v>
      </c>
      <c r="AT61" s="63">
        <v>0</v>
      </c>
      <c r="AU61" s="63">
        <v>4379</v>
      </c>
      <c r="AV61" s="63">
        <v>0</v>
      </c>
      <c r="AW61" s="63">
        <v>4379</v>
      </c>
      <c r="AX61" s="63">
        <v>1250198</v>
      </c>
      <c r="AY61" s="63">
        <v>0</v>
      </c>
      <c r="AZ61" s="63">
        <v>0</v>
      </c>
      <c r="BA61" s="63">
        <v>1250198</v>
      </c>
      <c r="BB61" s="63">
        <v>0</v>
      </c>
      <c r="BC61" s="63">
        <v>0</v>
      </c>
      <c r="BD61" s="63">
        <v>0</v>
      </c>
      <c r="BE61" s="63">
        <v>0</v>
      </c>
      <c r="BF61" s="63">
        <v>0</v>
      </c>
      <c r="BG61" s="63">
        <v>0</v>
      </c>
      <c r="BH61" s="63">
        <v>-3798372</v>
      </c>
      <c r="BI61" s="63">
        <v>-3722404</v>
      </c>
      <c r="BJ61" s="63">
        <v>0</v>
      </c>
      <c r="BK61" s="63">
        <v>-75967</v>
      </c>
      <c r="BL61" s="63">
        <v>-7596743</v>
      </c>
      <c r="BM61" s="63">
        <v>65221032</v>
      </c>
      <c r="BN61" s="63">
        <v>66958833</v>
      </c>
      <c r="BO61" s="63">
        <v>0</v>
      </c>
      <c r="BP61" s="63">
        <v>1329425</v>
      </c>
      <c r="BQ61" s="63">
        <v>133509290</v>
      </c>
      <c r="BR61" s="63">
        <v>1014115</v>
      </c>
      <c r="BS61" s="63">
        <v>0</v>
      </c>
      <c r="BT61" s="63">
        <v>20326</v>
      </c>
      <c r="BU61" s="63">
        <v>1034441</v>
      </c>
      <c r="BV61" s="63">
        <v>2229259</v>
      </c>
      <c r="BW61" s="63">
        <v>0</v>
      </c>
      <c r="BX61" s="63">
        <v>45256</v>
      </c>
      <c r="BY61" s="63">
        <v>2274515</v>
      </c>
      <c r="BZ61" s="63">
        <v>23426</v>
      </c>
      <c r="CA61" s="63">
        <v>0</v>
      </c>
      <c r="CB61" s="63">
        <v>478</v>
      </c>
      <c r="CC61" s="63">
        <v>23904</v>
      </c>
      <c r="CD61" s="63">
        <v>0</v>
      </c>
      <c r="CE61" s="63">
        <v>0</v>
      </c>
      <c r="CF61" s="63">
        <v>0</v>
      </c>
      <c r="CG61" s="63">
        <v>0</v>
      </c>
      <c r="CH61" s="63">
        <v>48757</v>
      </c>
      <c r="CI61" s="63">
        <v>0</v>
      </c>
      <c r="CJ61" s="63">
        <v>995</v>
      </c>
      <c r="CK61" s="63">
        <v>49752</v>
      </c>
      <c r="CL61" s="63">
        <v>3529</v>
      </c>
      <c r="CM61" s="63">
        <v>0</v>
      </c>
      <c r="CN61" s="63">
        <v>72</v>
      </c>
      <c r="CO61" s="63">
        <v>3601</v>
      </c>
      <c r="CP61" s="63">
        <v>3319086</v>
      </c>
      <c r="CQ61" s="63">
        <v>0</v>
      </c>
      <c r="CR61" s="63">
        <v>67127</v>
      </c>
      <c r="CS61" s="63">
        <v>3386213</v>
      </c>
      <c r="CU61" s="141" t="s">
        <v>703</v>
      </c>
      <c r="CV61" s="157" t="s">
        <v>501</v>
      </c>
      <c r="CW61" s="156" t="s">
        <v>968</v>
      </c>
      <c r="CX61" s="345"/>
      <c r="CY61" s="345"/>
      <c r="CZ61" s="345"/>
    </row>
    <row r="62" spans="1:104" ht="12.75" x14ac:dyDescent="0.2">
      <c r="A62" s="90">
        <v>55</v>
      </c>
      <c r="B62" s="129" t="s">
        <v>705</v>
      </c>
      <c r="C62" s="130" t="s">
        <v>501</v>
      </c>
      <c r="D62" s="131" t="s">
        <v>744</v>
      </c>
      <c r="E62" s="132" t="s">
        <v>515</v>
      </c>
      <c r="F62" s="63">
        <v>157241546</v>
      </c>
      <c r="G62" s="63">
        <v>0</v>
      </c>
      <c r="H62" s="63">
        <v>0</v>
      </c>
      <c r="I62" s="63">
        <v>498103</v>
      </c>
      <c r="J62" s="63">
        <v>0</v>
      </c>
      <c r="K62" s="63">
        <v>498103</v>
      </c>
      <c r="L62" s="63">
        <v>0</v>
      </c>
      <c r="M62" s="63">
        <v>0</v>
      </c>
      <c r="N62" s="63">
        <v>0</v>
      </c>
      <c r="O62" s="63">
        <v>0</v>
      </c>
      <c r="P62" s="63">
        <v>0</v>
      </c>
      <c r="Q62" s="63">
        <v>156743443</v>
      </c>
      <c r="R62" s="474">
        <v>0.5</v>
      </c>
      <c r="S62" s="474">
        <v>0.49</v>
      </c>
      <c r="T62" s="474">
        <v>0</v>
      </c>
      <c r="U62" s="474">
        <v>0.01</v>
      </c>
      <c r="V62" s="474">
        <v>1</v>
      </c>
      <c r="W62" s="63">
        <v>78371722</v>
      </c>
      <c r="X62" s="63">
        <v>76804287</v>
      </c>
      <c r="Y62" s="63">
        <v>0</v>
      </c>
      <c r="Z62" s="63">
        <v>1567434</v>
      </c>
      <c r="AA62" s="63">
        <v>156743443</v>
      </c>
      <c r="AB62" s="63">
        <v>0</v>
      </c>
      <c r="AC62" s="63">
        <v>0</v>
      </c>
      <c r="AD62" s="63">
        <v>0</v>
      </c>
      <c r="AE62" s="63">
        <v>0</v>
      </c>
      <c r="AF62" s="63">
        <v>0</v>
      </c>
      <c r="AG62" s="63">
        <v>0</v>
      </c>
      <c r="AH62" s="63">
        <v>0</v>
      </c>
      <c r="AI62" s="63">
        <v>0</v>
      </c>
      <c r="AJ62" s="63">
        <v>0</v>
      </c>
      <c r="AK62" s="63">
        <v>0</v>
      </c>
      <c r="AL62" s="63">
        <v>78371722</v>
      </c>
      <c r="AM62" s="63">
        <v>76804287</v>
      </c>
      <c r="AN62" s="63">
        <v>0</v>
      </c>
      <c r="AO62" s="63">
        <v>1567434</v>
      </c>
      <c r="AP62" s="63">
        <v>156743443</v>
      </c>
      <c r="AQ62" s="63">
        <v>498103</v>
      </c>
      <c r="AR62" s="63">
        <v>498103</v>
      </c>
      <c r="AS62" s="63">
        <v>0</v>
      </c>
      <c r="AT62" s="63">
        <v>0</v>
      </c>
      <c r="AU62" s="63">
        <v>0</v>
      </c>
      <c r="AV62" s="63">
        <v>0</v>
      </c>
      <c r="AW62" s="63">
        <v>0</v>
      </c>
      <c r="AX62" s="63">
        <v>0</v>
      </c>
      <c r="AY62" s="63">
        <v>0</v>
      </c>
      <c r="AZ62" s="63">
        <v>0</v>
      </c>
      <c r="BA62" s="63">
        <v>0</v>
      </c>
      <c r="BB62" s="63">
        <v>0</v>
      </c>
      <c r="BC62" s="63">
        <v>0</v>
      </c>
      <c r="BD62" s="63">
        <v>0</v>
      </c>
      <c r="BE62" s="63">
        <v>0</v>
      </c>
      <c r="BF62" s="63">
        <v>0</v>
      </c>
      <c r="BG62" s="63">
        <v>0</v>
      </c>
      <c r="BH62" s="63">
        <v>0</v>
      </c>
      <c r="BI62" s="63">
        <v>0</v>
      </c>
      <c r="BJ62" s="63">
        <v>0</v>
      </c>
      <c r="BK62" s="63">
        <v>0</v>
      </c>
      <c r="BL62" s="63">
        <v>0</v>
      </c>
      <c r="BM62" s="63">
        <v>78371722</v>
      </c>
      <c r="BN62" s="63">
        <v>77302390</v>
      </c>
      <c r="BO62" s="63">
        <v>0</v>
      </c>
      <c r="BP62" s="63">
        <v>1567434</v>
      </c>
      <c r="BQ62" s="63">
        <v>157241546</v>
      </c>
      <c r="BR62" s="63">
        <v>1110806</v>
      </c>
      <c r="BS62" s="63">
        <v>0</v>
      </c>
      <c r="BT62" s="63">
        <v>22670</v>
      </c>
      <c r="BU62" s="63">
        <v>1133476</v>
      </c>
      <c r="BV62" s="63">
        <v>1603354</v>
      </c>
      <c r="BW62" s="63">
        <v>0</v>
      </c>
      <c r="BX62" s="63">
        <v>32721</v>
      </c>
      <c r="BY62" s="63">
        <v>1636075</v>
      </c>
      <c r="BZ62" s="63">
        <v>10439</v>
      </c>
      <c r="CA62" s="63">
        <v>0</v>
      </c>
      <c r="CB62" s="63">
        <v>213</v>
      </c>
      <c r="CC62" s="63">
        <v>10652</v>
      </c>
      <c r="CD62" s="63">
        <v>5468</v>
      </c>
      <c r="CE62" s="63">
        <v>0</v>
      </c>
      <c r="CF62" s="63">
        <v>112</v>
      </c>
      <c r="CG62" s="63">
        <v>5580</v>
      </c>
      <c r="CH62" s="63">
        <v>41755</v>
      </c>
      <c r="CI62" s="63">
        <v>0</v>
      </c>
      <c r="CJ62" s="63">
        <v>852</v>
      </c>
      <c r="CK62" s="63">
        <v>42607</v>
      </c>
      <c r="CL62" s="63">
        <v>4971</v>
      </c>
      <c r="CM62" s="63">
        <v>0</v>
      </c>
      <c r="CN62" s="63">
        <v>101</v>
      </c>
      <c r="CO62" s="63">
        <v>5072</v>
      </c>
      <c r="CP62" s="63">
        <v>2776793</v>
      </c>
      <c r="CQ62" s="63">
        <v>0</v>
      </c>
      <c r="CR62" s="63">
        <v>56669</v>
      </c>
      <c r="CS62" s="63">
        <v>2833462</v>
      </c>
      <c r="CU62" s="141" t="s">
        <v>515</v>
      </c>
      <c r="CV62" s="157" t="s">
        <v>501</v>
      </c>
      <c r="CW62" s="156" t="s">
        <v>968</v>
      </c>
      <c r="CX62" s="345"/>
      <c r="CY62" s="345"/>
      <c r="CZ62" s="345"/>
    </row>
    <row r="63" spans="1:104" ht="12.75" x14ac:dyDescent="0.2">
      <c r="A63" s="90">
        <v>56</v>
      </c>
      <c r="B63" s="129" t="s">
        <v>707</v>
      </c>
      <c r="C63" s="130" t="s">
        <v>742</v>
      </c>
      <c r="D63" s="131" t="s">
        <v>745</v>
      </c>
      <c r="E63" s="132" t="s">
        <v>706</v>
      </c>
      <c r="F63" s="63">
        <v>38348475</v>
      </c>
      <c r="G63" s="63">
        <v>0</v>
      </c>
      <c r="H63" s="63">
        <v>0</v>
      </c>
      <c r="I63" s="63">
        <v>164110</v>
      </c>
      <c r="J63" s="63">
        <v>0</v>
      </c>
      <c r="K63" s="63">
        <v>164110</v>
      </c>
      <c r="L63" s="63">
        <v>0</v>
      </c>
      <c r="M63" s="63">
        <v>1131669</v>
      </c>
      <c r="N63" s="63">
        <v>12100</v>
      </c>
      <c r="O63" s="63">
        <v>12100</v>
      </c>
      <c r="P63" s="63">
        <v>0</v>
      </c>
      <c r="Q63" s="63">
        <v>37040596</v>
      </c>
      <c r="R63" s="474">
        <v>0.5</v>
      </c>
      <c r="S63" s="474">
        <v>0.4</v>
      </c>
      <c r="T63" s="474">
        <v>0.09</v>
      </c>
      <c r="U63" s="474">
        <v>0.01</v>
      </c>
      <c r="V63" s="474">
        <v>1</v>
      </c>
      <c r="W63" s="63">
        <v>18520298</v>
      </c>
      <c r="X63" s="63">
        <v>14816238</v>
      </c>
      <c r="Y63" s="63">
        <v>3333654</v>
      </c>
      <c r="Z63" s="63">
        <v>370406</v>
      </c>
      <c r="AA63" s="63">
        <v>37040596</v>
      </c>
      <c r="AB63" s="63">
        <v>0</v>
      </c>
      <c r="AC63" s="63">
        <v>0</v>
      </c>
      <c r="AD63" s="63">
        <v>0</v>
      </c>
      <c r="AE63" s="63">
        <v>0</v>
      </c>
      <c r="AF63" s="63">
        <v>0</v>
      </c>
      <c r="AG63" s="63">
        <v>0</v>
      </c>
      <c r="AH63" s="63">
        <v>0</v>
      </c>
      <c r="AI63" s="63">
        <v>0</v>
      </c>
      <c r="AJ63" s="63">
        <v>0</v>
      </c>
      <c r="AK63" s="63">
        <v>0</v>
      </c>
      <c r="AL63" s="63">
        <v>18520298</v>
      </c>
      <c r="AM63" s="63">
        <v>14816238</v>
      </c>
      <c r="AN63" s="63">
        <v>3333654</v>
      </c>
      <c r="AO63" s="63">
        <v>370406</v>
      </c>
      <c r="AP63" s="63">
        <v>37040596</v>
      </c>
      <c r="AQ63" s="63">
        <v>164110</v>
      </c>
      <c r="AR63" s="63">
        <v>164110</v>
      </c>
      <c r="AS63" s="63">
        <v>1131669</v>
      </c>
      <c r="AT63" s="63">
        <v>1131669</v>
      </c>
      <c r="AU63" s="63">
        <v>12100</v>
      </c>
      <c r="AV63" s="63">
        <v>0</v>
      </c>
      <c r="AW63" s="63">
        <v>12100</v>
      </c>
      <c r="AX63" s="63">
        <v>0</v>
      </c>
      <c r="AY63" s="63">
        <v>0</v>
      </c>
      <c r="AZ63" s="63">
        <v>0</v>
      </c>
      <c r="BA63" s="63">
        <v>0</v>
      </c>
      <c r="BB63" s="63">
        <v>0</v>
      </c>
      <c r="BC63" s="63">
        <v>0</v>
      </c>
      <c r="BD63" s="63">
        <v>0</v>
      </c>
      <c r="BE63" s="63">
        <v>0</v>
      </c>
      <c r="BF63" s="63">
        <v>0</v>
      </c>
      <c r="BG63" s="63">
        <v>0</v>
      </c>
      <c r="BH63" s="63">
        <v>-2314383</v>
      </c>
      <c r="BI63" s="63">
        <v>-1851506</v>
      </c>
      <c r="BJ63" s="63">
        <v>-416589</v>
      </c>
      <c r="BK63" s="63">
        <v>-46288</v>
      </c>
      <c r="BL63" s="63">
        <v>-4628766</v>
      </c>
      <c r="BM63" s="63">
        <v>16205915</v>
      </c>
      <c r="BN63" s="63">
        <v>14272611</v>
      </c>
      <c r="BO63" s="63">
        <v>2917065</v>
      </c>
      <c r="BP63" s="63">
        <v>324118</v>
      </c>
      <c r="BQ63" s="63">
        <v>33719709</v>
      </c>
      <c r="BR63" s="63">
        <v>230827</v>
      </c>
      <c r="BS63" s="63">
        <v>48214</v>
      </c>
      <c r="BT63" s="63">
        <v>5357</v>
      </c>
      <c r="BU63" s="63">
        <v>284398</v>
      </c>
      <c r="BV63" s="63">
        <v>577351</v>
      </c>
      <c r="BW63" s="63">
        <v>129904</v>
      </c>
      <c r="BX63" s="63">
        <v>14434</v>
      </c>
      <c r="BY63" s="63">
        <v>721689</v>
      </c>
      <c r="BZ63" s="63">
        <v>3132</v>
      </c>
      <c r="CA63" s="63">
        <v>704</v>
      </c>
      <c r="CB63" s="63">
        <v>78</v>
      </c>
      <c r="CC63" s="63">
        <v>3914</v>
      </c>
      <c r="CD63" s="63">
        <v>0</v>
      </c>
      <c r="CE63" s="63">
        <v>0</v>
      </c>
      <c r="CF63" s="63">
        <v>0</v>
      </c>
      <c r="CG63" s="63">
        <v>0</v>
      </c>
      <c r="CH63" s="63">
        <v>17142</v>
      </c>
      <c r="CI63" s="63">
        <v>3857</v>
      </c>
      <c r="CJ63" s="63">
        <v>429</v>
      </c>
      <c r="CK63" s="63">
        <v>21428</v>
      </c>
      <c r="CL63" s="63">
        <v>2597</v>
      </c>
      <c r="CM63" s="63">
        <v>584</v>
      </c>
      <c r="CN63" s="63">
        <v>65</v>
      </c>
      <c r="CO63" s="63">
        <v>3246</v>
      </c>
      <c r="CP63" s="63">
        <v>831049</v>
      </c>
      <c r="CQ63" s="63">
        <v>183263</v>
      </c>
      <c r="CR63" s="63">
        <v>20363</v>
      </c>
      <c r="CS63" s="63">
        <v>1034675</v>
      </c>
      <c r="CU63" s="141" t="s">
        <v>706</v>
      </c>
      <c r="CV63" s="157" t="s">
        <v>930</v>
      </c>
      <c r="CW63" s="156" t="s">
        <v>931</v>
      </c>
      <c r="CX63" s="345"/>
      <c r="CY63" s="345"/>
      <c r="CZ63" s="345"/>
    </row>
    <row r="64" spans="1:104" ht="12.75" x14ac:dyDescent="0.2">
      <c r="A64" s="90">
        <v>57</v>
      </c>
      <c r="B64" s="129" t="s">
        <v>709</v>
      </c>
      <c r="C64" s="130" t="s">
        <v>742</v>
      </c>
      <c r="D64" s="131" t="s">
        <v>743</v>
      </c>
      <c r="E64" s="132" t="s">
        <v>708</v>
      </c>
      <c r="F64" s="63">
        <v>46657522</v>
      </c>
      <c r="G64" s="63">
        <v>0</v>
      </c>
      <c r="H64" s="63">
        <v>0</v>
      </c>
      <c r="I64" s="63">
        <v>196828</v>
      </c>
      <c r="J64" s="63">
        <v>0</v>
      </c>
      <c r="K64" s="63">
        <v>196828</v>
      </c>
      <c r="L64" s="63">
        <v>0</v>
      </c>
      <c r="M64" s="63">
        <v>0</v>
      </c>
      <c r="N64" s="63">
        <v>125115</v>
      </c>
      <c r="O64" s="63">
        <v>105115</v>
      </c>
      <c r="P64" s="63">
        <v>20000</v>
      </c>
      <c r="Q64" s="63">
        <v>46335579</v>
      </c>
      <c r="R64" s="474">
        <v>0.5</v>
      </c>
      <c r="S64" s="474">
        <v>0.4</v>
      </c>
      <c r="T64" s="474">
        <v>0.1</v>
      </c>
      <c r="U64" s="474">
        <v>0</v>
      </c>
      <c r="V64" s="474">
        <v>1</v>
      </c>
      <c r="W64" s="63">
        <v>23167789</v>
      </c>
      <c r="X64" s="63">
        <v>18534232</v>
      </c>
      <c r="Y64" s="63">
        <v>4633558</v>
      </c>
      <c r="Z64" s="63">
        <v>0</v>
      </c>
      <c r="AA64" s="63">
        <v>46335579</v>
      </c>
      <c r="AB64" s="63">
        <v>0</v>
      </c>
      <c r="AC64" s="63">
        <v>0</v>
      </c>
      <c r="AD64" s="63">
        <v>0</v>
      </c>
      <c r="AE64" s="63">
        <v>0</v>
      </c>
      <c r="AF64" s="63">
        <v>0</v>
      </c>
      <c r="AG64" s="63">
        <v>0</v>
      </c>
      <c r="AH64" s="63">
        <v>0</v>
      </c>
      <c r="AI64" s="63">
        <v>0</v>
      </c>
      <c r="AJ64" s="63">
        <v>0</v>
      </c>
      <c r="AK64" s="63">
        <v>0</v>
      </c>
      <c r="AL64" s="63">
        <v>23167789</v>
      </c>
      <c r="AM64" s="63">
        <v>18534232</v>
      </c>
      <c r="AN64" s="63">
        <v>4633558</v>
      </c>
      <c r="AO64" s="63">
        <v>0</v>
      </c>
      <c r="AP64" s="63">
        <v>46335579</v>
      </c>
      <c r="AQ64" s="63">
        <v>196828</v>
      </c>
      <c r="AR64" s="63">
        <v>196828</v>
      </c>
      <c r="AS64" s="63">
        <v>0</v>
      </c>
      <c r="AT64" s="63">
        <v>0</v>
      </c>
      <c r="AU64" s="63">
        <v>105115</v>
      </c>
      <c r="AV64" s="63">
        <v>20000</v>
      </c>
      <c r="AW64" s="63">
        <v>125115</v>
      </c>
      <c r="AX64" s="63">
        <v>0</v>
      </c>
      <c r="AY64" s="63">
        <v>0</v>
      </c>
      <c r="AZ64" s="63">
        <v>0</v>
      </c>
      <c r="BA64" s="63">
        <v>0</v>
      </c>
      <c r="BB64" s="63">
        <v>0</v>
      </c>
      <c r="BC64" s="63">
        <v>0</v>
      </c>
      <c r="BD64" s="63">
        <v>0</v>
      </c>
      <c r="BE64" s="63">
        <v>0</v>
      </c>
      <c r="BF64" s="63">
        <v>0</v>
      </c>
      <c r="BG64" s="63">
        <v>0</v>
      </c>
      <c r="BH64" s="63">
        <v>-196439</v>
      </c>
      <c r="BI64" s="63">
        <v>-157152</v>
      </c>
      <c r="BJ64" s="63">
        <v>-39288</v>
      </c>
      <c r="BK64" s="63">
        <v>0</v>
      </c>
      <c r="BL64" s="63">
        <v>-392879</v>
      </c>
      <c r="BM64" s="63">
        <v>22971350</v>
      </c>
      <c r="BN64" s="63">
        <v>18679023</v>
      </c>
      <c r="BO64" s="63">
        <v>4614270</v>
      </c>
      <c r="BP64" s="63">
        <v>0</v>
      </c>
      <c r="BQ64" s="63">
        <v>46264643</v>
      </c>
      <c r="BR64" s="63">
        <v>269577</v>
      </c>
      <c r="BS64" s="63">
        <v>67304</v>
      </c>
      <c r="BT64" s="63">
        <v>0</v>
      </c>
      <c r="BU64" s="63">
        <v>336881</v>
      </c>
      <c r="BV64" s="63">
        <v>660950</v>
      </c>
      <c r="BW64" s="63">
        <v>165238</v>
      </c>
      <c r="BX64" s="63">
        <v>0</v>
      </c>
      <c r="BY64" s="63">
        <v>826188</v>
      </c>
      <c r="BZ64" s="63">
        <v>6726</v>
      </c>
      <c r="CA64" s="63">
        <v>1682</v>
      </c>
      <c r="CB64" s="63">
        <v>0</v>
      </c>
      <c r="CC64" s="63">
        <v>8408</v>
      </c>
      <c r="CD64" s="63">
        <v>4058</v>
      </c>
      <c r="CE64" s="63">
        <v>1014</v>
      </c>
      <c r="CF64" s="63">
        <v>0</v>
      </c>
      <c r="CG64" s="63">
        <v>5072</v>
      </c>
      <c r="CH64" s="63">
        <v>4058</v>
      </c>
      <c r="CI64" s="63">
        <v>1014</v>
      </c>
      <c r="CJ64" s="63">
        <v>0</v>
      </c>
      <c r="CK64" s="63">
        <v>5072</v>
      </c>
      <c r="CL64" s="63">
        <v>1218</v>
      </c>
      <c r="CM64" s="63">
        <v>304</v>
      </c>
      <c r="CN64" s="63">
        <v>0</v>
      </c>
      <c r="CO64" s="63">
        <v>1522</v>
      </c>
      <c r="CP64" s="63">
        <v>946587</v>
      </c>
      <c r="CQ64" s="63">
        <v>236556</v>
      </c>
      <c r="CR64" s="63">
        <v>0</v>
      </c>
      <c r="CS64" s="63">
        <v>1183143</v>
      </c>
      <c r="CU64" s="141" t="s">
        <v>708</v>
      </c>
      <c r="CV64" s="157" t="s">
        <v>927</v>
      </c>
      <c r="CW64" s="156" t="s">
        <v>928</v>
      </c>
      <c r="CX64" s="345"/>
      <c r="CY64" s="345"/>
      <c r="CZ64" s="345"/>
    </row>
    <row r="65" spans="1:104" ht="12.75" x14ac:dyDescent="0.2">
      <c r="A65" s="90">
        <v>58</v>
      </c>
      <c r="B65" s="129" t="s">
        <v>711</v>
      </c>
      <c r="C65" s="130" t="s">
        <v>742</v>
      </c>
      <c r="D65" s="131" t="s">
        <v>743</v>
      </c>
      <c r="E65" s="132" t="s">
        <v>710</v>
      </c>
      <c r="F65" s="63">
        <v>21868296.210000001</v>
      </c>
      <c r="G65" s="63">
        <v>0</v>
      </c>
      <c r="H65" s="63">
        <v>0</v>
      </c>
      <c r="I65" s="63">
        <v>115183</v>
      </c>
      <c r="J65" s="63">
        <v>0</v>
      </c>
      <c r="K65" s="63">
        <v>115183</v>
      </c>
      <c r="L65" s="63">
        <v>0</v>
      </c>
      <c r="M65" s="63">
        <v>0</v>
      </c>
      <c r="N65" s="63">
        <v>0</v>
      </c>
      <c r="O65" s="63">
        <v>0</v>
      </c>
      <c r="P65" s="63">
        <v>0</v>
      </c>
      <c r="Q65" s="63">
        <v>21753113</v>
      </c>
      <c r="R65" s="474">
        <v>0.5</v>
      </c>
      <c r="S65" s="474">
        <v>0.4</v>
      </c>
      <c r="T65" s="474">
        <v>0.09</v>
      </c>
      <c r="U65" s="474">
        <v>0.01</v>
      </c>
      <c r="V65" s="474">
        <v>1</v>
      </c>
      <c r="W65" s="63">
        <v>10876557</v>
      </c>
      <c r="X65" s="63">
        <v>8701245</v>
      </c>
      <c r="Y65" s="63">
        <v>1957780</v>
      </c>
      <c r="Z65" s="63">
        <v>217531</v>
      </c>
      <c r="AA65" s="63">
        <v>21753113</v>
      </c>
      <c r="AB65" s="63">
        <v>0</v>
      </c>
      <c r="AC65" s="63">
        <v>0</v>
      </c>
      <c r="AD65" s="63">
        <v>0</v>
      </c>
      <c r="AE65" s="63">
        <v>0</v>
      </c>
      <c r="AF65" s="63">
        <v>0</v>
      </c>
      <c r="AG65" s="63">
        <v>0</v>
      </c>
      <c r="AH65" s="63">
        <v>0</v>
      </c>
      <c r="AI65" s="63">
        <v>0</v>
      </c>
      <c r="AJ65" s="63">
        <v>0</v>
      </c>
      <c r="AK65" s="63">
        <v>0</v>
      </c>
      <c r="AL65" s="63">
        <v>10876557</v>
      </c>
      <c r="AM65" s="63">
        <v>8701245</v>
      </c>
      <c r="AN65" s="63">
        <v>1957780</v>
      </c>
      <c r="AO65" s="63">
        <v>217531</v>
      </c>
      <c r="AP65" s="63">
        <v>21753113</v>
      </c>
      <c r="AQ65" s="63">
        <v>115183</v>
      </c>
      <c r="AR65" s="63">
        <v>115183</v>
      </c>
      <c r="AS65" s="63">
        <v>0</v>
      </c>
      <c r="AT65" s="63">
        <v>0</v>
      </c>
      <c r="AU65" s="63">
        <v>0</v>
      </c>
      <c r="AV65" s="63">
        <v>0</v>
      </c>
      <c r="AW65" s="63">
        <v>0</v>
      </c>
      <c r="AX65" s="63">
        <v>0</v>
      </c>
      <c r="AY65" s="63">
        <v>0</v>
      </c>
      <c r="AZ65" s="63">
        <v>0</v>
      </c>
      <c r="BA65" s="63">
        <v>0</v>
      </c>
      <c r="BB65" s="63">
        <v>0</v>
      </c>
      <c r="BC65" s="63">
        <v>0</v>
      </c>
      <c r="BD65" s="63">
        <v>0</v>
      </c>
      <c r="BE65" s="63">
        <v>0</v>
      </c>
      <c r="BF65" s="63">
        <v>0</v>
      </c>
      <c r="BG65" s="63">
        <v>0</v>
      </c>
      <c r="BH65" s="63">
        <v>-1787990</v>
      </c>
      <c r="BI65" s="63">
        <v>-1430392</v>
      </c>
      <c r="BJ65" s="63">
        <v>-321838</v>
      </c>
      <c r="BK65" s="63">
        <v>-35760</v>
      </c>
      <c r="BL65" s="63">
        <v>-3575980</v>
      </c>
      <c r="BM65" s="63">
        <v>9088567</v>
      </c>
      <c r="BN65" s="63">
        <v>7386036</v>
      </c>
      <c r="BO65" s="63">
        <v>1635942</v>
      </c>
      <c r="BP65" s="63">
        <v>181771</v>
      </c>
      <c r="BQ65" s="63">
        <v>18292316</v>
      </c>
      <c r="BR65" s="63">
        <v>125844</v>
      </c>
      <c r="BS65" s="63">
        <v>28315</v>
      </c>
      <c r="BT65" s="63">
        <v>3146</v>
      </c>
      <c r="BU65" s="63">
        <v>157305</v>
      </c>
      <c r="BV65" s="63">
        <v>307451</v>
      </c>
      <c r="BW65" s="63">
        <v>69177</v>
      </c>
      <c r="BX65" s="63">
        <v>7686</v>
      </c>
      <c r="BY65" s="63">
        <v>384314</v>
      </c>
      <c r="BZ65" s="63">
        <v>0</v>
      </c>
      <c r="CA65" s="63">
        <v>0</v>
      </c>
      <c r="CB65" s="63">
        <v>0</v>
      </c>
      <c r="CC65" s="63">
        <v>0</v>
      </c>
      <c r="CD65" s="63">
        <v>0</v>
      </c>
      <c r="CE65" s="63">
        <v>0</v>
      </c>
      <c r="CF65" s="63">
        <v>0</v>
      </c>
      <c r="CG65" s="63">
        <v>0</v>
      </c>
      <c r="CH65" s="63">
        <v>1729</v>
      </c>
      <c r="CI65" s="63">
        <v>389</v>
      </c>
      <c r="CJ65" s="63">
        <v>43</v>
      </c>
      <c r="CK65" s="63">
        <v>2161</v>
      </c>
      <c r="CL65" s="63">
        <v>0</v>
      </c>
      <c r="CM65" s="63">
        <v>0</v>
      </c>
      <c r="CN65" s="63">
        <v>0</v>
      </c>
      <c r="CO65" s="63">
        <v>0</v>
      </c>
      <c r="CP65" s="63">
        <v>435024</v>
      </c>
      <c r="CQ65" s="63">
        <v>97881</v>
      </c>
      <c r="CR65" s="63">
        <v>10875</v>
      </c>
      <c r="CS65" s="63">
        <v>543780</v>
      </c>
      <c r="CU65" s="141" t="s">
        <v>710</v>
      </c>
      <c r="CV65" s="157" t="s">
        <v>936</v>
      </c>
      <c r="CW65" s="156" t="s">
        <v>937</v>
      </c>
      <c r="CX65" s="345"/>
      <c r="CY65" s="345"/>
      <c r="CZ65" s="345"/>
    </row>
    <row r="66" spans="1:104" ht="12.75" x14ac:dyDescent="0.2">
      <c r="A66" s="90">
        <v>59</v>
      </c>
      <c r="B66" s="129" t="s">
        <v>713</v>
      </c>
      <c r="C66" s="130" t="s">
        <v>742</v>
      </c>
      <c r="D66" s="131" t="s">
        <v>744</v>
      </c>
      <c r="E66" s="132" t="s">
        <v>712</v>
      </c>
      <c r="F66" s="63">
        <v>29236699</v>
      </c>
      <c r="G66" s="63">
        <v>0</v>
      </c>
      <c r="H66" s="63">
        <v>0</v>
      </c>
      <c r="I66" s="63">
        <v>136918</v>
      </c>
      <c r="J66" s="63">
        <v>0</v>
      </c>
      <c r="K66" s="63">
        <v>136918</v>
      </c>
      <c r="L66" s="63">
        <v>0</v>
      </c>
      <c r="M66" s="63">
        <v>0</v>
      </c>
      <c r="N66" s="63">
        <v>0</v>
      </c>
      <c r="O66" s="63">
        <v>0</v>
      </c>
      <c r="P66" s="63">
        <v>0</v>
      </c>
      <c r="Q66" s="63">
        <v>29099781</v>
      </c>
      <c r="R66" s="474">
        <v>0.5</v>
      </c>
      <c r="S66" s="474">
        <v>0.4</v>
      </c>
      <c r="T66" s="474">
        <v>0.09</v>
      </c>
      <c r="U66" s="474">
        <v>0.01</v>
      </c>
      <c r="V66" s="474">
        <v>1</v>
      </c>
      <c r="W66" s="63">
        <v>14549891</v>
      </c>
      <c r="X66" s="63">
        <v>11639912</v>
      </c>
      <c r="Y66" s="63">
        <v>2618980</v>
      </c>
      <c r="Z66" s="63">
        <v>290998</v>
      </c>
      <c r="AA66" s="63">
        <v>29099781</v>
      </c>
      <c r="AB66" s="63">
        <v>0</v>
      </c>
      <c r="AC66" s="63">
        <v>0</v>
      </c>
      <c r="AD66" s="63">
        <v>0</v>
      </c>
      <c r="AE66" s="63">
        <v>0</v>
      </c>
      <c r="AF66" s="63">
        <v>0</v>
      </c>
      <c r="AG66" s="63">
        <v>0</v>
      </c>
      <c r="AH66" s="63">
        <v>0</v>
      </c>
      <c r="AI66" s="63">
        <v>0</v>
      </c>
      <c r="AJ66" s="63">
        <v>0</v>
      </c>
      <c r="AK66" s="63">
        <v>0</v>
      </c>
      <c r="AL66" s="63">
        <v>14549891</v>
      </c>
      <c r="AM66" s="63">
        <v>11639912</v>
      </c>
      <c r="AN66" s="63">
        <v>2618980</v>
      </c>
      <c r="AO66" s="63">
        <v>290998</v>
      </c>
      <c r="AP66" s="63">
        <v>29099781</v>
      </c>
      <c r="AQ66" s="63">
        <v>136918</v>
      </c>
      <c r="AR66" s="63">
        <v>136918</v>
      </c>
      <c r="AS66" s="63">
        <v>0</v>
      </c>
      <c r="AT66" s="63">
        <v>0</v>
      </c>
      <c r="AU66" s="63">
        <v>0</v>
      </c>
      <c r="AV66" s="63">
        <v>0</v>
      </c>
      <c r="AW66" s="63">
        <v>0</v>
      </c>
      <c r="AX66" s="63">
        <v>0</v>
      </c>
      <c r="AY66" s="63">
        <v>0</v>
      </c>
      <c r="AZ66" s="63">
        <v>0</v>
      </c>
      <c r="BA66" s="63">
        <v>0</v>
      </c>
      <c r="BB66" s="63">
        <v>0</v>
      </c>
      <c r="BC66" s="63">
        <v>0</v>
      </c>
      <c r="BD66" s="63">
        <v>0</v>
      </c>
      <c r="BE66" s="63">
        <v>0</v>
      </c>
      <c r="BF66" s="63">
        <v>0</v>
      </c>
      <c r="BG66" s="63">
        <v>0</v>
      </c>
      <c r="BH66" s="63">
        <v>60822</v>
      </c>
      <c r="BI66" s="63">
        <v>48657</v>
      </c>
      <c r="BJ66" s="63">
        <v>10948</v>
      </c>
      <c r="BK66" s="63">
        <v>1216</v>
      </c>
      <c r="BL66" s="63">
        <v>121643</v>
      </c>
      <c r="BM66" s="63">
        <v>14610713</v>
      </c>
      <c r="BN66" s="63">
        <v>11825487</v>
      </c>
      <c r="BO66" s="63">
        <v>2629928</v>
      </c>
      <c r="BP66" s="63">
        <v>292214</v>
      </c>
      <c r="BQ66" s="63">
        <v>29358342</v>
      </c>
      <c r="BR66" s="63">
        <v>168346</v>
      </c>
      <c r="BS66" s="63">
        <v>37878</v>
      </c>
      <c r="BT66" s="63">
        <v>4209</v>
      </c>
      <c r="BU66" s="63">
        <v>210433</v>
      </c>
      <c r="BV66" s="63">
        <v>517550</v>
      </c>
      <c r="BW66" s="63">
        <v>116449</v>
      </c>
      <c r="BX66" s="63">
        <v>12939</v>
      </c>
      <c r="BY66" s="63">
        <v>646938</v>
      </c>
      <c r="BZ66" s="63">
        <v>0</v>
      </c>
      <c r="CA66" s="63">
        <v>0</v>
      </c>
      <c r="CB66" s="63">
        <v>0</v>
      </c>
      <c r="CC66" s="63">
        <v>0</v>
      </c>
      <c r="CD66" s="63">
        <v>0</v>
      </c>
      <c r="CE66" s="63">
        <v>0</v>
      </c>
      <c r="CF66" s="63">
        <v>0</v>
      </c>
      <c r="CG66" s="63">
        <v>0</v>
      </c>
      <c r="CH66" s="63">
        <v>4212</v>
      </c>
      <c r="CI66" s="63">
        <v>947</v>
      </c>
      <c r="CJ66" s="63">
        <v>105</v>
      </c>
      <c r="CK66" s="63">
        <v>5264</v>
      </c>
      <c r="CL66" s="63">
        <v>6694</v>
      </c>
      <c r="CM66" s="63">
        <v>1506</v>
      </c>
      <c r="CN66" s="63">
        <v>167</v>
      </c>
      <c r="CO66" s="63">
        <v>8367</v>
      </c>
      <c r="CP66" s="63">
        <v>696802</v>
      </c>
      <c r="CQ66" s="63">
        <v>156780</v>
      </c>
      <c r="CR66" s="63">
        <v>17420</v>
      </c>
      <c r="CS66" s="63">
        <v>871002</v>
      </c>
      <c r="CU66" s="141" t="s">
        <v>712</v>
      </c>
      <c r="CV66" s="157" t="s">
        <v>961</v>
      </c>
      <c r="CW66" s="156" t="s">
        <v>952</v>
      </c>
      <c r="CX66" s="345"/>
      <c r="CY66" s="345"/>
      <c r="CZ66" s="345"/>
    </row>
    <row r="67" spans="1:104" ht="12.75" x14ac:dyDescent="0.2">
      <c r="A67" s="90">
        <v>60</v>
      </c>
      <c r="B67" s="129" t="s">
        <v>715</v>
      </c>
      <c r="C67" s="130" t="s">
        <v>742</v>
      </c>
      <c r="D67" s="131" t="s">
        <v>751</v>
      </c>
      <c r="E67" s="132" t="s">
        <v>714</v>
      </c>
      <c r="F67" s="63">
        <v>19173267</v>
      </c>
      <c r="G67" s="63">
        <v>0</v>
      </c>
      <c r="H67" s="63">
        <v>0</v>
      </c>
      <c r="I67" s="63">
        <v>75810</v>
      </c>
      <c r="J67" s="63">
        <v>0</v>
      </c>
      <c r="K67" s="63">
        <v>75810</v>
      </c>
      <c r="L67" s="63">
        <v>0</v>
      </c>
      <c r="M67" s="63">
        <v>0</v>
      </c>
      <c r="N67" s="63">
        <v>291863</v>
      </c>
      <c r="O67" s="63">
        <v>291863</v>
      </c>
      <c r="P67" s="63">
        <v>0</v>
      </c>
      <c r="Q67" s="63">
        <v>18805594</v>
      </c>
      <c r="R67" s="474">
        <v>0.5</v>
      </c>
      <c r="S67" s="474">
        <v>0.4</v>
      </c>
      <c r="T67" s="474">
        <v>0.09</v>
      </c>
      <c r="U67" s="474">
        <v>0.01</v>
      </c>
      <c r="V67" s="474">
        <v>1</v>
      </c>
      <c r="W67" s="63">
        <v>9402797</v>
      </c>
      <c r="X67" s="63">
        <v>7522238</v>
      </c>
      <c r="Y67" s="63">
        <v>1692503</v>
      </c>
      <c r="Z67" s="63">
        <v>188056</v>
      </c>
      <c r="AA67" s="63">
        <v>18805594</v>
      </c>
      <c r="AB67" s="63">
        <v>0</v>
      </c>
      <c r="AC67" s="63">
        <v>0</v>
      </c>
      <c r="AD67" s="63">
        <v>0</v>
      </c>
      <c r="AE67" s="63">
        <v>0</v>
      </c>
      <c r="AF67" s="63">
        <v>0</v>
      </c>
      <c r="AG67" s="63">
        <v>0</v>
      </c>
      <c r="AH67" s="63">
        <v>0</v>
      </c>
      <c r="AI67" s="63">
        <v>0</v>
      </c>
      <c r="AJ67" s="63">
        <v>0</v>
      </c>
      <c r="AK67" s="63">
        <v>0</v>
      </c>
      <c r="AL67" s="63">
        <v>9402797</v>
      </c>
      <c r="AM67" s="63">
        <v>7522238</v>
      </c>
      <c r="AN67" s="63">
        <v>1692503</v>
      </c>
      <c r="AO67" s="63">
        <v>188056</v>
      </c>
      <c r="AP67" s="63">
        <v>18805594</v>
      </c>
      <c r="AQ67" s="63">
        <v>75810</v>
      </c>
      <c r="AR67" s="63">
        <v>75810</v>
      </c>
      <c r="AS67" s="63">
        <v>0</v>
      </c>
      <c r="AT67" s="63">
        <v>0</v>
      </c>
      <c r="AU67" s="63">
        <v>291863</v>
      </c>
      <c r="AV67" s="63">
        <v>0</v>
      </c>
      <c r="AW67" s="63">
        <v>291863</v>
      </c>
      <c r="AX67" s="63">
        <v>0</v>
      </c>
      <c r="AY67" s="63">
        <v>0</v>
      </c>
      <c r="AZ67" s="63">
        <v>0</v>
      </c>
      <c r="BA67" s="63">
        <v>0</v>
      </c>
      <c r="BB67" s="63">
        <v>0</v>
      </c>
      <c r="BC67" s="63">
        <v>0</v>
      </c>
      <c r="BD67" s="63">
        <v>0</v>
      </c>
      <c r="BE67" s="63">
        <v>0</v>
      </c>
      <c r="BF67" s="63">
        <v>0</v>
      </c>
      <c r="BG67" s="63">
        <v>0</v>
      </c>
      <c r="BH67" s="63">
        <v>0</v>
      </c>
      <c r="BI67" s="63">
        <v>0</v>
      </c>
      <c r="BJ67" s="63">
        <v>0</v>
      </c>
      <c r="BK67" s="63">
        <v>0</v>
      </c>
      <c r="BL67" s="63">
        <v>0</v>
      </c>
      <c r="BM67" s="63">
        <v>9402797</v>
      </c>
      <c r="BN67" s="63">
        <v>7889911</v>
      </c>
      <c r="BO67" s="63">
        <v>1692503</v>
      </c>
      <c r="BP67" s="63">
        <v>188056</v>
      </c>
      <c r="BQ67" s="63">
        <v>19173267</v>
      </c>
      <c r="BR67" s="63">
        <v>113014</v>
      </c>
      <c r="BS67" s="63">
        <v>24478</v>
      </c>
      <c r="BT67" s="63">
        <v>2720</v>
      </c>
      <c r="BU67" s="63">
        <v>140212</v>
      </c>
      <c r="BV67" s="63">
        <v>254852</v>
      </c>
      <c r="BW67" s="63">
        <v>57342</v>
      </c>
      <c r="BX67" s="63">
        <v>6371</v>
      </c>
      <c r="BY67" s="63">
        <v>318565</v>
      </c>
      <c r="BZ67" s="63">
        <v>834</v>
      </c>
      <c r="CA67" s="63">
        <v>188</v>
      </c>
      <c r="CB67" s="63">
        <v>21</v>
      </c>
      <c r="CC67" s="63">
        <v>1043</v>
      </c>
      <c r="CD67" s="63">
        <v>0</v>
      </c>
      <c r="CE67" s="63">
        <v>0</v>
      </c>
      <c r="CF67" s="63">
        <v>0</v>
      </c>
      <c r="CG67" s="63">
        <v>0</v>
      </c>
      <c r="CH67" s="63">
        <v>8419</v>
      </c>
      <c r="CI67" s="63">
        <v>1895</v>
      </c>
      <c r="CJ67" s="63">
        <v>211</v>
      </c>
      <c r="CK67" s="63">
        <v>10525</v>
      </c>
      <c r="CL67" s="63">
        <v>2833</v>
      </c>
      <c r="CM67" s="63">
        <v>637</v>
      </c>
      <c r="CN67" s="63">
        <v>71</v>
      </c>
      <c r="CO67" s="63">
        <v>3541</v>
      </c>
      <c r="CP67" s="63">
        <v>379952</v>
      </c>
      <c r="CQ67" s="63">
        <v>84540</v>
      </c>
      <c r="CR67" s="63">
        <v>9394</v>
      </c>
      <c r="CS67" s="63">
        <v>473886</v>
      </c>
      <c r="CU67" s="141" t="s">
        <v>714</v>
      </c>
      <c r="CV67" s="157" t="s">
        <v>969</v>
      </c>
      <c r="CW67" s="156" t="s">
        <v>955</v>
      </c>
      <c r="CX67" s="345"/>
      <c r="CY67" s="345"/>
      <c r="CZ67" s="345"/>
    </row>
    <row r="68" spans="1:104" ht="12.75" x14ac:dyDescent="0.2">
      <c r="A68" s="90">
        <v>61</v>
      </c>
      <c r="B68" s="129" t="s">
        <v>0</v>
      </c>
      <c r="C68" s="130" t="s">
        <v>754</v>
      </c>
      <c r="D68" s="131" t="s">
        <v>748</v>
      </c>
      <c r="E68" s="132" t="s">
        <v>716</v>
      </c>
      <c r="F68" s="63">
        <v>798951173</v>
      </c>
      <c r="G68" s="63">
        <v>0</v>
      </c>
      <c r="H68" s="63">
        <v>0</v>
      </c>
      <c r="I68" s="63">
        <v>1720295</v>
      </c>
      <c r="J68" s="63">
        <v>0</v>
      </c>
      <c r="K68" s="63">
        <v>1720295</v>
      </c>
      <c r="L68" s="63">
        <v>11039000</v>
      </c>
      <c r="M68" s="63">
        <v>0</v>
      </c>
      <c r="N68" s="63">
        <v>0</v>
      </c>
      <c r="O68" s="63">
        <v>0</v>
      </c>
      <c r="P68" s="63">
        <v>0</v>
      </c>
      <c r="Q68" s="63">
        <v>786191878</v>
      </c>
      <c r="R68" s="474">
        <v>0.5</v>
      </c>
      <c r="S68" s="474">
        <v>0.3</v>
      </c>
      <c r="T68" s="474">
        <v>0.2</v>
      </c>
      <c r="U68" s="474">
        <v>0</v>
      </c>
      <c r="V68" s="474">
        <v>1</v>
      </c>
      <c r="W68" s="63">
        <v>393095939</v>
      </c>
      <c r="X68" s="63">
        <v>235857563</v>
      </c>
      <c r="Y68" s="63">
        <v>157238376</v>
      </c>
      <c r="Z68" s="63">
        <v>0</v>
      </c>
      <c r="AA68" s="63">
        <v>786191878</v>
      </c>
      <c r="AB68" s="63">
        <v>0</v>
      </c>
      <c r="AC68" s="63">
        <v>0</v>
      </c>
      <c r="AD68" s="63">
        <v>0</v>
      </c>
      <c r="AE68" s="63">
        <v>0</v>
      </c>
      <c r="AF68" s="63">
        <v>0</v>
      </c>
      <c r="AG68" s="63">
        <v>0</v>
      </c>
      <c r="AH68" s="63">
        <v>0</v>
      </c>
      <c r="AI68" s="63">
        <v>0</v>
      </c>
      <c r="AJ68" s="63">
        <v>0</v>
      </c>
      <c r="AK68" s="63">
        <v>0</v>
      </c>
      <c r="AL68" s="63">
        <v>393095939</v>
      </c>
      <c r="AM68" s="63">
        <v>235857563</v>
      </c>
      <c r="AN68" s="63">
        <v>157238376</v>
      </c>
      <c r="AO68" s="63">
        <v>0</v>
      </c>
      <c r="AP68" s="63">
        <v>786191878</v>
      </c>
      <c r="AQ68" s="63">
        <v>1720295</v>
      </c>
      <c r="AR68" s="63">
        <v>1720295</v>
      </c>
      <c r="AS68" s="63">
        <v>0</v>
      </c>
      <c r="AT68" s="63">
        <v>0</v>
      </c>
      <c r="AU68" s="63">
        <v>0</v>
      </c>
      <c r="AV68" s="63">
        <v>0</v>
      </c>
      <c r="AW68" s="63">
        <v>0</v>
      </c>
      <c r="AX68" s="63">
        <v>0</v>
      </c>
      <c r="AY68" s="63">
        <v>0</v>
      </c>
      <c r="AZ68" s="63">
        <v>0</v>
      </c>
      <c r="BA68" s="63">
        <v>0</v>
      </c>
      <c r="BB68" s="63">
        <v>11039000</v>
      </c>
      <c r="BC68" s="63">
        <v>11039000</v>
      </c>
      <c r="BD68" s="63">
        <v>0</v>
      </c>
      <c r="BE68" s="63">
        <v>0</v>
      </c>
      <c r="BF68" s="63">
        <v>0</v>
      </c>
      <c r="BG68" s="63">
        <v>0</v>
      </c>
      <c r="BH68" s="63">
        <v>33695222</v>
      </c>
      <c r="BI68" s="63">
        <v>20217133</v>
      </c>
      <c r="BJ68" s="63">
        <v>13478089</v>
      </c>
      <c r="BK68" s="63">
        <v>0</v>
      </c>
      <c r="BL68" s="63">
        <v>67390444</v>
      </c>
      <c r="BM68" s="63">
        <v>426791161</v>
      </c>
      <c r="BN68" s="63">
        <v>268833991</v>
      </c>
      <c r="BO68" s="63">
        <v>170716465</v>
      </c>
      <c r="BP68" s="63">
        <v>0</v>
      </c>
      <c r="BQ68" s="63">
        <v>866341617</v>
      </c>
      <c r="BR68" s="63">
        <v>3570818</v>
      </c>
      <c r="BS68" s="63">
        <v>2274109</v>
      </c>
      <c r="BT68" s="63">
        <v>0</v>
      </c>
      <c r="BU68" s="63">
        <v>5844927</v>
      </c>
      <c r="BV68" s="63">
        <v>66925</v>
      </c>
      <c r="BW68" s="63">
        <v>44617</v>
      </c>
      <c r="BX68" s="63">
        <v>0</v>
      </c>
      <c r="BY68" s="63">
        <v>111542</v>
      </c>
      <c r="BZ68" s="63">
        <v>0</v>
      </c>
      <c r="CA68" s="63">
        <v>0</v>
      </c>
      <c r="CB68" s="63">
        <v>0</v>
      </c>
      <c r="CC68" s="63">
        <v>0</v>
      </c>
      <c r="CD68" s="63">
        <v>42730</v>
      </c>
      <c r="CE68" s="63">
        <v>28487</v>
      </c>
      <c r="CF68" s="63">
        <v>0</v>
      </c>
      <c r="CG68" s="63">
        <v>71217</v>
      </c>
      <c r="CH68" s="63">
        <v>26677</v>
      </c>
      <c r="CI68" s="63">
        <v>17785</v>
      </c>
      <c r="CJ68" s="63">
        <v>0</v>
      </c>
      <c r="CK68" s="63">
        <v>44462</v>
      </c>
      <c r="CL68" s="63">
        <v>3059</v>
      </c>
      <c r="CM68" s="63">
        <v>2040</v>
      </c>
      <c r="CN68" s="63">
        <v>0</v>
      </c>
      <c r="CO68" s="63">
        <v>5099</v>
      </c>
      <c r="CP68" s="63">
        <v>3710209</v>
      </c>
      <c r="CQ68" s="63">
        <v>2367038</v>
      </c>
      <c r="CR68" s="63">
        <v>0</v>
      </c>
      <c r="CS68" s="63">
        <v>6077247</v>
      </c>
      <c r="CU68" s="141" t="s">
        <v>716</v>
      </c>
      <c r="CV68" s="157" t="s">
        <v>970</v>
      </c>
      <c r="CW68" s="157" t="s">
        <v>940</v>
      </c>
      <c r="CX68" s="345"/>
      <c r="CY68" s="345"/>
      <c r="CZ68" s="345"/>
    </row>
    <row r="69" spans="1:104" ht="12.75" x14ac:dyDescent="0.2">
      <c r="A69" s="90">
        <v>62</v>
      </c>
      <c r="B69" s="129" t="s">
        <v>2</v>
      </c>
      <c r="C69" s="130" t="s">
        <v>742</v>
      </c>
      <c r="D69" s="131" t="s">
        <v>746</v>
      </c>
      <c r="E69" s="132" t="s">
        <v>1</v>
      </c>
      <c r="F69" s="63">
        <v>63720534</v>
      </c>
      <c r="G69" s="63">
        <v>0</v>
      </c>
      <c r="H69" s="63">
        <v>0</v>
      </c>
      <c r="I69" s="63">
        <v>240074</v>
      </c>
      <c r="J69" s="63">
        <v>0</v>
      </c>
      <c r="K69" s="63">
        <v>240074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63480460</v>
      </c>
      <c r="R69" s="474">
        <v>0.5</v>
      </c>
      <c r="S69" s="474">
        <v>0.4</v>
      </c>
      <c r="T69" s="474">
        <v>0.09</v>
      </c>
      <c r="U69" s="474">
        <v>0.01</v>
      </c>
      <c r="V69" s="474">
        <v>1</v>
      </c>
      <c r="W69" s="63">
        <v>31740230</v>
      </c>
      <c r="X69" s="63">
        <v>25392184</v>
      </c>
      <c r="Y69" s="63">
        <v>5713241</v>
      </c>
      <c r="Z69" s="63">
        <v>634805</v>
      </c>
      <c r="AA69" s="63">
        <v>63480460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31740230</v>
      </c>
      <c r="AM69" s="63">
        <v>25392184</v>
      </c>
      <c r="AN69" s="63">
        <v>5713241</v>
      </c>
      <c r="AO69" s="63">
        <v>634805</v>
      </c>
      <c r="AP69" s="63">
        <v>63480460</v>
      </c>
      <c r="AQ69" s="63">
        <v>240074</v>
      </c>
      <c r="AR69" s="63">
        <v>240074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-2240315</v>
      </c>
      <c r="BI69" s="63">
        <v>-1792252</v>
      </c>
      <c r="BJ69" s="63">
        <v>-403257</v>
      </c>
      <c r="BK69" s="63">
        <v>-44806</v>
      </c>
      <c r="BL69" s="63">
        <v>-4480630</v>
      </c>
      <c r="BM69" s="63">
        <v>29499915</v>
      </c>
      <c r="BN69" s="63">
        <v>23840006</v>
      </c>
      <c r="BO69" s="63">
        <v>5309984</v>
      </c>
      <c r="BP69" s="63">
        <v>589999</v>
      </c>
      <c r="BQ69" s="63">
        <v>59239904</v>
      </c>
      <c r="BR69" s="63">
        <v>367242</v>
      </c>
      <c r="BS69" s="63">
        <v>82630</v>
      </c>
      <c r="BT69" s="63">
        <v>9181</v>
      </c>
      <c r="BU69" s="63">
        <v>459053</v>
      </c>
      <c r="BV69" s="63">
        <v>643367</v>
      </c>
      <c r="BW69" s="63">
        <v>144757</v>
      </c>
      <c r="BX69" s="63">
        <v>16084</v>
      </c>
      <c r="BY69" s="63">
        <v>804208</v>
      </c>
      <c r="BZ69" s="63">
        <v>0</v>
      </c>
      <c r="CA69" s="63">
        <v>0</v>
      </c>
      <c r="CB69" s="63">
        <v>0</v>
      </c>
      <c r="CC69" s="63">
        <v>0</v>
      </c>
      <c r="CD69" s="63">
        <v>58072</v>
      </c>
      <c r="CE69" s="63">
        <v>13066</v>
      </c>
      <c r="CF69" s="63">
        <v>1452</v>
      </c>
      <c r="CG69" s="63">
        <v>72590</v>
      </c>
      <c r="CH69" s="63">
        <v>406</v>
      </c>
      <c r="CI69" s="63">
        <v>91</v>
      </c>
      <c r="CJ69" s="63">
        <v>10</v>
      </c>
      <c r="CK69" s="63">
        <v>507</v>
      </c>
      <c r="CL69" s="63">
        <v>5620</v>
      </c>
      <c r="CM69" s="63">
        <v>1265</v>
      </c>
      <c r="CN69" s="63">
        <v>141</v>
      </c>
      <c r="CO69" s="63">
        <v>7026</v>
      </c>
      <c r="CP69" s="63">
        <v>1074707</v>
      </c>
      <c r="CQ69" s="63">
        <v>241809</v>
      </c>
      <c r="CR69" s="63">
        <v>26868</v>
      </c>
      <c r="CS69" s="63">
        <v>1343384</v>
      </c>
      <c r="CU69" s="141" t="s">
        <v>1</v>
      </c>
      <c r="CV69" s="157" t="s">
        <v>943</v>
      </c>
      <c r="CW69" s="156" t="s">
        <v>944</v>
      </c>
      <c r="CX69" s="345"/>
      <c r="CY69" s="345"/>
      <c r="CZ69" s="345"/>
    </row>
    <row r="70" spans="1:104" ht="12.75" x14ac:dyDescent="0.2">
      <c r="A70" s="90">
        <v>63</v>
      </c>
      <c r="B70" s="129" t="s">
        <v>4</v>
      </c>
      <c r="C70" s="130" t="s">
        <v>742</v>
      </c>
      <c r="D70" s="131" t="s">
        <v>744</v>
      </c>
      <c r="E70" s="132" t="s">
        <v>3</v>
      </c>
      <c r="F70" s="63">
        <v>39373788</v>
      </c>
      <c r="G70" s="63">
        <v>0</v>
      </c>
      <c r="H70" s="63">
        <v>0</v>
      </c>
      <c r="I70" s="63">
        <v>111435</v>
      </c>
      <c r="J70" s="63">
        <v>0</v>
      </c>
      <c r="K70" s="63">
        <v>111435</v>
      </c>
      <c r="L70" s="63">
        <v>0</v>
      </c>
      <c r="M70" s="63">
        <v>0</v>
      </c>
      <c r="N70" s="63">
        <v>13085</v>
      </c>
      <c r="O70" s="63">
        <v>13085</v>
      </c>
      <c r="P70" s="63">
        <v>0</v>
      </c>
      <c r="Q70" s="63">
        <v>39249268</v>
      </c>
      <c r="R70" s="474">
        <v>0.5</v>
      </c>
      <c r="S70" s="474">
        <v>0.4</v>
      </c>
      <c r="T70" s="474">
        <v>0.1</v>
      </c>
      <c r="U70" s="474">
        <v>0</v>
      </c>
      <c r="V70" s="474">
        <v>1</v>
      </c>
      <c r="W70" s="63">
        <v>19624634</v>
      </c>
      <c r="X70" s="63">
        <v>15699707</v>
      </c>
      <c r="Y70" s="63">
        <v>3924927</v>
      </c>
      <c r="Z70" s="63">
        <v>0</v>
      </c>
      <c r="AA70" s="63">
        <v>39249268</v>
      </c>
      <c r="AB70" s="63">
        <v>0</v>
      </c>
      <c r="AC70" s="63">
        <v>0</v>
      </c>
      <c r="AD70" s="63">
        <v>0</v>
      </c>
      <c r="AE70" s="63">
        <v>0</v>
      </c>
      <c r="AF70" s="63">
        <v>0</v>
      </c>
      <c r="AG70" s="63">
        <v>0</v>
      </c>
      <c r="AH70" s="63">
        <v>0</v>
      </c>
      <c r="AI70" s="63">
        <v>0</v>
      </c>
      <c r="AJ70" s="63">
        <v>0</v>
      </c>
      <c r="AK70" s="63">
        <v>0</v>
      </c>
      <c r="AL70" s="63">
        <v>19624634</v>
      </c>
      <c r="AM70" s="63">
        <v>15699707</v>
      </c>
      <c r="AN70" s="63">
        <v>3924927</v>
      </c>
      <c r="AO70" s="63">
        <v>0</v>
      </c>
      <c r="AP70" s="63">
        <v>39249268</v>
      </c>
      <c r="AQ70" s="63">
        <v>111435</v>
      </c>
      <c r="AR70" s="63">
        <v>111435</v>
      </c>
      <c r="AS70" s="63">
        <v>0</v>
      </c>
      <c r="AT70" s="63">
        <v>0</v>
      </c>
      <c r="AU70" s="63">
        <v>13085</v>
      </c>
      <c r="AV70" s="63">
        <v>0</v>
      </c>
      <c r="AW70" s="63">
        <v>13085</v>
      </c>
      <c r="AX70" s="63">
        <v>0</v>
      </c>
      <c r="AY70" s="63">
        <v>0</v>
      </c>
      <c r="AZ70" s="63">
        <v>0</v>
      </c>
      <c r="BA70" s="63">
        <v>0</v>
      </c>
      <c r="BB70" s="63">
        <v>0</v>
      </c>
      <c r="BC70" s="63">
        <v>0</v>
      </c>
      <c r="BD70" s="63">
        <v>0</v>
      </c>
      <c r="BE70" s="63">
        <v>0</v>
      </c>
      <c r="BF70" s="63">
        <v>0</v>
      </c>
      <c r="BG70" s="63">
        <v>0</v>
      </c>
      <c r="BH70" s="63">
        <v>4006925</v>
      </c>
      <c r="BI70" s="63">
        <v>3205540</v>
      </c>
      <c r="BJ70" s="63">
        <v>801385</v>
      </c>
      <c r="BK70" s="63">
        <v>0</v>
      </c>
      <c r="BL70" s="63">
        <v>8013850</v>
      </c>
      <c r="BM70" s="63">
        <v>23631559</v>
      </c>
      <c r="BN70" s="63">
        <v>19029767</v>
      </c>
      <c r="BO70" s="63">
        <v>4726312</v>
      </c>
      <c r="BP70" s="63">
        <v>0</v>
      </c>
      <c r="BQ70" s="63">
        <v>47387638</v>
      </c>
      <c r="BR70" s="63">
        <v>227251</v>
      </c>
      <c r="BS70" s="63">
        <v>56765</v>
      </c>
      <c r="BT70" s="63">
        <v>0</v>
      </c>
      <c r="BU70" s="63">
        <v>284016</v>
      </c>
      <c r="BV70" s="63">
        <v>306533</v>
      </c>
      <c r="BW70" s="63">
        <v>76633</v>
      </c>
      <c r="BX70" s="63">
        <v>0</v>
      </c>
      <c r="BY70" s="63">
        <v>383166</v>
      </c>
      <c r="BZ70" s="63">
        <v>356</v>
      </c>
      <c r="CA70" s="63">
        <v>89</v>
      </c>
      <c r="CB70" s="63">
        <v>0</v>
      </c>
      <c r="CC70" s="63">
        <v>445</v>
      </c>
      <c r="CD70" s="63">
        <v>0</v>
      </c>
      <c r="CE70" s="63">
        <v>0</v>
      </c>
      <c r="CF70" s="63">
        <v>0</v>
      </c>
      <c r="CG70" s="63">
        <v>0</v>
      </c>
      <c r="CH70" s="63">
        <v>3006</v>
      </c>
      <c r="CI70" s="63">
        <v>751</v>
      </c>
      <c r="CJ70" s="63">
        <v>0</v>
      </c>
      <c r="CK70" s="63">
        <v>3757</v>
      </c>
      <c r="CL70" s="63">
        <v>4058</v>
      </c>
      <c r="CM70" s="63">
        <v>1014</v>
      </c>
      <c r="CN70" s="63">
        <v>0</v>
      </c>
      <c r="CO70" s="63">
        <v>5072</v>
      </c>
      <c r="CP70" s="63">
        <v>541204</v>
      </c>
      <c r="CQ70" s="63">
        <v>135252</v>
      </c>
      <c r="CR70" s="63">
        <v>0</v>
      </c>
      <c r="CS70" s="63">
        <v>676456</v>
      </c>
      <c r="CU70" s="141" t="s">
        <v>3</v>
      </c>
      <c r="CV70" s="157" t="s">
        <v>929</v>
      </c>
      <c r="CW70" s="156" t="s">
        <v>928</v>
      </c>
      <c r="CX70" s="345"/>
      <c r="CY70" s="345"/>
      <c r="CZ70" s="345"/>
    </row>
    <row r="71" spans="1:104" ht="12.75" x14ac:dyDescent="0.2">
      <c r="A71" s="90">
        <v>64</v>
      </c>
      <c r="B71" s="129" t="s">
        <v>6</v>
      </c>
      <c r="C71" s="130" t="s">
        <v>742</v>
      </c>
      <c r="D71" s="131" t="s">
        <v>745</v>
      </c>
      <c r="E71" s="132" t="s">
        <v>5</v>
      </c>
      <c r="F71" s="63">
        <v>34178296</v>
      </c>
      <c r="G71" s="63">
        <v>0</v>
      </c>
      <c r="H71" s="63">
        <v>0</v>
      </c>
      <c r="I71" s="63">
        <v>89783</v>
      </c>
      <c r="J71" s="63">
        <v>0</v>
      </c>
      <c r="K71" s="63">
        <v>89783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34088513</v>
      </c>
      <c r="R71" s="474">
        <v>0.5</v>
      </c>
      <c r="S71" s="474">
        <v>0.4</v>
      </c>
      <c r="T71" s="474">
        <v>0.1</v>
      </c>
      <c r="U71" s="474">
        <v>0</v>
      </c>
      <c r="V71" s="474">
        <v>1</v>
      </c>
      <c r="W71" s="63">
        <v>17044257</v>
      </c>
      <c r="X71" s="63">
        <v>13635405</v>
      </c>
      <c r="Y71" s="63">
        <v>3408851</v>
      </c>
      <c r="Z71" s="63">
        <v>0</v>
      </c>
      <c r="AA71" s="63">
        <v>34088513</v>
      </c>
      <c r="AB71" s="63">
        <v>0</v>
      </c>
      <c r="AC71" s="63">
        <v>0</v>
      </c>
      <c r="AD71" s="63">
        <v>0</v>
      </c>
      <c r="AE71" s="63">
        <v>0</v>
      </c>
      <c r="AF71" s="63">
        <v>0</v>
      </c>
      <c r="AG71" s="63">
        <v>0</v>
      </c>
      <c r="AH71" s="63">
        <v>0</v>
      </c>
      <c r="AI71" s="63">
        <v>0</v>
      </c>
      <c r="AJ71" s="63">
        <v>0</v>
      </c>
      <c r="AK71" s="63">
        <v>0</v>
      </c>
      <c r="AL71" s="63">
        <v>17044257</v>
      </c>
      <c r="AM71" s="63">
        <v>13635405</v>
      </c>
      <c r="AN71" s="63">
        <v>3408851</v>
      </c>
      <c r="AO71" s="63">
        <v>0</v>
      </c>
      <c r="AP71" s="63">
        <v>34088513</v>
      </c>
      <c r="AQ71" s="63">
        <v>89783</v>
      </c>
      <c r="AR71" s="63">
        <v>89783</v>
      </c>
      <c r="AS71" s="63">
        <v>0</v>
      </c>
      <c r="AT71" s="63">
        <v>0</v>
      </c>
      <c r="AU71" s="63">
        <v>0</v>
      </c>
      <c r="AV71" s="63">
        <v>0</v>
      </c>
      <c r="AW71" s="63">
        <v>0</v>
      </c>
      <c r="AX71" s="63">
        <v>0</v>
      </c>
      <c r="AY71" s="63">
        <v>0</v>
      </c>
      <c r="AZ71" s="63">
        <v>0</v>
      </c>
      <c r="BA71" s="63">
        <v>0</v>
      </c>
      <c r="BB71" s="63">
        <v>0</v>
      </c>
      <c r="BC71" s="63">
        <v>0</v>
      </c>
      <c r="BD71" s="63">
        <v>0</v>
      </c>
      <c r="BE71" s="63">
        <v>0</v>
      </c>
      <c r="BF71" s="63">
        <v>0</v>
      </c>
      <c r="BG71" s="63">
        <v>0</v>
      </c>
      <c r="BH71" s="63">
        <v>-940984</v>
      </c>
      <c r="BI71" s="63">
        <v>-752787</v>
      </c>
      <c r="BJ71" s="63">
        <v>-188197</v>
      </c>
      <c r="BK71" s="63">
        <v>0</v>
      </c>
      <c r="BL71" s="63">
        <v>-1881968</v>
      </c>
      <c r="BM71" s="63">
        <v>16103273</v>
      </c>
      <c r="BN71" s="63">
        <v>12972401</v>
      </c>
      <c r="BO71" s="63">
        <v>3220654</v>
      </c>
      <c r="BP71" s="63">
        <v>0</v>
      </c>
      <c r="BQ71" s="63">
        <v>32296328</v>
      </c>
      <c r="BR71" s="63">
        <v>197206</v>
      </c>
      <c r="BS71" s="63">
        <v>49302</v>
      </c>
      <c r="BT71" s="63">
        <v>0</v>
      </c>
      <c r="BU71" s="63">
        <v>246508</v>
      </c>
      <c r="BV71" s="63">
        <v>237994</v>
      </c>
      <c r="BW71" s="63">
        <v>59498</v>
      </c>
      <c r="BX71" s="63">
        <v>0</v>
      </c>
      <c r="BY71" s="63">
        <v>297492</v>
      </c>
      <c r="BZ71" s="63">
        <v>0</v>
      </c>
      <c r="CA71" s="63">
        <v>0</v>
      </c>
      <c r="CB71" s="63">
        <v>0</v>
      </c>
      <c r="CC71" s="63">
        <v>0</v>
      </c>
      <c r="CD71" s="63">
        <v>0</v>
      </c>
      <c r="CE71" s="63">
        <v>0</v>
      </c>
      <c r="CF71" s="63">
        <v>0</v>
      </c>
      <c r="CG71" s="63">
        <v>0</v>
      </c>
      <c r="CH71" s="63">
        <v>20290</v>
      </c>
      <c r="CI71" s="63">
        <v>5072</v>
      </c>
      <c r="CJ71" s="63">
        <v>0</v>
      </c>
      <c r="CK71" s="63">
        <v>25362</v>
      </c>
      <c r="CL71" s="63">
        <v>0</v>
      </c>
      <c r="CM71" s="63">
        <v>0</v>
      </c>
      <c r="CN71" s="63">
        <v>0</v>
      </c>
      <c r="CO71" s="63">
        <v>0</v>
      </c>
      <c r="CP71" s="63">
        <v>455490</v>
      </c>
      <c r="CQ71" s="63">
        <v>113872</v>
      </c>
      <c r="CR71" s="63">
        <v>0</v>
      </c>
      <c r="CS71" s="63">
        <v>569362</v>
      </c>
      <c r="CU71" s="141" t="s">
        <v>5</v>
      </c>
      <c r="CV71" s="157" t="s">
        <v>971</v>
      </c>
      <c r="CW71" s="156" t="s">
        <v>928</v>
      </c>
      <c r="CX71" s="345"/>
      <c r="CY71" s="345"/>
      <c r="CZ71" s="345"/>
    </row>
    <row r="72" spans="1:104" ht="12.75" x14ac:dyDescent="0.2">
      <c r="A72" s="90">
        <v>65</v>
      </c>
      <c r="B72" s="129" t="s">
        <v>8</v>
      </c>
      <c r="C72" s="130" t="s">
        <v>501</v>
      </c>
      <c r="D72" s="131" t="s">
        <v>751</v>
      </c>
      <c r="E72" s="132" t="s">
        <v>7</v>
      </c>
      <c r="F72" s="63">
        <v>154062364</v>
      </c>
      <c r="G72" s="63">
        <v>0</v>
      </c>
      <c r="H72" s="63">
        <v>0</v>
      </c>
      <c r="I72" s="63">
        <v>1124554</v>
      </c>
      <c r="J72" s="63">
        <v>0</v>
      </c>
      <c r="K72" s="63">
        <v>1124554</v>
      </c>
      <c r="L72" s="63">
        <v>0</v>
      </c>
      <c r="M72" s="63">
        <v>0</v>
      </c>
      <c r="N72" s="63">
        <v>1017734</v>
      </c>
      <c r="O72" s="63">
        <v>1017734</v>
      </c>
      <c r="P72" s="63">
        <v>0</v>
      </c>
      <c r="Q72" s="63">
        <v>151920076</v>
      </c>
      <c r="R72" s="474">
        <v>0.5</v>
      </c>
      <c r="S72" s="474">
        <v>0.5</v>
      </c>
      <c r="T72" s="474">
        <v>0</v>
      </c>
      <c r="U72" s="474">
        <v>0</v>
      </c>
      <c r="V72" s="474">
        <v>1</v>
      </c>
      <c r="W72" s="63">
        <v>75960038</v>
      </c>
      <c r="X72" s="63">
        <v>75960038</v>
      </c>
      <c r="Y72" s="63">
        <v>0</v>
      </c>
      <c r="Z72" s="63">
        <v>0</v>
      </c>
      <c r="AA72" s="63">
        <v>151920076</v>
      </c>
      <c r="AB72" s="63">
        <v>293073</v>
      </c>
      <c r="AC72" s="63">
        <v>0</v>
      </c>
      <c r="AD72" s="63">
        <v>0</v>
      </c>
      <c r="AE72" s="63">
        <v>0</v>
      </c>
      <c r="AF72" s="63">
        <v>293073</v>
      </c>
      <c r="AG72" s="63">
        <v>0</v>
      </c>
      <c r="AH72" s="63">
        <v>0</v>
      </c>
      <c r="AI72" s="63">
        <v>0</v>
      </c>
      <c r="AJ72" s="63">
        <v>0</v>
      </c>
      <c r="AK72" s="63">
        <v>0</v>
      </c>
      <c r="AL72" s="63">
        <v>75666965</v>
      </c>
      <c r="AM72" s="63">
        <v>75960038</v>
      </c>
      <c r="AN72" s="63">
        <v>0</v>
      </c>
      <c r="AO72" s="63">
        <v>0</v>
      </c>
      <c r="AP72" s="63">
        <v>151627003</v>
      </c>
      <c r="AQ72" s="63">
        <v>1124554</v>
      </c>
      <c r="AR72" s="63">
        <v>1124554</v>
      </c>
      <c r="AS72" s="63">
        <v>0</v>
      </c>
      <c r="AT72" s="63">
        <v>0</v>
      </c>
      <c r="AU72" s="63">
        <v>1017734</v>
      </c>
      <c r="AV72" s="63">
        <v>0</v>
      </c>
      <c r="AW72" s="63">
        <v>1017734</v>
      </c>
      <c r="AX72" s="63">
        <v>293073</v>
      </c>
      <c r="AY72" s="63">
        <v>0</v>
      </c>
      <c r="AZ72" s="63">
        <v>0</v>
      </c>
      <c r="BA72" s="63">
        <v>293073</v>
      </c>
      <c r="BB72" s="63">
        <v>0</v>
      </c>
      <c r="BC72" s="63">
        <v>0</v>
      </c>
      <c r="BD72" s="63">
        <v>0</v>
      </c>
      <c r="BE72" s="63">
        <v>0</v>
      </c>
      <c r="BF72" s="63">
        <v>0</v>
      </c>
      <c r="BG72" s="63">
        <v>0</v>
      </c>
      <c r="BH72" s="63">
        <v>31525</v>
      </c>
      <c r="BI72" s="63">
        <v>31525</v>
      </c>
      <c r="BJ72" s="63">
        <v>0</v>
      </c>
      <c r="BK72" s="63">
        <v>0</v>
      </c>
      <c r="BL72" s="63">
        <v>63050</v>
      </c>
      <c r="BM72" s="63">
        <v>75698490</v>
      </c>
      <c r="BN72" s="63">
        <v>78426924</v>
      </c>
      <c r="BO72" s="63">
        <v>0</v>
      </c>
      <c r="BP72" s="63">
        <v>0</v>
      </c>
      <c r="BQ72" s="63">
        <v>154125414</v>
      </c>
      <c r="BR72" s="63">
        <v>1117554</v>
      </c>
      <c r="BS72" s="63">
        <v>0</v>
      </c>
      <c r="BT72" s="63">
        <v>0</v>
      </c>
      <c r="BU72" s="63">
        <v>1117554</v>
      </c>
      <c r="BV72" s="63">
        <v>6106934</v>
      </c>
      <c r="BW72" s="63">
        <v>0</v>
      </c>
      <c r="BX72" s="63">
        <v>0</v>
      </c>
      <c r="BY72" s="63">
        <v>6106934</v>
      </c>
      <c r="BZ72" s="63">
        <v>14988</v>
      </c>
      <c r="CA72" s="63">
        <v>0</v>
      </c>
      <c r="CB72" s="63">
        <v>0</v>
      </c>
      <c r="CC72" s="63">
        <v>14988</v>
      </c>
      <c r="CD72" s="63">
        <v>7608</v>
      </c>
      <c r="CE72" s="63">
        <v>0</v>
      </c>
      <c r="CF72" s="63">
        <v>0</v>
      </c>
      <c r="CG72" s="63">
        <v>7608</v>
      </c>
      <c r="CH72" s="63">
        <v>17329</v>
      </c>
      <c r="CI72" s="63">
        <v>0</v>
      </c>
      <c r="CJ72" s="63">
        <v>0</v>
      </c>
      <c r="CK72" s="63">
        <v>17329</v>
      </c>
      <c r="CL72" s="63">
        <v>83128</v>
      </c>
      <c r="CM72" s="63">
        <v>0</v>
      </c>
      <c r="CN72" s="63">
        <v>0</v>
      </c>
      <c r="CO72" s="63">
        <v>83128</v>
      </c>
      <c r="CP72" s="63">
        <v>7347541</v>
      </c>
      <c r="CQ72" s="63">
        <v>0</v>
      </c>
      <c r="CR72" s="63">
        <v>0</v>
      </c>
      <c r="CS72" s="63">
        <v>7347541</v>
      </c>
      <c r="CU72" s="141" t="s">
        <v>7</v>
      </c>
      <c r="CV72" s="157" t="s">
        <v>501</v>
      </c>
      <c r="CW72" s="156" t="s">
        <v>928</v>
      </c>
      <c r="CX72" s="345"/>
      <c r="CY72" s="345"/>
      <c r="CZ72" s="345"/>
    </row>
    <row r="73" spans="1:104" ht="12.75" x14ac:dyDescent="0.2">
      <c r="A73" s="90">
        <v>66</v>
      </c>
      <c r="B73" s="129" t="s">
        <v>10</v>
      </c>
      <c r="C73" s="130" t="s">
        <v>742</v>
      </c>
      <c r="D73" s="131" t="s">
        <v>751</v>
      </c>
      <c r="E73" s="132" t="s">
        <v>9</v>
      </c>
      <c r="F73" s="63">
        <v>31033554</v>
      </c>
      <c r="G73" s="63">
        <v>0</v>
      </c>
      <c r="H73" s="63">
        <v>0</v>
      </c>
      <c r="I73" s="63">
        <v>178689</v>
      </c>
      <c r="J73" s="63">
        <v>0</v>
      </c>
      <c r="K73" s="63">
        <v>178689</v>
      </c>
      <c r="L73" s="63">
        <v>0</v>
      </c>
      <c r="M73" s="63">
        <v>0</v>
      </c>
      <c r="N73" s="63">
        <v>89833</v>
      </c>
      <c r="O73" s="63">
        <v>89833</v>
      </c>
      <c r="P73" s="63">
        <v>0</v>
      </c>
      <c r="Q73" s="63">
        <v>30765032</v>
      </c>
      <c r="R73" s="474">
        <v>0.5</v>
      </c>
      <c r="S73" s="474">
        <v>0.4</v>
      </c>
      <c r="T73" s="474">
        <v>0.1</v>
      </c>
      <c r="U73" s="474">
        <v>0</v>
      </c>
      <c r="V73" s="474">
        <v>1</v>
      </c>
      <c r="W73" s="63">
        <v>15382516</v>
      </c>
      <c r="X73" s="63">
        <v>12306013</v>
      </c>
      <c r="Y73" s="63">
        <v>3076503</v>
      </c>
      <c r="Z73" s="63">
        <v>0</v>
      </c>
      <c r="AA73" s="63">
        <v>30765032</v>
      </c>
      <c r="AB73" s="63">
        <v>0</v>
      </c>
      <c r="AC73" s="63">
        <v>0</v>
      </c>
      <c r="AD73" s="63">
        <v>0</v>
      </c>
      <c r="AE73" s="63">
        <v>0</v>
      </c>
      <c r="AF73" s="63">
        <v>0</v>
      </c>
      <c r="AG73" s="63">
        <v>0</v>
      </c>
      <c r="AH73" s="63">
        <v>0</v>
      </c>
      <c r="AI73" s="63">
        <v>0</v>
      </c>
      <c r="AJ73" s="63">
        <v>0</v>
      </c>
      <c r="AK73" s="63">
        <v>0</v>
      </c>
      <c r="AL73" s="63">
        <v>15382516</v>
      </c>
      <c r="AM73" s="63">
        <v>12306013</v>
      </c>
      <c r="AN73" s="63">
        <v>3076503</v>
      </c>
      <c r="AO73" s="63">
        <v>0</v>
      </c>
      <c r="AP73" s="63">
        <v>30765032</v>
      </c>
      <c r="AQ73" s="63">
        <v>178689</v>
      </c>
      <c r="AR73" s="63">
        <v>178689</v>
      </c>
      <c r="AS73" s="63">
        <v>0</v>
      </c>
      <c r="AT73" s="63">
        <v>0</v>
      </c>
      <c r="AU73" s="63">
        <v>89833</v>
      </c>
      <c r="AV73" s="63">
        <v>0</v>
      </c>
      <c r="AW73" s="63">
        <v>89833</v>
      </c>
      <c r="AX73" s="63">
        <v>0</v>
      </c>
      <c r="AY73" s="63">
        <v>0</v>
      </c>
      <c r="AZ73" s="63">
        <v>0</v>
      </c>
      <c r="BA73" s="63">
        <v>0</v>
      </c>
      <c r="BB73" s="63">
        <v>0</v>
      </c>
      <c r="BC73" s="63">
        <v>0</v>
      </c>
      <c r="BD73" s="63">
        <v>0</v>
      </c>
      <c r="BE73" s="63">
        <v>0</v>
      </c>
      <c r="BF73" s="63">
        <v>0</v>
      </c>
      <c r="BG73" s="63">
        <v>0</v>
      </c>
      <c r="BH73" s="63">
        <v>-1444149</v>
      </c>
      <c r="BI73" s="63">
        <v>-1155320</v>
      </c>
      <c r="BJ73" s="63">
        <v>-288830</v>
      </c>
      <c r="BK73" s="63">
        <v>0</v>
      </c>
      <c r="BL73" s="63">
        <v>-2888299</v>
      </c>
      <c r="BM73" s="63">
        <v>13938367</v>
      </c>
      <c r="BN73" s="63">
        <v>11419215</v>
      </c>
      <c r="BO73" s="63">
        <v>2787673</v>
      </c>
      <c r="BP73" s="63">
        <v>0</v>
      </c>
      <c r="BQ73" s="63">
        <v>28145255</v>
      </c>
      <c r="BR73" s="63">
        <v>179279</v>
      </c>
      <c r="BS73" s="63">
        <v>44495</v>
      </c>
      <c r="BT73" s="63">
        <v>0</v>
      </c>
      <c r="BU73" s="63">
        <v>223774</v>
      </c>
      <c r="BV73" s="63">
        <v>615221</v>
      </c>
      <c r="BW73" s="63">
        <v>153805</v>
      </c>
      <c r="BX73" s="63">
        <v>0</v>
      </c>
      <c r="BY73" s="63">
        <v>769026</v>
      </c>
      <c r="BZ73" s="63">
        <v>1499</v>
      </c>
      <c r="CA73" s="63">
        <v>375</v>
      </c>
      <c r="CB73" s="63">
        <v>0</v>
      </c>
      <c r="CC73" s="63">
        <v>1874</v>
      </c>
      <c r="CD73" s="63">
        <v>2874</v>
      </c>
      <c r="CE73" s="63">
        <v>718</v>
      </c>
      <c r="CF73" s="63">
        <v>0</v>
      </c>
      <c r="CG73" s="63">
        <v>3592</v>
      </c>
      <c r="CH73" s="63">
        <v>1222</v>
      </c>
      <c r="CI73" s="63">
        <v>306</v>
      </c>
      <c r="CJ73" s="63">
        <v>0</v>
      </c>
      <c r="CK73" s="63">
        <v>1528</v>
      </c>
      <c r="CL73" s="63">
        <v>6170</v>
      </c>
      <c r="CM73" s="63">
        <v>1543</v>
      </c>
      <c r="CN73" s="63">
        <v>0</v>
      </c>
      <c r="CO73" s="63">
        <v>7713</v>
      </c>
      <c r="CP73" s="63">
        <v>806265</v>
      </c>
      <c r="CQ73" s="63">
        <v>201242</v>
      </c>
      <c r="CR73" s="63">
        <v>0</v>
      </c>
      <c r="CS73" s="63">
        <v>1007507</v>
      </c>
      <c r="CU73" s="141" t="s">
        <v>9</v>
      </c>
      <c r="CV73" s="157" t="s">
        <v>966</v>
      </c>
      <c r="CW73" s="156" t="s">
        <v>928</v>
      </c>
      <c r="CX73" s="345"/>
      <c r="CY73" s="345"/>
      <c r="CZ73" s="345"/>
    </row>
    <row r="74" spans="1:104" ht="12.75" x14ac:dyDescent="0.2">
      <c r="A74" s="90">
        <v>67</v>
      </c>
      <c r="B74" s="129" t="s">
        <v>12</v>
      </c>
      <c r="C74" s="130" t="s">
        <v>749</v>
      </c>
      <c r="D74" s="131" t="s">
        <v>752</v>
      </c>
      <c r="E74" s="132" t="s">
        <v>11</v>
      </c>
      <c r="F74" s="63">
        <v>119658908</v>
      </c>
      <c r="G74" s="63">
        <v>0</v>
      </c>
      <c r="H74" s="63">
        <v>0</v>
      </c>
      <c r="I74" s="63">
        <v>379337</v>
      </c>
      <c r="J74" s="63">
        <v>0</v>
      </c>
      <c r="K74" s="63">
        <v>379337</v>
      </c>
      <c r="L74" s="63">
        <v>0</v>
      </c>
      <c r="M74" s="63">
        <v>0</v>
      </c>
      <c r="N74" s="63">
        <v>0</v>
      </c>
      <c r="O74" s="63">
        <v>0</v>
      </c>
      <c r="P74" s="63">
        <v>0</v>
      </c>
      <c r="Q74" s="63">
        <v>119279571</v>
      </c>
      <c r="R74" s="474">
        <v>0.5</v>
      </c>
      <c r="S74" s="474">
        <v>0.49</v>
      </c>
      <c r="T74" s="474">
        <v>0</v>
      </c>
      <c r="U74" s="474">
        <v>0.01</v>
      </c>
      <c r="V74" s="474">
        <v>1</v>
      </c>
      <c r="W74" s="63">
        <v>59639785</v>
      </c>
      <c r="X74" s="63">
        <v>58446990</v>
      </c>
      <c r="Y74" s="63">
        <v>0</v>
      </c>
      <c r="Z74" s="63">
        <v>1192796</v>
      </c>
      <c r="AA74" s="63">
        <v>119279571</v>
      </c>
      <c r="AB74" s="63">
        <v>0</v>
      </c>
      <c r="AC74" s="63">
        <v>0</v>
      </c>
      <c r="AD74" s="63">
        <v>0</v>
      </c>
      <c r="AE74" s="63">
        <v>0</v>
      </c>
      <c r="AF74" s="63">
        <v>0</v>
      </c>
      <c r="AG74" s="63">
        <v>0</v>
      </c>
      <c r="AH74" s="63">
        <v>0</v>
      </c>
      <c r="AI74" s="63">
        <v>0</v>
      </c>
      <c r="AJ74" s="63">
        <v>0</v>
      </c>
      <c r="AK74" s="63">
        <v>0</v>
      </c>
      <c r="AL74" s="63">
        <v>59639785</v>
      </c>
      <c r="AM74" s="63">
        <v>58446990</v>
      </c>
      <c r="AN74" s="63">
        <v>0</v>
      </c>
      <c r="AO74" s="63">
        <v>1192796</v>
      </c>
      <c r="AP74" s="63">
        <v>119279571</v>
      </c>
      <c r="AQ74" s="63">
        <v>379337</v>
      </c>
      <c r="AR74" s="63">
        <v>379337</v>
      </c>
      <c r="AS74" s="63">
        <v>0</v>
      </c>
      <c r="AT74" s="63">
        <v>0</v>
      </c>
      <c r="AU74" s="63">
        <v>0</v>
      </c>
      <c r="AV74" s="63">
        <v>0</v>
      </c>
      <c r="AW74" s="63">
        <v>0</v>
      </c>
      <c r="AX74" s="63">
        <v>0</v>
      </c>
      <c r="AY74" s="63">
        <v>0</v>
      </c>
      <c r="AZ74" s="63">
        <v>0</v>
      </c>
      <c r="BA74" s="63">
        <v>0</v>
      </c>
      <c r="BB74" s="63">
        <v>0</v>
      </c>
      <c r="BC74" s="63">
        <v>0</v>
      </c>
      <c r="BD74" s="63">
        <v>0</v>
      </c>
      <c r="BE74" s="63">
        <v>0</v>
      </c>
      <c r="BF74" s="63">
        <v>0</v>
      </c>
      <c r="BG74" s="63">
        <v>0</v>
      </c>
      <c r="BH74" s="63">
        <v>-362290</v>
      </c>
      <c r="BI74" s="63">
        <v>-355044</v>
      </c>
      <c r="BJ74" s="63">
        <v>0</v>
      </c>
      <c r="BK74" s="63">
        <v>-7246</v>
      </c>
      <c r="BL74" s="63">
        <v>-724580</v>
      </c>
      <c r="BM74" s="63">
        <v>59277495</v>
      </c>
      <c r="BN74" s="63">
        <v>58471283</v>
      </c>
      <c r="BO74" s="63">
        <v>0</v>
      </c>
      <c r="BP74" s="63">
        <v>1185550</v>
      </c>
      <c r="BQ74" s="63">
        <v>118934328</v>
      </c>
      <c r="BR74" s="63">
        <v>845308</v>
      </c>
      <c r="BS74" s="63">
        <v>0</v>
      </c>
      <c r="BT74" s="63">
        <v>17251</v>
      </c>
      <c r="BU74" s="63">
        <v>862559</v>
      </c>
      <c r="BV74" s="63">
        <v>1391722</v>
      </c>
      <c r="BW74" s="63">
        <v>0</v>
      </c>
      <c r="BX74" s="63">
        <v>28402</v>
      </c>
      <c r="BY74" s="63">
        <v>1420124</v>
      </c>
      <c r="BZ74" s="63">
        <v>0</v>
      </c>
      <c r="CA74" s="63">
        <v>0</v>
      </c>
      <c r="CB74" s="63">
        <v>0</v>
      </c>
      <c r="CC74" s="63">
        <v>0</v>
      </c>
      <c r="CD74" s="63">
        <v>4545</v>
      </c>
      <c r="CE74" s="63">
        <v>0</v>
      </c>
      <c r="CF74" s="63">
        <v>93</v>
      </c>
      <c r="CG74" s="63">
        <v>4638</v>
      </c>
      <c r="CH74" s="63">
        <v>46535</v>
      </c>
      <c r="CI74" s="63">
        <v>0</v>
      </c>
      <c r="CJ74" s="63">
        <v>950</v>
      </c>
      <c r="CK74" s="63">
        <v>47485</v>
      </c>
      <c r="CL74" s="63">
        <v>3318</v>
      </c>
      <c r="CM74" s="63">
        <v>0</v>
      </c>
      <c r="CN74" s="63">
        <v>68</v>
      </c>
      <c r="CO74" s="63">
        <v>3386</v>
      </c>
      <c r="CP74" s="63">
        <v>2291428</v>
      </c>
      <c r="CQ74" s="63">
        <v>0</v>
      </c>
      <c r="CR74" s="63">
        <v>46764</v>
      </c>
      <c r="CS74" s="63">
        <v>2338192</v>
      </c>
      <c r="CU74" s="141" t="s">
        <v>11</v>
      </c>
      <c r="CV74" s="157" t="s">
        <v>941</v>
      </c>
      <c r="CW74" s="156" t="s">
        <v>949</v>
      </c>
      <c r="CX74" s="345"/>
      <c r="CY74" s="345"/>
      <c r="CZ74" s="345"/>
    </row>
    <row r="75" spans="1:104" ht="12.75" x14ac:dyDescent="0.2">
      <c r="A75" s="90">
        <v>68</v>
      </c>
      <c r="B75" s="129" t="s">
        <v>14</v>
      </c>
      <c r="C75" s="130" t="s">
        <v>742</v>
      </c>
      <c r="D75" s="131" t="s">
        <v>750</v>
      </c>
      <c r="E75" s="132" t="s">
        <v>13</v>
      </c>
      <c r="F75" s="63">
        <v>18614433</v>
      </c>
      <c r="G75" s="63">
        <v>0</v>
      </c>
      <c r="H75" s="63">
        <v>0</v>
      </c>
      <c r="I75" s="63">
        <v>120297</v>
      </c>
      <c r="J75" s="63">
        <v>0</v>
      </c>
      <c r="K75" s="63">
        <v>120297</v>
      </c>
      <c r="L75" s="63">
        <v>0</v>
      </c>
      <c r="M75" s="63">
        <v>0</v>
      </c>
      <c r="N75" s="63">
        <v>0</v>
      </c>
      <c r="O75" s="63">
        <v>0</v>
      </c>
      <c r="P75" s="63">
        <v>0</v>
      </c>
      <c r="Q75" s="63">
        <v>18494136</v>
      </c>
      <c r="R75" s="474">
        <v>0.5</v>
      </c>
      <c r="S75" s="474">
        <v>0.4</v>
      </c>
      <c r="T75" s="474">
        <v>0.09</v>
      </c>
      <c r="U75" s="474">
        <v>0.01</v>
      </c>
      <c r="V75" s="474">
        <v>1</v>
      </c>
      <c r="W75" s="63">
        <v>9247069</v>
      </c>
      <c r="X75" s="63">
        <v>7397654</v>
      </c>
      <c r="Y75" s="63">
        <v>1664472</v>
      </c>
      <c r="Z75" s="63">
        <v>184941</v>
      </c>
      <c r="AA75" s="63">
        <v>18494136</v>
      </c>
      <c r="AB75" s="63"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0</v>
      </c>
      <c r="AI75" s="63">
        <v>0</v>
      </c>
      <c r="AJ75" s="63">
        <v>0</v>
      </c>
      <c r="AK75" s="63">
        <v>0</v>
      </c>
      <c r="AL75" s="63">
        <v>9247069</v>
      </c>
      <c r="AM75" s="63">
        <v>7397654</v>
      </c>
      <c r="AN75" s="63">
        <v>1664472</v>
      </c>
      <c r="AO75" s="63">
        <v>184941</v>
      </c>
      <c r="AP75" s="63">
        <v>18494136</v>
      </c>
      <c r="AQ75" s="63">
        <v>120297</v>
      </c>
      <c r="AR75" s="63">
        <v>120297</v>
      </c>
      <c r="AS75" s="63">
        <v>0</v>
      </c>
      <c r="AT75" s="63">
        <v>0</v>
      </c>
      <c r="AU75" s="63">
        <v>0</v>
      </c>
      <c r="AV75" s="63">
        <v>0</v>
      </c>
      <c r="AW75" s="63">
        <v>0</v>
      </c>
      <c r="AX75" s="63">
        <v>0</v>
      </c>
      <c r="AY75" s="63">
        <v>0</v>
      </c>
      <c r="AZ75" s="63">
        <v>0</v>
      </c>
      <c r="BA75" s="63">
        <v>0</v>
      </c>
      <c r="BB75" s="63">
        <v>0</v>
      </c>
      <c r="BC75" s="63">
        <v>0</v>
      </c>
      <c r="BD75" s="63">
        <v>0</v>
      </c>
      <c r="BE75" s="63">
        <v>0</v>
      </c>
      <c r="BF75" s="63">
        <v>0</v>
      </c>
      <c r="BG75" s="63">
        <v>0</v>
      </c>
      <c r="BH75" s="63">
        <v>-454688</v>
      </c>
      <c r="BI75" s="63">
        <v>-363751</v>
      </c>
      <c r="BJ75" s="63">
        <v>-81844</v>
      </c>
      <c r="BK75" s="63">
        <v>-9094</v>
      </c>
      <c r="BL75" s="63">
        <v>-909377</v>
      </c>
      <c r="BM75" s="63">
        <v>8792381</v>
      </c>
      <c r="BN75" s="63">
        <v>7154200</v>
      </c>
      <c r="BO75" s="63">
        <v>1582628</v>
      </c>
      <c r="BP75" s="63">
        <v>175847</v>
      </c>
      <c r="BQ75" s="63">
        <v>17705056</v>
      </c>
      <c r="BR75" s="63">
        <v>106991</v>
      </c>
      <c r="BS75" s="63">
        <v>24073</v>
      </c>
      <c r="BT75" s="63">
        <v>2675</v>
      </c>
      <c r="BU75" s="63">
        <v>133739</v>
      </c>
      <c r="BV75" s="63">
        <v>472664</v>
      </c>
      <c r="BW75" s="63">
        <v>106350</v>
      </c>
      <c r="BX75" s="63">
        <v>11817</v>
      </c>
      <c r="BY75" s="63">
        <v>590831</v>
      </c>
      <c r="BZ75" s="63">
        <v>942</v>
      </c>
      <c r="CA75" s="63">
        <v>212</v>
      </c>
      <c r="CB75" s="63">
        <v>24</v>
      </c>
      <c r="CC75" s="63">
        <v>1178</v>
      </c>
      <c r="CD75" s="63">
        <v>1432</v>
      </c>
      <c r="CE75" s="63">
        <v>322</v>
      </c>
      <c r="CF75" s="63">
        <v>36</v>
      </c>
      <c r="CG75" s="63">
        <v>1790</v>
      </c>
      <c r="CH75" s="63">
        <v>9860</v>
      </c>
      <c r="CI75" s="63">
        <v>2218</v>
      </c>
      <c r="CJ75" s="63">
        <v>246</v>
      </c>
      <c r="CK75" s="63">
        <v>12324</v>
      </c>
      <c r="CL75" s="63">
        <v>0</v>
      </c>
      <c r="CM75" s="63">
        <v>0</v>
      </c>
      <c r="CN75" s="63">
        <v>0</v>
      </c>
      <c r="CO75" s="63">
        <v>0</v>
      </c>
      <c r="CP75" s="63">
        <v>591889</v>
      </c>
      <c r="CQ75" s="63">
        <v>133175</v>
      </c>
      <c r="CR75" s="63">
        <v>14798</v>
      </c>
      <c r="CS75" s="63">
        <v>739862</v>
      </c>
      <c r="CU75" s="141" t="s">
        <v>13</v>
      </c>
      <c r="CV75" s="157" t="s">
        <v>972</v>
      </c>
      <c r="CW75" s="156" t="s">
        <v>764</v>
      </c>
      <c r="CX75" s="345"/>
      <c r="CY75" s="345"/>
      <c r="CZ75" s="345"/>
    </row>
    <row r="76" spans="1:104" ht="12.75" x14ac:dyDescent="0.2">
      <c r="A76" s="90">
        <v>69</v>
      </c>
      <c r="B76" s="129" t="s">
        <v>16</v>
      </c>
      <c r="C76" s="130" t="s">
        <v>742</v>
      </c>
      <c r="D76" s="131" t="s">
        <v>743</v>
      </c>
      <c r="E76" s="132" t="s">
        <v>15</v>
      </c>
      <c r="F76" s="63">
        <v>119721805</v>
      </c>
      <c r="G76" s="63">
        <v>0</v>
      </c>
      <c r="H76" s="63">
        <v>0</v>
      </c>
      <c r="I76" s="63">
        <v>206882</v>
      </c>
      <c r="J76" s="63">
        <v>0</v>
      </c>
      <c r="K76" s="63">
        <v>206882</v>
      </c>
      <c r="L76" s="63">
        <v>0</v>
      </c>
      <c r="M76" s="63">
        <v>0</v>
      </c>
      <c r="N76" s="63">
        <v>9940</v>
      </c>
      <c r="O76" s="63">
        <v>9940</v>
      </c>
      <c r="P76" s="63">
        <v>0</v>
      </c>
      <c r="Q76" s="63">
        <v>119504983</v>
      </c>
      <c r="R76" s="474">
        <v>0.5</v>
      </c>
      <c r="S76" s="474">
        <v>0.4</v>
      </c>
      <c r="T76" s="474">
        <v>0.1</v>
      </c>
      <c r="U76" s="474">
        <v>0</v>
      </c>
      <c r="V76" s="474">
        <v>1</v>
      </c>
      <c r="W76" s="63">
        <v>59752492</v>
      </c>
      <c r="X76" s="63">
        <v>47801993</v>
      </c>
      <c r="Y76" s="63">
        <v>11950498</v>
      </c>
      <c r="Z76" s="63">
        <v>0</v>
      </c>
      <c r="AA76" s="63">
        <v>119504983</v>
      </c>
      <c r="AB76" s="63">
        <v>0</v>
      </c>
      <c r="AC76" s="63">
        <v>0</v>
      </c>
      <c r="AD76" s="63">
        <v>0</v>
      </c>
      <c r="AE76" s="63">
        <v>0</v>
      </c>
      <c r="AF76" s="63">
        <v>0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59752492</v>
      </c>
      <c r="AM76" s="63">
        <v>47801993</v>
      </c>
      <c r="AN76" s="63">
        <v>11950498</v>
      </c>
      <c r="AO76" s="63">
        <v>0</v>
      </c>
      <c r="AP76" s="63">
        <v>119504983</v>
      </c>
      <c r="AQ76" s="63">
        <v>206882</v>
      </c>
      <c r="AR76" s="63">
        <v>206882</v>
      </c>
      <c r="AS76" s="63">
        <v>0</v>
      </c>
      <c r="AT76" s="63">
        <v>0</v>
      </c>
      <c r="AU76" s="63">
        <v>9940</v>
      </c>
      <c r="AV76" s="63">
        <v>0</v>
      </c>
      <c r="AW76" s="63">
        <v>9940</v>
      </c>
      <c r="AX76" s="63">
        <v>0</v>
      </c>
      <c r="AY76" s="63">
        <v>0</v>
      </c>
      <c r="AZ76" s="63">
        <v>0</v>
      </c>
      <c r="BA76" s="63">
        <v>0</v>
      </c>
      <c r="BB76" s="63">
        <v>0</v>
      </c>
      <c r="BC76" s="63">
        <v>0</v>
      </c>
      <c r="BD76" s="63">
        <v>0</v>
      </c>
      <c r="BE76" s="63">
        <v>0</v>
      </c>
      <c r="BF76" s="63">
        <v>0</v>
      </c>
      <c r="BG76" s="63">
        <v>0</v>
      </c>
      <c r="BH76" s="63">
        <v>2539455</v>
      </c>
      <c r="BI76" s="63">
        <v>2031564</v>
      </c>
      <c r="BJ76" s="63">
        <v>507891</v>
      </c>
      <c r="BK76" s="63">
        <v>0</v>
      </c>
      <c r="BL76" s="63">
        <v>5078910</v>
      </c>
      <c r="BM76" s="63">
        <v>62291947</v>
      </c>
      <c r="BN76" s="63">
        <v>50050379</v>
      </c>
      <c r="BO76" s="63">
        <v>12458389</v>
      </c>
      <c r="BP76" s="63">
        <v>0</v>
      </c>
      <c r="BQ76" s="63">
        <v>124800715</v>
      </c>
      <c r="BR76" s="63">
        <v>691495</v>
      </c>
      <c r="BS76" s="63">
        <v>172838</v>
      </c>
      <c r="BT76" s="63">
        <v>0</v>
      </c>
      <c r="BU76" s="63">
        <v>864333</v>
      </c>
      <c r="BV76" s="63">
        <v>161249</v>
      </c>
      <c r="BW76" s="63">
        <v>40312</v>
      </c>
      <c r="BX76" s="63">
        <v>0</v>
      </c>
      <c r="BY76" s="63">
        <v>201561</v>
      </c>
      <c r="BZ76" s="63">
        <v>1162</v>
      </c>
      <c r="CA76" s="63">
        <v>290</v>
      </c>
      <c r="CB76" s="63">
        <v>0</v>
      </c>
      <c r="CC76" s="63">
        <v>1452</v>
      </c>
      <c r="CD76" s="63">
        <v>44995</v>
      </c>
      <c r="CE76" s="63">
        <v>11249</v>
      </c>
      <c r="CF76" s="63">
        <v>0</v>
      </c>
      <c r="CG76" s="63">
        <v>56244</v>
      </c>
      <c r="CH76" s="63">
        <v>28934</v>
      </c>
      <c r="CI76" s="63">
        <v>7234</v>
      </c>
      <c r="CJ76" s="63">
        <v>0</v>
      </c>
      <c r="CK76" s="63">
        <v>36168</v>
      </c>
      <c r="CL76" s="63">
        <v>1440</v>
      </c>
      <c r="CM76" s="63">
        <v>360</v>
      </c>
      <c r="CN76" s="63">
        <v>0</v>
      </c>
      <c r="CO76" s="63">
        <v>1800</v>
      </c>
      <c r="CP76" s="63">
        <v>929275</v>
      </c>
      <c r="CQ76" s="63">
        <v>232283</v>
      </c>
      <c r="CR76" s="63">
        <v>0</v>
      </c>
      <c r="CS76" s="63">
        <v>1161558</v>
      </c>
      <c r="CU76" s="141" t="s">
        <v>15</v>
      </c>
      <c r="CV76" s="157" t="s">
        <v>927</v>
      </c>
      <c r="CW76" s="156" t="s">
        <v>928</v>
      </c>
      <c r="CX76" s="345"/>
      <c r="CY76" s="345"/>
      <c r="CZ76" s="345"/>
    </row>
    <row r="77" spans="1:104" ht="12.75" x14ac:dyDescent="0.2">
      <c r="A77" s="90">
        <v>70</v>
      </c>
      <c r="B77" s="129" t="s">
        <v>18</v>
      </c>
      <c r="C77" s="130" t="s">
        <v>747</v>
      </c>
      <c r="D77" s="131" t="s">
        <v>748</v>
      </c>
      <c r="E77" s="132" t="s">
        <v>17</v>
      </c>
      <c r="F77" s="63">
        <v>109533499</v>
      </c>
      <c r="G77" s="63">
        <v>0</v>
      </c>
      <c r="H77" s="63">
        <v>0</v>
      </c>
      <c r="I77" s="63">
        <v>426913</v>
      </c>
      <c r="J77" s="63">
        <v>0</v>
      </c>
      <c r="K77" s="63">
        <v>426913</v>
      </c>
      <c r="L77" s="63">
        <v>0</v>
      </c>
      <c r="M77" s="63">
        <v>0</v>
      </c>
      <c r="N77" s="63">
        <v>0</v>
      </c>
      <c r="O77" s="63">
        <v>0</v>
      </c>
      <c r="P77" s="63">
        <v>0</v>
      </c>
      <c r="Q77" s="63">
        <v>109106586</v>
      </c>
      <c r="R77" s="474">
        <v>0.5</v>
      </c>
      <c r="S77" s="474">
        <v>0.3</v>
      </c>
      <c r="T77" s="474">
        <v>0.2</v>
      </c>
      <c r="U77" s="474">
        <v>0</v>
      </c>
      <c r="V77" s="474">
        <v>1</v>
      </c>
      <c r="W77" s="63">
        <v>54553293</v>
      </c>
      <c r="X77" s="63">
        <v>32731976</v>
      </c>
      <c r="Y77" s="63">
        <v>21821317</v>
      </c>
      <c r="Z77" s="63">
        <v>0</v>
      </c>
      <c r="AA77" s="63">
        <v>109106586</v>
      </c>
      <c r="AB77" s="63">
        <v>0</v>
      </c>
      <c r="AC77" s="63">
        <v>0</v>
      </c>
      <c r="AD77" s="63">
        <v>0</v>
      </c>
      <c r="AE77" s="63">
        <v>0</v>
      </c>
      <c r="AF77" s="63">
        <v>0</v>
      </c>
      <c r="AG77" s="63">
        <v>0</v>
      </c>
      <c r="AH77" s="63">
        <v>0</v>
      </c>
      <c r="AI77" s="63">
        <v>0</v>
      </c>
      <c r="AJ77" s="63">
        <v>0</v>
      </c>
      <c r="AK77" s="63">
        <v>0</v>
      </c>
      <c r="AL77" s="63">
        <v>54553293</v>
      </c>
      <c r="AM77" s="63">
        <v>32731976</v>
      </c>
      <c r="AN77" s="63">
        <v>21821317</v>
      </c>
      <c r="AO77" s="63">
        <v>0</v>
      </c>
      <c r="AP77" s="63">
        <v>109106586</v>
      </c>
      <c r="AQ77" s="63">
        <v>426913</v>
      </c>
      <c r="AR77" s="63">
        <v>426913</v>
      </c>
      <c r="AS77" s="63">
        <v>0</v>
      </c>
      <c r="AT77" s="63">
        <v>0</v>
      </c>
      <c r="AU77" s="63">
        <v>0</v>
      </c>
      <c r="AV77" s="63">
        <v>0</v>
      </c>
      <c r="AW77" s="63">
        <v>0</v>
      </c>
      <c r="AX77" s="63">
        <v>0</v>
      </c>
      <c r="AY77" s="63">
        <v>0</v>
      </c>
      <c r="AZ77" s="63">
        <v>0</v>
      </c>
      <c r="BA77" s="63">
        <v>0</v>
      </c>
      <c r="BB77" s="63">
        <v>0</v>
      </c>
      <c r="BC77" s="63">
        <v>0</v>
      </c>
      <c r="BD77" s="63">
        <v>0</v>
      </c>
      <c r="BE77" s="63">
        <v>0</v>
      </c>
      <c r="BF77" s="63">
        <v>0</v>
      </c>
      <c r="BG77" s="63">
        <v>0</v>
      </c>
      <c r="BH77" s="63">
        <v>-8707792</v>
      </c>
      <c r="BI77" s="63">
        <v>-5224676</v>
      </c>
      <c r="BJ77" s="63">
        <v>-3483117</v>
      </c>
      <c r="BK77" s="63">
        <v>0</v>
      </c>
      <c r="BL77" s="63">
        <v>-17415585</v>
      </c>
      <c r="BM77" s="63">
        <v>45845501</v>
      </c>
      <c r="BN77" s="63">
        <v>27934213</v>
      </c>
      <c r="BO77" s="63">
        <v>18338200</v>
      </c>
      <c r="BP77" s="63">
        <v>0</v>
      </c>
      <c r="BQ77" s="63">
        <v>92117914</v>
      </c>
      <c r="BR77" s="63">
        <v>473396</v>
      </c>
      <c r="BS77" s="63">
        <v>315598</v>
      </c>
      <c r="BT77" s="63">
        <v>0</v>
      </c>
      <c r="BU77" s="63">
        <v>788994</v>
      </c>
      <c r="BV77" s="63">
        <v>934781</v>
      </c>
      <c r="BW77" s="63">
        <v>623187</v>
      </c>
      <c r="BX77" s="63">
        <v>0</v>
      </c>
      <c r="BY77" s="63">
        <v>1557968</v>
      </c>
      <c r="BZ77" s="63">
        <v>0</v>
      </c>
      <c r="CA77" s="63">
        <v>0</v>
      </c>
      <c r="CB77" s="63">
        <v>0</v>
      </c>
      <c r="CC77" s="63">
        <v>0</v>
      </c>
      <c r="CD77" s="63">
        <v>0</v>
      </c>
      <c r="CE77" s="63">
        <v>0</v>
      </c>
      <c r="CF77" s="63">
        <v>0</v>
      </c>
      <c r="CG77" s="63">
        <v>0</v>
      </c>
      <c r="CH77" s="63">
        <v>240</v>
      </c>
      <c r="CI77" s="63">
        <v>159</v>
      </c>
      <c r="CJ77" s="63">
        <v>0</v>
      </c>
      <c r="CK77" s="63">
        <v>399</v>
      </c>
      <c r="CL77" s="63">
        <v>402569</v>
      </c>
      <c r="CM77" s="63">
        <v>268380</v>
      </c>
      <c r="CN77" s="63">
        <v>0</v>
      </c>
      <c r="CO77" s="63">
        <v>670949</v>
      </c>
      <c r="CP77" s="63">
        <v>1810986</v>
      </c>
      <c r="CQ77" s="63">
        <v>1207324</v>
      </c>
      <c r="CR77" s="63">
        <v>0</v>
      </c>
      <c r="CS77" s="63">
        <v>3018310</v>
      </c>
      <c r="CU77" s="141" t="s">
        <v>17</v>
      </c>
      <c r="CV77" s="157" t="s">
        <v>939</v>
      </c>
      <c r="CW77" s="157" t="s">
        <v>940</v>
      </c>
      <c r="CX77" s="345"/>
      <c r="CY77" s="345"/>
      <c r="CZ77" s="345"/>
    </row>
    <row r="78" spans="1:104" ht="12.75" x14ac:dyDescent="0.2">
      <c r="A78" s="90">
        <v>71</v>
      </c>
      <c r="B78" s="129" t="s">
        <v>21</v>
      </c>
      <c r="C78" s="130" t="s">
        <v>742</v>
      </c>
      <c r="D78" s="131" t="s">
        <v>746</v>
      </c>
      <c r="E78" s="132" t="s">
        <v>19</v>
      </c>
      <c r="F78" s="63">
        <v>61740722</v>
      </c>
      <c r="G78" s="63">
        <v>0</v>
      </c>
      <c r="H78" s="63">
        <v>0</v>
      </c>
      <c r="I78" s="63">
        <v>217273</v>
      </c>
      <c r="J78" s="63">
        <v>0</v>
      </c>
      <c r="K78" s="63">
        <v>217273</v>
      </c>
      <c r="L78" s="63">
        <v>0</v>
      </c>
      <c r="M78" s="63">
        <v>0</v>
      </c>
      <c r="N78" s="63">
        <v>0</v>
      </c>
      <c r="O78" s="63">
        <v>0</v>
      </c>
      <c r="P78" s="63">
        <v>0</v>
      </c>
      <c r="Q78" s="63">
        <v>61523449</v>
      </c>
      <c r="R78" s="474">
        <v>0.5</v>
      </c>
      <c r="S78" s="474">
        <v>0.4</v>
      </c>
      <c r="T78" s="474">
        <v>0.1</v>
      </c>
      <c r="U78" s="474">
        <v>0</v>
      </c>
      <c r="V78" s="474">
        <v>1</v>
      </c>
      <c r="W78" s="63">
        <v>30761724</v>
      </c>
      <c r="X78" s="63">
        <v>24609380</v>
      </c>
      <c r="Y78" s="63">
        <v>6152345</v>
      </c>
      <c r="Z78" s="63">
        <v>0</v>
      </c>
      <c r="AA78" s="63">
        <v>61523449</v>
      </c>
      <c r="AB78" s="63">
        <v>0</v>
      </c>
      <c r="AC78" s="63">
        <v>0</v>
      </c>
      <c r="AD78" s="63">
        <v>0</v>
      </c>
      <c r="AE78" s="63">
        <v>0</v>
      </c>
      <c r="AF78" s="63">
        <v>0</v>
      </c>
      <c r="AG78" s="63">
        <v>0</v>
      </c>
      <c r="AH78" s="63">
        <v>0</v>
      </c>
      <c r="AI78" s="63">
        <v>0</v>
      </c>
      <c r="AJ78" s="63">
        <v>0</v>
      </c>
      <c r="AK78" s="63">
        <v>0</v>
      </c>
      <c r="AL78" s="63">
        <v>30761724</v>
      </c>
      <c r="AM78" s="63">
        <v>24609380</v>
      </c>
      <c r="AN78" s="63">
        <v>6152345</v>
      </c>
      <c r="AO78" s="63">
        <v>0</v>
      </c>
      <c r="AP78" s="63">
        <v>61523449</v>
      </c>
      <c r="AQ78" s="63">
        <v>217273</v>
      </c>
      <c r="AR78" s="63">
        <v>217273</v>
      </c>
      <c r="AS78" s="63">
        <v>0</v>
      </c>
      <c r="AT78" s="63">
        <v>0</v>
      </c>
      <c r="AU78" s="63">
        <v>0</v>
      </c>
      <c r="AV78" s="63">
        <v>0</v>
      </c>
      <c r="AW78" s="63">
        <v>0</v>
      </c>
      <c r="AX78" s="63">
        <v>0</v>
      </c>
      <c r="AY78" s="63">
        <v>0</v>
      </c>
      <c r="AZ78" s="63">
        <v>0</v>
      </c>
      <c r="BA78" s="63">
        <v>0</v>
      </c>
      <c r="BB78" s="63">
        <v>0</v>
      </c>
      <c r="BC78" s="63">
        <v>0</v>
      </c>
      <c r="BD78" s="63">
        <v>0</v>
      </c>
      <c r="BE78" s="63">
        <v>0</v>
      </c>
      <c r="BF78" s="63">
        <v>0</v>
      </c>
      <c r="BG78" s="63">
        <v>0</v>
      </c>
      <c r="BH78" s="63">
        <v>-1105669</v>
      </c>
      <c r="BI78" s="63">
        <v>-884536</v>
      </c>
      <c r="BJ78" s="63">
        <v>-221134</v>
      </c>
      <c r="BK78" s="63">
        <v>0</v>
      </c>
      <c r="BL78" s="63">
        <v>-2211339</v>
      </c>
      <c r="BM78" s="63">
        <v>29656055</v>
      </c>
      <c r="BN78" s="63">
        <v>23942117</v>
      </c>
      <c r="BO78" s="63">
        <v>5931211</v>
      </c>
      <c r="BP78" s="63">
        <v>0</v>
      </c>
      <c r="BQ78" s="63">
        <v>59529383</v>
      </c>
      <c r="BR78" s="63">
        <v>355921</v>
      </c>
      <c r="BS78" s="63">
        <v>88980</v>
      </c>
      <c r="BT78" s="63">
        <v>0</v>
      </c>
      <c r="BU78" s="63">
        <v>444901</v>
      </c>
      <c r="BV78" s="63">
        <v>453065</v>
      </c>
      <c r="BW78" s="63">
        <v>113266</v>
      </c>
      <c r="BX78" s="63">
        <v>0</v>
      </c>
      <c r="BY78" s="63">
        <v>566331</v>
      </c>
      <c r="BZ78" s="63">
        <v>2044</v>
      </c>
      <c r="CA78" s="63">
        <v>511</v>
      </c>
      <c r="CB78" s="63">
        <v>0</v>
      </c>
      <c r="CC78" s="63">
        <v>2555</v>
      </c>
      <c r="CD78" s="63">
        <v>0</v>
      </c>
      <c r="CE78" s="63">
        <v>0</v>
      </c>
      <c r="CF78" s="63">
        <v>0</v>
      </c>
      <c r="CG78" s="63">
        <v>0</v>
      </c>
      <c r="CH78" s="63">
        <v>1055</v>
      </c>
      <c r="CI78" s="63">
        <v>264</v>
      </c>
      <c r="CJ78" s="63">
        <v>0</v>
      </c>
      <c r="CK78" s="63">
        <v>1319</v>
      </c>
      <c r="CL78" s="63">
        <v>0</v>
      </c>
      <c r="CM78" s="63">
        <v>0</v>
      </c>
      <c r="CN78" s="63">
        <v>0</v>
      </c>
      <c r="CO78" s="63">
        <v>0</v>
      </c>
      <c r="CP78" s="63">
        <v>812085</v>
      </c>
      <c r="CQ78" s="63">
        <v>203021</v>
      </c>
      <c r="CR78" s="63">
        <v>0</v>
      </c>
      <c r="CS78" s="63">
        <v>1015106</v>
      </c>
      <c r="CU78" s="141" t="s">
        <v>19</v>
      </c>
      <c r="CV78" s="157" t="s">
        <v>960</v>
      </c>
      <c r="CW78" s="156" t="s">
        <v>928</v>
      </c>
      <c r="CX78" s="345"/>
      <c r="CY78" s="345"/>
      <c r="CZ78" s="345"/>
    </row>
    <row r="79" spans="1:104" ht="12.75" x14ac:dyDescent="0.2">
      <c r="A79" s="90">
        <v>72</v>
      </c>
      <c r="B79" s="129" t="s">
        <v>22</v>
      </c>
      <c r="C79" s="130" t="s">
        <v>501</v>
      </c>
      <c r="D79" s="131" t="s">
        <v>755</v>
      </c>
      <c r="E79" s="132" t="s">
        <v>527</v>
      </c>
      <c r="F79" s="63">
        <v>35732407</v>
      </c>
      <c r="G79" s="63">
        <v>0</v>
      </c>
      <c r="H79" s="63">
        <v>0</v>
      </c>
      <c r="I79" s="63">
        <v>147463</v>
      </c>
      <c r="J79" s="63">
        <v>0</v>
      </c>
      <c r="K79" s="63">
        <v>147463</v>
      </c>
      <c r="L79" s="63">
        <v>0</v>
      </c>
      <c r="M79" s="63">
        <v>116211</v>
      </c>
      <c r="N79" s="63">
        <v>0</v>
      </c>
      <c r="O79" s="63">
        <v>0</v>
      </c>
      <c r="P79" s="63">
        <v>0</v>
      </c>
      <c r="Q79" s="63">
        <v>35468733</v>
      </c>
      <c r="R79" s="474">
        <v>0.5</v>
      </c>
      <c r="S79" s="474">
        <v>0.49</v>
      </c>
      <c r="T79" s="474">
        <v>0</v>
      </c>
      <c r="U79" s="474">
        <v>0.01</v>
      </c>
      <c r="V79" s="474">
        <v>1</v>
      </c>
      <c r="W79" s="63">
        <v>17734367</v>
      </c>
      <c r="X79" s="63">
        <v>17379679</v>
      </c>
      <c r="Y79" s="63">
        <v>0</v>
      </c>
      <c r="Z79" s="63">
        <v>354687</v>
      </c>
      <c r="AA79" s="63">
        <v>35468733</v>
      </c>
      <c r="AB79" s="63">
        <v>0</v>
      </c>
      <c r="AC79" s="63">
        <v>0</v>
      </c>
      <c r="AD79" s="63">
        <v>0</v>
      </c>
      <c r="AE79" s="63">
        <v>0</v>
      </c>
      <c r="AF79" s="63">
        <v>0</v>
      </c>
      <c r="AG79" s="63">
        <v>0</v>
      </c>
      <c r="AH79" s="63">
        <v>0</v>
      </c>
      <c r="AI79" s="63">
        <v>0</v>
      </c>
      <c r="AJ79" s="63">
        <v>0</v>
      </c>
      <c r="AK79" s="63">
        <v>0</v>
      </c>
      <c r="AL79" s="63">
        <v>17734367</v>
      </c>
      <c r="AM79" s="63">
        <v>17379679</v>
      </c>
      <c r="AN79" s="63">
        <v>0</v>
      </c>
      <c r="AO79" s="63">
        <v>354687</v>
      </c>
      <c r="AP79" s="63">
        <v>35468733</v>
      </c>
      <c r="AQ79" s="63">
        <v>147463</v>
      </c>
      <c r="AR79" s="63">
        <v>147463</v>
      </c>
      <c r="AS79" s="63">
        <v>116211</v>
      </c>
      <c r="AT79" s="63">
        <v>116211</v>
      </c>
      <c r="AU79" s="63">
        <v>0</v>
      </c>
      <c r="AV79" s="63">
        <v>0</v>
      </c>
      <c r="AW79" s="63">
        <v>0</v>
      </c>
      <c r="AX79" s="63">
        <v>0</v>
      </c>
      <c r="AY79" s="63">
        <v>0</v>
      </c>
      <c r="AZ79" s="63">
        <v>0</v>
      </c>
      <c r="BA79" s="63">
        <v>0</v>
      </c>
      <c r="BB79" s="63">
        <v>0</v>
      </c>
      <c r="BC79" s="63">
        <v>0</v>
      </c>
      <c r="BD79" s="63">
        <v>0</v>
      </c>
      <c r="BE79" s="63">
        <v>0</v>
      </c>
      <c r="BF79" s="63">
        <v>0</v>
      </c>
      <c r="BG79" s="63">
        <v>0</v>
      </c>
      <c r="BH79" s="63">
        <v>-1265875</v>
      </c>
      <c r="BI79" s="63">
        <v>-1240557</v>
      </c>
      <c r="BJ79" s="63">
        <v>0</v>
      </c>
      <c r="BK79" s="63">
        <v>-25317</v>
      </c>
      <c r="BL79" s="63">
        <v>-2531749</v>
      </c>
      <c r="BM79" s="63">
        <v>16468492</v>
      </c>
      <c r="BN79" s="63">
        <v>16402796</v>
      </c>
      <c r="BO79" s="63">
        <v>0</v>
      </c>
      <c r="BP79" s="63">
        <v>329370</v>
      </c>
      <c r="BQ79" s="63">
        <v>33200658</v>
      </c>
      <c r="BR79" s="63">
        <v>253040</v>
      </c>
      <c r="BS79" s="63">
        <v>0</v>
      </c>
      <c r="BT79" s="63">
        <v>5130</v>
      </c>
      <c r="BU79" s="63">
        <v>258170</v>
      </c>
      <c r="BV79" s="63">
        <v>603802</v>
      </c>
      <c r="BW79" s="63">
        <v>0</v>
      </c>
      <c r="BX79" s="63">
        <v>12322</v>
      </c>
      <c r="BY79" s="63">
        <v>616124</v>
      </c>
      <c r="BZ79" s="63">
        <v>0</v>
      </c>
      <c r="CA79" s="63">
        <v>0</v>
      </c>
      <c r="CB79" s="63">
        <v>0</v>
      </c>
      <c r="CC79" s="63">
        <v>0</v>
      </c>
      <c r="CD79" s="63">
        <v>61788</v>
      </c>
      <c r="CE79" s="63">
        <v>0</v>
      </c>
      <c r="CF79" s="63">
        <v>1261</v>
      </c>
      <c r="CG79" s="63">
        <v>63049</v>
      </c>
      <c r="CH79" s="63">
        <v>23724</v>
      </c>
      <c r="CI79" s="63">
        <v>0</v>
      </c>
      <c r="CJ79" s="63">
        <v>484</v>
      </c>
      <c r="CK79" s="63">
        <v>24208</v>
      </c>
      <c r="CL79" s="63">
        <v>0</v>
      </c>
      <c r="CM79" s="63">
        <v>0</v>
      </c>
      <c r="CN79" s="63">
        <v>0</v>
      </c>
      <c r="CO79" s="63">
        <v>0</v>
      </c>
      <c r="CP79" s="63">
        <v>942354</v>
      </c>
      <c r="CQ79" s="63">
        <v>0</v>
      </c>
      <c r="CR79" s="63">
        <v>19197</v>
      </c>
      <c r="CS79" s="63">
        <v>961551</v>
      </c>
      <c r="CU79" s="141" t="s">
        <v>527</v>
      </c>
      <c r="CV79" s="157" t="s">
        <v>501</v>
      </c>
      <c r="CW79" s="156" t="s">
        <v>973</v>
      </c>
      <c r="CX79" s="345"/>
      <c r="CY79" s="345"/>
      <c r="CZ79" s="345"/>
    </row>
    <row r="80" spans="1:104" ht="12.75" x14ac:dyDescent="0.2">
      <c r="A80" s="90">
        <v>73</v>
      </c>
      <c r="B80" s="129" t="s">
        <v>24</v>
      </c>
      <c r="C80" s="130" t="s">
        <v>742</v>
      </c>
      <c r="D80" s="131" t="s">
        <v>743</v>
      </c>
      <c r="E80" s="132" t="s">
        <v>23</v>
      </c>
      <c r="F80" s="63">
        <v>86860815</v>
      </c>
      <c r="G80" s="63">
        <v>0</v>
      </c>
      <c r="H80" s="63">
        <v>0</v>
      </c>
      <c r="I80" s="63">
        <v>175625</v>
      </c>
      <c r="J80" s="63">
        <v>0</v>
      </c>
      <c r="K80" s="63">
        <v>175625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86685190</v>
      </c>
      <c r="R80" s="474">
        <v>0.5</v>
      </c>
      <c r="S80" s="474">
        <v>0.4</v>
      </c>
      <c r="T80" s="474">
        <v>0.09</v>
      </c>
      <c r="U80" s="474">
        <v>0.01</v>
      </c>
      <c r="V80" s="474">
        <v>1</v>
      </c>
      <c r="W80" s="63">
        <v>43342595</v>
      </c>
      <c r="X80" s="63">
        <v>34674076</v>
      </c>
      <c r="Y80" s="63">
        <v>7801667</v>
      </c>
      <c r="Z80" s="63">
        <v>866852</v>
      </c>
      <c r="AA80" s="63">
        <v>86685190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43342595</v>
      </c>
      <c r="AM80" s="63">
        <v>34674076</v>
      </c>
      <c r="AN80" s="63">
        <v>7801667</v>
      </c>
      <c r="AO80" s="63">
        <v>866852</v>
      </c>
      <c r="AP80" s="63">
        <v>86685190</v>
      </c>
      <c r="AQ80" s="63">
        <v>175625</v>
      </c>
      <c r="AR80" s="63">
        <v>175625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-1562654</v>
      </c>
      <c r="BI80" s="63">
        <v>-1250123</v>
      </c>
      <c r="BJ80" s="63">
        <v>-281278</v>
      </c>
      <c r="BK80" s="63">
        <v>-31253</v>
      </c>
      <c r="BL80" s="63">
        <v>-3125308</v>
      </c>
      <c r="BM80" s="63">
        <v>41779941</v>
      </c>
      <c r="BN80" s="63">
        <v>33599578</v>
      </c>
      <c r="BO80" s="63">
        <v>7520389</v>
      </c>
      <c r="BP80" s="63">
        <v>835599</v>
      </c>
      <c r="BQ80" s="63">
        <v>83735507</v>
      </c>
      <c r="BR80" s="63">
        <v>501485</v>
      </c>
      <c r="BS80" s="63">
        <v>112834</v>
      </c>
      <c r="BT80" s="63">
        <v>12537</v>
      </c>
      <c r="BU80" s="63">
        <v>626856</v>
      </c>
      <c r="BV80" s="63">
        <v>277773</v>
      </c>
      <c r="BW80" s="63">
        <v>62499</v>
      </c>
      <c r="BX80" s="63">
        <v>6944</v>
      </c>
      <c r="BY80" s="63">
        <v>347216</v>
      </c>
      <c r="BZ80" s="63">
        <v>3419</v>
      </c>
      <c r="CA80" s="63">
        <v>769</v>
      </c>
      <c r="CB80" s="63">
        <v>85</v>
      </c>
      <c r="CC80" s="63">
        <v>4273</v>
      </c>
      <c r="CD80" s="63">
        <v>0</v>
      </c>
      <c r="CE80" s="63">
        <v>0</v>
      </c>
      <c r="CF80" s="63">
        <v>0</v>
      </c>
      <c r="CG80" s="63">
        <v>0</v>
      </c>
      <c r="CH80" s="63">
        <v>794</v>
      </c>
      <c r="CI80" s="63">
        <v>178</v>
      </c>
      <c r="CJ80" s="63">
        <v>20</v>
      </c>
      <c r="CK80" s="63">
        <v>992</v>
      </c>
      <c r="CL80" s="63">
        <v>2</v>
      </c>
      <c r="CM80" s="63">
        <v>1</v>
      </c>
      <c r="CN80" s="63">
        <v>0</v>
      </c>
      <c r="CO80" s="63">
        <v>3</v>
      </c>
      <c r="CP80" s="63">
        <v>783473</v>
      </c>
      <c r="CQ80" s="63">
        <v>176281</v>
      </c>
      <c r="CR80" s="63">
        <v>19586</v>
      </c>
      <c r="CS80" s="63">
        <v>979340</v>
      </c>
      <c r="CU80" s="141" t="s">
        <v>23</v>
      </c>
      <c r="CV80" s="157" t="s">
        <v>934</v>
      </c>
      <c r="CW80" s="156" t="s">
        <v>935</v>
      </c>
      <c r="CX80" s="345"/>
      <c r="CY80" s="345"/>
      <c r="CZ80" s="345"/>
    </row>
    <row r="81" spans="1:104" ht="12.75" x14ac:dyDescent="0.2">
      <c r="A81" s="90">
        <v>74</v>
      </c>
      <c r="B81" s="129" t="s">
        <v>26</v>
      </c>
      <c r="C81" s="130" t="s">
        <v>742</v>
      </c>
      <c r="D81" s="131" t="s">
        <v>745</v>
      </c>
      <c r="E81" s="132" t="s">
        <v>25</v>
      </c>
      <c r="F81" s="63">
        <v>43955521</v>
      </c>
      <c r="G81" s="63">
        <v>0</v>
      </c>
      <c r="H81" s="63">
        <v>0</v>
      </c>
      <c r="I81" s="63">
        <v>118572</v>
      </c>
      <c r="J81" s="63">
        <v>0</v>
      </c>
      <c r="K81" s="63">
        <v>118572</v>
      </c>
      <c r="L81" s="63">
        <v>0</v>
      </c>
      <c r="M81" s="63">
        <v>0</v>
      </c>
      <c r="N81" s="63">
        <v>440400</v>
      </c>
      <c r="O81" s="63">
        <v>440400</v>
      </c>
      <c r="P81" s="63">
        <v>0</v>
      </c>
      <c r="Q81" s="63">
        <v>43396549</v>
      </c>
      <c r="R81" s="474">
        <v>0.5</v>
      </c>
      <c r="S81" s="474">
        <v>0.4</v>
      </c>
      <c r="T81" s="474">
        <v>0.1</v>
      </c>
      <c r="U81" s="474">
        <v>0</v>
      </c>
      <c r="V81" s="474">
        <v>1</v>
      </c>
      <c r="W81" s="63">
        <v>21698274</v>
      </c>
      <c r="X81" s="63">
        <v>17358620</v>
      </c>
      <c r="Y81" s="63">
        <v>4339655</v>
      </c>
      <c r="Z81" s="63">
        <v>0</v>
      </c>
      <c r="AA81" s="63">
        <v>43396549</v>
      </c>
      <c r="AB81" s="63">
        <v>0</v>
      </c>
      <c r="AC81" s="63">
        <v>0</v>
      </c>
      <c r="AD81" s="63">
        <v>0</v>
      </c>
      <c r="AE81" s="63">
        <v>0</v>
      </c>
      <c r="AF81" s="63">
        <v>0</v>
      </c>
      <c r="AG81" s="63">
        <v>0</v>
      </c>
      <c r="AH81" s="63">
        <v>0</v>
      </c>
      <c r="AI81" s="63">
        <v>0</v>
      </c>
      <c r="AJ81" s="63">
        <v>0</v>
      </c>
      <c r="AK81" s="63">
        <v>0</v>
      </c>
      <c r="AL81" s="63">
        <v>21698274</v>
      </c>
      <c r="AM81" s="63">
        <v>17358620</v>
      </c>
      <c r="AN81" s="63">
        <v>4339655</v>
      </c>
      <c r="AO81" s="63">
        <v>0</v>
      </c>
      <c r="AP81" s="63">
        <v>43396549</v>
      </c>
      <c r="AQ81" s="63">
        <v>118572</v>
      </c>
      <c r="AR81" s="63">
        <v>118572</v>
      </c>
      <c r="AS81" s="63">
        <v>0</v>
      </c>
      <c r="AT81" s="63">
        <v>0</v>
      </c>
      <c r="AU81" s="63">
        <v>440400</v>
      </c>
      <c r="AV81" s="63">
        <v>0</v>
      </c>
      <c r="AW81" s="63">
        <v>440400</v>
      </c>
      <c r="AX81" s="63">
        <v>0</v>
      </c>
      <c r="AY81" s="63">
        <v>0</v>
      </c>
      <c r="AZ81" s="63">
        <v>0</v>
      </c>
      <c r="BA81" s="63">
        <v>0</v>
      </c>
      <c r="BB81" s="63">
        <v>0</v>
      </c>
      <c r="BC81" s="63">
        <v>0</v>
      </c>
      <c r="BD81" s="63">
        <v>0</v>
      </c>
      <c r="BE81" s="63">
        <v>0</v>
      </c>
      <c r="BF81" s="63">
        <v>0</v>
      </c>
      <c r="BG81" s="63">
        <v>0</v>
      </c>
      <c r="BH81" s="63">
        <v>677272</v>
      </c>
      <c r="BI81" s="63">
        <v>541817</v>
      </c>
      <c r="BJ81" s="63">
        <v>135454</v>
      </c>
      <c r="BK81" s="63">
        <v>0</v>
      </c>
      <c r="BL81" s="63">
        <v>1354543</v>
      </c>
      <c r="BM81" s="63">
        <v>22375546</v>
      </c>
      <c r="BN81" s="63">
        <v>18459409</v>
      </c>
      <c r="BO81" s="63">
        <v>4475109</v>
      </c>
      <c r="BP81" s="63">
        <v>0</v>
      </c>
      <c r="BQ81" s="63">
        <v>45310064</v>
      </c>
      <c r="BR81" s="63">
        <v>257424</v>
      </c>
      <c r="BS81" s="63">
        <v>62764</v>
      </c>
      <c r="BT81" s="63">
        <v>0</v>
      </c>
      <c r="BU81" s="63">
        <v>320188</v>
      </c>
      <c r="BV81" s="63">
        <v>346765</v>
      </c>
      <c r="BW81" s="63">
        <v>86691</v>
      </c>
      <c r="BX81" s="63">
        <v>0</v>
      </c>
      <c r="BY81" s="63">
        <v>433456</v>
      </c>
      <c r="BZ81" s="63">
        <v>0</v>
      </c>
      <c r="CA81" s="63">
        <v>0</v>
      </c>
      <c r="CB81" s="63">
        <v>0</v>
      </c>
      <c r="CC81" s="63">
        <v>0</v>
      </c>
      <c r="CD81" s="63">
        <v>0</v>
      </c>
      <c r="CE81" s="63">
        <v>0</v>
      </c>
      <c r="CF81" s="63">
        <v>0</v>
      </c>
      <c r="CG81" s="63">
        <v>0</v>
      </c>
      <c r="CH81" s="63">
        <v>0</v>
      </c>
      <c r="CI81" s="63">
        <v>0</v>
      </c>
      <c r="CJ81" s="63">
        <v>0</v>
      </c>
      <c r="CK81" s="63">
        <v>0</v>
      </c>
      <c r="CL81" s="63">
        <v>0</v>
      </c>
      <c r="CM81" s="63">
        <v>0</v>
      </c>
      <c r="CN81" s="63">
        <v>0</v>
      </c>
      <c r="CO81" s="63">
        <v>0</v>
      </c>
      <c r="CP81" s="63">
        <v>604189</v>
      </c>
      <c r="CQ81" s="63">
        <v>149455</v>
      </c>
      <c r="CR81" s="63">
        <v>0</v>
      </c>
      <c r="CS81" s="63">
        <v>753644</v>
      </c>
      <c r="CU81" s="141" t="s">
        <v>25</v>
      </c>
      <c r="CV81" s="157" t="s">
        <v>971</v>
      </c>
      <c r="CW81" s="156" t="s">
        <v>928</v>
      </c>
      <c r="CX81" s="345"/>
      <c r="CY81" s="345"/>
      <c r="CZ81" s="345"/>
    </row>
    <row r="82" spans="1:104" ht="12.75" x14ac:dyDescent="0.2">
      <c r="A82" s="90">
        <v>75</v>
      </c>
      <c r="B82" s="129" t="s">
        <v>27</v>
      </c>
      <c r="C82" s="130" t="s">
        <v>501</v>
      </c>
      <c r="D82" s="131" t="s">
        <v>745</v>
      </c>
      <c r="E82" s="132" t="s">
        <v>520</v>
      </c>
      <c r="F82" s="63">
        <v>91901497</v>
      </c>
      <c r="G82" s="63">
        <v>0</v>
      </c>
      <c r="H82" s="63">
        <v>0</v>
      </c>
      <c r="I82" s="63">
        <v>319205</v>
      </c>
      <c r="J82" s="63">
        <v>0</v>
      </c>
      <c r="K82" s="63">
        <v>319205</v>
      </c>
      <c r="L82" s="63">
        <v>0</v>
      </c>
      <c r="M82" s="63">
        <v>15000</v>
      </c>
      <c r="N82" s="63">
        <v>750000</v>
      </c>
      <c r="O82" s="63">
        <v>750000</v>
      </c>
      <c r="P82" s="63">
        <v>0</v>
      </c>
      <c r="Q82" s="63">
        <v>90817292</v>
      </c>
      <c r="R82" s="474">
        <v>0.5</v>
      </c>
      <c r="S82" s="474">
        <v>0.49</v>
      </c>
      <c r="T82" s="474">
        <v>0</v>
      </c>
      <c r="U82" s="474">
        <v>0.01</v>
      </c>
      <c r="V82" s="474">
        <v>1</v>
      </c>
      <c r="W82" s="63">
        <v>45408646</v>
      </c>
      <c r="X82" s="63">
        <v>44500473</v>
      </c>
      <c r="Y82" s="63">
        <v>0</v>
      </c>
      <c r="Z82" s="63">
        <v>908173</v>
      </c>
      <c r="AA82" s="63">
        <v>90817292</v>
      </c>
      <c r="AB82" s="63">
        <v>25000</v>
      </c>
      <c r="AC82" s="63">
        <v>0</v>
      </c>
      <c r="AD82" s="63">
        <v>0</v>
      </c>
      <c r="AE82" s="63">
        <v>0</v>
      </c>
      <c r="AF82" s="63">
        <v>25000</v>
      </c>
      <c r="AG82" s="63">
        <v>0</v>
      </c>
      <c r="AH82" s="63">
        <v>0</v>
      </c>
      <c r="AI82" s="63">
        <v>0</v>
      </c>
      <c r="AJ82" s="63">
        <v>0</v>
      </c>
      <c r="AK82" s="63">
        <v>0</v>
      </c>
      <c r="AL82" s="63">
        <v>45383646</v>
      </c>
      <c r="AM82" s="63">
        <v>44500473</v>
      </c>
      <c r="AN82" s="63">
        <v>0</v>
      </c>
      <c r="AO82" s="63">
        <v>908173</v>
      </c>
      <c r="AP82" s="63">
        <v>90792292</v>
      </c>
      <c r="AQ82" s="63">
        <v>319205</v>
      </c>
      <c r="AR82" s="63">
        <v>319205</v>
      </c>
      <c r="AS82" s="63">
        <v>15000</v>
      </c>
      <c r="AT82" s="63">
        <v>15000</v>
      </c>
      <c r="AU82" s="63">
        <v>750000</v>
      </c>
      <c r="AV82" s="63">
        <v>0</v>
      </c>
      <c r="AW82" s="63">
        <v>750000</v>
      </c>
      <c r="AX82" s="63">
        <v>25000</v>
      </c>
      <c r="AY82" s="63">
        <v>0</v>
      </c>
      <c r="AZ82" s="63">
        <v>0</v>
      </c>
      <c r="BA82" s="63">
        <v>25000</v>
      </c>
      <c r="BB82" s="63">
        <v>0</v>
      </c>
      <c r="BC82" s="63">
        <v>0</v>
      </c>
      <c r="BD82" s="63">
        <v>0</v>
      </c>
      <c r="BE82" s="63">
        <v>0</v>
      </c>
      <c r="BF82" s="63">
        <v>0</v>
      </c>
      <c r="BG82" s="63">
        <v>0</v>
      </c>
      <c r="BH82" s="63">
        <v>-177320</v>
      </c>
      <c r="BI82" s="63">
        <v>-173774</v>
      </c>
      <c r="BJ82" s="63">
        <v>0</v>
      </c>
      <c r="BK82" s="63">
        <v>-3546</v>
      </c>
      <c r="BL82" s="63">
        <v>-354640</v>
      </c>
      <c r="BM82" s="63">
        <v>45206326</v>
      </c>
      <c r="BN82" s="63">
        <v>45435904</v>
      </c>
      <c r="BO82" s="63">
        <v>0</v>
      </c>
      <c r="BP82" s="63">
        <v>904627</v>
      </c>
      <c r="BQ82" s="63">
        <v>91546857</v>
      </c>
      <c r="BR82" s="63">
        <v>655028</v>
      </c>
      <c r="BS82" s="63">
        <v>0</v>
      </c>
      <c r="BT82" s="63">
        <v>13135</v>
      </c>
      <c r="BU82" s="63">
        <v>668163</v>
      </c>
      <c r="BV82" s="63">
        <v>1058106</v>
      </c>
      <c r="BW82" s="63">
        <v>0</v>
      </c>
      <c r="BX82" s="63">
        <v>21594</v>
      </c>
      <c r="BY82" s="63">
        <v>1079700</v>
      </c>
      <c r="BZ82" s="63">
        <v>0</v>
      </c>
      <c r="CA82" s="63">
        <v>0</v>
      </c>
      <c r="CB82" s="63">
        <v>0</v>
      </c>
      <c r="CC82" s="63">
        <v>0</v>
      </c>
      <c r="CD82" s="63">
        <v>24855</v>
      </c>
      <c r="CE82" s="63">
        <v>0</v>
      </c>
      <c r="CF82" s="63">
        <v>507</v>
      </c>
      <c r="CG82" s="63">
        <v>25362</v>
      </c>
      <c r="CH82" s="63">
        <v>2877</v>
      </c>
      <c r="CI82" s="63">
        <v>0</v>
      </c>
      <c r="CJ82" s="63">
        <v>59</v>
      </c>
      <c r="CK82" s="63">
        <v>2936</v>
      </c>
      <c r="CL82" s="63">
        <v>0</v>
      </c>
      <c r="CM82" s="63">
        <v>0</v>
      </c>
      <c r="CN82" s="63">
        <v>0</v>
      </c>
      <c r="CO82" s="63">
        <v>0</v>
      </c>
      <c r="CP82" s="63">
        <v>1740866</v>
      </c>
      <c r="CQ82" s="63">
        <v>0</v>
      </c>
      <c r="CR82" s="63">
        <v>35295</v>
      </c>
      <c r="CS82" s="63">
        <v>1776161</v>
      </c>
      <c r="CU82" s="141" t="s">
        <v>520</v>
      </c>
      <c r="CV82" s="157" t="s">
        <v>501</v>
      </c>
      <c r="CW82" s="156" t="s">
        <v>931</v>
      </c>
      <c r="CX82" s="345"/>
      <c r="CY82" s="345"/>
      <c r="CZ82" s="345"/>
    </row>
    <row r="83" spans="1:104" ht="12.75" x14ac:dyDescent="0.2">
      <c r="A83" s="90">
        <v>76</v>
      </c>
      <c r="B83" s="129" t="s">
        <v>29</v>
      </c>
      <c r="C83" s="130" t="s">
        <v>742</v>
      </c>
      <c r="D83" s="131" t="s">
        <v>745</v>
      </c>
      <c r="E83" s="132" t="s">
        <v>28</v>
      </c>
      <c r="F83" s="63">
        <v>18064150</v>
      </c>
      <c r="G83" s="63">
        <v>0</v>
      </c>
      <c r="H83" s="63">
        <v>0</v>
      </c>
      <c r="I83" s="63">
        <v>146145</v>
      </c>
      <c r="J83" s="63">
        <v>0</v>
      </c>
      <c r="K83" s="63">
        <v>146145</v>
      </c>
      <c r="L83" s="63">
        <v>0</v>
      </c>
      <c r="M83" s="63">
        <v>0</v>
      </c>
      <c r="N83" s="63">
        <v>158888</v>
      </c>
      <c r="O83" s="63">
        <v>158888</v>
      </c>
      <c r="P83" s="63">
        <v>0</v>
      </c>
      <c r="Q83" s="63">
        <v>17759117</v>
      </c>
      <c r="R83" s="474">
        <v>0.5</v>
      </c>
      <c r="S83" s="474">
        <v>0.4</v>
      </c>
      <c r="T83" s="474">
        <v>0.09</v>
      </c>
      <c r="U83" s="474">
        <v>0.01</v>
      </c>
      <c r="V83" s="474">
        <v>1</v>
      </c>
      <c r="W83" s="63">
        <v>8879558</v>
      </c>
      <c r="X83" s="63">
        <v>7103647</v>
      </c>
      <c r="Y83" s="63">
        <v>1598321</v>
      </c>
      <c r="Z83" s="63">
        <v>177591</v>
      </c>
      <c r="AA83" s="63">
        <v>17759117</v>
      </c>
      <c r="AB83" s="63">
        <v>0</v>
      </c>
      <c r="AC83" s="63">
        <v>0</v>
      </c>
      <c r="AD83" s="63">
        <v>0</v>
      </c>
      <c r="AE83" s="63">
        <v>0</v>
      </c>
      <c r="AF83" s="63">
        <v>0</v>
      </c>
      <c r="AG83" s="63">
        <v>0</v>
      </c>
      <c r="AH83" s="63">
        <v>0</v>
      </c>
      <c r="AI83" s="63">
        <v>0</v>
      </c>
      <c r="AJ83" s="63">
        <v>0</v>
      </c>
      <c r="AK83" s="63">
        <v>0</v>
      </c>
      <c r="AL83" s="63">
        <v>8879558</v>
      </c>
      <c r="AM83" s="63">
        <v>7103647</v>
      </c>
      <c r="AN83" s="63">
        <v>1598321</v>
      </c>
      <c r="AO83" s="63">
        <v>177591</v>
      </c>
      <c r="AP83" s="63">
        <v>17759117</v>
      </c>
      <c r="AQ83" s="63">
        <v>146145</v>
      </c>
      <c r="AR83" s="63">
        <v>146145</v>
      </c>
      <c r="AS83" s="63">
        <v>0</v>
      </c>
      <c r="AT83" s="63">
        <v>0</v>
      </c>
      <c r="AU83" s="63">
        <v>158888</v>
      </c>
      <c r="AV83" s="63">
        <v>0</v>
      </c>
      <c r="AW83" s="63">
        <v>158888</v>
      </c>
      <c r="AX83" s="63">
        <v>0</v>
      </c>
      <c r="AY83" s="63">
        <v>0</v>
      </c>
      <c r="AZ83" s="63">
        <v>0</v>
      </c>
      <c r="BA83" s="63">
        <v>0</v>
      </c>
      <c r="BB83" s="63">
        <v>0</v>
      </c>
      <c r="BC83" s="63">
        <v>0</v>
      </c>
      <c r="BD83" s="63">
        <v>0</v>
      </c>
      <c r="BE83" s="63">
        <v>0</v>
      </c>
      <c r="BF83" s="63">
        <v>0</v>
      </c>
      <c r="BG83" s="63">
        <v>0</v>
      </c>
      <c r="BH83" s="63">
        <v>-329168</v>
      </c>
      <c r="BI83" s="63">
        <v>-263334</v>
      </c>
      <c r="BJ83" s="63">
        <v>-59250</v>
      </c>
      <c r="BK83" s="63">
        <v>-6583</v>
      </c>
      <c r="BL83" s="63">
        <v>-658335</v>
      </c>
      <c r="BM83" s="63">
        <v>8550390</v>
      </c>
      <c r="BN83" s="63">
        <v>7145346</v>
      </c>
      <c r="BO83" s="63">
        <v>1539071</v>
      </c>
      <c r="BP83" s="63">
        <v>171008</v>
      </c>
      <c r="BQ83" s="63">
        <v>17405815</v>
      </c>
      <c r="BR83" s="63">
        <v>105037</v>
      </c>
      <c r="BS83" s="63">
        <v>23116</v>
      </c>
      <c r="BT83" s="63">
        <v>2568</v>
      </c>
      <c r="BU83" s="63">
        <v>130721</v>
      </c>
      <c r="BV83" s="63">
        <v>548490</v>
      </c>
      <c r="BW83" s="63">
        <v>123410</v>
      </c>
      <c r="BX83" s="63">
        <v>13712</v>
      </c>
      <c r="BY83" s="63">
        <v>685612</v>
      </c>
      <c r="BZ83" s="63">
        <v>0</v>
      </c>
      <c r="CA83" s="63">
        <v>0</v>
      </c>
      <c r="CB83" s="63">
        <v>0</v>
      </c>
      <c r="CC83" s="63">
        <v>0</v>
      </c>
      <c r="CD83" s="63">
        <v>0</v>
      </c>
      <c r="CE83" s="63">
        <v>0</v>
      </c>
      <c r="CF83" s="63">
        <v>0</v>
      </c>
      <c r="CG83" s="63">
        <v>0</v>
      </c>
      <c r="CH83" s="63">
        <v>0</v>
      </c>
      <c r="CI83" s="63">
        <v>0</v>
      </c>
      <c r="CJ83" s="63">
        <v>0</v>
      </c>
      <c r="CK83" s="63">
        <v>0</v>
      </c>
      <c r="CL83" s="63">
        <v>4110</v>
      </c>
      <c r="CM83" s="63">
        <v>925</v>
      </c>
      <c r="CN83" s="63">
        <v>103</v>
      </c>
      <c r="CO83" s="63">
        <v>5138</v>
      </c>
      <c r="CP83" s="63">
        <v>657637</v>
      </c>
      <c r="CQ83" s="63">
        <v>147451</v>
      </c>
      <c r="CR83" s="63">
        <v>16383</v>
      </c>
      <c r="CS83" s="63">
        <v>821471</v>
      </c>
      <c r="CU83" s="141" t="s">
        <v>28</v>
      </c>
      <c r="CV83" s="157" t="s">
        <v>930</v>
      </c>
      <c r="CW83" s="156" t="s">
        <v>931</v>
      </c>
      <c r="CX83" s="345"/>
      <c r="CY83" s="345"/>
      <c r="CZ83" s="345"/>
    </row>
    <row r="84" spans="1:104" ht="12.75" x14ac:dyDescent="0.2">
      <c r="A84" s="90">
        <v>77</v>
      </c>
      <c r="B84" s="129" t="s">
        <v>31</v>
      </c>
      <c r="C84" s="130" t="s">
        <v>749</v>
      </c>
      <c r="D84" s="131" t="s">
        <v>750</v>
      </c>
      <c r="E84" s="132" t="s">
        <v>30</v>
      </c>
      <c r="F84" s="63">
        <v>97892794</v>
      </c>
      <c r="G84" s="63">
        <v>0</v>
      </c>
      <c r="H84" s="63">
        <v>0</v>
      </c>
      <c r="I84" s="63">
        <v>373751</v>
      </c>
      <c r="J84" s="63">
        <v>0</v>
      </c>
      <c r="K84" s="63">
        <v>373751</v>
      </c>
      <c r="L84" s="63">
        <v>0</v>
      </c>
      <c r="M84" s="63">
        <v>0</v>
      </c>
      <c r="N84" s="63">
        <v>153141</v>
      </c>
      <c r="O84" s="63">
        <v>153141</v>
      </c>
      <c r="P84" s="63">
        <v>0</v>
      </c>
      <c r="Q84" s="63">
        <v>97365902</v>
      </c>
      <c r="R84" s="474">
        <v>0.5</v>
      </c>
      <c r="S84" s="474">
        <v>0.49</v>
      </c>
      <c r="T84" s="474">
        <v>0</v>
      </c>
      <c r="U84" s="474">
        <v>0.01</v>
      </c>
      <c r="V84" s="474">
        <v>1</v>
      </c>
      <c r="W84" s="63">
        <v>48682951</v>
      </c>
      <c r="X84" s="63">
        <v>47709292</v>
      </c>
      <c r="Y84" s="63">
        <v>0</v>
      </c>
      <c r="Z84" s="63">
        <v>973659</v>
      </c>
      <c r="AA84" s="63">
        <v>97365902</v>
      </c>
      <c r="AB84" s="63">
        <v>0</v>
      </c>
      <c r="AC84" s="63">
        <v>0</v>
      </c>
      <c r="AD84" s="63">
        <v>0</v>
      </c>
      <c r="AE84" s="63">
        <v>0</v>
      </c>
      <c r="AF84" s="63">
        <v>0</v>
      </c>
      <c r="AG84" s="63">
        <v>0</v>
      </c>
      <c r="AH84" s="63">
        <v>0</v>
      </c>
      <c r="AI84" s="63">
        <v>0</v>
      </c>
      <c r="AJ84" s="63">
        <v>0</v>
      </c>
      <c r="AK84" s="63">
        <v>0</v>
      </c>
      <c r="AL84" s="63">
        <v>48682951</v>
      </c>
      <c r="AM84" s="63">
        <v>47709292</v>
      </c>
      <c r="AN84" s="63">
        <v>0</v>
      </c>
      <c r="AO84" s="63">
        <v>973659</v>
      </c>
      <c r="AP84" s="63">
        <v>97365902</v>
      </c>
      <c r="AQ84" s="63">
        <v>373751</v>
      </c>
      <c r="AR84" s="63">
        <v>373751</v>
      </c>
      <c r="AS84" s="63">
        <v>0</v>
      </c>
      <c r="AT84" s="63">
        <v>0</v>
      </c>
      <c r="AU84" s="63">
        <v>153141</v>
      </c>
      <c r="AV84" s="63">
        <v>0</v>
      </c>
      <c r="AW84" s="63">
        <v>153141</v>
      </c>
      <c r="AX84" s="63">
        <v>0</v>
      </c>
      <c r="AY84" s="63">
        <v>0</v>
      </c>
      <c r="AZ84" s="63">
        <v>0</v>
      </c>
      <c r="BA84" s="63">
        <v>0</v>
      </c>
      <c r="BB84" s="63">
        <v>0</v>
      </c>
      <c r="BC84" s="63">
        <v>0</v>
      </c>
      <c r="BD84" s="63">
        <v>0</v>
      </c>
      <c r="BE84" s="63">
        <v>0</v>
      </c>
      <c r="BF84" s="63">
        <v>0</v>
      </c>
      <c r="BG84" s="63">
        <v>0</v>
      </c>
      <c r="BH84" s="63">
        <v>-636626</v>
      </c>
      <c r="BI84" s="63">
        <v>-623893</v>
      </c>
      <c r="BJ84" s="63">
        <v>0</v>
      </c>
      <c r="BK84" s="63">
        <v>-12733</v>
      </c>
      <c r="BL84" s="63">
        <v>-1273252</v>
      </c>
      <c r="BM84" s="63">
        <v>48046325</v>
      </c>
      <c r="BN84" s="63">
        <v>47612291</v>
      </c>
      <c r="BO84" s="63">
        <v>0</v>
      </c>
      <c r="BP84" s="63">
        <v>960926</v>
      </c>
      <c r="BQ84" s="63">
        <v>96619542</v>
      </c>
      <c r="BR84" s="63">
        <v>692225</v>
      </c>
      <c r="BS84" s="63">
        <v>0</v>
      </c>
      <c r="BT84" s="63">
        <v>14082</v>
      </c>
      <c r="BU84" s="63">
        <v>706307</v>
      </c>
      <c r="BV84" s="63">
        <v>1523680</v>
      </c>
      <c r="BW84" s="63">
        <v>0</v>
      </c>
      <c r="BX84" s="63">
        <v>31096</v>
      </c>
      <c r="BY84" s="63">
        <v>1554776</v>
      </c>
      <c r="BZ84" s="63">
        <v>13537</v>
      </c>
      <c r="CA84" s="63">
        <v>0</v>
      </c>
      <c r="CB84" s="63">
        <v>276</v>
      </c>
      <c r="CC84" s="63">
        <v>13813</v>
      </c>
      <c r="CD84" s="63">
        <v>20296</v>
      </c>
      <c r="CE84" s="63">
        <v>0</v>
      </c>
      <c r="CF84" s="63">
        <v>414</v>
      </c>
      <c r="CG84" s="63">
        <v>20710</v>
      </c>
      <c r="CH84" s="63">
        <v>20803</v>
      </c>
      <c r="CI84" s="63">
        <v>0</v>
      </c>
      <c r="CJ84" s="63">
        <v>425</v>
      </c>
      <c r="CK84" s="63">
        <v>21228</v>
      </c>
      <c r="CL84" s="63">
        <v>9881</v>
      </c>
      <c r="CM84" s="63">
        <v>0</v>
      </c>
      <c r="CN84" s="63">
        <v>202</v>
      </c>
      <c r="CO84" s="63">
        <v>10083</v>
      </c>
      <c r="CP84" s="63">
        <v>2280422</v>
      </c>
      <c r="CQ84" s="63">
        <v>0</v>
      </c>
      <c r="CR84" s="63">
        <v>46495</v>
      </c>
      <c r="CS84" s="63">
        <v>2326917</v>
      </c>
      <c r="CU84" s="141" t="s">
        <v>30</v>
      </c>
      <c r="CV84" s="157" t="s">
        <v>941</v>
      </c>
      <c r="CW84" s="156" t="s">
        <v>942</v>
      </c>
      <c r="CX84" s="345"/>
      <c r="CY84" s="345"/>
      <c r="CZ84" s="345"/>
    </row>
    <row r="85" spans="1:104" ht="12.75" x14ac:dyDescent="0.2">
      <c r="A85" s="90">
        <v>78</v>
      </c>
      <c r="B85" s="129" t="s">
        <v>39</v>
      </c>
      <c r="C85" s="130" t="s">
        <v>742</v>
      </c>
      <c r="D85" s="131" t="s">
        <v>743</v>
      </c>
      <c r="E85" s="132" t="s">
        <v>38</v>
      </c>
      <c r="F85" s="63">
        <v>34619828</v>
      </c>
      <c r="G85" s="63">
        <v>0</v>
      </c>
      <c r="H85" s="63">
        <v>0</v>
      </c>
      <c r="I85" s="63">
        <v>157828</v>
      </c>
      <c r="J85" s="63">
        <v>0</v>
      </c>
      <c r="K85" s="63">
        <v>157828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63">
        <v>34462000</v>
      </c>
      <c r="R85" s="474">
        <v>0.5</v>
      </c>
      <c r="S85" s="474">
        <v>0.4</v>
      </c>
      <c r="T85" s="474">
        <v>0.09</v>
      </c>
      <c r="U85" s="474">
        <v>0.01</v>
      </c>
      <c r="V85" s="474">
        <v>1</v>
      </c>
      <c r="W85" s="63">
        <v>17231000</v>
      </c>
      <c r="X85" s="63">
        <v>13784800</v>
      </c>
      <c r="Y85" s="63">
        <v>3101580</v>
      </c>
      <c r="Z85" s="63">
        <v>344620</v>
      </c>
      <c r="AA85" s="63">
        <v>34462000</v>
      </c>
      <c r="AB85" s="63">
        <v>1280000</v>
      </c>
      <c r="AC85" s="63">
        <v>0</v>
      </c>
      <c r="AD85" s="63">
        <v>0</v>
      </c>
      <c r="AE85" s="63">
        <v>0</v>
      </c>
      <c r="AF85" s="63">
        <v>1280000</v>
      </c>
      <c r="AG85" s="63">
        <v>0</v>
      </c>
      <c r="AH85" s="63">
        <v>0</v>
      </c>
      <c r="AI85" s="63">
        <v>0</v>
      </c>
      <c r="AJ85" s="63">
        <v>0</v>
      </c>
      <c r="AK85" s="63">
        <v>0</v>
      </c>
      <c r="AL85" s="63">
        <v>15951000</v>
      </c>
      <c r="AM85" s="63">
        <v>13784800</v>
      </c>
      <c r="AN85" s="63">
        <v>3101580</v>
      </c>
      <c r="AO85" s="63">
        <v>344620</v>
      </c>
      <c r="AP85" s="63">
        <v>33182000</v>
      </c>
      <c r="AQ85" s="63">
        <v>157828</v>
      </c>
      <c r="AR85" s="63">
        <v>157828</v>
      </c>
      <c r="AS85" s="63">
        <v>0</v>
      </c>
      <c r="AT85" s="63">
        <v>0</v>
      </c>
      <c r="AU85" s="63">
        <v>0</v>
      </c>
      <c r="AV85" s="63">
        <v>0</v>
      </c>
      <c r="AW85" s="63">
        <v>0</v>
      </c>
      <c r="AX85" s="63">
        <v>1024000</v>
      </c>
      <c r="AY85" s="63">
        <v>230400</v>
      </c>
      <c r="AZ85" s="63">
        <v>25600</v>
      </c>
      <c r="BA85" s="63">
        <v>1280000</v>
      </c>
      <c r="BB85" s="63">
        <v>0</v>
      </c>
      <c r="BC85" s="63">
        <v>0</v>
      </c>
      <c r="BD85" s="63">
        <v>0</v>
      </c>
      <c r="BE85" s="63">
        <v>0</v>
      </c>
      <c r="BF85" s="63">
        <v>0</v>
      </c>
      <c r="BG85" s="63">
        <v>0</v>
      </c>
      <c r="BH85" s="63">
        <v>-904612</v>
      </c>
      <c r="BI85" s="63">
        <v>-723689</v>
      </c>
      <c r="BJ85" s="63">
        <v>-162830</v>
      </c>
      <c r="BK85" s="63">
        <v>-18092</v>
      </c>
      <c r="BL85" s="63">
        <v>-1809223</v>
      </c>
      <c r="BM85" s="63">
        <v>15046388</v>
      </c>
      <c r="BN85" s="63">
        <v>14242939</v>
      </c>
      <c r="BO85" s="63">
        <v>3169150</v>
      </c>
      <c r="BP85" s="63">
        <v>352128</v>
      </c>
      <c r="BQ85" s="63">
        <v>32810605</v>
      </c>
      <c r="BR85" s="63">
        <v>214177</v>
      </c>
      <c r="BS85" s="63">
        <v>48190</v>
      </c>
      <c r="BT85" s="63">
        <v>5354</v>
      </c>
      <c r="BU85" s="63">
        <v>267721</v>
      </c>
      <c r="BV85" s="63">
        <v>525608</v>
      </c>
      <c r="BW85" s="63">
        <v>118262</v>
      </c>
      <c r="BX85" s="63">
        <v>13140</v>
      </c>
      <c r="BY85" s="63">
        <v>657010</v>
      </c>
      <c r="BZ85" s="63">
        <v>1390</v>
      </c>
      <c r="CA85" s="63">
        <v>313</v>
      </c>
      <c r="CB85" s="63">
        <v>35</v>
      </c>
      <c r="CC85" s="63">
        <v>1738</v>
      </c>
      <c r="CD85" s="63">
        <v>0</v>
      </c>
      <c r="CE85" s="63">
        <v>0</v>
      </c>
      <c r="CF85" s="63">
        <v>0</v>
      </c>
      <c r="CG85" s="63">
        <v>0</v>
      </c>
      <c r="CH85" s="63">
        <v>8522</v>
      </c>
      <c r="CI85" s="63">
        <v>1917</v>
      </c>
      <c r="CJ85" s="63">
        <v>213</v>
      </c>
      <c r="CK85" s="63">
        <v>10652</v>
      </c>
      <c r="CL85" s="63">
        <v>4464</v>
      </c>
      <c r="CM85" s="63">
        <v>1004</v>
      </c>
      <c r="CN85" s="63">
        <v>112</v>
      </c>
      <c r="CO85" s="63">
        <v>5580</v>
      </c>
      <c r="CP85" s="63">
        <v>754161</v>
      </c>
      <c r="CQ85" s="63">
        <v>169686</v>
      </c>
      <c r="CR85" s="63">
        <v>18854</v>
      </c>
      <c r="CS85" s="63">
        <v>942701</v>
      </c>
      <c r="CU85" s="141" t="s">
        <v>38</v>
      </c>
      <c r="CV85" s="157" t="s">
        <v>934</v>
      </c>
      <c r="CW85" s="156" t="s">
        <v>935</v>
      </c>
      <c r="CX85" s="345"/>
      <c r="CY85" s="345"/>
      <c r="CZ85" s="345"/>
    </row>
    <row r="86" spans="1:104" ht="12.75" x14ac:dyDescent="0.2">
      <c r="A86" s="90">
        <v>79</v>
      </c>
      <c r="B86" s="129" t="s">
        <v>41</v>
      </c>
      <c r="C86" s="130" t="s">
        <v>749</v>
      </c>
      <c r="D86" s="131" t="s">
        <v>752</v>
      </c>
      <c r="E86" s="132" t="s">
        <v>40</v>
      </c>
      <c r="F86" s="63">
        <v>93705641</v>
      </c>
      <c r="G86" s="63">
        <v>0</v>
      </c>
      <c r="H86" s="63">
        <v>0</v>
      </c>
      <c r="I86" s="63">
        <v>427645</v>
      </c>
      <c r="J86" s="63">
        <v>0</v>
      </c>
      <c r="K86" s="63">
        <v>427645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63">
        <v>93277996</v>
      </c>
      <c r="R86" s="474">
        <v>0.5</v>
      </c>
      <c r="S86" s="474">
        <v>0.49</v>
      </c>
      <c r="T86" s="474">
        <v>0</v>
      </c>
      <c r="U86" s="474">
        <v>0.01</v>
      </c>
      <c r="V86" s="474">
        <v>1</v>
      </c>
      <c r="W86" s="63">
        <v>46638998</v>
      </c>
      <c r="X86" s="63">
        <v>45706218</v>
      </c>
      <c r="Y86" s="63">
        <v>0</v>
      </c>
      <c r="Z86" s="63">
        <v>932780</v>
      </c>
      <c r="AA86" s="63">
        <v>93277996</v>
      </c>
      <c r="AB86" s="63">
        <v>0</v>
      </c>
      <c r="AC86" s="63">
        <v>0</v>
      </c>
      <c r="AD86" s="63">
        <v>0</v>
      </c>
      <c r="AE86" s="63">
        <v>0</v>
      </c>
      <c r="AF86" s="63">
        <v>0</v>
      </c>
      <c r="AG86" s="63">
        <v>0</v>
      </c>
      <c r="AH86" s="63">
        <v>0</v>
      </c>
      <c r="AI86" s="63">
        <v>0</v>
      </c>
      <c r="AJ86" s="63">
        <v>0</v>
      </c>
      <c r="AK86" s="63">
        <v>0</v>
      </c>
      <c r="AL86" s="63">
        <v>46638998</v>
      </c>
      <c r="AM86" s="63">
        <v>45706218</v>
      </c>
      <c r="AN86" s="63">
        <v>0</v>
      </c>
      <c r="AO86" s="63">
        <v>932780</v>
      </c>
      <c r="AP86" s="63">
        <v>93277996</v>
      </c>
      <c r="AQ86" s="63">
        <v>427645</v>
      </c>
      <c r="AR86" s="63">
        <v>427645</v>
      </c>
      <c r="AS86" s="63">
        <v>0</v>
      </c>
      <c r="AT86" s="63">
        <v>0</v>
      </c>
      <c r="AU86" s="63">
        <v>0</v>
      </c>
      <c r="AV86" s="63">
        <v>0</v>
      </c>
      <c r="AW86" s="63">
        <v>0</v>
      </c>
      <c r="AX86" s="63">
        <v>0</v>
      </c>
      <c r="AY86" s="63">
        <v>0</v>
      </c>
      <c r="AZ86" s="63">
        <v>0</v>
      </c>
      <c r="BA86" s="63">
        <v>0</v>
      </c>
      <c r="BB86" s="63">
        <v>0</v>
      </c>
      <c r="BC86" s="63">
        <v>0</v>
      </c>
      <c r="BD86" s="63">
        <v>0</v>
      </c>
      <c r="BE86" s="63">
        <v>0</v>
      </c>
      <c r="BF86" s="63">
        <v>0</v>
      </c>
      <c r="BG86" s="63">
        <v>0</v>
      </c>
      <c r="BH86" s="63">
        <v>-1764607</v>
      </c>
      <c r="BI86" s="63">
        <v>-1729314</v>
      </c>
      <c r="BJ86" s="63">
        <v>0</v>
      </c>
      <c r="BK86" s="63">
        <v>-35292</v>
      </c>
      <c r="BL86" s="63">
        <v>-3529213</v>
      </c>
      <c r="BM86" s="63">
        <v>44874391</v>
      </c>
      <c r="BN86" s="63">
        <v>44404549</v>
      </c>
      <c r="BO86" s="63">
        <v>0</v>
      </c>
      <c r="BP86" s="63">
        <v>897488</v>
      </c>
      <c r="BQ86" s="63">
        <v>90176428</v>
      </c>
      <c r="BR86" s="63">
        <v>661040</v>
      </c>
      <c r="BS86" s="63">
        <v>0</v>
      </c>
      <c r="BT86" s="63">
        <v>13491</v>
      </c>
      <c r="BU86" s="63">
        <v>674531</v>
      </c>
      <c r="BV86" s="63">
        <v>1840176</v>
      </c>
      <c r="BW86" s="63">
        <v>0</v>
      </c>
      <c r="BX86" s="63">
        <v>37555</v>
      </c>
      <c r="BY86" s="63">
        <v>1877731</v>
      </c>
      <c r="BZ86" s="63">
        <v>8176</v>
      </c>
      <c r="CA86" s="63">
        <v>0</v>
      </c>
      <c r="CB86" s="63">
        <v>167</v>
      </c>
      <c r="CC86" s="63">
        <v>8343</v>
      </c>
      <c r="CD86" s="63">
        <v>49709</v>
      </c>
      <c r="CE86" s="63">
        <v>0</v>
      </c>
      <c r="CF86" s="63">
        <v>1014</v>
      </c>
      <c r="CG86" s="63">
        <v>50723</v>
      </c>
      <c r="CH86" s="63">
        <v>33541</v>
      </c>
      <c r="CI86" s="63">
        <v>0</v>
      </c>
      <c r="CJ86" s="63">
        <v>684</v>
      </c>
      <c r="CK86" s="63">
        <v>34225</v>
      </c>
      <c r="CL86" s="63">
        <v>3363</v>
      </c>
      <c r="CM86" s="63">
        <v>0</v>
      </c>
      <c r="CN86" s="63">
        <v>69</v>
      </c>
      <c r="CO86" s="63">
        <v>3432</v>
      </c>
      <c r="CP86" s="63">
        <v>2596005</v>
      </c>
      <c r="CQ86" s="63">
        <v>0</v>
      </c>
      <c r="CR86" s="63">
        <v>52980</v>
      </c>
      <c r="CS86" s="63">
        <v>2648985</v>
      </c>
      <c r="CU86" s="141" t="s">
        <v>40</v>
      </c>
      <c r="CV86" s="157" t="s">
        <v>941</v>
      </c>
      <c r="CW86" s="156" t="s">
        <v>949</v>
      </c>
      <c r="CX86" s="345"/>
      <c r="CY86" s="345"/>
      <c r="CZ86" s="345"/>
    </row>
    <row r="87" spans="1:104" ht="12.75" x14ac:dyDescent="0.2">
      <c r="A87" s="90">
        <v>80</v>
      </c>
      <c r="B87" s="129" t="s">
        <v>43</v>
      </c>
      <c r="C87" s="130" t="s">
        <v>501</v>
      </c>
      <c r="D87" s="131" t="s">
        <v>755</v>
      </c>
      <c r="E87" s="132" t="s">
        <v>42</v>
      </c>
      <c r="F87" s="63">
        <v>112477623</v>
      </c>
      <c r="G87" s="63">
        <v>0</v>
      </c>
      <c r="H87" s="63">
        <v>0</v>
      </c>
      <c r="I87" s="63">
        <v>599673</v>
      </c>
      <c r="J87" s="63">
        <v>0</v>
      </c>
      <c r="K87" s="63">
        <v>599673</v>
      </c>
      <c r="L87" s="63">
        <v>0</v>
      </c>
      <c r="M87" s="63">
        <v>0</v>
      </c>
      <c r="N87" s="63">
        <v>41130</v>
      </c>
      <c r="O87" s="63">
        <v>41130</v>
      </c>
      <c r="P87" s="63">
        <v>0</v>
      </c>
      <c r="Q87" s="63">
        <v>111836820</v>
      </c>
      <c r="R87" s="474">
        <v>0.5</v>
      </c>
      <c r="S87" s="474">
        <v>0.49</v>
      </c>
      <c r="T87" s="474">
        <v>0</v>
      </c>
      <c r="U87" s="474">
        <v>0.01</v>
      </c>
      <c r="V87" s="474">
        <v>1</v>
      </c>
      <c r="W87" s="63">
        <v>55918410</v>
      </c>
      <c r="X87" s="63">
        <v>54800042</v>
      </c>
      <c r="Y87" s="63">
        <v>0</v>
      </c>
      <c r="Z87" s="63">
        <v>1118368</v>
      </c>
      <c r="AA87" s="63">
        <v>111836820</v>
      </c>
      <c r="AB87" s="63">
        <v>0</v>
      </c>
      <c r="AC87" s="63">
        <v>0</v>
      </c>
      <c r="AD87" s="63">
        <v>0</v>
      </c>
      <c r="AE87" s="63">
        <v>0</v>
      </c>
      <c r="AF87" s="63">
        <v>0</v>
      </c>
      <c r="AG87" s="63">
        <v>0</v>
      </c>
      <c r="AH87" s="63">
        <v>0</v>
      </c>
      <c r="AI87" s="63">
        <v>0</v>
      </c>
      <c r="AJ87" s="63">
        <v>0</v>
      </c>
      <c r="AK87" s="63">
        <v>0</v>
      </c>
      <c r="AL87" s="63">
        <v>55918410</v>
      </c>
      <c r="AM87" s="63">
        <v>54800042</v>
      </c>
      <c r="AN87" s="63">
        <v>0</v>
      </c>
      <c r="AO87" s="63">
        <v>1118368</v>
      </c>
      <c r="AP87" s="63">
        <v>111836820</v>
      </c>
      <c r="AQ87" s="63">
        <v>599673</v>
      </c>
      <c r="AR87" s="63">
        <v>599673</v>
      </c>
      <c r="AS87" s="63">
        <v>0</v>
      </c>
      <c r="AT87" s="63">
        <v>0</v>
      </c>
      <c r="AU87" s="63">
        <v>41130</v>
      </c>
      <c r="AV87" s="63">
        <v>0</v>
      </c>
      <c r="AW87" s="63">
        <v>41130</v>
      </c>
      <c r="AX87" s="63">
        <v>0</v>
      </c>
      <c r="AY87" s="63">
        <v>0</v>
      </c>
      <c r="AZ87" s="63">
        <v>0</v>
      </c>
      <c r="BA87" s="63">
        <v>0</v>
      </c>
      <c r="BB87" s="63">
        <v>0</v>
      </c>
      <c r="BC87" s="63">
        <v>0</v>
      </c>
      <c r="BD87" s="63">
        <v>0</v>
      </c>
      <c r="BE87" s="63">
        <v>0</v>
      </c>
      <c r="BF87" s="63">
        <v>0</v>
      </c>
      <c r="BG87" s="63">
        <v>0</v>
      </c>
      <c r="BH87" s="63">
        <v>-3346173</v>
      </c>
      <c r="BI87" s="63">
        <v>-3279249</v>
      </c>
      <c r="BJ87" s="63">
        <v>0</v>
      </c>
      <c r="BK87" s="63">
        <v>-66923</v>
      </c>
      <c r="BL87" s="63">
        <v>-6692345</v>
      </c>
      <c r="BM87" s="63">
        <v>52572237</v>
      </c>
      <c r="BN87" s="63">
        <v>52161596</v>
      </c>
      <c r="BO87" s="63">
        <v>0</v>
      </c>
      <c r="BP87" s="63">
        <v>1051445</v>
      </c>
      <c r="BQ87" s="63">
        <v>105785278</v>
      </c>
      <c r="BR87" s="63">
        <v>793157</v>
      </c>
      <c r="BS87" s="63">
        <v>0</v>
      </c>
      <c r="BT87" s="63">
        <v>16175</v>
      </c>
      <c r="BU87" s="63">
        <v>809332</v>
      </c>
      <c r="BV87" s="63">
        <v>2432004</v>
      </c>
      <c r="BW87" s="63">
        <v>0</v>
      </c>
      <c r="BX87" s="63">
        <v>49633</v>
      </c>
      <c r="BY87" s="63">
        <v>2481637</v>
      </c>
      <c r="BZ87" s="63">
        <v>7397</v>
      </c>
      <c r="CA87" s="63">
        <v>0</v>
      </c>
      <c r="CB87" s="63">
        <v>151</v>
      </c>
      <c r="CC87" s="63">
        <v>7548</v>
      </c>
      <c r="CD87" s="63">
        <v>0</v>
      </c>
      <c r="CE87" s="63">
        <v>0</v>
      </c>
      <c r="CF87" s="63">
        <v>0</v>
      </c>
      <c r="CG87" s="63">
        <v>0</v>
      </c>
      <c r="CH87" s="63">
        <v>16714</v>
      </c>
      <c r="CI87" s="63">
        <v>0</v>
      </c>
      <c r="CJ87" s="63">
        <v>341</v>
      </c>
      <c r="CK87" s="63">
        <v>17055</v>
      </c>
      <c r="CL87" s="63">
        <v>5056</v>
      </c>
      <c r="CM87" s="63">
        <v>0</v>
      </c>
      <c r="CN87" s="63">
        <v>103</v>
      </c>
      <c r="CO87" s="63">
        <v>5159</v>
      </c>
      <c r="CP87" s="63">
        <v>3254328</v>
      </c>
      <c r="CQ87" s="63">
        <v>0</v>
      </c>
      <c r="CR87" s="63">
        <v>66403</v>
      </c>
      <c r="CS87" s="63">
        <v>3320731</v>
      </c>
      <c r="CU87" s="141" t="s">
        <v>42</v>
      </c>
      <c r="CV87" s="157" t="s">
        <v>501</v>
      </c>
      <c r="CW87" s="156" t="s">
        <v>973</v>
      </c>
      <c r="CX87" s="345"/>
      <c r="CY87" s="345"/>
      <c r="CZ87" s="345"/>
    </row>
    <row r="88" spans="1:104" ht="12.75" x14ac:dyDescent="0.2">
      <c r="A88" s="90">
        <v>81</v>
      </c>
      <c r="B88" s="129" t="s">
        <v>45</v>
      </c>
      <c r="C88" s="130" t="s">
        <v>747</v>
      </c>
      <c r="D88" s="131" t="s">
        <v>748</v>
      </c>
      <c r="E88" s="132" t="s">
        <v>44</v>
      </c>
      <c r="F88" s="63">
        <v>143510059</v>
      </c>
      <c r="G88" s="63">
        <v>0</v>
      </c>
      <c r="H88" s="63">
        <v>0</v>
      </c>
      <c r="I88" s="63">
        <v>490136</v>
      </c>
      <c r="J88" s="63">
        <v>0</v>
      </c>
      <c r="K88" s="63">
        <v>490136</v>
      </c>
      <c r="L88" s="63">
        <v>0</v>
      </c>
      <c r="M88" s="63">
        <v>0</v>
      </c>
      <c r="N88" s="63">
        <v>0</v>
      </c>
      <c r="O88" s="63">
        <v>0</v>
      </c>
      <c r="P88" s="63">
        <v>0</v>
      </c>
      <c r="Q88" s="63">
        <v>143019923</v>
      </c>
      <c r="R88" s="474">
        <v>0.5</v>
      </c>
      <c r="S88" s="474">
        <v>0.3</v>
      </c>
      <c r="T88" s="474">
        <v>0.2</v>
      </c>
      <c r="U88" s="474">
        <v>0</v>
      </c>
      <c r="V88" s="474">
        <v>1</v>
      </c>
      <c r="W88" s="63">
        <v>71509961</v>
      </c>
      <c r="X88" s="63">
        <v>42905977</v>
      </c>
      <c r="Y88" s="63">
        <v>28603985</v>
      </c>
      <c r="Z88" s="63">
        <v>0</v>
      </c>
      <c r="AA88" s="63">
        <v>143019923</v>
      </c>
      <c r="AB88" s="63">
        <v>0</v>
      </c>
      <c r="AC88" s="63">
        <v>0</v>
      </c>
      <c r="AD88" s="63">
        <v>0</v>
      </c>
      <c r="AE88" s="63">
        <v>0</v>
      </c>
      <c r="AF88" s="63">
        <v>0</v>
      </c>
      <c r="AG88" s="63">
        <v>0</v>
      </c>
      <c r="AH88" s="63">
        <v>0</v>
      </c>
      <c r="AI88" s="63">
        <v>0</v>
      </c>
      <c r="AJ88" s="63">
        <v>0</v>
      </c>
      <c r="AK88" s="63">
        <v>0</v>
      </c>
      <c r="AL88" s="63">
        <v>71509961</v>
      </c>
      <c r="AM88" s="63">
        <v>42905977</v>
      </c>
      <c r="AN88" s="63">
        <v>28603985</v>
      </c>
      <c r="AO88" s="63">
        <v>0</v>
      </c>
      <c r="AP88" s="63">
        <v>143019923</v>
      </c>
      <c r="AQ88" s="63">
        <v>490136</v>
      </c>
      <c r="AR88" s="63">
        <v>490136</v>
      </c>
      <c r="AS88" s="63">
        <v>0</v>
      </c>
      <c r="AT88" s="63">
        <v>0</v>
      </c>
      <c r="AU88" s="63">
        <v>0</v>
      </c>
      <c r="AV88" s="63">
        <v>0</v>
      </c>
      <c r="AW88" s="63">
        <v>0</v>
      </c>
      <c r="AX88" s="63">
        <v>0</v>
      </c>
      <c r="AY88" s="63">
        <v>0</v>
      </c>
      <c r="AZ88" s="63">
        <v>0</v>
      </c>
      <c r="BA88" s="63">
        <v>0</v>
      </c>
      <c r="BB88" s="63">
        <v>0</v>
      </c>
      <c r="BC88" s="63">
        <v>0</v>
      </c>
      <c r="BD88" s="63">
        <v>0</v>
      </c>
      <c r="BE88" s="63">
        <v>0</v>
      </c>
      <c r="BF88" s="63">
        <v>0</v>
      </c>
      <c r="BG88" s="63">
        <v>0</v>
      </c>
      <c r="BH88" s="63">
        <v>15757000</v>
      </c>
      <c r="BI88" s="63">
        <v>9454200</v>
      </c>
      <c r="BJ88" s="63">
        <v>6302800</v>
      </c>
      <c r="BK88" s="63">
        <v>0</v>
      </c>
      <c r="BL88" s="63">
        <v>31514000</v>
      </c>
      <c r="BM88" s="63">
        <v>87266961</v>
      </c>
      <c r="BN88" s="63">
        <v>52850313</v>
      </c>
      <c r="BO88" s="63">
        <v>34906785</v>
      </c>
      <c r="BP88" s="63">
        <v>0</v>
      </c>
      <c r="BQ88" s="63">
        <v>175024059</v>
      </c>
      <c r="BR88" s="63">
        <v>620541</v>
      </c>
      <c r="BS88" s="63">
        <v>413694</v>
      </c>
      <c r="BT88" s="63">
        <v>0</v>
      </c>
      <c r="BU88" s="63">
        <v>1034235</v>
      </c>
      <c r="BV88" s="63">
        <v>715616</v>
      </c>
      <c r="BW88" s="63">
        <v>477077</v>
      </c>
      <c r="BX88" s="63">
        <v>0</v>
      </c>
      <c r="BY88" s="63">
        <v>1192693</v>
      </c>
      <c r="BZ88" s="63">
        <v>4748</v>
      </c>
      <c r="CA88" s="63">
        <v>3165</v>
      </c>
      <c r="CB88" s="63">
        <v>0</v>
      </c>
      <c r="CC88" s="63">
        <v>7913</v>
      </c>
      <c r="CD88" s="63">
        <v>159859</v>
      </c>
      <c r="CE88" s="63">
        <v>106573</v>
      </c>
      <c r="CF88" s="63">
        <v>0</v>
      </c>
      <c r="CG88" s="63">
        <v>266432</v>
      </c>
      <c r="CH88" s="63">
        <v>21764</v>
      </c>
      <c r="CI88" s="63">
        <v>14509</v>
      </c>
      <c r="CJ88" s="63">
        <v>0</v>
      </c>
      <c r="CK88" s="63">
        <v>36273</v>
      </c>
      <c r="CL88" s="63">
        <v>0</v>
      </c>
      <c r="CM88" s="63">
        <v>0</v>
      </c>
      <c r="CN88" s="63">
        <v>0</v>
      </c>
      <c r="CO88" s="63">
        <v>0</v>
      </c>
      <c r="CP88" s="63">
        <v>1522528</v>
      </c>
      <c r="CQ88" s="63">
        <v>1015018</v>
      </c>
      <c r="CR88" s="63">
        <v>0</v>
      </c>
      <c r="CS88" s="63">
        <v>2537546</v>
      </c>
      <c r="CU88" s="141" t="s">
        <v>44</v>
      </c>
      <c r="CV88" s="157" t="s">
        <v>939</v>
      </c>
      <c r="CW88" s="157" t="s">
        <v>940</v>
      </c>
      <c r="CX88" s="345"/>
      <c r="CY88" s="345"/>
      <c r="CZ88" s="345"/>
    </row>
    <row r="89" spans="1:104" ht="12.75" x14ac:dyDescent="0.2">
      <c r="A89" s="90">
        <v>82</v>
      </c>
      <c r="B89" s="129" t="s">
        <v>47</v>
      </c>
      <c r="C89" s="130" t="s">
        <v>742</v>
      </c>
      <c r="D89" s="131" t="s">
        <v>746</v>
      </c>
      <c r="E89" s="132" t="s">
        <v>46</v>
      </c>
      <c r="F89" s="63">
        <v>19265415</v>
      </c>
      <c r="G89" s="63">
        <v>0</v>
      </c>
      <c r="H89" s="63">
        <v>0</v>
      </c>
      <c r="I89" s="63">
        <v>94023</v>
      </c>
      <c r="J89" s="63">
        <v>0</v>
      </c>
      <c r="K89" s="63">
        <v>94023</v>
      </c>
      <c r="L89" s="63">
        <v>0</v>
      </c>
      <c r="M89" s="63">
        <v>0</v>
      </c>
      <c r="N89" s="63">
        <v>158543</v>
      </c>
      <c r="O89" s="63">
        <v>158543</v>
      </c>
      <c r="P89" s="63">
        <v>0</v>
      </c>
      <c r="Q89" s="63">
        <v>19012849</v>
      </c>
      <c r="R89" s="474">
        <v>0.5</v>
      </c>
      <c r="S89" s="474">
        <v>0.4</v>
      </c>
      <c r="T89" s="474">
        <v>0.09</v>
      </c>
      <c r="U89" s="474">
        <v>0.01</v>
      </c>
      <c r="V89" s="474">
        <v>1</v>
      </c>
      <c r="W89" s="63">
        <v>9506425</v>
      </c>
      <c r="X89" s="63">
        <v>7605140</v>
      </c>
      <c r="Y89" s="63">
        <v>1711156</v>
      </c>
      <c r="Z89" s="63">
        <v>190128</v>
      </c>
      <c r="AA89" s="63">
        <v>19012849</v>
      </c>
      <c r="AB89" s="63">
        <v>0</v>
      </c>
      <c r="AC89" s="63">
        <v>0</v>
      </c>
      <c r="AD89" s="63">
        <v>0</v>
      </c>
      <c r="AE89" s="63">
        <v>0</v>
      </c>
      <c r="AF89" s="63">
        <v>0</v>
      </c>
      <c r="AG89" s="63">
        <v>0</v>
      </c>
      <c r="AH89" s="63">
        <v>0</v>
      </c>
      <c r="AI89" s="63">
        <v>0</v>
      </c>
      <c r="AJ89" s="63">
        <v>0</v>
      </c>
      <c r="AK89" s="63">
        <v>0</v>
      </c>
      <c r="AL89" s="63">
        <v>9506425</v>
      </c>
      <c r="AM89" s="63">
        <v>7605140</v>
      </c>
      <c r="AN89" s="63">
        <v>1711156</v>
      </c>
      <c r="AO89" s="63">
        <v>190128</v>
      </c>
      <c r="AP89" s="63">
        <v>19012849</v>
      </c>
      <c r="AQ89" s="63">
        <v>94023</v>
      </c>
      <c r="AR89" s="63">
        <v>94023</v>
      </c>
      <c r="AS89" s="63">
        <v>0</v>
      </c>
      <c r="AT89" s="63">
        <v>0</v>
      </c>
      <c r="AU89" s="63">
        <v>158543</v>
      </c>
      <c r="AV89" s="63">
        <v>0</v>
      </c>
      <c r="AW89" s="63">
        <v>158543</v>
      </c>
      <c r="AX89" s="63">
        <v>0</v>
      </c>
      <c r="AY89" s="63">
        <v>0</v>
      </c>
      <c r="AZ89" s="63">
        <v>0</v>
      </c>
      <c r="BA89" s="63">
        <v>0</v>
      </c>
      <c r="BB89" s="63">
        <v>0</v>
      </c>
      <c r="BC89" s="63">
        <v>0</v>
      </c>
      <c r="BD89" s="63">
        <v>0</v>
      </c>
      <c r="BE89" s="63">
        <v>0</v>
      </c>
      <c r="BF89" s="63">
        <v>0</v>
      </c>
      <c r="BG89" s="63">
        <v>0</v>
      </c>
      <c r="BH89" s="63">
        <v>395761</v>
      </c>
      <c r="BI89" s="63">
        <v>316608</v>
      </c>
      <c r="BJ89" s="63">
        <v>71237</v>
      </c>
      <c r="BK89" s="63">
        <v>7915</v>
      </c>
      <c r="BL89" s="63">
        <v>791521</v>
      </c>
      <c r="BM89" s="63">
        <v>9902186</v>
      </c>
      <c r="BN89" s="63">
        <v>8174314</v>
      </c>
      <c r="BO89" s="63">
        <v>1782393</v>
      </c>
      <c r="BP89" s="63">
        <v>198043</v>
      </c>
      <c r="BQ89" s="63">
        <v>20056936</v>
      </c>
      <c r="BR89" s="63">
        <v>112285</v>
      </c>
      <c r="BS89" s="63">
        <v>24748</v>
      </c>
      <c r="BT89" s="63">
        <v>2750</v>
      </c>
      <c r="BU89" s="63">
        <v>139783</v>
      </c>
      <c r="BV89" s="63">
        <v>327747</v>
      </c>
      <c r="BW89" s="63">
        <v>73743</v>
      </c>
      <c r="BX89" s="63">
        <v>8194</v>
      </c>
      <c r="BY89" s="63">
        <v>409684</v>
      </c>
      <c r="BZ89" s="63">
        <v>776</v>
      </c>
      <c r="CA89" s="63">
        <v>175</v>
      </c>
      <c r="CB89" s="63">
        <v>19</v>
      </c>
      <c r="CC89" s="63">
        <v>970</v>
      </c>
      <c r="CD89" s="63">
        <v>2242</v>
      </c>
      <c r="CE89" s="63">
        <v>505</v>
      </c>
      <c r="CF89" s="63">
        <v>56</v>
      </c>
      <c r="CG89" s="63">
        <v>2803</v>
      </c>
      <c r="CH89" s="63">
        <v>0</v>
      </c>
      <c r="CI89" s="63">
        <v>0</v>
      </c>
      <c r="CJ89" s="63">
        <v>0</v>
      </c>
      <c r="CK89" s="63">
        <v>0</v>
      </c>
      <c r="CL89" s="63">
        <v>0</v>
      </c>
      <c r="CM89" s="63">
        <v>0</v>
      </c>
      <c r="CN89" s="63">
        <v>0</v>
      </c>
      <c r="CO89" s="63">
        <v>0</v>
      </c>
      <c r="CP89" s="63">
        <v>443050</v>
      </c>
      <c r="CQ89" s="63">
        <v>99171</v>
      </c>
      <c r="CR89" s="63">
        <v>11019</v>
      </c>
      <c r="CS89" s="63">
        <v>553240</v>
      </c>
      <c r="CU89" s="141" t="s">
        <v>46</v>
      </c>
      <c r="CV89" s="157" t="s">
        <v>962</v>
      </c>
      <c r="CW89" s="156" t="s">
        <v>963</v>
      </c>
      <c r="CX89" s="345"/>
      <c r="CY89" s="345"/>
      <c r="CZ89" s="345"/>
    </row>
    <row r="90" spans="1:104" ht="12.75" x14ac:dyDescent="0.2">
      <c r="A90" s="90">
        <v>83</v>
      </c>
      <c r="B90" s="129" t="s">
        <v>49</v>
      </c>
      <c r="C90" s="130" t="s">
        <v>742</v>
      </c>
      <c r="D90" s="131" t="s">
        <v>751</v>
      </c>
      <c r="E90" s="132" t="s">
        <v>48</v>
      </c>
      <c r="F90" s="63">
        <v>33746620</v>
      </c>
      <c r="G90" s="63">
        <v>0</v>
      </c>
      <c r="H90" s="63">
        <v>0</v>
      </c>
      <c r="I90" s="63">
        <v>227426</v>
      </c>
      <c r="J90" s="63">
        <v>0</v>
      </c>
      <c r="K90" s="63">
        <v>227426</v>
      </c>
      <c r="L90" s="63">
        <v>0</v>
      </c>
      <c r="M90" s="63">
        <v>0</v>
      </c>
      <c r="N90" s="63">
        <v>209803</v>
      </c>
      <c r="O90" s="63">
        <v>209803</v>
      </c>
      <c r="P90" s="63">
        <v>0</v>
      </c>
      <c r="Q90" s="63">
        <v>33309391</v>
      </c>
      <c r="R90" s="474">
        <v>0.5</v>
      </c>
      <c r="S90" s="474">
        <v>0.4</v>
      </c>
      <c r="T90" s="474">
        <v>0.09</v>
      </c>
      <c r="U90" s="474">
        <v>0.01</v>
      </c>
      <c r="V90" s="474">
        <v>1</v>
      </c>
      <c r="W90" s="63">
        <v>16654696</v>
      </c>
      <c r="X90" s="63">
        <v>13323756</v>
      </c>
      <c r="Y90" s="63">
        <v>2997845</v>
      </c>
      <c r="Z90" s="63">
        <v>333094</v>
      </c>
      <c r="AA90" s="63">
        <v>33309391</v>
      </c>
      <c r="AB90" s="63">
        <v>0</v>
      </c>
      <c r="AC90" s="63">
        <v>0</v>
      </c>
      <c r="AD90" s="63">
        <v>0</v>
      </c>
      <c r="AE90" s="63">
        <v>0</v>
      </c>
      <c r="AF90" s="63">
        <v>0</v>
      </c>
      <c r="AG90" s="63">
        <v>0</v>
      </c>
      <c r="AH90" s="63">
        <v>0</v>
      </c>
      <c r="AI90" s="63">
        <v>0</v>
      </c>
      <c r="AJ90" s="63">
        <v>0</v>
      </c>
      <c r="AK90" s="63">
        <v>0</v>
      </c>
      <c r="AL90" s="63">
        <v>16654696</v>
      </c>
      <c r="AM90" s="63">
        <v>13323756</v>
      </c>
      <c r="AN90" s="63">
        <v>2997845</v>
      </c>
      <c r="AO90" s="63">
        <v>333094</v>
      </c>
      <c r="AP90" s="63">
        <v>33309391</v>
      </c>
      <c r="AQ90" s="63">
        <v>227426</v>
      </c>
      <c r="AR90" s="63">
        <v>227426</v>
      </c>
      <c r="AS90" s="63">
        <v>0</v>
      </c>
      <c r="AT90" s="63">
        <v>0</v>
      </c>
      <c r="AU90" s="63">
        <v>209803</v>
      </c>
      <c r="AV90" s="63">
        <v>0</v>
      </c>
      <c r="AW90" s="63">
        <v>209803</v>
      </c>
      <c r="AX90" s="63">
        <v>0</v>
      </c>
      <c r="AY90" s="63">
        <v>0</v>
      </c>
      <c r="AZ90" s="63">
        <v>0</v>
      </c>
      <c r="BA90" s="63">
        <v>0</v>
      </c>
      <c r="BB90" s="63">
        <v>0</v>
      </c>
      <c r="BC90" s="63">
        <v>0</v>
      </c>
      <c r="BD90" s="63">
        <v>0</v>
      </c>
      <c r="BE90" s="63">
        <v>0</v>
      </c>
      <c r="BF90" s="63">
        <v>0</v>
      </c>
      <c r="BG90" s="63">
        <v>0</v>
      </c>
      <c r="BH90" s="63">
        <v>-662247</v>
      </c>
      <c r="BI90" s="63">
        <v>-529798</v>
      </c>
      <c r="BJ90" s="63">
        <v>-119204</v>
      </c>
      <c r="BK90" s="63">
        <v>-13245</v>
      </c>
      <c r="BL90" s="63">
        <v>-1324494</v>
      </c>
      <c r="BM90" s="63">
        <v>15992449</v>
      </c>
      <c r="BN90" s="63">
        <v>13231187</v>
      </c>
      <c r="BO90" s="63">
        <v>2878641</v>
      </c>
      <c r="BP90" s="63">
        <v>319849</v>
      </c>
      <c r="BQ90" s="63">
        <v>32422126</v>
      </c>
      <c r="BR90" s="63">
        <v>195733</v>
      </c>
      <c r="BS90" s="63">
        <v>43357</v>
      </c>
      <c r="BT90" s="63">
        <v>4817</v>
      </c>
      <c r="BU90" s="63">
        <v>243907</v>
      </c>
      <c r="BV90" s="63">
        <v>885159</v>
      </c>
      <c r="BW90" s="63">
        <v>199161</v>
      </c>
      <c r="BX90" s="63">
        <v>22129</v>
      </c>
      <c r="BY90" s="63">
        <v>1106449</v>
      </c>
      <c r="BZ90" s="63">
        <v>0</v>
      </c>
      <c r="CA90" s="63">
        <v>0</v>
      </c>
      <c r="CB90" s="63">
        <v>0</v>
      </c>
      <c r="CC90" s="63">
        <v>0</v>
      </c>
      <c r="CD90" s="63">
        <v>0</v>
      </c>
      <c r="CE90" s="63">
        <v>0</v>
      </c>
      <c r="CF90" s="63">
        <v>0</v>
      </c>
      <c r="CG90" s="63">
        <v>0</v>
      </c>
      <c r="CH90" s="63">
        <v>1301</v>
      </c>
      <c r="CI90" s="63">
        <v>293</v>
      </c>
      <c r="CJ90" s="63">
        <v>33</v>
      </c>
      <c r="CK90" s="63">
        <v>1627</v>
      </c>
      <c r="CL90" s="63">
        <v>13997</v>
      </c>
      <c r="CM90" s="63">
        <v>3150</v>
      </c>
      <c r="CN90" s="63">
        <v>350</v>
      </c>
      <c r="CO90" s="63">
        <v>17497</v>
      </c>
      <c r="CP90" s="63">
        <v>1096190</v>
      </c>
      <c r="CQ90" s="63">
        <v>245961</v>
      </c>
      <c r="CR90" s="63">
        <v>27329</v>
      </c>
      <c r="CS90" s="63">
        <v>1369480</v>
      </c>
      <c r="CU90" s="141" t="s">
        <v>48</v>
      </c>
      <c r="CV90" s="157" t="s">
        <v>974</v>
      </c>
      <c r="CW90" s="371" t="s">
        <v>975</v>
      </c>
      <c r="CX90" s="345"/>
      <c r="CY90" s="345"/>
      <c r="CZ90" s="345"/>
    </row>
    <row r="91" spans="1:104" ht="12.75" x14ac:dyDescent="0.2">
      <c r="A91" s="90">
        <v>84</v>
      </c>
      <c r="B91" s="129" t="s">
        <v>51</v>
      </c>
      <c r="C91" s="130" t="s">
        <v>742</v>
      </c>
      <c r="D91" s="131" t="s">
        <v>751</v>
      </c>
      <c r="E91" s="132" t="s">
        <v>50</v>
      </c>
      <c r="F91" s="63">
        <v>22211429</v>
      </c>
      <c r="G91" s="63">
        <v>0</v>
      </c>
      <c r="H91" s="63">
        <v>0</v>
      </c>
      <c r="I91" s="63">
        <v>109195</v>
      </c>
      <c r="J91" s="63">
        <v>0</v>
      </c>
      <c r="K91" s="63">
        <v>109195</v>
      </c>
      <c r="L91" s="63">
        <v>0</v>
      </c>
      <c r="M91" s="63">
        <v>0</v>
      </c>
      <c r="N91" s="63">
        <v>217895</v>
      </c>
      <c r="O91" s="63">
        <v>217895</v>
      </c>
      <c r="P91" s="63">
        <v>0</v>
      </c>
      <c r="Q91" s="63">
        <v>21884339</v>
      </c>
      <c r="R91" s="474">
        <v>0.5</v>
      </c>
      <c r="S91" s="474">
        <v>0.4</v>
      </c>
      <c r="T91" s="474">
        <v>0.09</v>
      </c>
      <c r="U91" s="474">
        <v>0.01</v>
      </c>
      <c r="V91" s="474">
        <v>1</v>
      </c>
      <c r="W91" s="63">
        <v>10942169</v>
      </c>
      <c r="X91" s="63">
        <v>8753736</v>
      </c>
      <c r="Y91" s="63">
        <v>1969591</v>
      </c>
      <c r="Z91" s="63">
        <v>218843</v>
      </c>
      <c r="AA91" s="63">
        <v>21884339</v>
      </c>
      <c r="AB91" s="63">
        <v>0</v>
      </c>
      <c r="AC91" s="63">
        <v>0</v>
      </c>
      <c r="AD91" s="63">
        <v>0</v>
      </c>
      <c r="AE91" s="63">
        <v>0</v>
      </c>
      <c r="AF91" s="63">
        <v>0</v>
      </c>
      <c r="AG91" s="63">
        <v>0</v>
      </c>
      <c r="AH91" s="63">
        <v>0</v>
      </c>
      <c r="AI91" s="63">
        <v>0</v>
      </c>
      <c r="AJ91" s="63">
        <v>0</v>
      </c>
      <c r="AK91" s="63">
        <v>0</v>
      </c>
      <c r="AL91" s="63">
        <v>10942169</v>
      </c>
      <c r="AM91" s="63">
        <v>8753736</v>
      </c>
      <c r="AN91" s="63">
        <v>1969591</v>
      </c>
      <c r="AO91" s="63">
        <v>218843</v>
      </c>
      <c r="AP91" s="63">
        <v>21884339</v>
      </c>
      <c r="AQ91" s="63">
        <v>109195</v>
      </c>
      <c r="AR91" s="63">
        <v>109195</v>
      </c>
      <c r="AS91" s="63">
        <v>0</v>
      </c>
      <c r="AT91" s="63">
        <v>0</v>
      </c>
      <c r="AU91" s="63">
        <v>217895</v>
      </c>
      <c r="AV91" s="63">
        <v>0</v>
      </c>
      <c r="AW91" s="63">
        <v>217895</v>
      </c>
      <c r="AX91" s="63">
        <v>0</v>
      </c>
      <c r="AY91" s="63">
        <v>0</v>
      </c>
      <c r="AZ91" s="63">
        <v>0</v>
      </c>
      <c r="BA91" s="63">
        <v>0</v>
      </c>
      <c r="BB91" s="63">
        <v>0</v>
      </c>
      <c r="BC91" s="63">
        <v>0</v>
      </c>
      <c r="BD91" s="63">
        <v>0</v>
      </c>
      <c r="BE91" s="63">
        <v>0</v>
      </c>
      <c r="BF91" s="63">
        <v>0</v>
      </c>
      <c r="BG91" s="63">
        <v>0</v>
      </c>
      <c r="BH91" s="63">
        <v>-151564</v>
      </c>
      <c r="BI91" s="63">
        <v>-121252</v>
      </c>
      <c r="BJ91" s="63">
        <v>-27282</v>
      </c>
      <c r="BK91" s="63">
        <v>-3031</v>
      </c>
      <c r="BL91" s="63">
        <v>-303129</v>
      </c>
      <c r="BM91" s="63">
        <v>10790605</v>
      </c>
      <c r="BN91" s="63">
        <v>8959574</v>
      </c>
      <c r="BO91" s="63">
        <v>1942309</v>
      </c>
      <c r="BP91" s="63">
        <v>215812</v>
      </c>
      <c r="BQ91" s="63">
        <v>21908300</v>
      </c>
      <c r="BR91" s="63">
        <v>129755</v>
      </c>
      <c r="BS91" s="63">
        <v>28486</v>
      </c>
      <c r="BT91" s="63">
        <v>3165</v>
      </c>
      <c r="BU91" s="63">
        <v>161406</v>
      </c>
      <c r="BV91" s="63">
        <v>422717</v>
      </c>
      <c r="BW91" s="63">
        <v>95111</v>
      </c>
      <c r="BX91" s="63">
        <v>10568</v>
      </c>
      <c r="BY91" s="63">
        <v>528396</v>
      </c>
      <c r="BZ91" s="63">
        <v>1139</v>
      </c>
      <c r="CA91" s="63">
        <v>256</v>
      </c>
      <c r="CB91" s="63">
        <v>28</v>
      </c>
      <c r="CC91" s="63">
        <v>1423</v>
      </c>
      <c r="CD91" s="63">
        <v>0</v>
      </c>
      <c r="CE91" s="63">
        <v>0</v>
      </c>
      <c r="CF91" s="63">
        <v>0</v>
      </c>
      <c r="CG91" s="63">
        <v>0</v>
      </c>
      <c r="CH91" s="63">
        <v>0</v>
      </c>
      <c r="CI91" s="63">
        <v>0</v>
      </c>
      <c r="CJ91" s="63">
        <v>0</v>
      </c>
      <c r="CK91" s="63">
        <v>0</v>
      </c>
      <c r="CL91" s="63">
        <v>1830</v>
      </c>
      <c r="CM91" s="63">
        <v>412</v>
      </c>
      <c r="CN91" s="63">
        <v>46</v>
      </c>
      <c r="CO91" s="63">
        <v>2288</v>
      </c>
      <c r="CP91" s="63">
        <v>555441</v>
      </c>
      <c r="CQ91" s="63">
        <v>124265</v>
      </c>
      <c r="CR91" s="63">
        <v>13807</v>
      </c>
      <c r="CS91" s="63">
        <v>693513</v>
      </c>
      <c r="CU91" s="141" t="s">
        <v>50</v>
      </c>
      <c r="CV91" s="157" t="s">
        <v>969</v>
      </c>
      <c r="CW91" s="156" t="s">
        <v>955</v>
      </c>
      <c r="CX91" s="345"/>
      <c r="CY91" s="345"/>
      <c r="CZ91" s="345"/>
    </row>
    <row r="92" spans="1:104" ht="12.75" x14ac:dyDescent="0.2">
      <c r="A92" s="90">
        <v>85</v>
      </c>
      <c r="B92" s="129" t="s">
        <v>53</v>
      </c>
      <c r="C92" s="130" t="s">
        <v>742</v>
      </c>
      <c r="D92" s="131" t="s">
        <v>743</v>
      </c>
      <c r="E92" s="132" t="s">
        <v>52</v>
      </c>
      <c r="F92" s="63">
        <v>29772699.440000005</v>
      </c>
      <c r="G92" s="63">
        <v>0</v>
      </c>
      <c r="H92" s="63">
        <v>0</v>
      </c>
      <c r="I92" s="63">
        <v>153391</v>
      </c>
      <c r="J92" s="63">
        <v>0</v>
      </c>
      <c r="K92" s="63">
        <v>153391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29619308</v>
      </c>
      <c r="R92" s="474">
        <v>0.5</v>
      </c>
      <c r="S92" s="474">
        <v>0.4</v>
      </c>
      <c r="T92" s="474">
        <v>0.09</v>
      </c>
      <c r="U92" s="474">
        <v>0.01</v>
      </c>
      <c r="V92" s="474">
        <v>1</v>
      </c>
      <c r="W92" s="63">
        <v>14809654</v>
      </c>
      <c r="X92" s="63">
        <v>11847723</v>
      </c>
      <c r="Y92" s="63">
        <v>2665738</v>
      </c>
      <c r="Z92" s="63">
        <v>296193</v>
      </c>
      <c r="AA92" s="63">
        <v>29619308</v>
      </c>
      <c r="AB92" s="63">
        <v>0</v>
      </c>
      <c r="AC92" s="63">
        <v>0</v>
      </c>
      <c r="AD92" s="63">
        <v>0</v>
      </c>
      <c r="AE92" s="63">
        <v>0</v>
      </c>
      <c r="AF92" s="63">
        <v>0</v>
      </c>
      <c r="AG92" s="63">
        <v>0</v>
      </c>
      <c r="AH92" s="63">
        <v>0</v>
      </c>
      <c r="AI92" s="63">
        <v>0</v>
      </c>
      <c r="AJ92" s="63">
        <v>0</v>
      </c>
      <c r="AK92" s="63">
        <v>0</v>
      </c>
      <c r="AL92" s="63">
        <v>14809654</v>
      </c>
      <c r="AM92" s="63">
        <v>11847723</v>
      </c>
      <c r="AN92" s="63">
        <v>2665738</v>
      </c>
      <c r="AO92" s="63">
        <v>296193</v>
      </c>
      <c r="AP92" s="63">
        <v>29619308</v>
      </c>
      <c r="AQ92" s="63">
        <v>153391</v>
      </c>
      <c r="AR92" s="63">
        <v>153391</v>
      </c>
      <c r="AS92" s="63">
        <v>0</v>
      </c>
      <c r="AT92" s="63">
        <v>0</v>
      </c>
      <c r="AU92" s="63">
        <v>0</v>
      </c>
      <c r="AV92" s="63">
        <v>0</v>
      </c>
      <c r="AW92" s="63">
        <v>0</v>
      </c>
      <c r="AX92" s="63">
        <v>0</v>
      </c>
      <c r="AY92" s="63">
        <v>0</v>
      </c>
      <c r="AZ92" s="63">
        <v>0</v>
      </c>
      <c r="BA92" s="63">
        <v>0</v>
      </c>
      <c r="BB92" s="63">
        <v>0</v>
      </c>
      <c r="BC92" s="63">
        <v>0</v>
      </c>
      <c r="BD92" s="63">
        <v>0</v>
      </c>
      <c r="BE92" s="63">
        <v>0</v>
      </c>
      <c r="BF92" s="63">
        <v>0</v>
      </c>
      <c r="BG92" s="63">
        <v>0</v>
      </c>
      <c r="BH92" s="63">
        <v>-796734</v>
      </c>
      <c r="BI92" s="63">
        <v>-637387</v>
      </c>
      <c r="BJ92" s="63">
        <v>-143412</v>
      </c>
      <c r="BK92" s="63">
        <v>-15935</v>
      </c>
      <c r="BL92" s="63">
        <v>-1593468</v>
      </c>
      <c r="BM92" s="63">
        <v>14012920</v>
      </c>
      <c r="BN92" s="63">
        <v>11363727</v>
      </c>
      <c r="BO92" s="63">
        <v>2522326</v>
      </c>
      <c r="BP92" s="63">
        <v>280258</v>
      </c>
      <c r="BQ92" s="63">
        <v>28179231</v>
      </c>
      <c r="BR92" s="63">
        <v>171351</v>
      </c>
      <c r="BS92" s="63">
        <v>38554</v>
      </c>
      <c r="BT92" s="63">
        <v>4284</v>
      </c>
      <c r="BU92" s="63">
        <v>214189</v>
      </c>
      <c r="BV92" s="63">
        <v>517183</v>
      </c>
      <c r="BW92" s="63">
        <v>116366</v>
      </c>
      <c r="BX92" s="63">
        <v>12930</v>
      </c>
      <c r="BY92" s="63">
        <v>646479</v>
      </c>
      <c r="BZ92" s="63">
        <v>11328</v>
      </c>
      <c r="CA92" s="63">
        <v>2549</v>
      </c>
      <c r="CB92" s="63">
        <v>283</v>
      </c>
      <c r="CC92" s="63">
        <v>14160</v>
      </c>
      <c r="CD92" s="63">
        <v>0</v>
      </c>
      <c r="CE92" s="63">
        <v>0</v>
      </c>
      <c r="CF92" s="63">
        <v>0</v>
      </c>
      <c r="CG92" s="63">
        <v>0</v>
      </c>
      <c r="CH92" s="63">
        <v>6086</v>
      </c>
      <c r="CI92" s="63">
        <v>1370</v>
      </c>
      <c r="CJ92" s="63">
        <v>152</v>
      </c>
      <c r="CK92" s="63">
        <v>7608</v>
      </c>
      <c r="CL92" s="63">
        <v>2992</v>
      </c>
      <c r="CM92" s="63">
        <v>673</v>
      </c>
      <c r="CN92" s="63">
        <v>75</v>
      </c>
      <c r="CO92" s="63">
        <v>3740</v>
      </c>
      <c r="CP92" s="63">
        <v>708940</v>
      </c>
      <c r="CQ92" s="63">
        <v>159512</v>
      </c>
      <c r="CR92" s="63">
        <v>17724</v>
      </c>
      <c r="CS92" s="63">
        <v>886176</v>
      </c>
      <c r="CU92" s="141" t="s">
        <v>52</v>
      </c>
      <c r="CV92" s="157" t="s">
        <v>945</v>
      </c>
      <c r="CW92" s="156" t="s">
        <v>946</v>
      </c>
      <c r="CX92" s="345"/>
      <c r="CY92" s="345"/>
      <c r="CZ92" s="345"/>
    </row>
    <row r="93" spans="1:104" ht="12.75" x14ac:dyDescent="0.2">
      <c r="A93" s="90">
        <v>86</v>
      </c>
      <c r="B93" s="129" t="s">
        <v>55</v>
      </c>
      <c r="C93" s="130" t="s">
        <v>742</v>
      </c>
      <c r="D93" s="131" t="s">
        <v>746</v>
      </c>
      <c r="E93" s="132" t="s">
        <v>54</v>
      </c>
      <c r="F93" s="63">
        <v>44660915</v>
      </c>
      <c r="G93" s="63">
        <v>0</v>
      </c>
      <c r="H93" s="63">
        <v>0</v>
      </c>
      <c r="I93" s="63">
        <v>193935</v>
      </c>
      <c r="J93" s="63">
        <v>0</v>
      </c>
      <c r="K93" s="63">
        <v>193935</v>
      </c>
      <c r="L93" s="63">
        <v>0</v>
      </c>
      <c r="M93" s="63">
        <v>0</v>
      </c>
      <c r="N93" s="63">
        <v>0</v>
      </c>
      <c r="O93" s="63">
        <v>0</v>
      </c>
      <c r="P93" s="63">
        <v>0</v>
      </c>
      <c r="Q93" s="63">
        <v>44466980</v>
      </c>
      <c r="R93" s="474">
        <v>0.5</v>
      </c>
      <c r="S93" s="474">
        <v>0.4</v>
      </c>
      <c r="T93" s="474">
        <v>0.1</v>
      </c>
      <c r="U93" s="474">
        <v>0</v>
      </c>
      <c r="V93" s="474">
        <v>1</v>
      </c>
      <c r="W93" s="63">
        <v>22233490</v>
      </c>
      <c r="X93" s="63">
        <v>17786792</v>
      </c>
      <c r="Y93" s="63">
        <v>4446698</v>
      </c>
      <c r="Z93" s="63">
        <v>0</v>
      </c>
      <c r="AA93" s="63">
        <v>44466980</v>
      </c>
      <c r="AB93" s="63">
        <v>0</v>
      </c>
      <c r="AC93" s="63">
        <v>0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  <c r="AI93" s="63">
        <v>0</v>
      </c>
      <c r="AJ93" s="63">
        <v>0</v>
      </c>
      <c r="AK93" s="63">
        <v>0</v>
      </c>
      <c r="AL93" s="63">
        <v>22233490</v>
      </c>
      <c r="AM93" s="63">
        <v>17786792</v>
      </c>
      <c r="AN93" s="63">
        <v>4446698</v>
      </c>
      <c r="AO93" s="63">
        <v>0</v>
      </c>
      <c r="AP93" s="63">
        <v>44466980</v>
      </c>
      <c r="AQ93" s="63">
        <v>193935</v>
      </c>
      <c r="AR93" s="63">
        <v>193935</v>
      </c>
      <c r="AS93" s="63">
        <v>0</v>
      </c>
      <c r="AT93" s="63">
        <v>0</v>
      </c>
      <c r="AU93" s="63">
        <v>0</v>
      </c>
      <c r="AV93" s="63">
        <v>0</v>
      </c>
      <c r="AW93" s="63">
        <v>0</v>
      </c>
      <c r="AX93" s="63">
        <v>0</v>
      </c>
      <c r="AY93" s="63">
        <v>0</v>
      </c>
      <c r="AZ93" s="63">
        <v>0</v>
      </c>
      <c r="BA93" s="63">
        <v>0</v>
      </c>
      <c r="BB93" s="63">
        <v>0</v>
      </c>
      <c r="BC93" s="63">
        <v>0</v>
      </c>
      <c r="BD93" s="63">
        <v>0</v>
      </c>
      <c r="BE93" s="63">
        <v>0</v>
      </c>
      <c r="BF93" s="63">
        <v>0</v>
      </c>
      <c r="BG93" s="63">
        <v>0</v>
      </c>
      <c r="BH93" s="63">
        <v>-2837986</v>
      </c>
      <c r="BI93" s="63">
        <v>-2270389</v>
      </c>
      <c r="BJ93" s="63">
        <v>-567597</v>
      </c>
      <c r="BK93" s="63">
        <v>0</v>
      </c>
      <c r="BL93" s="63">
        <v>-5675972</v>
      </c>
      <c r="BM93" s="63">
        <v>19395504</v>
      </c>
      <c r="BN93" s="63">
        <v>15710338</v>
      </c>
      <c r="BO93" s="63">
        <v>3879101</v>
      </c>
      <c r="BP93" s="63">
        <v>0</v>
      </c>
      <c r="BQ93" s="63">
        <v>38984943</v>
      </c>
      <c r="BR93" s="63">
        <v>257247</v>
      </c>
      <c r="BS93" s="63">
        <v>64312</v>
      </c>
      <c r="BT93" s="63">
        <v>0</v>
      </c>
      <c r="BU93" s="63">
        <v>321559</v>
      </c>
      <c r="BV93" s="63">
        <v>540199</v>
      </c>
      <c r="BW93" s="63">
        <v>135050</v>
      </c>
      <c r="BX93" s="63">
        <v>0</v>
      </c>
      <c r="BY93" s="63">
        <v>675249</v>
      </c>
      <c r="BZ93" s="63">
        <v>0</v>
      </c>
      <c r="CA93" s="63">
        <v>0</v>
      </c>
      <c r="CB93" s="63">
        <v>0</v>
      </c>
      <c r="CC93" s="63">
        <v>0</v>
      </c>
      <c r="CD93" s="63">
        <v>13915</v>
      </c>
      <c r="CE93" s="63">
        <v>3479</v>
      </c>
      <c r="CF93" s="63">
        <v>0</v>
      </c>
      <c r="CG93" s="63">
        <v>17394</v>
      </c>
      <c r="CH93" s="63">
        <v>5601</v>
      </c>
      <c r="CI93" s="63">
        <v>1400</v>
      </c>
      <c r="CJ93" s="63">
        <v>0</v>
      </c>
      <c r="CK93" s="63">
        <v>7001</v>
      </c>
      <c r="CL93" s="63">
        <v>21067</v>
      </c>
      <c r="CM93" s="63">
        <v>5267</v>
      </c>
      <c r="CN93" s="63">
        <v>0</v>
      </c>
      <c r="CO93" s="63">
        <v>26334</v>
      </c>
      <c r="CP93" s="63">
        <v>838029</v>
      </c>
      <c r="CQ93" s="63">
        <v>209508</v>
      </c>
      <c r="CR93" s="63">
        <v>0</v>
      </c>
      <c r="CS93" s="63">
        <v>1047537</v>
      </c>
      <c r="CU93" s="141" t="s">
        <v>54</v>
      </c>
      <c r="CV93" s="157" t="s">
        <v>960</v>
      </c>
      <c r="CW93" s="156" t="s">
        <v>928</v>
      </c>
      <c r="CX93" s="345"/>
      <c r="CY93" s="345"/>
      <c r="CZ93" s="345"/>
    </row>
    <row r="94" spans="1:104" ht="12.75" x14ac:dyDescent="0.2">
      <c r="A94" s="90">
        <v>87</v>
      </c>
      <c r="B94" s="129" t="s">
        <v>57</v>
      </c>
      <c r="C94" s="130" t="s">
        <v>742</v>
      </c>
      <c r="D94" s="131" t="s">
        <v>745</v>
      </c>
      <c r="E94" s="132" t="s">
        <v>56</v>
      </c>
      <c r="F94" s="63">
        <v>34181705</v>
      </c>
      <c r="G94" s="63">
        <v>0</v>
      </c>
      <c r="H94" s="63">
        <v>0</v>
      </c>
      <c r="I94" s="63">
        <v>268877</v>
      </c>
      <c r="J94" s="63">
        <v>0</v>
      </c>
      <c r="K94" s="63">
        <v>268877</v>
      </c>
      <c r="L94" s="63">
        <v>0</v>
      </c>
      <c r="M94" s="63">
        <v>0</v>
      </c>
      <c r="N94" s="63">
        <v>132400</v>
      </c>
      <c r="O94" s="63">
        <v>87720</v>
      </c>
      <c r="P94" s="63">
        <v>44680</v>
      </c>
      <c r="Q94" s="63">
        <v>33780428</v>
      </c>
      <c r="R94" s="474">
        <v>0.5</v>
      </c>
      <c r="S94" s="474">
        <v>0.4</v>
      </c>
      <c r="T94" s="474">
        <v>0.1</v>
      </c>
      <c r="U94" s="474">
        <v>0</v>
      </c>
      <c r="V94" s="474">
        <v>1</v>
      </c>
      <c r="W94" s="63">
        <v>16890214</v>
      </c>
      <c r="X94" s="63">
        <v>13512171</v>
      </c>
      <c r="Y94" s="63">
        <v>3378043</v>
      </c>
      <c r="Z94" s="63">
        <v>0</v>
      </c>
      <c r="AA94" s="63">
        <v>33780428</v>
      </c>
      <c r="AB94" s="63">
        <v>0</v>
      </c>
      <c r="AC94" s="63">
        <v>0</v>
      </c>
      <c r="AD94" s="63">
        <v>0</v>
      </c>
      <c r="AE94" s="63">
        <v>0</v>
      </c>
      <c r="AF94" s="63">
        <v>0</v>
      </c>
      <c r="AG94" s="63">
        <v>0</v>
      </c>
      <c r="AH94" s="63">
        <v>0</v>
      </c>
      <c r="AI94" s="63">
        <v>0</v>
      </c>
      <c r="AJ94" s="63">
        <v>0</v>
      </c>
      <c r="AK94" s="63">
        <v>0</v>
      </c>
      <c r="AL94" s="63">
        <v>16890214</v>
      </c>
      <c r="AM94" s="63">
        <v>13512171</v>
      </c>
      <c r="AN94" s="63">
        <v>3378043</v>
      </c>
      <c r="AO94" s="63">
        <v>0</v>
      </c>
      <c r="AP94" s="63">
        <v>33780428</v>
      </c>
      <c r="AQ94" s="63">
        <v>268877</v>
      </c>
      <c r="AR94" s="63">
        <v>268877</v>
      </c>
      <c r="AS94" s="63">
        <v>0</v>
      </c>
      <c r="AT94" s="63">
        <v>0</v>
      </c>
      <c r="AU94" s="63">
        <v>87720</v>
      </c>
      <c r="AV94" s="63">
        <v>44680</v>
      </c>
      <c r="AW94" s="63">
        <v>132400</v>
      </c>
      <c r="AX94" s="63">
        <v>0</v>
      </c>
      <c r="AY94" s="63">
        <v>0</v>
      </c>
      <c r="AZ94" s="63">
        <v>0</v>
      </c>
      <c r="BA94" s="63">
        <v>0</v>
      </c>
      <c r="BB94" s="63">
        <v>0</v>
      </c>
      <c r="BC94" s="63">
        <v>0</v>
      </c>
      <c r="BD94" s="63">
        <v>0</v>
      </c>
      <c r="BE94" s="63">
        <v>0</v>
      </c>
      <c r="BF94" s="63">
        <v>0</v>
      </c>
      <c r="BG94" s="63">
        <v>0</v>
      </c>
      <c r="BH94" s="63">
        <v>-1974694</v>
      </c>
      <c r="BI94" s="63">
        <v>-1579756</v>
      </c>
      <c r="BJ94" s="63">
        <v>-394939</v>
      </c>
      <c r="BK94" s="63">
        <v>0</v>
      </c>
      <c r="BL94" s="63">
        <v>-3949389</v>
      </c>
      <c r="BM94" s="63">
        <v>14915520</v>
      </c>
      <c r="BN94" s="63">
        <v>12289012</v>
      </c>
      <c r="BO94" s="63">
        <v>3027784</v>
      </c>
      <c r="BP94" s="63">
        <v>0</v>
      </c>
      <c r="BQ94" s="63">
        <v>30232316</v>
      </c>
      <c r="BR94" s="63">
        <v>196693</v>
      </c>
      <c r="BS94" s="63">
        <v>49502</v>
      </c>
      <c r="BT94" s="63">
        <v>0</v>
      </c>
      <c r="BU94" s="63">
        <v>246195</v>
      </c>
      <c r="BV94" s="63">
        <v>966828</v>
      </c>
      <c r="BW94" s="63">
        <v>241707</v>
      </c>
      <c r="BX94" s="63">
        <v>0</v>
      </c>
      <c r="BY94" s="63">
        <v>1208535</v>
      </c>
      <c r="BZ94" s="63">
        <v>4586</v>
      </c>
      <c r="CA94" s="63">
        <v>1146</v>
      </c>
      <c r="CB94" s="63">
        <v>0</v>
      </c>
      <c r="CC94" s="63">
        <v>5732</v>
      </c>
      <c r="CD94" s="63">
        <v>0</v>
      </c>
      <c r="CE94" s="63">
        <v>0</v>
      </c>
      <c r="CF94" s="63">
        <v>0</v>
      </c>
      <c r="CG94" s="63">
        <v>0</v>
      </c>
      <c r="CH94" s="63">
        <v>1031</v>
      </c>
      <c r="CI94" s="63">
        <v>258</v>
      </c>
      <c r="CJ94" s="63">
        <v>0</v>
      </c>
      <c r="CK94" s="63">
        <v>1289</v>
      </c>
      <c r="CL94" s="63">
        <v>3041</v>
      </c>
      <c r="CM94" s="63">
        <v>760</v>
      </c>
      <c r="CN94" s="63">
        <v>0</v>
      </c>
      <c r="CO94" s="63">
        <v>3801</v>
      </c>
      <c r="CP94" s="63">
        <v>1172179</v>
      </c>
      <c r="CQ94" s="63">
        <v>293373</v>
      </c>
      <c r="CR94" s="63">
        <v>0</v>
      </c>
      <c r="CS94" s="63">
        <v>1465552</v>
      </c>
      <c r="CU94" s="141" t="s">
        <v>56</v>
      </c>
      <c r="CV94" s="157" t="s">
        <v>954</v>
      </c>
      <c r="CW94" s="156" t="s">
        <v>928</v>
      </c>
      <c r="CX94" s="345"/>
      <c r="CY94" s="345"/>
      <c r="CZ94" s="345"/>
    </row>
    <row r="95" spans="1:104" ht="12.75" x14ac:dyDescent="0.2">
      <c r="A95" s="90">
        <v>88</v>
      </c>
      <c r="B95" s="129" t="s">
        <v>59</v>
      </c>
      <c r="C95" s="130" t="s">
        <v>742</v>
      </c>
      <c r="D95" s="131" t="s">
        <v>745</v>
      </c>
      <c r="E95" s="132" t="s">
        <v>58</v>
      </c>
      <c r="F95" s="63">
        <v>23725468</v>
      </c>
      <c r="G95" s="63">
        <v>0</v>
      </c>
      <c r="H95" s="63">
        <v>0</v>
      </c>
      <c r="I95" s="63">
        <v>100187</v>
      </c>
      <c r="J95" s="63">
        <v>0</v>
      </c>
      <c r="K95" s="63">
        <v>100187</v>
      </c>
      <c r="L95" s="63">
        <v>0</v>
      </c>
      <c r="M95" s="63">
        <v>0</v>
      </c>
      <c r="N95" s="63">
        <v>470000</v>
      </c>
      <c r="O95" s="63">
        <v>470000</v>
      </c>
      <c r="P95" s="63">
        <v>0</v>
      </c>
      <c r="Q95" s="63">
        <v>23155281</v>
      </c>
      <c r="R95" s="474">
        <v>0.5</v>
      </c>
      <c r="S95" s="474">
        <v>0.4</v>
      </c>
      <c r="T95" s="474">
        <v>0.1</v>
      </c>
      <c r="U95" s="474">
        <v>0</v>
      </c>
      <c r="V95" s="474">
        <v>1</v>
      </c>
      <c r="W95" s="63">
        <v>11577641</v>
      </c>
      <c r="X95" s="63">
        <v>9262112</v>
      </c>
      <c r="Y95" s="63">
        <v>2315528</v>
      </c>
      <c r="Z95" s="63">
        <v>0</v>
      </c>
      <c r="AA95" s="63">
        <v>23155281</v>
      </c>
      <c r="AB95" s="63">
        <v>0</v>
      </c>
      <c r="AC95" s="63">
        <v>0</v>
      </c>
      <c r="AD95" s="63">
        <v>0</v>
      </c>
      <c r="AE95" s="63">
        <v>0</v>
      </c>
      <c r="AF95" s="63">
        <v>0</v>
      </c>
      <c r="AG95" s="63">
        <v>0</v>
      </c>
      <c r="AH95" s="63">
        <v>0</v>
      </c>
      <c r="AI95" s="63">
        <v>0</v>
      </c>
      <c r="AJ95" s="63">
        <v>0</v>
      </c>
      <c r="AK95" s="63">
        <v>0</v>
      </c>
      <c r="AL95" s="63">
        <v>11577641</v>
      </c>
      <c r="AM95" s="63">
        <v>9262112</v>
      </c>
      <c r="AN95" s="63">
        <v>2315528</v>
      </c>
      <c r="AO95" s="63">
        <v>0</v>
      </c>
      <c r="AP95" s="63">
        <v>23155281</v>
      </c>
      <c r="AQ95" s="63">
        <v>100187</v>
      </c>
      <c r="AR95" s="63">
        <v>100187</v>
      </c>
      <c r="AS95" s="63">
        <v>0</v>
      </c>
      <c r="AT95" s="63">
        <v>0</v>
      </c>
      <c r="AU95" s="63">
        <v>470000</v>
      </c>
      <c r="AV95" s="63">
        <v>0</v>
      </c>
      <c r="AW95" s="63">
        <v>470000</v>
      </c>
      <c r="AX95" s="63">
        <v>0</v>
      </c>
      <c r="AY95" s="63">
        <v>0</v>
      </c>
      <c r="AZ95" s="63">
        <v>0</v>
      </c>
      <c r="BA95" s="63">
        <v>0</v>
      </c>
      <c r="BB95" s="63">
        <v>0</v>
      </c>
      <c r="BC95" s="63">
        <v>0</v>
      </c>
      <c r="BD95" s="63">
        <v>0</v>
      </c>
      <c r="BE95" s="63">
        <v>0</v>
      </c>
      <c r="BF95" s="63">
        <v>0</v>
      </c>
      <c r="BG95" s="63">
        <v>0</v>
      </c>
      <c r="BH95" s="63">
        <v>-361604</v>
      </c>
      <c r="BI95" s="63">
        <v>-289283</v>
      </c>
      <c r="BJ95" s="63">
        <v>-72321</v>
      </c>
      <c r="BK95" s="63">
        <v>0</v>
      </c>
      <c r="BL95" s="63">
        <v>-723208</v>
      </c>
      <c r="BM95" s="63">
        <v>11216037</v>
      </c>
      <c r="BN95" s="63">
        <v>9543016</v>
      </c>
      <c r="BO95" s="63">
        <v>2243207</v>
      </c>
      <c r="BP95" s="63">
        <v>0</v>
      </c>
      <c r="BQ95" s="63">
        <v>23002260</v>
      </c>
      <c r="BR95" s="63">
        <v>140754</v>
      </c>
      <c r="BS95" s="63">
        <v>33489</v>
      </c>
      <c r="BT95" s="63">
        <v>0</v>
      </c>
      <c r="BU95" s="63">
        <v>174243</v>
      </c>
      <c r="BV95" s="63">
        <v>390328</v>
      </c>
      <c r="BW95" s="63">
        <v>97582</v>
      </c>
      <c r="BX95" s="63">
        <v>0</v>
      </c>
      <c r="BY95" s="63">
        <v>487910</v>
      </c>
      <c r="BZ95" s="63">
        <v>4920</v>
      </c>
      <c r="CA95" s="63">
        <v>1230</v>
      </c>
      <c r="CB95" s="63">
        <v>0</v>
      </c>
      <c r="CC95" s="63">
        <v>6150</v>
      </c>
      <c r="CD95" s="63">
        <v>1815</v>
      </c>
      <c r="CE95" s="63">
        <v>454</v>
      </c>
      <c r="CF95" s="63">
        <v>0</v>
      </c>
      <c r="CG95" s="63">
        <v>2269</v>
      </c>
      <c r="CH95" s="63">
        <v>0</v>
      </c>
      <c r="CI95" s="63">
        <v>0</v>
      </c>
      <c r="CJ95" s="63">
        <v>0</v>
      </c>
      <c r="CK95" s="63">
        <v>0</v>
      </c>
      <c r="CL95" s="63">
        <v>0</v>
      </c>
      <c r="CM95" s="63">
        <v>0</v>
      </c>
      <c r="CN95" s="63">
        <v>0</v>
      </c>
      <c r="CO95" s="63">
        <v>0</v>
      </c>
      <c r="CP95" s="63">
        <v>537817</v>
      </c>
      <c r="CQ95" s="63">
        <v>132755</v>
      </c>
      <c r="CR95" s="63">
        <v>0</v>
      </c>
      <c r="CS95" s="63">
        <v>670572</v>
      </c>
      <c r="CU95" s="141" t="s">
        <v>58</v>
      </c>
      <c r="CV95" s="157" t="s">
        <v>971</v>
      </c>
      <c r="CW95" s="156" t="s">
        <v>928</v>
      </c>
      <c r="CX95" s="345"/>
      <c r="CY95" s="345"/>
      <c r="CZ95" s="345"/>
    </row>
    <row r="96" spans="1:104" ht="12.75" x14ac:dyDescent="0.2">
      <c r="A96" s="90">
        <v>89</v>
      </c>
      <c r="B96" s="129" t="s">
        <v>60</v>
      </c>
      <c r="C96" s="130" t="s">
        <v>501</v>
      </c>
      <c r="D96" s="131" t="s">
        <v>750</v>
      </c>
      <c r="E96" s="132" t="s">
        <v>533</v>
      </c>
      <c r="F96" s="63">
        <v>109505614</v>
      </c>
      <c r="G96" s="63">
        <v>0</v>
      </c>
      <c r="H96" s="63">
        <v>0</v>
      </c>
      <c r="I96" s="63">
        <v>445553</v>
      </c>
      <c r="J96" s="63">
        <v>0</v>
      </c>
      <c r="K96" s="63">
        <v>445553</v>
      </c>
      <c r="L96" s="63">
        <v>0</v>
      </c>
      <c r="M96" s="63">
        <v>884</v>
      </c>
      <c r="N96" s="63">
        <v>3149518</v>
      </c>
      <c r="O96" s="63">
        <v>3149518</v>
      </c>
      <c r="P96" s="63">
        <v>0</v>
      </c>
      <c r="Q96" s="63">
        <v>105909659</v>
      </c>
      <c r="R96" s="474">
        <v>0.5</v>
      </c>
      <c r="S96" s="474">
        <v>0.49</v>
      </c>
      <c r="T96" s="474">
        <v>0</v>
      </c>
      <c r="U96" s="474">
        <v>0.01</v>
      </c>
      <c r="V96" s="474">
        <v>1</v>
      </c>
      <c r="W96" s="63">
        <v>52954829</v>
      </c>
      <c r="X96" s="63">
        <v>51895733</v>
      </c>
      <c r="Y96" s="63">
        <v>0</v>
      </c>
      <c r="Z96" s="63">
        <v>1059097</v>
      </c>
      <c r="AA96" s="63">
        <v>105909659</v>
      </c>
      <c r="AB96" s="63">
        <v>100000</v>
      </c>
      <c r="AC96" s="63">
        <v>0</v>
      </c>
      <c r="AD96" s="63">
        <v>0</v>
      </c>
      <c r="AE96" s="63">
        <v>0</v>
      </c>
      <c r="AF96" s="63">
        <v>100000</v>
      </c>
      <c r="AG96" s="63">
        <v>0</v>
      </c>
      <c r="AH96" s="63">
        <v>0</v>
      </c>
      <c r="AI96" s="63">
        <v>0</v>
      </c>
      <c r="AJ96" s="63">
        <v>0</v>
      </c>
      <c r="AK96" s="63">
        <v>0</v>
      </c>
      <c r="AL96" s="63">
        <v>52854829</v>
      </c>
      <c r="AM96" s="63">
        <v>51895733</v>
      </c>
      <c r="AN96" s="63">
        <v>0</v>
      </c>
      <c r="AO96" s="63">
        <v>1059097</v>
      </c>
      <c r="AP96" s="63">
        <v>105809659</v>
      </c>
      <c r="AQ96" s="63">
        <v>445553</v>
      </c>
      <c r="AR96" s="63">
        <v>445553</v>
      </c>
      <c r="AS96" s="63">
        <v>884</v>
      </c>
      <c r="AT96" s="63">
        <v>884</v>
      </c>
      <c r="AU96" s="63">
        <v>3149518</v>
      </c>
      <c r="AV96" s="63">
        <v>0</v>
      </c>
      <c r="AW96" s="63">
        <v>3149518</v>
      </c>
      <c r="AX96" s="63">
        <v>98000</v>
      </c>
      <c r="AY96" s="63">
        <v>0</v>
      </c>
      <c r="AZ96" s="63">
        <v>2000</v>
      </c>
      <c r="BA96" s="63">
        <v>100000</v>
      </c>
      <c r="BB96" s="63">
        <v>0</v>
      </c>
      <c r="BC96" s="63">
        <v>0</v>
      </c>
      <c r="BD96" s="63">
        <v>0</v>
      </c>
      <c r="BE96" s="63">
        <v>0</v>
      </c>
      <c r="BF96" s="63">
        <v>0</v>
      </c>
      <c r="BG96" s="63">
        <v>0</v>
      </c>
      <c r="BH96" s="63">
        <v>2008342</v>
      </c>
      <c r="BI96" s="63">
        <v>1968176</v>
      </c>
      <c r="BJ96" s="63">
        <v>0</v>
      </c>
      <c r="BK96" s="63">
        <v>40167</v>
      </c>
      <c r="BL96" s="63">
        <v>4016685</v>
      </c>
      <c r="BM96" s="63">
        <v>54863171</v>
      </c>
      <c r="BN96" s="63">
        <v>57557864</v>
      </c>
      <c r="BO96" s="63">
        <v>0</v>
      </c>
      <c r="BP96" s="63">
        <v>1101264</v>
      </c>
      <c r="BQ96" s="63">
        <v>113522299</v>
      </c>
      <c r="BR96" s="63">
        <v>797539</v>
      </c>
      <c r="BS96" s="63">
        <v>0</v>
      </c>
      <c r="BT96" s="63">
        <v>15346</v>
      </c>
      <c r="BU96" s="63">
        <v>812885</v>
      </c>
      <c r="BV96" s="63">
        <v>1995362</v>
      </c>
      <c r="BW96" s="63">
        <v>0</v>
      </c>
      <c r="BX96" s="63">
        <v>40722</v>
      </c>
      <c r="BY96" s="63">
        <v>2036084</v>
      </c>
      <c r="BZ96" s="63">
        <v>0</v>
      </c>
      <c r="CA96" s="63">
        <v>0</v>
      </c>
      <c r="CB96" s="63">
        <v>0</v>
      </c>
      <c r="CC96" s="63">
        <v>0</v>
      </c>
      <c r="CD96" s="63">
        <v>0</v>
      </c>
      <c r="CE96" s="63">
        <v>0</v>
      </c>
      <c r="CF96" s="63">
        <v>0</v>
      </c>
      <c r="CG96" s="63">
        <v>0</v>
      </c>
      <c r="CH96" s="63">
        <v>0</v>
      </c>
      <c r="CI96" s="63">
        <v>0</v>
      </c>
      <c r="CJ96" s="63">
        <v>0</v>
      </c>
      <c r="CK96" s="63">
        <v>0</v>
      </c>
      <c r="CL96" s="63">
        <v>7166</v>
      </c>
      <c r="CM96" s="63">
        <v>0</v>
      </c>
      <c r="CN96" s="63">
        <v>146</v>
      </c>
      <c r="CO96" s="63">
        <v>7312</v>
      </c>
      <c r="CP96" s="63">
        <v>2800067</v>
      </c>
      <c r="CQ96" s="63">
        <v>0</v>
      </c>
      <c r="CR96" s="63">
        <v>56214</v>
      </c>
      <c r="CS96" s="63">
        <v>2856281</v>
      </c>
      <c r="CU96" s="141" t="s">
        <v>533</v>
      </c>
      <c r="CV96" s="157" t="s">
        <v>501</v>
      </c>
      <c r="CW96" s="156" t="s">
        <v>976</v>
      </c>
      <c r="CX96" s="345"/>
      <c r="CY96" s="345"/>
      <c r="CZ96" s="345"/>
    </row>
    <row r="97" spans="1:104" ht="12.75" x14ac:dyDescent="0.2">
      <c r="A97" s="90">
        <v>90</v>
      </c>
      <c r="B97" s="129" t="s">
        <v>62</v>
      </c>
      <c r="C97" s="130" t="s">
        <v>742</v>
      </c>
      <c r="D97" s="131" t="s">
        <v>752</v>
      </c>
      <c r="E97" s="132" t="s">
        <v>61</v>
      </c>
      <c r="F97" s="63">
        <v>54773086</v>
      </c>
      <c r="G97" s="63">
        <v>0</v>
      </c>
      <c r="H97" s="63">
        <v>0</v>
      </c>
      <c r="I97" s="63">
        <v>179064</v>
      </c>
      <c r="J97" s="63">
        <v>0</v>
      </c>
      <c r="K97" s="63">
        <v>179064</v>
      </c>
      <c r="L97" s="63">
        <v>0</v>
      </c>
      <c r="M97" s="63">
        <v>0</v>
      </c>
      <c r="N97" s="63">
        <v>0</v>
      </c>
      <c r="O97" s="63">
        <v>0</v>
      </c>
      <c r="P97" s="63">
        <v>0</v>
      </c>
      <c r="Q97" s="63">
        <v>54594022</v>
      </c>
      <c r="R97" s="474">
        <v>0.5</v>
      </c>
      <c r="S97" s="474">
        <v>0.4</v>
      </c>
      <c r="T97" s="474">
        <v>0.09</v>
      </c>
      <c r="U97" s="474">
        <v>0.01</v>
      </c>
      <c r="V97" s="474">
        <v>1</v>
      </c>
      <c r="W97" s="63">
        <v>27297011</v>
      </c>
      <c r="X97" s="63">
        <v>21837609</v>
      </c>
      <c r="Y97" s="63">
        <v>4913462</v>
      </c>
      <c r="Z97" s="63">
        <v>545940</v>
      </c>
      <c r="AA97" s="63">
        <v>54594022</v>
      </c>
      <c r="AB97" s="63">
        <v>0</v>
      </c>
      <c r="AC97" s="63">
        <v>0</v>
      </c>
      <c r="AD97" s="63">
        <v>0</v>
      </c>
      <c r="AE97" s="63">
        <v>0</v>
      </c>
      <c r="AF97" s="63">
        <v>0</v>
      </c>
      <c r="AG97" s="63">
        <v>0</v>
      </c>
      <c r="AH97" s="63">
        <v>0</v>
      </c>
      <c r="AI97" s="63">
        <v>0</v>
      </c>
      <c r="AJ97" s="63">
        <v>0</v>
      </c>
      <c r="AK97" s="63">
        <v>0</v>
      </c>
      <c r="AL97" s="63">
        <v>27297011</v>
      </c>
      <c r="AM97" s="63">
        <v>21837609</v>
      </c>
      <c r="AN97" s="63">
        <v>4913462</v>
      </c>
      <c r="AO97" s="63">
        <v>545940</v>
      </c>
      <c r="AP97" s="63">
        <v>54594022</v>
      </c>
      <c r="AQ97" s="63">
        <v>179064</v>
      </c>
      <c r="AR97" s="63">
        <v>179064</v>
      </c>
      <c r="AS97" s="63">
        <v>0</v>
      </c>
      <c r="AT97" s="63">
        <v>0</v>
      </c>
      <c r="AU97" s="63">
        <v>0</v>
      </c>
      <c r="AV97" s="63">
        <v>0</v>
      </c>
      <c r="AW97" s="63">
        <v>0</v>
      </c>
      <c r="AX97" s="63">
        <v>0</v>
      </c>
      <c r="AY97" s="63">
        <v>0</v>
      </c>
      <c r="AZ97" s="63">
        <v>0</v>
      </c>
      <c r="BA97" s="63">
        <v>0</v>
      </c>
      <c r="BB97" s="63">
        <v>0</v>
      </c>
      <c r="BC97" s="63">
        <v>0</v>
      </c>
      <c r="BD97" s="63">
        <v>0</v>
      </c>
      <c r="BE97" s="63">
        <v>0</v>
      </c>
      <c r="BF97" s="63">
        <v>0</v>
      </c>
      <c r="BG97" s="63">
        <v>0</v>
      </c>
      <c r="BH97" s="63">
        <v>-807392</v>
      </c>
      <c r="BI97" s="63">
        <v>-645913</v>
      </c>
      <c r="BJ97" s="63">
        <v>-145330</v>
      </c>
      <c r="BK97" s="63">
        <v>-16148</v>
      </c>
      <c r="BL97" s="63">
        <v>-1614783</v>
      </c>
      <c r="BM97" s="63">
        <v>26489619</v>
      </c>
      <c r="BN97" s="63">
        <v>21370760</v>
      </c>
      <c r="BO97" s="63">
        <v>4768132</v>
      </c>
      <c r="BP97" s="63">
        <v>529792</v>
      </c>
      <c r="BQ97" s="63">
        <v>53158303</v>
      </c>
      <c r="BR97" s="63">
        <v>315833</v>
      </c>
      <c r="BS97" s="63">
        <v>71062</v>
      </c>
      <c r="BT97" s="63">
        <v>7896</v>
      </c>
      <c r="BU97" s="63">
        <v>394791</v>
      </c>
      <c r="BV97" s="63">
        <v>579034</v>
      </c>
      <c r="BW97" s="63">
        <v>130283</v>
      </c>
      <c r="BX97" s="63">
        <v>14476</v>
      </c>
      <c r="BY97" s="63">
        <v>723793</v>
      </c>
      <c r="BZ97" s="63">
        <v>2363</v>
      </c>
      <c r="CA97" s="63">
        <v>531</v>
      </c>
      <c r="CB97" s="63">
        <v>59</v>
      </c>
      <c r="CC97" s="63">
        <v>2953</v>
      </c>
      <c r="CD97" s="63">
        <v>473</v>
      </c>
      <c r="CE97" s="63">
        <v>107</v>
      </c>
      <c r="CF97" s="63">
        <v>12</v>
      </c>
      <c r="CG97" s="63">
        <v>592</v>
      </c>
      <c r="CH97" s="63">
        <v>617</v>
      </c>
      <c r="CI97" s="63">
        <v>139</v>
      </c>
      <c r="CJ97" s="63">
        <v>15</v>
      </c>
      <c r="CK97" s="63">
        <v>771</v>
      </c>
      <c r="CL97" s="63">
        <v>0</v>
      </c>
      <c r="CM97" s="63">
        <v>0</v>
      </c>
      <c r="CN97" s="63">
        <v>0</v>
      </c>
      <c r="CO97" s="63">
        <v>0</v>
      </c>
      <c r="CP97" s="63">
        <v>898320</v>
      </c>
      <c r="CQ97" s="63">
        <v>202122</v>
      </c>
      <c r="CR97" s="63">
        <v>22458</v>
      </c>
      <c r="CS97" s="63">
        <v>1122900</v>
      </c>
      <c r="CU97" s="141" t="s">
        <v>61</v>
      </c>
      <c r="CV97" s="157" t="s">
        <v>964</v>
      </c>
      <c r="CW97" s="156" t="s">
        <v>965</v>
      </c>
      <c r="CX97" s="345"/>
      <c r="CY97" s="345"/>
      <c r="CZ97" s="345"/>
    </row>
    <row r="98" spans="1:104" ht="12.75" x14ac:dyDescent="0.2">
      <c r="A98" s="90">
        <v>91</v>
      </c>
      <c r="B98" s="129" t="s">
        <v>64</v>
      </c>
      <c r="C98" s="130" t="s">
        <v>742</v>
      </c>
      <c r="D98" s="131" t="s">
        <v>743</v>
      </c>
      <c r="E98" s="132" t="s">
        <v>63</v>
      </c>
      <c r="F98" s="63">
        <v>35073352.18</v>
      </c>
      <c r="G98" s="63">
        <v>0</v>
      </c>
      <c r="H98" s="63">
        <v>0</v>
      </c>
      <c r="I98" s="63">
        <v>125728</v>
      </c>
      <c r="J98" s="63">
        <v>0</v>
      </c>
      <c r="K98" s="63">
        <v>125728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34947624</v>
      </c>
      <c r="R98" s="474">
        <v>0.5</v>
      </c>
      <c r="S98" s="474">
        <v>0.4</v>
      </c>
      <c r="T98" s="474">
        <v>0.09</v>
      </c>
      <c r="U98" s="474">
        <v>0.01</v>
      </c>
      <c r="V98" s="474">
        <v>1</v>
      </c>
      <c r="W98" s="63">
        <v>17473812</v>
      </c>
      <c r="X98" s="63">
        <v>13979050</v>
      </c>
      <c r="Y98" s="63">
        <v>3145286</v>
      </c>
      <c r="Z98" s="63">
        <v>349476</v>
      </c>
      <c r="AA98" s="63">
        <v>34947624</v>
      </c>
      <c r="AB98" s="63">
        <v>0</v>
      </c>
      <c r="AC98" s="63">
        <v>0</v>
      </c>
      <c r="AD98" s="63">
        <v>0</v>
      </c>
      <c r="AE98" s="63">
        <v>0</v>
      </c>
      <c r="AF98" s="63">
        <v>0</v>
      </c>
      <c r="AG98" s="63">
        <v>0</v>
      </c>
      <c r="AH98" s="63">
        <v>0</v>
      </c>
      <c r="AI98" s="63">
        <v>0</v>
      </c>
      <c r="AJ98" s="63">
        <v>0</v>
      </c>
      <c r="AK98" s="63">
        <v>0</v>
      </c>
      <c r="AL98" s="63">
        <v>17473812</v>
      </c>
      <c r="AM98" s="63">
        <v>13979050</v>
      </c>
      <c r="AN98" s="63">
        <v>3145286</v>
      </c>
      <c r="AO98" s="63">
        <v>349476</v>
      </c>
      <c r="AP98" s="63">
        <v>34947624</v>
      </c>
      <c r="AQ98" s="63">
        <v>125728</v>
      </c>
      <c r="AR98" s="63">
        <v>125728</v>
      </c>
      <c r="AS98" s="63">
        <v>0</v>
      </c>
      <c r="AT98" s="63">
        <v>0</v>
      </c>
      <c r="AU98" s="63">
        <v>0</v>
      </c>
      <c r="AV98" s="63">
        <v>0</v>
      </c>
      <c r="AW98" s="63">
        <v>0</v>
      </c>
      <c r="AX98" s="63">
        <v>0</v>
      </c>
      <c r="AY98" s="63">
        <v>0</v>
      </c>
      <c r="AZ98" s="63">
        <v>0</v>
      </c>
      <c r="BA98" s="63">
        <v>0</v>
      </c>
      <c r="BB98" s="63">
        <v>0</v>
      </c>
      <c r="BC98" s="63">
        <v>0</v>
      </c>
      <c r="BD98" s="63">
        <v>0</v>
      </c>
      <c r="BE98" s="63">
        <v>0</v>
      </c>
      <c r="BF98" s="63">
        <v>0</v>
      </c>
      <c r="BG98" s="63">
        <v>0</v>
      </c>
      <c r="BH98" s="63">
        <v>-855949</v>
      </c>
      <c r="BI98" s="63">
        <v>-684759</v>
      </c>
      <c r="BJ98" s="63">
        <v>-154071</v>
      </c>
      <c r="BK98" s="63">
        <v>-17119</v>
      </c>
      <c r="BL98" s="63">
        <v>-1711898</v>
      </c>
      <c r="BM98" s="63">
        <v>16617863</v>
      </c>
      <c r="BN98" s="63">
        <v>13420019</v>
      </c>
      <c r="BO98" s="63">
        <v>2991215</v>
      </c>
      <c r="BP98" s="63">
        <v>332357</v>
      </c>
      <c r="BQ98" s="63">
        <v>33361454</v>
      </c>
      <c r="BR98" s="63">
        <v>202176</v>
      </c>
      <c r="BS98" s="63">
        <v>45490</v>
      </c>
      <c r="BT98" s="63">
        <v>5054</v>
      </c>
      <c r="BU98" s="63">
        <v>252720</v>
      </c>
      <c r="BV98" s="63">
        <v>422065</v>
      </c>
      <c r="BW98" s="63">
        <v>94965</v>
      </c>
      <c r="BX98" s="63">
        <v>10552</v>
      </c>
      <c r="BY98" s="63">
        <v>527582</v>
      </c>
      <c r="BZ98" s="63">
        <v>0</v>
      </c>
      <c r="CA98" s="63">
        <v>0</v>
      </c>
      <c r="CB98" s="63">
        <v>0</v>
      </c>
      <c r="CC98" s="63">
        <v>0</v>
      </c>
      <c r="CD98" s="63">
        <v>0</v>
      </c>
      <c r="CE98" s="63">
        <v>0</v>
      </c>
      <c r="CF98" s="63">
        <v>0</v>
      </c>
      <c r="CG98" s="63">
        <v>0</v>
      </c>
      <c r="CH98" s="63">
        <v>19651</v>
      </c>
      <c r="CI98" s="63">
        <v>4421</v>
      </c>
      <c r="CJ98" s="63">
        <v>491</v>
      </c>
      <c r="CK98" s="63">
        <v>24563</v>
      </c>
      <c r="CL98" s="63">
        <v>4033</v>
      </c>
      <c r="CM98" s="63">
        <v>907</v>
      </c>
      <c r="CN98" s="63">
        <v>101</v>
      </c>
      <c r="CO98" s="63">
        <v>5041</v>
      </c>
      <c r="CP98" s="63">
        <v>647925</v>
      </c>
      <c r="CQ98" s="63">
        <v>145783</v>
      </c>
      <c r="CR98" s="63">
        <v>16198</v>
      </c>
      <c r="CS98" s="63">
        <v>809906</v>
      </c>
      <c r="CU98" s="141" t="s">
        <v>63</v>
      </c>
      <c r="CV98" s="157" t="s">
        <v>977</v>
      </c>
      <c r="CW98" s="156" t="s">
        <v>959</v>
      </c>
      <c r="CX98" s="345"/>
      <c r="CY98" s="345"/>
      <c r="CZ98" s="345"/>
    </row>
    <row r="99" spans="1:104" ht="12.75" x14ac:dyDescent="0.2">
      <c r="A99" s="90">
        <v>92</v>
      </c>
      <c r="B99" s="129" t="s">
        <v>66</v>
      </c>
      <c r="C99" s="130" t="s">
        <v>742</v>
      </c>
      <c r="D99" s="131" t="s">
        <v>743</v>
      </c>
      <c r="E99" s="132" t="s">
        <v>65</v>
      </c>
      <c r="F99" s="63">
        <v>59765694</v>
      </c>
      <c r="G99" s="63">
        <v>0</v>
      </c>
      <c r="H99" s="63">
        <v>0</v>
      </c>
      <c r="I99" s="63">
        <v>150579</v>
      </c>
      <c r="J99" s="63">
        <v>0</v>
      </c>
      <c r="K99" s="63">
        <v>150579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59615115</v>
      </c>
      <c r="R99" s="474">
        <v>0.5</v>
      </c>
      <c r="S99" s="474">
        <v>0.4</v>
      </c>
      <c r="T99" s="474">
        <v>0.09</v>
      </c>
      <c r="U99" s="474">
        <v>0.01</v>
      </c>
      <c r="V99" s="474">
        <v>1</v>
      </c>
      <c r="W99" s="63">
        <v>29807558</v>
      </c>
      <c r="X99" s="63">
        <v>23846046</v>
      </c>
      <c r="Y99" s="63">
        <v>5365360</v>
      </c>
      <c r="Z99" s="63">
        <v>596151</v>
      </c>
      <c r="AA99" s="63">
        <v>59615115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63">
        <v>0</v>
      </c>
      <c r="AH99" s="63">
        <v>0</v>
      </c>
      <c r="AI99" s="63">
        <v>0</v>
      </c>
      <c r="AJ99" s="63">
        <v>0</v>
      </c>
      <c r="AK99" s="63">
        <v>0</v>
      </c>
      <c r="AL99" s="63">
        <v>29807558</v>
      </c>
      <c r="AM99" s="63">
        <v>23846046</v>
      </c>
      <c r="AN99" s="63">
        <v>5365360</v>
      </c>
      <c r="AO99" s="63">
        <v>596151</v>
      </c>
      <c r="AP99" s="63">
        <v>59615115</v>
      </c>
      <c r="AQ99" s="63">
        <v>150579</v>
      </c>
      <c r="AR99" s="63">
        <v>150579</v>
      </c>
      <c r="AS99" s="63">
        <v>0</v>
      </c>
      <c r="AT99" s="63">
        <v>0</v>
      </c>
      <c r="AU99" s="63">
        <v>0</v>
      </c>
      <c r="AV99" s="63">
        <v>0</v>
      </c>
      <c r="AW99" s="63">
        <v>0</v>
      </c>
      <c r="AX99" s="63">
        <v>0</v>
      </c>
      <c r="AY99" s="63">
        <v>0</v>
      </c>
      <c r="AZ99" s="63">
        <v>0</v>
      </c>
      <c r="BA99" s="63">
        <v>0</v>
      </c>
      <c r="BB99" s="63">
        <v>0</v>
      </c>
      <c r="BC99" s="63">
        <v>0</v>
      </c>
      <c r="BD99" s="63">
        <v>0</v>
      </c>
      <c r="BE99" s="63">
        <v>0</v>
      </c>
      <c r="BF99" s="63">
        <v>0</v>
      </c>
      <c r="BG99" s="63">
        <v>0</v>
      </c>
      <c r="BH99" s="63">
        <v>570357</v>
      </c>
      <c r="BI99" s="63">
        <v>456285</v>
      </c>
      <c r="BJ99" s="63">
        <v>102664</v>
      </c>
      <c r="BK99" s="63">
        <v>11407</v>
      </c>
      <c r="BL99" s="63">
        <v>1140713</v>
      </c>
      <c r="BM99" s="63">
        <v>30377915</v>
      </c>
      <c r="BN99" s="63">
        <v>24452910</v>
      </c>
      <c r="BO99" s="63">
        <v>5468024</v>
      </c>
      <c r="BP99" s="63">
        <v>607558</v>
      </c>
      <c r="BQ99" s="63">
        <v>60906407</v>
      </c>
      <c r="BR99" s="63">
        <v>344881</v>
      </c>
      <c r="BS99" s="63">
        <v>77598</v>
      </c>
      <c r="BT99" s="63">
        <v>8622</v>
      </c>
      <c r="BU99" s="63">
        <v>431101</v>
      </c>
      <c r="BV99" s="63">
        <v>352130</v>
      </c>
      <c r="BW99" s="63">
        <v>79229</v>
      </c>
      <c r="BX99" s="63">
        <v>8803</v>
      </c>
      <c r="BY99" s="63">
        <v>440162</v>
      </c>
      <c r="BZ99" s="63">
        <v>0</v>
      </c>
      <c r="CA99" s="63">
        <v>0</v>
      </c>
      <c r="CB99" s="63">
        <v>0</v>
      </c>
      <c r="CC99" s="63">
        <v>0</v>
      </c>
      <c r="CD99" s="63">
        <v>0</v>
      </c>
      <c r="CE99" s="63">
        <v>0</v>
      </c>
      <c r="CF99" s="63">
        <v>0</v>
      </c>
      <c r="CG99" s="63">
        <v>0</v>
      </c>
      <c r="CH99" s="63">
        <v>1596</v>
      </c>
      <c r="CI99" s="63">
        <v>359</v>
      </c>
      <c r="CJ99" s="63">
        <v>40</v>
      </c>
      <c r="CK99" s="63">
        <v>1995</v>
      </c>
      <c r="CL99" s="63">
        <v>325</v>
      </c>
      <c r="CM99" s="63">
        <v>73</v>
      </c>
      <c r="CN99" s="63">
        <v>8</v>
      </c>
      <c r="CO99" s="63">
        <v>406</v>
      </c>
      <c r="CP99" s="63">
        <v>698932</v>
      </c>
      <c r="CQ99" s="63">
        <v>157259</v>
      </c>
      <c r="CR99" s="63">
        <v>17473</v>
      </c>
      <c r="CS99" s="63">
        <v>873664</v>
      </c>
      <c r="CU99" s="141" t="s">
        <v>65</v>
      </c>
      <c r="CV99" s="157" t="s">
        <v>945</v>
      </c>
      <c r="CW99" s="156" t="s">
        <v>946</v>
      </c>
      <c r="CX99" s="345"/>
      <c r="CY99" s="345"/>
      <c r="CZ99" s="345"/>
    </row>
    <row r="100" spans="1:104" ht="12.75" x14ac:dyDescent="0.2">
      <c r="A100" s="90">
        <v>93</v>
      </c>
      <c r="B100" s="129" t="s">
        <v>68</v>
      </c>
      <c r="C100" s="130" t="s">
        <v>742</v>
      </c>
      <c r="D100" s="131" t="s">
        <v>744</v>
      </c>
      <c r="E100" s="132" t="s">
        <v>67</v>
      </c>
      <c r="F100" s="63">
        <v>21599446</v>
      </c>
      <c r="G100" s="63">
        <v>0</v>
      </c>
      <c r="H100" s="63">
        <v>0</v>
      </c>
      <c r="I100" s="63">
        <v>127788</v>
      </c>
      <c r="J100" s="63">
        <v>0</v>
      </c>
      <c r="K100" s="63">
        <v>127788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21471658</v>
      </c>
      <c r="R100" s="474">
        <v>0.5</v>
      </c>
      <c r="S100" s="474">
        <v>0.4</v>
      </c>
      <c r="T100" s="474">
        <v>0.1</v>
      </c>
      <c r="U100" s="474">
        <v>0</v>
      </c>
      <c r="V100" s="474">
        <v>1</v>
      </c>
      <c r="W100" s="63">
        <v>10735829</v>
      </c>
      <c r="X100" s="63">
        <v>8588663</v>
      </c>
      <c r="Y100" s="63">
        <v>2147166</v>
      </c>
      <c r="Z100" s="63">
        <v>0</v>
      </c>
      <c r="AA100" s="63">
        <v>21471658</v>
      </c>
      <c r="AB100" s="63">
        <v>0</v>
      </c>
      <c r="AC100" s="63">
        <v>0</v>
      </c>
      <c r="AD100" s="63">
        <v>0</v>
      </c>
      <c r="AE100" s="63">
        <v>0</v>
      </c>
      <c r="AF100" s="63">
        <v>0</v>
      </c>
      <c r="AG100" s="63">
        <v>0</v>
      </c>
      <c r="AH100" s="63">
        <v>0</v>
      </c>
      <c r="AI100" s="63">
        <v>0</v>
      </c>
      <c r="AJ100" s="63">
        <v>0</v>
      </c>
      <c r="AK100" s="63">
        <v>0</v>
      </c>
      <c r="AL100" s="63">
        <v>10735829</v>
      </c>
      <c r="AM100" s="63">
        <v>8588663</v>
      </c>
      <c r="AN100" s="63">
        <v>2147166</v>
      </c>
      <c r="AO100" s="63">
        <v>0</v>
      </c>
      <c r="AP100" s="63">
        <v>21471658</v>
      </c>
      <c r="AQ100" s="63">
        <v>127788</v>
      </c>
      <c r="AR100" s="63">
        <v>127788</v>
      </c>
      <c r="AS100" s="63">
        <v>0</v>
      </c>
      <c r="AT100" s="63">
        <v>0</v>
      </c>
      <c r="AU100" s="63">
        <v>0</v>
      </c>
      <c r="AV100" s="63">
        <v>0</v>
      </c>
      <c r="AW100" s="63">
        <v>0</v>
      </c>
      <c r="AX100" s="63">
        <v>0</v>
      </c>
      <c r="AY100" s="63">
        <v>0</v>
      </c>
      <c r="AZ100" s="63">
        <v>0</v>
      </c>
      <c r="BA100" s="63">
        <v>0</v>
      </c>
      <c r="BB100" s="63">
        <v>0</v>
      </c>
      <c r="BC100" s="63">
        <v>0</v>
      </c>
      <c r="BD100" s="63">
        <v>0</v>
      </c>
      <c r="BE100" s="63">
        <v>0</v>
      </c>
      <c r="BF100" s="63">
        <v>0</v>
      </c>
      <c r="BG100" s="63">
        <v>0</v>
      </c>
      <c r="BH100" s="63">
        <v>-1027424</v>
      </c>
      <c r="BI100" s="63">
        <v>-821939</v>
      </c>
      <c r="BJ100" s="63">
        <v>-205485</v>
      </c>
      <c r="BK100" s="63">
        <v>0</v>
      </c>
      <c r="BL100" s="63">
        <v>-2054848</v>
      </c>
      <c r="BM100" s="63">
        <v>9708405</v>
      </c>
      <c r="BN100" s="63">
        <v>7894512</v>
      </c>
      <c r="BO100" s="63">
        <v>1941681</v>
      </c>
      <c r="BP100" s="63">
        <v>0</v>
      </c>
      <c r="BQ100" s="63">
        <v>19544598</v>
      </c>
      <c r="BR100" s="63">
        <v>124216</v>
      </c>
      <c r="BS100" s="63">
        <v>31054</v>
      </c>
      <c r="BT100" s="63">
        <v>0</v>
      </c>
      <c r="BU100" s="63">
        <v>155270</v>
      </c>
      <c r="BV100" s="63">
        <v>450419</v>
      </c>
      <c r="BW100" s="63">
        <v>112605</v>
      </c>
      <c r="BX100" s="63">
        <v>0</v>
      </c>
      <c r="BY100" s="63">
        <v>563024</v>
      </c>
      <c r="BZ100" s="63">
        <v>0</v>
      </c>
      <c r="CA100" s="63">
        <v>0</v>
      </c>
      <c r="CB100" s="63">
        <v>0</v>
      </c>
      <c r="CC100" s="63">
        <v>0</v>
      </c>
      <c r="CD100" s="63">
        <v>0</v>
      </c>
      <c r="CE100" s="63">
        <v>0</v>
      </c>
      <c r="CF100" s="63">
        <v>0</v>
      </c>
      <c r="CG100" s="63">
        <v>0</v>
      </c>
      <c r="CH100" s="63">
        <v>2920</v>
      </c>
      <c r="CI100" s="63">
        <v>730</v>
      </c>
      <c r="CJ100" s="63">
        <v>0</v>
      </c>
      <c r="CK100" s="63">
        <v>3650</v>
      </c>
      <c r="CL100" s="63">
        <v>1443</v>
      </c>
      <c r="CM100" s="63">
        <v>361</v>
      </c>
      <c r="CN100" s="63">
        <v>0</v>
      </c>
      <c r="CO100" s="63">
        <v>1804</v>
      </c>
      <c r="CP100" s="63">
        <v>578998</v>
      </c>
      <c r="CQ100" s="63">
        <v>144750</v>
      </c>
      <c r="CR100" s="63">
        <v>0</v>
      </c>
      <c r="CS100" s="63">
        <v>723748</v>
      </c>
      <c r="CU100" s="141" t="s">
        <v>67</v>
      </c>
      <c r="CV100" s="157" t="s">
        <v>929</v>
      </c>
      <c r="CW100" s="156" t="s">
        <v>928</v>
      </c>
      <c r="CX100" s="345"/>
      <c r="CY100" s="345"/>
      <c r="CZ100" s="345"/>
    </row>
    <row r="101" spans="1:104" ht="12.75" x14ac:dyDescent="0.2">
      <c r="A101" s="90">
        <v>94</v>
      </c>
      <c r="B101" s="129" t="s">
        <v>70</v>
      </c>
      <c r="C101" s="130" t="s">
        <v>742</v>
      </c>
      <c r="D101" s="131" t="s">
        <v>743</v>
      </c>
      <c r="E101" s="132" t="s">
        <v>69</v>
      </c>
      <c r="F101" s="63">
        <v>56670703</v>
      </c>
      <c r="G101" s="63">
        <v>0</v>
      </c>
      <c r="H101" s="63">
        <v>0</v>
      </c>
      <c r="I101" s="63">
        <v>178973</v>
      </c>
      <c r="J101" s="63">
        <v>0</v>
      </c>
      <c r="K101" s="63">
        <v>178973</v>
      </c>
      <c r="L101" s="63">
        <v>0</v>
      </c>
      <c r="M101" s="63">
        <v>0</v>
      </c>
      <c r="N101" s="63">
        <v>0</v>
      </c>
      <c r="O101" s="63">
        <v>0</v>
      </c>
      <c r="P101" s="63">
        <v>0</v>
      </c>
      <c r="Q101" s="63">
        <v>56491730</v>
      </c>
      <c r="R101" s="474">
        <v>0.5</v>
      </c>
      <c r="S101" s="474">
        <v>0.4</v>
      </c>
      <c r="T101" s="474">
        <v>0.1</v>
      </c>
      <c r="U101" s="474">
        <v>0</v>
      </c>
      <c r="V101" s="474">
        <v>1</v>
      </c>
      <c r="W101" s="63">
        <v>28245865</v>
      </c>
      <c r="X101" s="63">
        <v>22596692</v>
      </c>
      <c r="Y101" s="63">
        <v>5649173</v>
      </c>
      <c r="Z101" s="63">
        <v>0</v>
      </c>
      <c r="AA101" s="63">
        <v>56491730</v>
      </c>
      <c r="AB101" s="63">
        <v>0</v>
      </c>
      <c r="AC101" s="63">
        <v>0</v>
      </c>
      <c r="AD101" s="63">
        <v>0</v>
      </c>
      <c r="AE101" s="63">
        <v>0</v>
      </c>
      <c r="AF101" s="63">
        <v>0</v>
      </c>
      <c r="AG101" s="63">
        <v>0</v>
      </c>
      <c r="AH101" s="63">
        <v>0</v>
      </c>
      <c r="AI101" s="63">
        <v>0</v>
      </c>
      <c r="AJ101" s="63">
        <v>0</v>
      </c>
      <c r="AK101" s="63">
        <v>0</v>
      </c>
      <c r="AL101" s="63">
        <v>28245865</v>
      </c>
      <c r="AM101" s="63">
        <v>22596692</v>
      </c>
      <c r="AN101" s="63">
        <v>5649173</v>
      </c>
      <c r="AO101" s="63">
        <v>0</v>
      </c>
      <c r="AP101" s="63">
        <v>56491730</v>
      </c>
      <c r="AQ101" s="63">
        <v>178973</v>
      </c>
      <c r="AR101" s="63">
        <v>178973</v>
      </c>
      <c r="AS101" s="63">
        <v>0</v>
      </c>
      <c r="AT101" s="63">
        <v>0</v>
      </c>
      <c r="AU101" s="63">
        <v>0</v>
      </c>
      <c r="AV101" s="63">
        <v>0</v>
      </c>
      <c r="AW101" s="63">
        <v>0</v>
      </c>
      <c r="AX101" s="63">
        <v>0</v>
      </c>
      <c r="AY101" s="63">
        <v>0</v>
      </c>
      <c r="AZ101" s="63">
        <v>0</v>
      </c>
      <c r="BA101" s="63">
        <v>0</v>
      </c>
      <c r="BB101" s="63">
        <v>0</v>
      </c>
      <c r="BC101" s="63">
        <v>0</v>
      </c>
      <c r="BD101" s="63">
        <v>0</v>
      </c>
      <c r="BE101" s="63">
        <v>0</v>
      </c>
      <c r="BF101" s="63">
        <v>0</v>
      </c>
      <c r="BG101" s="63">
        <v>0</v>
      </c>
      <c r="BH101" s="63">
        <v>-561713</v>
      </c>
      <c r="BI101" s="63">
        <v>-449370</v>
      </c>
      <c r="BJ101" s="63">
        <v>-112343</v>
      </c>
      <c r="BK101" s="63">
        <v>0</v>
      </c>
      <c r="BL101" s="63">
        <v>-1123426</v>
      </c>
      <c r="BM101" s="63">
        <v>27684152</v>
      </c>
      <c r="BN101" s="63">
        <v>22326295</v>
      </c>
      <c r="BO101" s="63">
        <v>5536830</v>
      </c>
      <c r="BP101" s="63">
        <v>0</v>
      </c>
      <c r="BQ101" s="63">
        <v>55547277</v>
      </c>
      <c r="BR101" s="63">
        <v>326812</v>
      </c>
      <c r="BS101" s="63">
        <v>81703</v>
      </c>
      <c r="BT101" s="63">
        <v>0</v>
      </c>
      <c r="BU101" s="63">
        <v>408515</v>
      </c>
      <c r="BV101" s="63">
        <v>384765</v>
      </c>
      <c r="BW101" s="63">
        <v>96191</v>
      </c>
      <c r="BX101" s="63">
        <v>0</v>
      </c>
      <c r="BY101" s="63">
        <v>480956</v>
      </c>
      <c r="BZ101" s="63">
        <v>0</v>
      </c>
      <c r="CA101" s="63">
        <v>0</v>
      </c>
      <c r="CB101" s="63">
        <v>0</v>
      </c>
      <c r="CC101" s="63">
        <v>0</v>
      </c>
      <c r="CD101" s="63">
        <v>0</v>
      </c>
      <c r="CE101" s="63">
        <v>0</v>
      </c>
      <c r="CF101" s="63">
        <v>0</v>
      </c>
      <c r="CG101" s="63">
        <v>0</v>
      </c>
      <c r="CH101" s="63">
        <v>3187</v>
      </c>
      <c r="CI101" s="63">
        <v>797</v>
      </c>
      <c r="CJ101" s="63">
        <v>0</v>
      </c>
      <c r="CK101" s="63">
        <v>3984</v>
      </c>
      <c r="CL101" s="63">
        <v>756</v>
      </c>
      <c r="CM101" s="63">
        <v>189</v>
      </c>
      <c r="CN101" s="63">
        <v>0</v>
      </c>
      <c r="CO101" s="63">
        <v>945</v>
      </c>
      <c r="CP101" s="63">
        <v>715520</v>
      </c>
      <c r="CQ101" s="63">
        <v>178880</v>
      </c>
      <c r="CR101" s="63">
        <v>0</v>
      </c>
      <c r="CS101" s="63">
        <v>894400</v>
      </c>
      <c r="CU101" s="141" t="s">
        <v>69</v>
      </c>
      <c r="CV101" s="157" t="s">
        <v>978</v>
      </c>
      <c r="CW101" s="156" t="s">
        <v>928</v>
      </c>
      <c r="CX101" s="345"/>
      <c r="CY101" s="345"/>
      <c r="CZ101" s="345"/>
    </row>
    <row r="102" spans="1:104" ht="12.75" x14ac:dyDescent="0.2">
      <c r="A102" s="90">
        <v>95</v>
      </c>
      <c r="B102" s="129" t="s">
        <v>72</v>
      </c>
      <c r="C102" s="130" t="s">
        <v>747</v>
      </c>
      <c r="D102" s="131" t="s">
        <v>748</v>
      </c>
      <c r="E102" s="132" t="s">
        <v>71</v>
      </c>
      <c r="F102" s="63">
        <v>110588280</v>
      </c>
      <c r="G102" s="63">
        <v>0</v>
      </c>
      <c r="H102" s="63">
        <v>0</v>
      </c>
      <c r="I102" s="63">
        <v>343642</v>
      </c>
      <c r="J102" s="63">
        <v>0</v>
      </c>
      <c r="K102" s="63">
        <v>343642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110244638</v>
      </c>
      <c r="R102" s="474">
        <v>0.5</v>
      </c>
      <c r="S102" s="474">
        <v>0.3</v>
      </c>
      <c r="T102" s="474">
        <v>0.2</v>
      </c>
      <c r="U102" s="474">
        <v>0</v>
      </c>
      <c r="V102" s="474">
        <v>1</v>
      </c>
      <c r="W102" s="63">
        <v>55122319</v>
      </c>
      <c r="X102" s="63">
        <v>33073391</v>
      </c>
      <c r="Y102" s="63">
        <v>22048928</v>
      </c>
      <c r="Z102" s="63">
        <v>0</v>
      </c>
      <c r="AA102" s="63">
        <v>110244638</v>
      </c>
      <c r="AB102" s="63">
        <v>0</v>
      </c>
      <c r="AC102" s="63">
        <v>0</v>
      </c>
      <c r="AD102" s="63">
        <v>0</v>
      </c>
      <c r="AE102" s="63">
        <v>0</v>
      </c>
      <c r="AF102" s="63">
        <v>0</v>
      </c>
      <c r="AG102" s="63">
        <v>0</v>
      </c>
      <c r="AH102" s="63">
        <v>0</v>
      </c>
      <c r="AI102" s="63">
        <v>0</v>
      </c>
      <c r="AJ102" s="63">
        <v>0</v>
      </c>
      <c r="AK102" s="63">
        <v>0</v>
      </c>
      <c r="AL102" s="63">
        <v>55122319</v>
      </c>
      <c r="AM102" s="63">
        <v>33073391</v>
      </c>
      <c r="AN102" s="63">
        <v>22048928</v>
      </c>
      <c r="AO102" s="63">
        <v>0</v>
      </c>
      <c r="AP102" s="63">
        <v>110244638</v>
      </c>
      <c r="AQ102" s="63">
        <v>343642</v>
      </c>
      <c r="AR102" s="63">
        <v>343642</v>
      </c>
      <c r="AS102" s="63">
        <v>0</v>
      </c>
      <c r="AT102" s="63">
        <v>0</v>
      </c>
      <c r="AU102" s="63">
        <v>0</v>
      </c>
      <c r="AV102" s="63">
        <v>0</v>
      </c>
      <c r="AW102" s="63">
        <v>0</v>
      </c>
      <c r="AX102" s="63">
        <v>0</v>
      </c>
      <c r="AY102" s="63">
        <v>0</v>
      </c>
      <c r="AZ102" s="63">
        <v>0</v>
      </c>
      <c r="BA102" s="63">
        <v>0</v>
      </c>
      <c r="BB102" s="63">
        <v>0</v>
      </c>
      <c r="BC102" s="63">
        <v>0</v>
      </c>
      <c r="BD102" s="63">
        <v>0</v>
      </c>
      <c r="BE102" s="63">
        <v>0</v>
      </c>
      <c r="BF102" s="63">
        <v>0</v>
      </c>
      <c r="BG102" s="63">
        <v>0</v>
      </c>
      <c r="BH102" s="63">
        <v>-2252826</v>
      </c>
      <c r="BI102" s="63">
        <v>-1351695</v>
      </c>
      <c r="BJ102" s="63">
        <v>-901130</v>
      </c>
      <c r="BK102" s="63">
        <v>0</v>
      </c>
      <c r="BL102" s="63">
        <v>-4505651</v>
      </c>
      <c r="BM102" s="63">
        <v>52869493</v>
      </c>
      <c r="BN102" s="63">
        <v>32065338</v>
      </c>
      <c r="BO102" s="63">
        <v>21147798</v>
      </c>
      <c r="BP102" s="63">
        <v>0</v>
      </c>
      <c r="BQ102" s="63">
        <v>106082629</v>
      </c>
      <c r="BR102" s="63">
        <v>478334</v>
      </c>
      <c r="BS102" s="63">
        <v>318889</v>
      </c>
      <c r="BT102" s="63">
        <v>0</v>
      </c>
      <c r="BU102" s="63">
        <v>797223</v>
      </c>
      <c r="BV102" s="63">
        <v>611087</v>
      </c>
      <c r="BW102" s="63">
        <v>407392</v>
      </c>
      <c r="BX102" s="63">
        <v>0</v>
      </c>
      <c r="BY102" s="63">
        <v>1018479</v>
      </c>
      <c r="BZ102" s="63">
        <v>0</v>
      </c>
      <c r="CA102" s="63">
        <v>0</v>
      </c>
      <c r="CB102" s="63">
        <v>0</v>
      </c>
      <c r="CC102" s="63">
        <v>0</v>
      </c>
      <c r="CD102" s="63">
        <v>0</v>
      </c>
      <c r="CE102" s="63">
        <v>0</v>
      </c>
      <c r="CF102" s="63">
        <v>0</v>
      </c>
      <c r="CG102" s="63">
        <v>0</v>
      </c>
      <c r="CH102" s="63">
        <v>15163</v>
      </c>
      <c r="CI102" s="63">
        <v>10109</v>
      </c>
      <c r="CJ102" s="63">
        <v>0</v>
      </c>
      <c r="CK102" s="63">
        <v>25272</v>
      </c>
      <c r="CL102" s="63">
        <v>2351</v>
      </c>
      <c r="CM102" s="63">
        <v>1567</v>
      </c>
      <c r="CN102" s="63">
        <v>0</v>
      </c>
      <c r="CO102" s="63">
        <v>3918</v>
      </c>
      <c r="CP102" s="63">
        <v>1106935</v>
      </c>
      <c r="CQ102" s="63">
        <v>737957</v>
      </c>
      <c r="CR102" s="63">
        <v>0</v>
      </c>
      <c r="CS102" s="63">
        <v>1844892</v>
      </c>
      <c r="CU102" s="141" t="s">
        <v>71</v>
      </c>
      <c r="CV102" s="157" t="s">
        <v>939</v>
      </c>
      <c r="CW102" s="157" t="s">
        <v>940</v>
      </c>
      <c r="CX102" s="345"/>
      <c r="CY102" s="345"/>
      <c r="CZ102" s="345"/>
    </row>
    <row r="103" spans="1:104" ht="12.75" x14ac:dyDescent="0.2">
      <c r="A103" s="90">
        <v>96</v>
      </c>
      <c r="B103" s="129" t="s">
        <v>74</v>
      </c>
      <c r="C103" s="130" t="s">
        <v>742</v>
      </c>
      <c r="D103" s="131" t="s">
        <v>746</v>
      </c>
      <c r="E103" s="132" t="s">
        <v>73</v>
      </c>
      <c r="F103" s="63">
        <v>35907846</v>
      </c>
      <c r="G103" s="63">
        <v>0</v>
      </c>
      <c r="H103" s="63">
        <v>0</v>
      </c>
      <c r="I103" s="63">
        <v>172128</v>
      </c>
      <c r="J103" s="63">
        <v>0</v>
      </c>
      <c r="K103" s="63">
        <v>172128</v>
      </c>
      <c r="L103" s="63">
        <v>0</v>
      </c>
      <c r="M103" s="63">
        <v>0</v>
      </c>
      <c r="N103" s="63">
        <v>0</v>
      </c>
      <c r="O103" s="63">
        <v>0</v>
      </c>
      <c r="P103" s="63">
        <v>0</v>
      </c>
      <c r="Q103" s="63">
        <v>35735718</v>
      </c>
      <c r="R103" s="474">
        <v>0.5</v>
      </c>
      <c r="S103" s="474">
        <v>0.4</v>
      </c>
      <c r="T103" s="474">
        <v>0.09</v>
      </c>
      <c r="U103" s="474">
        <v>0.01</v>
      </c>
      <c r="V103" s="474">
        <v>1</v>
      </c>
      <c r="W103" s="63">
        <v>17867859</v>
      </c>
      <c r="X103" s="63">
        <v>14294287</v>
      </c>
      <c r="Y103" s="63">
        <v>3216215</v>
      </c>
      <c r="Z103" s="63">
        <v>357357</v>
      </c>
      <c r="AA103" s="63">
        <v>35735718</v>
      </c>
      <c r="AB103" s="63">
        <v>0</v>
      </c>
      <c r="AC103" s="63">
        <v>0</v>
      </c>
      <c r="AD103" s="63">
        <v>0</v>
      </c>
      <c r="AE103" s="63">
        <v>0</v>
      </c>
      <c r="AF103" s="63">
        <v>0</v>
      </c>
      <c r="AG103" s="63">
        <v>0</v>
      </c>
      <c r="AH103" s="63">
        <v>0</v>
      </c>
      <c r="AI103" s="63">
        <v>0</v>
      </c>
      <c r="AJ103" s="63">
        <v>0</v>
      </c>
      <c r="AK103" s="63">
        <v>0</v>
      </c>
      <c r="AL103" s="63">
        <v>17867859</v>
      </c>
      <c r="AM103" s="63">
        <v>14294287</v>
      </c>
      <c r="AN103" s="63">
        <v>3216215</v>
      </c>
      <c r="AO103" s="63">
        <v>357357</v>
      </c>
      <c r="AP103" s="63">
        <v>35735718</v>
      </c>
      <c r="AQ103" s="63">
        <v>172128</v>
      </c>
      <c r="AR103" s="63">
        <v>172128</v>
      </c>
      <c r="AS103" s="63">
        <v>0</v>
      </c>
      <c r="AT103" s="63">
        <v>0</v>
      </c>
      <c r="AU103" s="63">
        <v>0</v>
      </c>
      <c r="AV103" s="63">
        <v>0</v>
      </c>
      <c r="AW103" s="63">
        <v>0</v>
      </c>
      <c r="AX103" s="63">
        <v>0</v>
      </c>
      <c r="AY103" s="63">
        <v>0</v>
      </c>
      <c r="AZ103" s="63">
        <v>0</v>
      </c>
      <c r="BA103" s="63">
        <v>0</v>
      </c>
      <c r="BB103" s="63">
        <v>0</v>
      </c>
      <c r="BC103" s="63">
        <v>0</v>
      </c>
      <c r="BD103" s="63">
        <v>0</v>
      </c>
      <c r="BE103" s="63">
        <v>0</v>
      </c>
      <c r="BF103" s="63">
        <v>0</v>
      </c>
      <c r="BG103" s="63">
        <v>0</v>
      </c>
      <c r="BH103" s="63">
        <v>-680430</v>
      </c>
      <c r="BI103" s="63">
        <v>-544345</v>
      </c>
      <c r="BJ103" s="63">
        <v>-122478</v>
      </c>
      <c r="BK103" s="63">
        <v>-13609</v>
      </c>
      <c r="BL103" s="63">
        <v>-1360862</v>
      </c>
      <c r="BM103" s="63">
        <v>17187429</v>
      </c>
      <c r="BN103" s="63">
        <v>13922070</v>
      </c>
      <c r="BO103" s="63">
        <v>3093737</v>
      </c>
      <c r="BP103" s="63">
        <v>343748</v>
      </c>
      <c r="BQ103" s="63">
        <v>34546984</v>
      </c>
      <c r="BR103" s="63">
        <v>206736</v>
      </c>
      <c r="BS103" s="63">
        <v>46516</v>
      </c>
      <c r="BT103" s="63">
        <v>5168</v>
      </c>
      <c r="BU103" s="63">
        <v>258420</v>
      </c>
      <c r="BV103" s="63">
        <v>520146</v>
      </c>
      <c r="BW103" s="63">
        <v>117033</v>
      </c>
      <c r="BX103" s="63">
        <v>13004</v>
      </c>
      <c r="BY103" s="63">
        <v>650183</v>
      </c>
      <c r="BZ103" s="63">
        <v>2931</v>
      </c>
      <c r="CA103" s="63">
        <v>660</v>
      </c>
      <c r="CB103" s="63">
        <v>73</v>
      </c>
      <c r="CC103" s="63">
        <v>3664</v>
      </c>
      <c r="CD103" s="63">
        <v>5395</v>
      </c>
      <c r="CE103" s="63">
        <v>1214</v>
      </c>
      <c r="CF103" s="63">
        <v>135</v>
      </c>
      <c r="CG103" s="63">
        <v>6744</v>
      </c>
      <c r="CH103" s="63">
        <v>1236</v>
      </c>
      <c r="CI103" s="63">
        <v>278</v>
      </c>
      <c r="CJ103" s="63">
        <v>31</v>
      </c>
      <c r="CK103" s="63">
        <v>1545</v>
      </c>
      <c r="CL103" s="63">
        <v>15713</v>
      </c>
      <c r="CM103" s="63">
        <v>3535</v>
      </c>
      <c r="CN103" s="63">
        <v>393</v>
      </c>
      <c r="CO103" s="63">
        <v>19641</v>
      </c>
      <c r="CP103" s="63">
        <v>752157</v>
      </c>
      <c r="CQ103" s="63">
        <v>169236</v>
      </c>
      <c r="CR103" s="63">
        <v>18804</v>
      </c>
      <c r="CS103" s="63">
        <v>940197</v>
      </c>
      <c r="CU103" s="141" t="s">
        <v>73</v>
      </c>
      <c r="CV103" s="157" t="s">
        <v>943</v>
      </c>
      <c r="CW103" s="156" t="s">
        <v>944</v>
      </c>
      <c r="CX103" s="345"/>
      <c r="CY103" s="345"/>
      <c r="CZ103" s="345"/>
    </row>
    <row r="104" spans="1:104" ht="12.75" x14ac:dyDescent="0.2">
      <c r="A104" s="90">
        <v>97</v>
      </c>
      <c r="B104" s="129" t="s">
        <v>75</v>
      </c>
      <c r="C104" s="130" t="s">
        <v>742</v>
      </c>
      <c r="D104" s="131" t="s">
        <v>743</v>
      </c>
      <c r="E104" s="132" t="s">
        <v>756</v>
      </c>
      <c r="F104" s="63">
        <v>24110591</v>
      </c>
      <c r="G104" s="63">
        <v>0</v>
      </c>
      <c r="H104" s="63">
        <v>0</v>
      </c>
      <c r="I104" s="63">
        <v>85351</v>
      </c>
      <c r="J104" s="63">
        <v>0</v>
      </c>
      <c r="K104" s="63">
        <v>85351</v>
      </c>
      <c r="L104" s="63">
        <v>0</v>
      </c>
      <c r="M104" s="63">
        <v>0</v>
      </c>
      <c r="N104" s="63">
        <v>0</v>
      </c>
      <c r="O104" s="63">
        <v>0</v>
      </c>
      <c r="P104" s="63">
        <v>0</v>
      </c>
      <c r="Q104" s="63">
        <v>24025240</v>
      </c>
      <c r="R104" s="474">
        <v>0.5</v>
      </c>
      <c r="S104" s="474">
        <v>0.4</v>
      </c>
      <c r="T104" s="474">
        <v>0.1</v>
      </c>
      <c r="U104" s="474">
        <v>0</v>
      </c>
      <c r="V104" s="474">
        <v>1</v>
      </c>
      <c r="W104" s="63">
        <v>12012620</v>
      </c>
      <c r="X104" s="63">
        <v>9610096</v>
      </c>
      <c r="Y104" s="63">
        <v>2402524</v>
      </c>
      <c r="Z104" s="63">
        <v>0</v>
      </c>
      <c r="AA104" s="63">
        <v>24025240</v>
      </c>
      <c r="AB104" s="63">
        <v>0</v>
      </c>
      <c r="AC104" s="63">
        <v>0</v>
      </c>
      <c r="AD104" s="63">
        <v>0</v>
      </c>
      <c r="AE104" s="63">
        <v>0</v>
      </c>
      <c r="AF104" s="63">
        <v>0</v>
      </c>
      <c r="AG104" s="63">
        <v>0</v>
      </c>
      <c r="AH104" s="63">
        <v>0</v>
      </c>
      <c r="AI104" s="63">
        <v>0</v>
      </c>
      <c r="AJ104" s="63">
        <v>0</v>
      </c>
      <c r="AK104" s="63">
        <v>0</v>
      </c>
      <c r="AL104" s="63">
        <v>12012620</v>
      </c>
      <c r="AM104" s="63">
        <v>9610096</v>
      </c>
      <c r="AN104" s="63">
        <v>2402524</v>
      </c>
      <c r="AO104" s="63">
        <v>0</v>
      </c>
      <c r="AP104" s="63">
        <v>24025240</v>
      </c>
      <c r="AQ104" s="63">
        <v>85351</v>
      </c>
      <c r="AR104" s="63">
        <v>85351</v>
      </c>
      <c r="AS104" s="63">
        <v>0</v>
      </c>
      <c r="AT104" s="63">
        <v>0</v>
      </c>
      <c r="AU104" s="63">
        <v>0</v>
      </c>
      <c r="AV104" s="63">
        <v>0</v>
      </c>
      <c r="AW104" s="63">
        <v>0</v>
      </c>
      <c r="AX104" s="63">
        <v>0</v>
      </c>
      <c r="AY104" s="63">
        <v>0</v>
      </c>
      <c r="AZ104" s="63">
        <v>0</v>
      </c>
      <c r="BA104" s="63">
        <v>0</v>
      </c>
      <c r="BB104" s="63">
        <v>0</v>
      </c>
      <c r="BC104" s="63">
        <v>0</v>
      </c>
      <c r="BD104" s="63">
        <v>0</v>
      </c>
      <c r="BE104" s="63">
        <v>0</v>
      </c>
      <c r="BF104" s="63">
        <v>0</v>
      </c>
      <c r="BG104" s="63">
        <v>0</v>
      </c>
      <c r="BH104" s="63">
        <v>-151404</v>
      </c>
      <c r="BI104" s="63">
        <v>-121124</v>
      </c>
      <c r="BJ104" s="63">
        <v>-30281</v>
      </c>
      <c r="BK104" s="63">
        <v>0</v>
      </c>
      <c r="BL104" s="63">
        <v>-302809</v>
      </c>
      <c r="BM104" s="63">
        <v>11861216</v>
      </c>
      <c r="BN104" s="63">
        <v>9574323</v>
      </c>
      <c r="BO104" s="63">
        <v>2372243</v>
      </c>
      <c r="BP104" s="63">
        <v>0</v>
      </c>
      <c r="BQ104" s="63">
        <v>23807782</v>
      </c>
      <c r="BR104" s="63">
        <v>138989</v>
      </c>
      <c r="BS104" s="63">
        <v>34747</v>
      </c>
      <c r="BT104" s="63">
        <v>0</v>
      </c>
      <c r="BU104" s="63">
        <v>173736</v>
      </c>
      <c r="BV104" s="63">
        <v>218811</v>
      </c>
      <c r="BW104" s="63">
        <v>54703</v>
      </c>
      <c r="BX104" s="63">
        <v>0</v>
      </c>
      <c r="BY104" s="63">
        <v>273514</v>
      </c>
      <c r="BZ104" s="63">
        <v>0</v>
      </c>
      <c r="CA104" s="63">
        <v>0</v>
      </c>
      <c r="CB104" s="63">
        <v>0</v>
      </c>
      <c r="CC104" s="63">
        <v>0</v>
      </c>
      <c r="CD104" s="63">
        <v>0</v>
      </c>
      <c r="CE104" s="63">
        <v>0</v>
      </c>
      <c r="CF104" s="63">
        <v>0</v>
      </c>
      <c r="CG104" s="63">
        <v>0</v>
      </c>
      <c r="CH104" s="63">
        <v>4412</v>
      </c>
      <c r="CI104" s="63">
        <v>1103</v>
      </c>
      <c r="CJ104" s="63">
        <v>0</v>
      </c>
      <c r="CK104" s="63">
        <v>5515</v>
      </c>
      <c r="CL104" s="63">
        <v>0</v>
      </c>
      <c r="CM104" s="63">
        <v>0</v>
      </c>
      <c r="CN104" s="63">
        <v>0</v>
      </c>
      <c r="CO104" s="63">
        <v>0</v>
      </c>
      <c r="CP104" s="63">
        <v>362212</v>
      </c>
      <c r="CQ104" s="63">
        <v>90553</v>
      </c>
      <c r="CR104" s="63">
        <v>0</v>
      </c>
      <c r="CS104" s="63">
        <v>452765</v>
      </c>
      <c r="CU104" s="141" t="s">
        <v>756</v>
      </c>
      <c r="CV104" s="157" t="s">
        <v>978</v>
      </c>
      <c r="CW104" s="156" t="s">
        <v>928</v>
      </c>
      <c r="CX104" s="345"/>
      <c r="CY104" s="345"/>
      <c r="CZ104" s="345"/>
    </row>
    <row r="105" spans="1:104" ht="12.75" x14ac:dyDescent="0.2">
      <c r="A105" s="90">
        <v>98</v>
      </c>
      <c r="B105" s="129" t="s">
        <v>77</v>
      </c>
      <c r="C105" s="130" t="s">
        <v>742</v>
      </c>
      <c r="D105" s="131" t="s">
        <v>745</v>
      </c>
      <c r="E105" s="132" t="s">
        <v>76</v>
      </c>
      <c r="F105" s="63">
        <v>26500756</v>
      </c>
      <c r="G105" s="63">
        <v>0</v>
      </c>
      <c r="H105" s="63">
        <v>0</v>
      </c>
      <c r="I105" s="63">
        <v>136407</v>
      </c>
      <c r="J105" s="63">
        <v>0</v>
      </c>
      <c r="K105" s="63">
        <v>136407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63">
        <v>26364349</v>
      </c>
      <c r="R105" s="474">
        <v>0.5</v>
      </c>
      <c r="S105" s="474">
        <v>0.4</v>
      </c>
      <c r="T105" s="474">
        <v>0.09</v>
      </c>
      <c r="U105" s="474">
        <v>0.01</v>
      </c>
      <c r="V105" s="474">
        <v>1</v>
      </c>
      <c r="W105" s="63">
        <v>13182175</v>
      </c>
      <c r="X105" s="63">
        <v>10545740</v>
      </c>
      <c r="Y105" s="63">
        <v>2372791</v>
      </c>
      <c r="Z105" s="63">
        <v>263643</v>
      </c>
      <c r="AA105" s="63">
        <v>26364349</v>
      </c>
      <c r="AB105" s="63">
        <v>0</v>
      </c>
      <c r="AC105" s="63">
        <v>0</v>
      </c>
      <c r="AD105" s="63">
        <v>0</v>
      </c>
      <c r="AE105" s="63">
        <v>0</v>
      </c>
      <c r="AF105" s="63">
        <v>0</v>
      </c>
      <c r="AG105" s="63">
        <v>0</v>
      </c>
      <c r="AH105" s="63">
        <v>0</v>
      </c>
      <c r="AI105" s="63">
        <v>0</v>
      </c>
      <c r="AJ105" s="63">
        <v>0</v>
      </c>
      <c r="AK105" s="63">
        <v>0</v>
      </c>
      <c r="AL105" s="63">
        <v>13182175</v>
      </c>
      <c r="AM105" s="63">
        <v>10545740</v>
      </c>
      <c r="AN105" s="63">
        <v>2372791</v>
      </c>
      <c r="AO105" s="63">
        <v>263643</v>
      </c>
      <c r="AP105" s="63">
        <v>26364349</v>
      </c>
      <c r="AQ105" s="63">
        <v>136407</v>
      </c>
      <c r="AR105" s="63">
        <v>136407</v>
      </c>
      <c r="AS105" s="63">
        <v>0</v>
      </c>
      <c r="AT105" s="63">
        <v>0</v>
      </c>
      <c r="AU105" s="63">
        <v>0</v>
      </c>
      <c r="AV105" s="63">
        <v>0</v>
      </c>
      <c r="AW105" s="63">
        <v>0</v>
      </c>
      <c r="AX105" s="63">
        <v>0</v>
      </c>
      <c r="AY105" s="63">
        <v>0</v>
      </c>
      <c r="AZ105" s="63">
        <v>0</v>
      </c>
      <c r="BA105" s="63">
        <v>0</v>
      </c>
      <c r="BB105" s="63">
        <v>0</v>
      </c>
      <c r="BC105" s="63">
        <v>0</v>
      </c>
      <c r="BD105" s="63">
        <v>0</v>
      </c>
      <c r="BE105" s="63">
        <v>0</v>
      </c>
      <c r="BF105" s="63">
        <v>0</v>
      </c>
      <c r="BG105" s="63">
        <v>0</v>
      </c>
      <c r="BH105" s="63">
        <v>-91019</v>
      </c>
      <c r="BI105" s="63">
        <v>-72815</v>
      </c>
      <c r="BJ105" s="63">
        <v>-16383</v>
      </c>
      <c r="BK105" s="63">
        <v>-1820</v>
      </c>
      <c r="BL105" s="63">
        <v>-182037</v>
      </c>
      <c r="BM105" s="63">
        <v>13091156</v>
      </c>
      <c r="BN105" s="63">
        <v>10609332</v>
      </c>
      <c r="BO105" s="63">
        <v>2356408</v>
      </c>
      <c r="BP105" s="63">
        <v>261823</v>
      </c>
      <c r="BQ105" s="63">
        <v>26318719</v>
      </c>
      <c r="BR105" s="63">
        <v>152521</v>
      </c>
      <c r="BS105" s="63">
        <v>34317</v>
      </c>
      <c r="BT105" s="63">
        <v>3813</v>
      </c>
      <c r="BU105" s="63">
        <v>190651</v>
      </c>
      <c r="BV105" s="63">
        <v>520704</v>
      </c>
      <c r="BW105" s="63">
        <v>117158</v>
      </c>
      <c r="BX105" s="63">
        <v>13018</v>
      </c>
      <c r="BY105" s="63">
        <v>650880</v>
      </c>
      <c r="BZ105" s="63">
        <v>0</v>
      </c>
      <c r="CA105" s="63">
        <v>0</v>
      </c>
      <c r="CB105" s="63">
        <v>0</v>
      </c>
      <c r="CC105" s="63">
        <v>0</v>
      </c>
      <c r="CD105" s="63">
        <v>0</v>
      </c>
      <c r="CE105" s="63">
        <v>0</v>
      </c>
      <c r="CF105" s="63">
        <v>0</v>
      </c>
      <c r="CG105" s="63">
        <v>0</v>
      </c>
      <c r="CH105" s="63">
        <v>0</v>
      </c>
      <c r="CI105" s="63">
        <v>0</v>
      </c>
      <c r="CJ105" s="63">
        <v>0</v>
      </c>
      <c r="CK105" s="63">
        <v>0</v>
      </c>
      <c r="CL105" s="63">
        <v>0</v>
      </c>
      <c r="CM105" s="63">
        <v>0</v>
      </c>
      <c r="CN105" s="63">
        <v>0</v>
      </c>
      <c r="CO105" s="63">
        <v>0</v>
      </c>
      <c r="CP105" s="63">
        <v>673225</v>
      </c>
      <c r="CQ105" s="63">
        <v>151475</v>
      </c>
      <c r="CR105" s="63">
        <v>16831</v>
      </c>
      <c r="CS105" s="63">
        <v>841531</v>
      </c>
      <c r="CU105" s="141" t="s">
        <v>76</v>
      </c>
      <c r="CV105" s="157" t="s">
        <v>930</v>
      </c>
      <c r="CW105" s="156" t="s">
        <v>931</v>
      </c>
      <c r="CX105" s="345"/>
      <c r="CY105" s="345"/>
      <c r="CZ105" s="345"/>
    </row>
    <row r="106" spans="1:104" ht="12.75" x14ac:dyDescent="0.2">
      <c r="A106" s="90">
        <v>99</v>
      </c>
      <c r="B106" s="129" t="s">
        <v>79</v>
      </c>
      <c r="C106" s="130" t="s">
        <v>742</v>
      </c>
      <c r="D106" s="131" t="s">
        <v>751</v>
      </c>
      <c r="E106" s="132" t="s">
        <v>78</v>
      </c>
      <c r="F106" s="63">
        <v>79390919</v>
      </c>
      <c r="G106" s="63">
        <v>0</v>
      </c>
      <c r="H106" s="63">
        <v>0</v>
      </c>
      <c r="I106" s="63">
        <v>219686</v>
      </c>
      <c r="J106" s="63">
        <v>0</v>
      </c>
      <c r="K106" s="63">
        <v>219686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63">
        <v>79171233</v>
      </c>
      <c r="R106" s="474">
        <v>0.5</v>
      </c>
      <c r="S106" s="474">
        <v>0.4</v>
      </c>
      <c r="T106" s="474">
        <v>0.09</v>
      </c>
      <c r="U106" s="474">
        <v>0.01</v>
      </c>
      <c r="V106" s="474">
        <v>1</v>
      </c>
      <c r="W106" s="63">
        <v>39585617</v>
      </c>
      <c r="X106" s="63">
        <v>31668493</v>
      </c>
      <c r="Y106" s="63">
        <v>7125411</v>
      </c>
      <c r="Z106" s="63">
        <v>791712</v>
      </c>
      <c r="AA106" s="63">
        <v>79171233</v>
      </c>
      <c r="AB106" s="63">
        <v>0</v>
      </c>
      <c r="AC106" s="63">
        <v>0</v>
      </c>
      <c r="AD106" s="63">
        <v>0</v>
      </c>
      <c r="AE106" s="63">
        <v>0</v>
      </c>
      <c r="AF106" s="63">
        <v>0</v>
      </c>
      <c r="AG106" s="63">
        <v>0</v>
      </c>
      <c r="AH106" s="63">
        <v>0</v>
      </c>
      <c r="AI106" s="63">
        <v>0</v>
      </c>
      <c r="AJ106" s="63">
        <v>0</v>
      </c>
      <c r="AK106" s="63">
        <v>0</v>
      </c>
      <c r="AL106" s="63">
        <v>39585617</v>
      </c>
      <c r="AM106" s="63">
        <v>31668493</v>
      </c>
      <c r="AN106" s="63">
        <v>7125411</v>
      </c>
      <c r="AO106" s="63">
        <v>791712</v>
      </c>
      <c r="AP106" s="63">
        <v>79171233</v>
      </c>
      <c r="AQ106" s="63">
        <v>219686</v>
      </c>
      <c r="AR106" s="63">
        <v>219686</v>
      </c>
      <c r="AS106" s="63">
        <v>0</v>
      </c>
      <c r="AT106" s="63">
        <v>0</v>
      </c>
      <c r="AU106" s="63">
        <v>0</v>
      </c>
      <c r="AV106" s="63">
        <v>0</v>
      </c>
      <c r="AW106" s="63">
        <v>0</v>
      </c>
      <c r="AX106" s="63">
        <v>0</v>
      </c>
      <c r="AY106" s="63">
        <v>0</v>
      </c>
      <c r="AZ106" s="63">
        <v>0</v>
      </c>
      <c r="BA106" s="63">
        <v>0</v>
      </c>
      <c r="BB106" s="63">
        <v>0</v>
      </c>
      <c r="BC106" s="63">
        <v>0</v>
      </c>
      <c r="BD106" s="63">
        <v>0</v>
      </c>
      <c r="BE106" s="63">
        <v>0</v>
      </c>
      <c r="BF106" s="63">
        <v>0</v>
      </c>
      <c r="BG106" s="63">
        <v>0</v>
      </c>
      <c r="BH106" s="63">
        <v>-386969</v>
      </c>
      <c r="BI106" s="63">
        <v>-309576</v>
      </c>
      <c r="BJ106" s="63">
        <v>-69655</v>
      </c>
      <c r="BK106" s="63">
        <v>-7739</v>
      </c>
      <c r="BL106" s="63">
        <v>-773939</v>
      </c>
      <c r="BM106" s="63">
        <v>39198648</v>
      </c>
      <c r="BN106" s="63">
        <v>31578603</v>
      </c>
      <c r="BO106" s="63">
        <v>7055756</v>
      </c>
      <c r="BP106" s="63">
        <v>783973</v>
      </c>
      <c r="BQ106" s="63">
        <v>78616980</v>
      </c>
      <c r="BR106" s="63">
        <v>458015</v>
      </c>
      <c r="BS106" s="63">
        <v>103053</v>
      </c>
      <c r="BT106" s="63">
        <v>11450</v>
      </c>
      <c r="BU106" s="63">
        <v>572518</v>
      </c>
      <c r="BV106" s="63">
        <v>441342</v>
      </c>
      <c r="BW106" s="63">
        <v>99302</v>
      </c>
      <c r="BX106" s="63">
        <v>11034</v>
      </c>
      <c r="BY106" s="63">
        <v>551678</v>
      </c>
      <c r="BZ106" s="63">
        <v>2793</v>
      </c>
      <c r="CA106" s="63">
        <v>628</v>
      </c>
      <c r="CB106" s="63">
        <v>70</v>
      </c>
      <c r="CC106" s="63">
        <v>3491</v>
      </c>
      <c r="CD106" s="63">
        <v>0</v>
      </c>
      <c r="CE106" s="63">
        <v>0</v>
      </c>
      <c r="CF106" s="63">
        <v>0</v>
      </c>
      <c r="CG106" s="63">
        <v>0</v>
      </c>
      <c r="CH106" s="63">
        <v>6230</v>
      </c>
      <c r="CI106" s="63">
        <v>1402</v>
      </c>
      <c r="CJ106" s="63">
        <v>156</v>
      </c>
      <c r="CK106" s="63">
        <v>7788</v>
      </c>
      <c r="CL106" s="63">
        <v>9399</v>
      </c>
      <c r="CM106" s="63">
        <v>2115</v>
      </c>
      <c r="CN106" s="63">
        <v>235</v>
      </c>
      <c r="CO106" s="63">
        <v>11749</v>
      </c>
      <c r="CP106" s="63">
        <v>917779</v>
      </c>
      <c r="CQ106" s="63">
        <v>206500</v>
      </c>
      <c r="CR106" s="63">
        <v>22945</v>
      </c>
      <c r="CS106" s="63">
        <v>1147224</v>
      </c>
      <c r="CU106" s="141" t="s">
        <v>78</v>
      </c>
      <c r="CV106" s="157" t="s">
        <v>974</v>
      </c>
      <c r="CW106" s="156" t="s">
        <v>975</v>
      </c>
      <c r="CX106" s="345"/>
      <c r="CY106" s="345"/>
      <c r="CZ106" s="345"/>
    </row>
    <row r="107" spans="1:104" ht="12.75" x14ac:dyDescent="0.2">
      <c r="A107" s="90">
        <v>100</v>
      </c>
      <c r="B107" s="129" t="s">
        <v>81</v>
      </c>
      <c r="C107" s="130" t="s">
        <v>742</v>
      </c>
      <c r="D107" s="131" t="s">
        <v>743</v>
      </c>
      <c r="E107" s="132" t="s">
        <v>80</v>
      </c>
      <c r="F107" s="63">
        <v>40522963</v>
      </c>
      <c r="G107" s="63">
        <v>0</v>
      </c>
      <c r="H107" s="63">
        <v>0</v>
      </c>
      <c r="I107" s="63">
        <v>142304</v>
      </c>
      <c r="J107" s="63">
        <v>0</v>
      </c>
      <c r="K107" s="63">
        <v>142304</v>
      </c>
      <c r="L107" s="63">
        <v>0</v>
      </c>
      <c r="M107" s="63">
        <v>0</v>
      </c>
      <c r="N107" s="63">
        <v>79376</v>
      </c>
      <c r="O107" s="63">
        <v>79376</v>
      </c>
      <c r="P107" s="63">
        <v>0</v>
      </c>
      <c r="Q107" s="63">
        <v>40301283</v>
      </c>
      <c r="R107" s="474">
        <v>0.5</v>
      </c>
      <c r="S107" s="474">
        <v>0.4</v>
      </c>
      <c r="T107" s="474">
        <v>0.09</v>
      </c>
      <c r="U107" s="474">
        <v>0.01</v>
      </c>
      <c r="V107" s="474">
        <v>1</v>
      </c>
      <c r="W107" s="63">
        <v>20150642</v>
      </c>
      <c r="X107" s="63">
        <v>16120513</v>
      </c>
      <c r="Y107" s="63">
        <v>3627115</v>
      </c>
      <c r="Z107" s="63">
        <v>403013</v>
      </c>
      <c r="AA107" s="63">
        <v>40301283</v>
      </c>
      <c r="AB107" s="63">
        <v>296414</v>
      </c>
      <c r="AC107" s="63">
        <v>0</v>
      </c>
      <c r="AD107" s="63">
        <v>0</v>
      </c>
      <c r="AE107" s="63">
        <v>0</v>
      </c>
      <c r="AF107" s="63">
        <v>296414</v>
      </c>
      <c r="AG107" s="63">
        <v>0</v>
      </c>
      <c r="AH107" s="63">
        <v>0</v>
      </c>
      <c r="AI107" s="63">
        <v>0</v>
      </c>
      <c r="AJ107" s="63">
        <v>0</v>
      </c>
      <c r="AK107" s="63">
        <v>0</v>
      </c>
      <c r="AL107" s="63">
        <v>19854228</v>
      </c>
      <c r="AM107" s="63">
        <v>16120513</v>
      </c>
      <c r="AN107" s="63">
        <v>3627115</v>
      </c>
      <c r="AO107" s="63">
        <v>403013</v>
      </c>
      <c r="AP107" s="63">
        <v>40004869</v>
      </c>
      <c r="AQ107" s="63">
        <v>142304</v>
      </c>
      <c r="AR107" s="63">
        <v>142304</v>
      </c>
      <c r="AS107" s="63">
        <v>0</v>
      </c>
      <c r="AT107" s="63">
        <v>0</v>
      </c>
      <c r="AU107" s="63">
        <v>79376</v>
      </c>
      <c r="AV107" s="63">
        <v>0</v>
      </c>
      <c r="AW107" s="63">
        <v>79376</v>
      </c>
      <c r="AX107" s="63">
        <v>296414</v>
      </c>
      <c r="AY107" s="63">
        <v>0</v>
      </c>
      <c r="AZ107" s="63">
        <v>0</v>
      </c>
      <c r="BA107" s="63">
        <v>296414</v>
      </c>
      <c r="BB107" s="63">
        <v>0</v>
      </c>
      <c r="BC107" s="63">
        <v>0</v>
      </c>
      <c r="BD107" s="63">
        <v>0</v>
      </c>
      <c r="BE107" s="63">
        <v>0</v>
      </c>
      <c r="BF107" s="63">
        <v>0</v>
      </c>
      <c r="BG107" s="63">
        <v>0</v>
      </c>
      <c r="BH107" s="63">
        <v>-1866925</v>
      </c>
      <c r="BI107" s="63">
        <v>-1493540</v>
      </c>
      <c r="BJ107" s="63">
        <v>-336047</v>
      </c>
      <c r="BK107" s="63">
        <v>-37339</v>
      </c>
      <c r="BL107" s="63">
        <v>-3733851</v>
      </c>
      <c r="BM107" s="63">
        <v>17987303</v>
      </c>
      <c r="BN107" s="63">
        <v>15145067</v>
      </c>
      <c r="BO107" s="63">
        <v>3291068</v>
      </c>
      <c r="BP107" s="63">
        <v>365674</v>
      </c>
      <c r="BQ107" s="63">
        <v>36789112</v>
      </c>
      <c r="BR107" s="63">
        <v>238583</v>
      </c>
      <c r="BS107" s="63">
        <v>52458</v>
      </c>
      <c r="BT107" s="63">
        <v>5829</v>
      </c>
      <c r="BU107" s="63">
        <v>296870</v>
      </c>
      <c r="BV107" s="63">
        <v>365560</v>
      </c>
      <c r="BW107" s="63">
        <v>82251</v>
      </c>
      <c r="BX107" s="63">
        <v>9139</v>
      </c>
      <c r="BY107" s="63">
        <v>456950</v>
      </c>
      <c r="BZ107" s="63">
        <v>2310</v>
      </c>
      <c r="CA107" s="63">
        <v>520</v>
      </c>
      <c r="CB107" s="63">
        <v>58</v>
      </c>
      <c r="CC107" s="63">
        <v>2888</v>
      </c>
      <c r="CD107" s="63">
        <v>5476</v>
      </c>
      <c r="CE107" s="63">
        <v>1232</v>
      </c>
      <c r="CF107" s="63">
        <v>137</v>
      </c>
      <c r="CG107" s="63">
        <v>6845</v>
      </c>
      <c r="CH107" s="63">
        <v>9673</v>
      </c>
      <c r="CI107" s="63">
        <v>2177</v>
      </c>
      <c r="CJ107" s="63">
        <v>242</v>
      </c>
      <c r="CK107" s="63">
        <v>12092</v>
      </c>
      <c r="CL107" s="63">
        <v>2452</v>
      </c>
      <c r="CM107" s="63">
        <v>552</v>
      </c>
      <c r="CN107" s="63">
        <v>61</v>
      </c>
      <c r="CO107" s="63">
        <v>3065</v>
      </c>
      <c r="CP107" s="63">
        <v>624054</v>
      </c>
      <c r="CQ107" s="63">
        <v>139190</v>
      </c>
      <c r="CR107" s="63">
        <v>15466</v>
      </c>
      <c r="CS107" s="63">
        <v>778710</v>
      </c>
      <c r="CU107" s="141" t="s">
        <v>80</v>
      </c>
      <c r="CV107" s="157" t="s">
        <v>945</v>
      </c>
      <c r="CW107" s="156" t="s">
        <v>946</v>
      </c>
      <c r="CX107" s="345"/>
      <c r="CY107" s="345"/>
      <c r="CZ107" s="345"/>
    </row>
    <row r="108" spans="1:104" ht="12.75" x14ac:dyDescent="0.2">
      <c r="A108" s="90">
        <v>101</v>
      </c>
      <c r="B108" s="129" t="s">
        <v>83</v>
      </c>
      <c r="C108" s="130" t="s">
        <v>742</v>
      </c>
      <c r="D108" s="131" t="s">
        <v>746</v>
      </c>
      <c r="E108" s="132" t="s">
        <v>82</v>
      </c>
      <c r="F108" s="63">
        <v>25930363</v>
      </c>
      <c r="G108" s="63">
        <v>0</v>
      </c>
      <c r="H108" s="63">
        <v>0</v>
      </c>
      <c r="I108" s="63">
        <v>127876</v>
      </c>
      <c r="J108" s="63">
        <v>0</v>
      </c>
      <c r="K108" s="63">
        <v>127876</v>
      </c>
      <c r="L108" s="63">
        <v>0</v>
      </c>
      <c r="M108" s="63">
        <v>0</v>
      </c>
      <c r="N108" s="63">
        <v>199297</v>
      </c>
      <c r="O108" s="63">
        <v>199297</v>
      </c>
      <c r="P108" s="63">
        <v>0</v>
      </c>
      <c r="Q108" s="63">
        <v>25603190</v>
      </c>
      <c r="R108" s="474">
        <v>0.5</v>
      </c>
      <c r="S108" s="474">
        <v>0.4</v>
      </c>
      <c r="T108" s="474">
        <v>0.09</v>
      </c>
      <c r="U108" s="474">
        <v>0.01</v>
      </c>
      <c r="V108" s="474">
        <v>1</v>
      </c>
      <c r="W108" s="63">
        <v>12801595</v>
      </c>
      <c r="X108" s="63">
        <v>10241276</v>
      </c>
      <c r="Y108" s="63">
        <v>2304287</v>
      </c>
      <c r="Z108" s="63">
        <v>256032</v>
      </c>
      <c r="AA108" s="63">
        <v>25603190</v>
      </c>
      <c r="AB108" s="63">
        <v>0</v>
      </c>
      <c r="AC108" s="63">
        <v>0</v>
      </c>
      <c r="AD108" s="63">
        <v>0</v>
      </c>
      <c r="AE108" s="63">
        <v>0</v>
      </c>
      <c r="AF108" s="63">
        <v>0</v>
      </c>
      <c r="AG108" s="63">
        <v>0</v>
      </c>
      <c r="AH108" s="63">
        <v>0</v>
      </c>
      <c r="AI108" s="63">
        <v>0</v>
      </c>
      <c r="AJ108" s="63">
        <v>0</v>
      </c>
      <c r="AK108" s="63">
        <v>0</v>
      </c>
      <c r="AL108" s="63">
        <v>12801595</v>
      </c>
      <c r="AM108" s="63">
        <v>10241276</v>
      </c>
      <c r="AN108" s="63">
        <v>2304287</v>
      </c>
      <c r="AO108" s="63">
        <v>256032</v>
      </c>
      <c r="AP108" s="63">
        <v>25603190</v>
      </c>
      <c r="AQ108" s="63">
        <v>127876</v>
      </c>
      <c r="AR108" s="63">
        <v>127876</v>
      </c>
      <c r="AS108" s="63">
        <v>0</v>
      </c>
      <c r="AT108" s="63">
        <v>0</v>
      </c>
      <c r="AU108" s="63">
        <v>199297</v>
      </c>
      <c r="AV108" s="63">
        <v>0</v>
      </c>
      <c r="AW108" s="63">
        <v>199297</v>
      </c>
      <c r="AX108" s="63">
        <v>0</v>
      </c>
      <c r="AY108" s="63">
        <v>0</v>
      </c>
      <c r="AZ108" s="63">
        <v>0</v>
      </c>
      <c r="BA108" s="63">
        <v>0</v>
      </c>
      <c r="BB108" s="63">
        <v>0</v>
      </c>
      <c r="BC108" s="63">
        <v>0</v>
      </c>
      <c r="BD108" s="63">
        <v>0</v>
      </c>
      <c r="BE108" s="63">
        <v>0</v>
      </c>
      <c r="BF108" s="63">
        <v>0</v>
      </c>
      <c r="BG108" s="63">
        <v>0</v>
      </c>
      <c r="BH108" s="63">
        <v>-300322</v>
      </c>
      <c r="BI108" s="63">
        <v>-240258</v>
      </c>
      <c r="BJ108" s="63">
        <v>-54058</v>
      </c>
      <c r="BK108" s="63">
        <v>-6006</v>
      </c>
      <c r="BL108" s="63">
        <v>-600644</v>
      </c>
      <c r="BM108" s="63">
        <v>12501273</v>
      </c>
      <c r="BN108" s="63">
        <v>10328191</v>
      </c>
      <c r="BO108" s="63">
        <v>2250229</v>
      </c>
      <c r="BP108" s="63">
        <v>250026</v>
      </c>
      <c r="BQ108" s="63">
        <v>25329719</v>
      </c>
      <c r="BR108" s="63">
        <v>151000</v>
      </c>
      <c r="BS108" s="63">
        <v>33326</v>
      </c>
      <c r="BT108" s="63">
        <v>3703</v>
      </c>
      <c r="BU108" s="63">
        <v>188029</v>
      </c>
      <c r="BV108" s="63">
        <v>489869</v>
      </c>
      <c r="BW108" s="63">
        <v>110220</v>
      </c>
      <c r="BX108" s="63">
        <v>12247</v>
      </c>
      <c r="BY108" s="63">
        <v>612336</v>
      </c>
      <c r="BZ108" s="63">
        <v>487</v>
      </c>
      <c r="CA108" s="63">
        <v>109</v>
      </c>
      <c r="CB108" s="63">
        <v>12</v>
      </c>
      <c r="CC108" s="63">
        <v>608</v>
      </c>
      <c r="CD108" s="63">
        <v>0</v>
      </c>
      <c r="CE108" s="63">
        <v>0</v>
      </c>
      <c r="CF108" s="63">
        <v>0</v>
      </c>
      <c r="CG108" s="63">
        <v>0</v>
      </c>
      <c r="CH108" s="63">
        <v>313</v>
      </c>
      <c r="CI108" s="63">
        <v>70</v>
      </c>
      <c r="CJ108" s="63">
        <v>8</v>
      </c>
      <c r="CK108" s="63">
        <v>391</v>
      </c>
      <c r="CL108" s="63">
        <v>230</v>
      </c>
      <c r="CM108" s="63">
        <v>52</v>
      </c>
      <c r="CN108" s="63">
        <v>6</v>
      </c>
      <c r="CO108" s="63">
        <v>288</v>
      </c>
      <c r="CP108" s="63">
        <v>641899</v>
      </c>
      <c r="CQ108" s="63">
        <v>143777</v>
      </c>
      <c r="CR108" s="63">
        <v>15976</v>
      </c>
      <c r="CS108" s="63">
        <v>801652</v>
      </c>
      <c r="CU108" s="141" t="s">
        <v>82</v>
      </c>
      <c r="CV108" s="157" t="s">
        <v>962</v>
      </c>
      <c r="CW108" s="156" t="s">
        <v>963</v>
      </c>
      <c r="CX108" s="345"/>
      <c r="CY108" s="345"/>
      <c r="CZ108" s="345"/>
    </row>
    <row r="109" spans="1:104" ht="12.75" x14ac:dyDescent="0.2">
      <c r="A109" s="90">
        <v>102</v>
      </c>
      <c r="B109" s="129" t="s">
        <v>85</v>
      </c>
      <c r="C109" s="130" t="s">
        <v>742</v>
      </c>
      <c r="D109" s="131" t="s">
        <v>746</v>
      </c>
      <c r="E109" s="132" t="s">
        <v>84</v>
      </c>
      <c r="F109" s="63">
        <v>22452801</v>
      </c>
      <c r="G109" s="63">
        <v>0</v>
      </c>
      <c r="H109" s="63">
        <v>0</v>
      </c>
      <c r="I109" s="63">
        <v>90578</v>
      </c>
      <c r="J109" s="63">
        <v>0</v>
      </c>
      <c r="K109" s="63">
        <v>90578</v>
      </c>
      <c r="L109" s="63">
        <v>0</v>
      </c>
      <c r="M109" s="63">
        <v>0</v>
      </c>
      <c r="N109" s="63">
        <v>98819</v>
      </c>
      <c r="O109" s="63">
        <v>98819</v>
      </c>
      <c r="P109" s="63">
        <v>0</v>
      </c>
      <c r="Q109" s="63">
        <v>22263404</v>
      </c>
      <c r="R109" s="474">
        <v>0.5</v>
      </c>
      <c r="S109" s="474">
        <v>0.4</v>
      </c>
      <c r="T109" s="474">
        <v>0.1</v>
      </c>
      <c r="U109" s="474">
        <v>0</v>
      </c>
      <c r="V109" s="474">
        <v>1</v>
      </c>
      <c r="W109" s="63">
        <v>11131702</v>
      </c>
      <c r="X109" s="63">
        <v>8905362</v>
      </c>
      <c r="Y109" s="63">
        <v>2226340</v>
      </c>
      <c r="Z109" s="63">
        <v>0</v>
      </c>
      <c r="AA109" s="63">
        <v>22263404</v>
      </c>
      <c r="AB109" s="63">
        <v>0</v>
      </c>
      <c r="AC109" s="63">
        <v>0</v>
      </c>
      <c r="AD109" s="63">
        <v>0</v>
      </c>
      <c r="AE109" s="63">
        <v>0</v>
      </c>
      <c r="AF109" s="63">
        <v>0</v>
      </c>
      <c r="AG109" s="63">
        <v>0</v>
      </c>
      <c r="AH109" s="63">
        <v>0</v>
      </c>
      <c r="AI109" s="63">
        <v>0</v>
      </c>
      <c r="AJ109" s="63">
        <v>0</v>
      </c>
      <c r="AK109" s="63">
        <v>0</v>
      </c>
      <c r="AL109" s="63">
        <v>11131702</v>
      </c>
      <c r="AM109" s="63">
        <v>8905362</v>
      </c>
      <c r="AN109" s="63">
        <v>2226340</v>
      </c>
      <c r="AO109" s="63">
        <v>0</v>
      </c>
      <c r="AP109" s="63">
        <v>22263404</v>
      </c>
      <c r="AQ109" s="63">
        <v>90578</v>
      </c>
      <c r="AR109" s="63">
        <v>90578</v>
      </c>
      <c r="AS109" s="63">
        <v>0</v>
      </c>
      <c r="AT109" s="63">
        <v>0</v>
      </c>
      <c r="AU109" s="63">
        <v>98819</v>
      </c>
      <c r="AV109" s="63">
        <v>0</v>
      </c>
      <c r="AW109" s="63">
        <v>98819</v>
      </c>
      <c r="AX109" s="63">
        <v>0</v>
      </c>
      <c r="AY109" s="63">
        <v>0</v>
      </c>
      <c r="AZ109" s="63">
        <v>0</v>
      </c>
      <c r="BA109" s="63">
        <v>0</v>
      </c>
      <c r="BB109" s="63">
        <v>0</v>
      </c>
      <c r="BC109" s="63">
        <v>0</v>
      </c>
      <c r="BD109" s="63">
        <v>0</v>
      </c>
      <c r="BE109" s="63">
        <v>0</v>
      </c>
      <c r="BF109" s="63">
        <v>0</v>
      </c>
      <c r="BG109" s="63">
        <v>0</v>
      </c>
      <c r="BH109" s="63">
        <v>-230116</v>
      </c>
      <c r="BI109" s="63">
        <v>-184092</v>
      </c>
      <c r="BJ109" s="63">
        <v>-46023</v>
      </c>
      <c r="BK109" s="63">
        <v>0</v>
      </c>
      <c r="BL109" s="63">
        <v>-460231</v>
      </c>
      <c r="BM109" s="63">
        <v>10901586</v>
      </c>
      <c r="BN109" s="63">
        <v>8910667</v>
      </c>
      <c r="BO109" s="63">
        <v>2180317</v>
      </c>
      <c r="BP109" s="63">
        <v>0</v>
      </c>
      <c r="BQ109" s="63">
        <v>21992570</v>
      </c>
      <c r="BR109" s="63">
        <v>130226</v>
      </c>
      <c r="BS109" s="63">
        <v>32199</v>
      </c>
      <c r="BT109" s="63">
        <v>0</v>
      </c>
      <c r="BU109" s="63">
        <v>162425</v>
      </c>
      <c r="BV109" s="63">
        <v>296214</v>
      </c>
      <c r="BW109" s="63">
        <v>74053</v>
      </c>
      <c r="BX109" s="63">
        <v>0</v>
      </c>
      <c r="BY109" s="63">
        <v>370267</v>
      </c>
      <c r="BZ109" s="63">
        <v>1650</v>
      </c>
      <c r="CA109" s="63">
        <v>412</v>
      </c>
      <c r="CB109" s="63">
        <v>0</v>
      </c>
      <c r="CC109" s="63">
        <v>2062</v>
      </c>
      <c r="CD109" s="63">
        <v>0</v>
      </c>
      <c r="CE109" s="63">
        <v>0</v>
      </c>
      <c r="CF109" s="63">
        <v>0</v>
      </c>
      <c r="CG109" s="63">
        <v>0</v>
      </c>
      <c r="CH109" s="63">
        <v>0</v>
      </c>
      <c r="CI109" s="63">
        <v>0</v>
      </c>
      <c r="CJ109" s="63">
        <v>0</v>
      </c>
      <c r="CK109" s="63">
        <v>0</v>
      </c>
      <c r="CL109" s="63">
        <v>0</v>
      </c>
      <c r="CM109" s="63">
        <v>0</v>
      </c>
      <c r="CN109" s="63">
        <v>0</v>
      </c>
      <c r="CO109" s="63">
        <v>0</v>
      </c>
      <c r="CP109" s="63">
        <v>428090</v>
      </c>
      <c r="CQ109" s="63">
        <v>106664</v>
      </c>
      <c r="CR109" s="63">
        <v>0</v>
      </c>
      <c r="CS109" s="63">
        <v>534754</v>
      </c>
      <c r="CU109" s="141" t="s">
        <v>84</v>
      </c>
      <c r="CV109" s="157" t="s">
        <v>938</v>
      </c>
      <c r="CW109" s="156" t="s">
        <v>928</v>
      </c>
      <c r="CX109" s="345"/>
      <c r="CY109" s="345"/>
      <c r="CZ109" s="345"/>
    </row>
    <row r="110" spans="1:104" ht="12.75" x14ac:dyDescent="0.2">
      <c r="A110" s="90">
        <v>103</v>
      </c>
      <c r="B110" s="129" t="s">
        <v>87</v>
      </c>
      <c r="C110" s="130" t="s">
        <v>742</v>
      </c>
      <c r="D110" s="131" t="s">
        <v>751</v>
      </c>
      <c r="E110" s="132" t="s">
        <v>86</v>
      </c>
      <c r="F110" s="63">
        <v>12517965</v>
      </c>
      <c r="G110" s="63">
        <v>0</v>
      </c>
      <c r="H110" s="63">
        <v>0</v>
      </c>
      <c r="I110" s="63">
        <v>118856</v>
      </c>
      <c r="J110" s="63">
        <v>0</v>
      </c>
      <c r="K110" s="63">
        <v>118856</v>
      </c>
      <c r="L110" s="63">
        <v>0</v>
      </c>
      <c r="M110" s="63">
        <v>0</v>
      </c>
      <c r="N110" s="63">
        <v>136357</v>
      </c>
      <c r="O110" s="63">
        <v>136357</v>
      </c>
      <c r="P110" s="63">
        <v>0</v>
      </c>
      <c r="Q110" s="63">
        <v>12262752</v>
      </c>
      <c r="R110" s="474">
        <v>0.5</v>
      </c>
      <c r="S110" s="474">
        <v>0.4</v>
      </c>
      <c r="T110" s="474">
        <v>0.1</v>
      </c>
      <c r="U110" s="474">
        <v>0</v>
      </c>
      <c r="V110" s="474">
        <v>1</v>
      </c>
      <c r="W110" s="63">
        <v>6131376</v>
      </c>
      <c r="X110" s="63">
        <v>4905101</v>
      </c>
      <c r="Y110" s="63">
        <v>1226275</v>
      </c>
      <c r="Z110" s="63">
        <v>0</v>
      </c>
      <c r="AA110" s="63">
        <v>12262752</v>
      </c>
      <c r="AB110" s="63">
        <v>0</v>
      </c>
      <c r="AC110" s="63">
        <v>0</v>
      </c>
      <c r="AD110" s="63">
        <v>0</v>
      </c>
      <c r="AE110" s="63">
        <v>0</v>
      </c>
      <c r="AF110" s="63">
        <v>0</v>
      </c>
      <c r="AG110" s="63">
        <v>0</v>
      </c>
      <c r="AH110" s="63">
        <v>0</v>
      </c>
      <c r="AI110" s="63">
        <v>0</v>
      </c>
      <c r="AJ110" s="63">
        <v>0</v>
      </c>
      <c r="AK110" s="63">
        <v>0</v>
      </c>
      <c r="AL110" s="63">
        <v>6131376</v>
      </c>
      <c r="AM110" s="63">
        <v>4905101</v>
      </c>
      <c r="AN110" s="63">
        <v>1226275</v>
      </c>
      <c r="AO110" s="63">
        <v>0</v>
      </c>
      <c r="AP110" s="63">
        <v>12262752</v>
      </c>
      <c r="AQ110" s="63">
        <v>118856</v>
      </c>
      <c r="AR110" s="63">
        <v>118856</v>
      </c>
      <c r="AS110" s="63">
        <v>0</v>
      </c>
      <c r="AT110" s="63">
        <v>0</v>
      </c>
      <c r="AU110" s="63">
        <v>136357</v>
      </c>
      <c r="AV110" s="63">
        <v>0</v>
      </c>
      <c r="AW110" s="63">
        <v>136357</v>
      </c>
      <c r="AX110" s="63">
        <v>0</v>
      </c>
      <c r="AY110" s="63">
        <v>0</v>
      </c>
      <c r="AZ110" s="63">
        <v>0</v>
      </c>
      <c r="BA110" s="63">
        <v>0</v>
      </c>
      <c r="BB110" s="63">
        <v>0</v>
      </c>
      <c r="BC110" s="63">
        <v>0</v>
      </c>
      <c r="BD110" s="63">
        <v>0</v>
      </c>
      <c r="BE110" s="63">
        <v>0</v>
      </c>
      <c r="BF110" s="63">
        <v>0</v>
      </c>
      <c r="BG110" s="63">
        <v>0</v>
      </c>
      <c r="BH110" s="63">
        <v>-810928</v>
      </c>
      <c r="BI110" s="63">
        <v>-648743</v>
      </c>
      <c r="BJ110" s="63">
        <v>-162186</v>
      </c>
      <c r="BK110" s="63">
        <v>0</v>
      </c>
      <c r="BL110" s="63">
        <v>-1621857</v>
      </c>
      <c r="BM110" s="63">
        <v>5320448</v>
      </c>
      <c r="BN110" s="63">
        <v>4511571</v>
      </c>
      <c r="BO110" s="63">
        <v>1064089</v>
      </c>
      <c r="BP110" s="63">
        <v>0</v>
      </c>
      <c r="BQ110" s="63">
        <v>10896108</v>
      </c>
      <c r="BR110" s="63">
        <v>72914</v>
      </c>
      <c r="BS110" s="63">
        <v>17735</v>
      </c>
      <c r="BT110" s="63">
        <v>0</v>
      </c>
      <c r="BU110" s="63">
        <v>90649</v>
      </c>
      <c r="BV110" s="63">
        <v>486414</v>
      </c>
      <c r="BW110" s="63">
        <v>121604</v>
      </c>
      <c r="BX110" s="63">
        <v>0</v>
      </c>
      <c r="BY110" s="63">
        <v>608018</v>
      </c>
      <c r="BZ110" s="63">
        <v>838</v>
      </c>
      <c r="CA110" s="63">
        <v>209</v>
      </c>
      <c r="CB110" s="63">
        <v>0</v>
      </c>
      <c r="CC110" s="63">
        <v>1047</v>
      </c>
      <c r="CD110" s="63">
        <v>0</v>
      </c>
      <c r="CE110" s="63">
        <v>0</v>
      </c>
      <c r="CF110" s="63">
        <v>0</v>
      </c>
      <c r="CG110" s="63">
        <v>0</v>
      </c>
      <c r="CH110" s="63">
        <v>2077</v>
      </c>
      <c r="CI110" s="63">
        <v>519</v>
      </c>
      <c r="CJ110" s="63">
        <v>0</v>
      </c>
      <c r="CK110" s="63">
        <v>2596</v>
      </c>
      <c r="CL110" s="63">
        <v>11393</v>
      </c>
      <c r="CM110" s="63">
        <v>2848</v>
      </c>
      <c r="CN110" s="63">
        <v>0</v>
      </c>
      <c r="CO110" s="63">
        <v>14241</v>
      </c>
      <c r="CP110" s="63">
        <v>573636</v>
      </c>
      <c r="CQ110" s="63">
        <v>142915</v>
      </c>
      <c r="CR110" s="63">
        <v>0</v>
      </c>
      <c r="CS110" s="63">
        <v>716551</v>
      </c>
      <c r="CU110" s="141" t="s">
        <v>86</v>
      </c>
      <c r="CV110" s="157" t="s">
        <v>966</v>
      </c>
      <c r="CW110" s="156" t="s">
        <v>928</v>
      </c>
      <c r="CX110" s="345"/>
      <c r="CY110" s="345"/>
      <c r="CZ110" s="345"/>
    </row>
    <row r="111" spans="1:104" ht="12.75" x14ac:dyDescent="0.2">
      <c r="A111" s="90">
        <v>104</v>
      </c>
      <c r="B111" s="129" t="s">
        <v>89</v>
      </c>
      <c r="C111" s="130" t="s">
        <v>742</v>
      </c>
      <c r="D111" s="131" t="s">
        <v>744</v>
      </c>
      <c r="E111" s="132" t="s">
        <v>88</v>
      </c>
      <c r="F111" s="63">
        <v>24080317</v>
      </c>
      <c r="G111" s="63">
        <v>0</v>
      </c>
      <c r="H111" s="63">
        <v>0</v>
      </c>
      <c r="I111" s="63">
        <v>112252</v>
      </c>
      <c r="J111" s="63">
        <v>0</v>
      </c>
      <c r="K111" s="63">
        <v>112252</v>
      </c>
      <c r="L111" s="63">
        <v>0</v>
      </c>
      <c r="M111" s="63">
        <v>0</v>
      </c>
      <c r="N111" s="63">
        <v>0</v>
      </c>
      <c r="O111" s="63">
        <v>0</v>
      </c>
      <c r="P111" s="63">
        <v>0</v>
      </c>
      <c r="Q111" s="63">
        <v>23968065</v>
      </c>
      <c r="R111" s="474">
        <v>0.5</v>
      </c>
      <c r="S111" s="474">
        <v>0.4</v>
      </c>
      <c r="T111" s="474">
        <v>0.09</v>
      </c>
      <c r="U111" s="474">
        <v>0.01</v>
      </c>
      <c r="V111" s="474">
        <v>1</v>
      </c>
      <c r="W111" s="63">
        <v>11984032</v>
      </c>
      <c r="X111" s="63">
        <v>9587226</v>
      </c>
      <c r="Y111" s="63">
        <v>2157126</v>
      </c>
      <c r="Z111" s="63">
        <v>239681</v>
      </c>
      <c r="AA111" s="63">
        <v>23968065</v>
      </c>
      <c r="AB111" s="63">
        <v>0</v>
      </c>
      <c r="AC111" s="63">
        <v>0</v>
      </c>
      <c r="AD111" s="63">
        <v>0</v>
      </c>
      <c r="AE111" s="63">
        <v>0</v>
      </c>
      <c r="AF111" s="63">
        <v>0</v>
      </c>
      <c r="AG111" s="63">
        <v>0</v>
      </c>
      <c r="AH111" s="63">
        <v>0</v>
      </c>
      <c r="AI111" s="63">
        <v>0</v>
      </c>
      <c r="AJ111" s="63">
        <v>0</v>
      </c>
      <c r="AK111" s="63">
        <v>0</v>
      </c>
      <c r="AL111" s="63">
        <v>11984032</v>
      </c>
      <c r="AM111" s="63">
        <v>9587226</v>
      </c>
      <c r="AN111" s="63">
        <v>2157126</v>
      </c>
      <c r="AO111" s="63">
        <v>239681</v>
      </c>
      <c r="AP111" s="63">
        <v>23968065</v>
      </c>
      <c r="AQ111" s="63">
        <v>112252</v>
      </c>
      <c r="AR111" s="63">
        <v>112252</v>
      </c>
      <c r="AS111" s="63">
        <v>0</v>
      </c>
      <c r="AT111" s="63">
        <v>0</v>
      </c>
      <c r="AU111" s="63">
        <v>0</v>
      </c>
      <c r="AV111" s="63">
        <v>0</v>
      </c>
      <c r="AW111" s="63">
        <v>0</v>
      </c>
      <c r="AX111" s="63">
        <v>0</v>
      </c>
      <c r="AY111" s="63">
        <v>0</v>
      </c>
      <c r="AZ111" s="63">
        <v>0</v>
      </c>
      <c r="BA111" s="63">
        <v>0</v>
      </c>
      <c r="BB111" s="63">
        <v>0</v>
      </c>
      <c r="BC111" s="63">
        <v>0</v>
      </c>
      <c r="BD111" s="63">
        <v>0</v>
      </c>
      <c r="BE111" s="63">
        <v>0</v>
      </c>
      <c r="BF111" s="63">
        <v>0</v>
      </c>
      <c r="BG111" s="63">
        <v>0</v>
      </c>
      <c r="BH111" s="63">
        <v>-819906</v>
      </c>
      <c r="BI111" s="63">
        <v>-655925</v>
      </c>
      <c r="BJ111" s="63">
        <v>-147583</v>
      </c>
      <c r="BK111" s="63">
        <v>-16398</v>
      </c>
      <c r="BL111" s="63">
        <v>-1639812</v>
      </c>
      <c r="BM111" s="63">
        <v>11164126</v>
      </c>
      <c r="BN111" s="63">
        <v>9043553</v>
      </c>
      <c r="BO111" s="63">
        <v>2009543</v>
      </c>
      <c r="BP111" s="63">
        <v>223283</v>
      </c>
      <c r="BQ111" s="63">
        <v>22440505</v>
      </c>
      <c r="BR111" s="63">
        <v>138658</v>
      </c>
      <c r="BS111" s="63">
        <v>31198</v>
      </c>
      <c r="BT111" s="63">
        <v>3466</v>
      </c>
      <c r="BU111" s="63">
        <v>173322</v>
      </c>
      <c r="BV111" s="63">
        <v>434908</v>
      </c>
      <c r="BW111" s="63">
        <v>97854</v>
      </c>
      <c r="BX111" s="63">
        <v>10873</v>
      </c>
      <c r="BY111" s="63">
        <v>543635</v>
      </c>
      <c r="BZ111" s="63">
        <v>1152</v>
      </c>
      <c r="CA111" s="63">
        <v>259</v>
      </c>
      <c r="CB111" s="63">
        <v>29</v>
      </c>
      <c r="CC111" s="63">
        <v>1440</v>
      </c>
      <c r="CD111" s="63">
        <v>406</v>
      </c>
      <c r="CE111" s="63">
        <v>91</v>
      </c>
      <c r="CF111" s="63">
        <v>10</v>
      </c>
      <c r="CG111" s="63">
        <v>507</v>
      </c>
      <c r="CH111" s="63">
        <v>406</v>
      </c>
      <c r="CI111" s="63">
        <v>91</v>
      </c>
      <c r="CJ111" s="63">
        <v>10</v>
      </c>
      <c r="CK111" s="63">
        <v>507</v>
      </c>
      <c r="CL111" s="63">
        <v>4464</v>
      </c>
      <c r="CM111" s="63">
        <v>1004</v>
      </c>
      <c r="CN111" s="63">
        <v>112</v>
      </c>
      <c r="CO111" s="63">
        <v>5580</v>
      </c>
      <c r="CP111" s="63">
        <v>579994</v>
      </c>
      <c r="CQ111" s="63">
        <v>130497</v>
      </c>
      <c r="CR111" s="63">
        <v>14500</v>
      </c>
      <c r="CS111" s="63">
        <v>724991</v>
      </c>
      <c r="CU111" s="141" t="s">
        <v>88</v>
      </c>
      <c r="CV111" s="157" t="s">
        <v>961</v>
      </c>
      <c r="CW111" s="156" t="s">
        <v>952</v>
      </c>
      <c r="CX111" s="345"/>
      <c r="CY111" s="345"/>
      <c r="CZ111" s="345"/>
    </row>
    <row r="112" spans="1:104" ht="12.75" x14ac:dyDescent="0.2">
      <c r="A112" s="90">
        <v>105</v>
      </c>
      <c r="B112" s="129" t="s">
        <v>91</v>
      </c>
      <c r="C112" s="130" t="s">
        <v>749</v>
      </c>
      <c r="D112" s="131" t="s">
        <v>755</v>
      </c>
      <c r="E112" s="132" t="s">
        <v>90</v>
      </c>
      <c r="F112" s="63">
        <v>95462263</v>
      </c>
      <c r="G112" s="63">
        <v>0</v>
      </c>
      <c r="H112" s="63">
        <v>0</v>
      </c>
      <c r="I112" s="63">
        <v>293350</v>
      </c>
      <c r="J112" s="63">
        <v>0</v>
      </c>
      <c r="K112" s="63">
        <v>293350</v>
      </c>
      <c r="L112" s="63">
        <v>0</v>
      </c>
      <c r="M112" s="63">
        <v>457332</v>
      </c>
      <c r="N112" s="63">
        <v>0</v>
      </c>
      <c r="O112" s="63">
        <v>0</v>
      </c>
      <c r="P112" s="63">
        <v>0</v>
      </c>
      <c r="Q112" s="63">
        <v>94711581</v>
      </c>
      <c r="R112" s="474">
        <v>0.5</v>
      </c>
      <c r="S112" s="474">
        <v>0.49</v>
      </c>
      <c r="T112" s="474">
        <v>0</v>
      </c>
      <c r="U112" s="474">
        <v>0.01</v>
      </c>
      <c r="V112" s="474">
        <v>1</v>
      </c>
      <c r="W112" s="63">
        <v>47355790</v>
      </c>
      <c r="X112" s="63">
        <v>46408675</v>
      </c>
      <c r="Y112" s="63">
        <v>0</v>
      </c>
      <c r="Z112" s="63">
        <v>947116</v>
      </c>
      <c r="AA112" s="63">
        <v>94711581</v>
      </c>
      <c r="AB112" s="63">
        <v>0</v>
      </c>
      <c r="AC112" s="63">
        <v>0</v>
      </c>
      <c r="AD112" s="63">
        <v>0</v>
      </c>
      <c r="AE112" s="63">
        <v>0</v>
      </c>
      <c r="AF112" s="63">
        <v>0</v>
      </c>
      <c r="AG112" s="63">
        <v>0</v>
      </c>
      <c r="AH112" s="63">
        <v>0</v>
      </c>
      <c r="AI112" s="63">
        <v>0</v>
      </c>
      <c r="AJ112" s="63">
        <v>0</v>
      </c>
      <c r="AK112" s="63">
        <v>0</v>
      </c>
      <c r="AL112" s="63">
        <v>47355790</v>
      </c>
      <c r="AM112" s="63">
        <v>46408675</v>
      </c>
      <c r="AN112" s="63">
        <v>0</v>
      </c>
      <c r="AO112" s="63">
        <v>947116</v>
      </c>
      <c r="AP112" s="63">
        <v>94711581</v>
      </c>
      <c r="AQ112" s="63">
        <v>293350</v>
      </c>
      <c r="AR112" s="63">
        <v>293350</v>
      </c>
      <c r="AS112" s="63">
        <v>457332</v>
      </c>
      <c r="AT112" s="63">
        <v>457332</v>
      </c>
      <c r="AU112" s="63">
        <v>0</v>
      </c>
      <c r="AV112" s="63">
        <v>0</v>
      </c>
      <c r="AW112" s="63">
        <v>0</v>
      </c>
      <c r="AX112" s="63">
        <v>0</v>
      </c>
      <c r="AY112" s="63">
        <v>0</v>
      </c>
      <c r="AZ112" s="63">
        <v>0</v>
      </c>
      <c r="BA112" s="63">
        <v>0</v>
      </c>
      <c r="BB112" s="63">
        <v>0</v>
      </c>
      <c r="BC112" s="63">
        <v>0</v>
      </c>
      <c r="BD112" s="63">
        <v>0</v>
      </c>
      <c r="BE112" s="63">
        <v>0</v>
      </c>
      <c r="BF112" s="63">
        <v>0</v>
      </c>
      <c r="BG112" s="63">
        <v>0</v>
      </c>
      <c r="BH112" s="63">
        <v>-3001469</v>
      </c>
      <c r="BI112" s="63">
        <v>-2941440</v>
      </c>
      <c r="BJ112" s="63">
        <v>0</v>
      </c>
      <c r="BK112" s="63">
        <v>-60029</v>
      </c>
      <c r="BL112" s="63">
        <v>-6002938</v>
      </c>
      <c r="BM112" s="63">
        <v>44354321</v>
      </c>
      <c r="BN112" s="63">
        <v>44217917</v>
      </c>
      <c r="BO112" s="63">
        <v>0</v>
      </c>
      <c r="BP112" s="63">
        <v>887087</v>
      </c>
      <c r="BQ112" s="63">
        <v>89459325</v>
      </c>
      <c r="BR112" s="63">
        <v>677814</v>
      </c>
      <c r="BS112" s="63">
        <v>0</v>
      </c>
      <c r="BT112" s="63">
        <v>13698</v>
      </c>
      <c r="BU112" s="63">
        <v>691512</v>
      </c>
      <c r="BV112" s="63">
        <v>1082588</v>
      </c>
      <c r="BW112" s="63">
        <v>0</v>
      </c>
      <c r="BX112" s="63">
        <v>21562</v>
      </c>
      <c r="BY112" s="63">
        <v>1104150</v>
      </c>
      <c r="BZ112" s="63">
        <v>1464</v>
      </c>
      <c r="CA112" s="63">
        <v>0</v>
      </c>
      <c r="CB112" s="63">
        <v>30</v>
      </c>
      <c r="CC112" s="63">
        <v>1494</v>
      </c>
      <c r="CD112" s="63">
        <v>0</v>
      </c>
      <c r="CE112" s="63">
        <v>0</v>
      </c>
      <c r="CF112" s="63">
        <v>0</v>
      </c>
      <c r="CG112" s="63">
        <v>0</v>
      </c>
      <c r="CH112" s="63">
        <v>33876</v>
      </c>
      <c r="CI112" s="63">
        <v>0</v>
      </c>
      <c r="CJ112" s="63">
        <v>629</v>
      </c>
      <c r="CK112" s="63">
        <v>34505</v>
      </c>
      <c r="CL112" s="63">
        <v>19044</v>
      </c>
      <c r="CM112" s="63">
        <v>0</v>
      </c>
      <c r="CN112" s="63">
        <v>389</v>
      </c>
      <c r="CO112" s="63">
        <v>19433</v>
      </c>
      <c r="CP112" s="63">
        <v>1814786</v>
      </c>
      <c r="CQ112" s="63">
        <v>0</v>
      </c>
      <c r="CR112" s="63">
        <v>36308</v>
      </c>
      <c r="CS112" s="63">
        <v>1851094</v>
      </c>
      <c r="CU112" s="141" t="s">
        <v>90</v>
      </c>
      <c r="CV112" s="157" t="s">
        <v>941</v>
      </c>
      <c r="CW112" s="156" t="s">
        <v>979</v>
      </c>
      <c r="CX112" s="345"/>
      <c r="CY112" s="345"/>
      <c r="CZ112" s="345"/>
    </row>
    <row r="113" spans="1:104" ht="12.75" x14ac:dyDescent="0.2">
      <c r="A113" s="90">
        <v>106</v>
      </c>
      <c r="B113" s="129" t="s">
        <v>93</v>
      </c>
      <c r="C113" s="130" t="s">
        <v>742</v>
      </c>
      <c r="D113" s="131" t="s">
        <v>745</v>
      </c>
      <c r="E113" s="132" t="s">
        <v>92</v>
      </c>
      <c r="F113" s="63">
        <v>22294407</v>
      </c>
      <c r="G113" s="63">
        <v>0</v>
      </c>
      <c r="H113" s="63">
        <v>0</v>
      </c>
      <c r="I113" s="63">
        <v>101234</v>
      </c>
      <c r="J113" s="63">
        <v>0</v>
      </c>
      <c r="K113" s="63">
        <v>101234</v>
      </c>
      <c r="L113" s="63">
        <v>0</v>
      </c>
      <c r="M113" s="63">
        <v>0</v>
      </c>
      <c r="N113" s="63">
        <v>73181</v>
      </c>
      <c r="O113" s="63">
        <v>73181</v>
      </c>
      <c r="P113" s="63">
        <v>0</v>
      </c>
      <c r="Q113" s="63">
        <v>22119992</v>
      </c>
      <c r="R113" s="474">
        <v>0.5</v>
      </c>
      <c r="S113" s="474">
        <v>0.4</v>
      </c>
      <c r="T113" s="474">
        <v>0.09</v>
      </c>
      <c r="U113" s="474">
        <v>0.01</v>
      </c>
      <c r="V113" s="474">
        <v>1</v>
      </c>
      <c r="W113" s="63">
        <v>11059996</v>
      </c>
      <c r="X113" s="63">
        <v>8847997</v>
      </c>
      <c r="Y113" s="63">
        <v>1990799</v>
      </c>
      <c r="Z113" s="63">
        <v>221200</v>
      </c>
      <c r="AA113" s="63">
        <v>22119992</v>
      </c>
      <c r="AB113" s="63">
        <v>0</v>
      </c>
      <c r="AC113" s="63">
        <v>0</v>
      </c>
      <c r="AD113" s="63">
        <v>0</v>
      </c>
      <c r="AE113" s="63">
        <v>0</v>
      </c>
      <c r="AF113" s="63">
        <v>0</v>
      </c>
      <c r="AG113" s="63">
        <v>0</v>
      </c>
      <c r="AH113" s="63">
        <v>0</v>
      </c>
      <c r="AI113" s="63">
        <v>0</v>
      </c>
      <c r="AJ113" s="63">
        <v>0</v>
      </c>
      <c r="AK113" s="63">
        <v>0</v>
      </c>
      <c r="AL113" s="63">
        <v>11059996</v>
      </c>
      <c r="AM113" s="63">
        <v>8847997</v>
      </c>
      <c r="AN113" s="63">
        <v>1990799</v>
      </c>
      <c r="AO113" s="63">
        <v>221200</v>
      </c>
      <c r="AP113" s="63">
        <v>22119992</v>
      </c>
      <c r="AQ113" s="63">
        <v>101234</v>
      </c>
      <c r="AR113" s="63">
        <v>101234</v>
      </c>
      <c r="AS113" s="63">
        <v>0</v>
      </c>
      <c r="AT113" s="63">
        <v>0</v>
      </c>
      <c r="AU113" s="63">
        <v>73181</v>
      </c>
      <c r="AV113" s="63">
        <v>0</v>
      </c>
      <c r="AW113" s="63">
        <v>73181</v>
      </c>
      <c r="AX113" s="63">
        <v>0</v>
      </c>
      <c r="AY113" s="63">
        <v>0</v>
      </c>
      <c r="AZ113" s="63">
        <v>0</v>
      </c>
      <c r="BA113" s="63">
        <v>0</v>
      </c>
      <c r="BB113" s="63">
        <v>0</v>
      </c>
      <c r="BC113" s="63">
        <v>0</v>
      </c>
      <c r="BD113" s="63">
        <v>0</v>
      </c>
      <c r="BE113" s="63">
        <v>0</v>
      </c>
      <c r="BF113" s="63">
        <v>0</v>
      </c>
      <c r="BG113" s="63">
        <v>0</v>
      </c>
      <c r="BH113" s="63">
        <v>-683908</v>
      </c>
      <c r="BI113" s="63">
        <v>-547127</v>
      </c>
      <c r="BJ113" s="63">
        <v>-123104</v>
      </c>
      <c r="BK113" s="63">
        <v>-13678</v>
      </c>
      <c r="BL113" s="63">
        <v>-1367817</v>
      </c>
      <c r="BM113" s="63">
        <v>10376088</v>
      </c>
      <c r="BN113" s="63">
        <v>8475285</v>
      </c>
      <c r="BO113" s="63">
        <v>1867695</v>
      </c>
      <c r="BP113" s="63">
        <v>207522</v>
      </c>
      <c r="BQ113" s="63">
        <v>20926590</v>
      </c>
      <c r="BR113" s="63">
        <v>129025</v>
      </c>
      <c r="BS113" s="63">
        <v>28793</v>
      </c>
      <c r="BT113" s="63">
        <v>3199</v>
      </c>
      <c r="BU113" s="63">
        <v>161017</v>
      </c>
      <c r="BV113" s="63">
        <v>341060</v>
      </c>
      <c r="BW113" s="63">
        <v>76739</v>
      </c>
      <c r="BX113" s="63">
        <v>8527</v>
      </c>
      <c r="BY113" s="63">
        <v>426326</v>
      </c>
      <c r="BZ113" s="63">
        <v>0</v>
      </c>
      <c r="CA113" s="63">
        <v>0</v>
      </c>
      <c r="CB113" s="63">
        <v>0</v>
      </c>
      <c r="CC113" s="63">
        <v>0</v>
      </c>
      <c r="CD113" s="63">
        <v>0</v>
      </c>
      <c r="CE113" s="63">
        <v>0</v>
      </c>
      <c r="CF113" s="63">
        <v>0</v>
      </c>
      <c r="CG113" s="63">
        <v>0</v>
      </c>
      <c r="CH113" s="63">
        <v>0</v>
      </c>
      <c r="CI113" s="63">
        <v>0</v>
      </c>
      <c r="CJ113" s="63">
        <v>0</v>
      </c>
      <c r="CK113" s="63">
        <v>0</v>
      </c>
      <c r="CL113" s="63">
        <v>1523</v>
      </c>
      <c r="CM113" s="63">
        <v>343</v>
      </c>
      <c r="CN113" s="63">
        <v>38</v>
      </c>
      <c r="CO113" s="63">
        <v>1904</v>
      </c>
      <c r="CP113" s="63">
        <v>471608</v>
      </c>
      <c r="CQ113" s="63">
        <v>105875</v>
      </c>
      <c r="CR113" s="63">
        <v>11764</v>
      </c>
      <c r="CS113" s="63">
        <v>589247</v>
      </c>
      <c r="CU113" s="141" t="s">
        <v>92</v>
      </c>
      <c r="CV113" s="157" t="s">
        <v>932</v>
      </c>
      <c r="CW113" s="156" t="s">
        <v>933</v>
      </c>
      <c r="CX113" s="345"/>
      <c r="CY113" s="345"/>
      <c r="CZ113" s="345"/>
    </row>
    <row r="114" spans="1:104" ht="12.75" x14ac:dyDescent="0.2">
      <c r="A114" s="90">
        <v>107</v>
      </c>
      <c r="B114" s="129" t="s">
        <v>95</v>
      </c>
      <c r="C114" s="130" t="s">
        <v>742</v>
      </c>
      <c r="D114" s="131" t="s">
        <v>751</v>
      </c>
      <c r="E114" s="132" t="s">
        <v>94</v>
      </c>
      <c r="F114" s="63">
        <v>54913829</v>
      </c>
      <c r="G114" s="63">
        <v>0</v>
      </c>
      <c r="H114" s="63">
        <v>0</v>
      </c>
      <c r="I114" s="63">
        <v>179492</v>
      </c>
      <c r="J114" s="63">
        <v>0</v>
      </c>
      <c r="K114" s="63">
        <v>179492</v>
      </c>
      <c r="L114" s="63">
        <v>0</v>
      </c>
      <c r="M114" s="63">
        <v>0</v>
      </c>
      <c r="N114" s="63">
        <v>0</v>
      </c>
      <c r="O114" s="63">
        <v>0</v>
      </c>
      <c r="P114" s="63">
        <v>0</v>
      </c>
      <c r="Q114" s="63">
        <v>54734337</v>
      </c>
      <c r="R114" s="474">
        <v>0.5</v>
      </c>
      <c r="S114" s="474">
        <v>0.4</v>
      </c>
      <c r="T114" s="474">
        <v>0.1</v>
      </c>
      <c r="U114" s="474">
        <v>0</v>
      </c>
      <c r="V114" s="474">
        <v>1</v>
      </c>
      <c r="W114" s="63">
        <v>27367168</v>
      </c>
      <c r="X114" s="63">
        <v>21893735</v>
      </c>
      <c r="Y114" s="63">
        <v>5473434</v>
      </c>
      <c r="Z114" s="63">
        <v>0</v>
      </c>
      <c r="AA114" s="63">
        <v>54734337</v>
      </c>
      <c r="AB114" s="63">
        <v>0</v>
      </c>
      <c r="AC114" s="63">
        <v>0</v>
      </c>
      <c r="AD114" s="63">
        <v>0</v>
      </c>
      <c r="AE114" s="63">
        <v>0</v>
      </c>
      <c r="AF114" s="63">
        <v>0</v>
      </c>
      <c r="AG114" s="63">
        <v>0</v>
      </c>
      <c r="AH114" s="63">
        <v>0</v>
      </c>
      <c r="AI114" s="63">
        <v>0</v>
      </c>
      <c r="AJ114" s="63">
        <v>0</v>
      </c>
      <c r="AK114" s="63">
        <v>0</v>
      </c>
      <c r="AL114" s="63">
        <v>27367168</v>
      </c>
      <c r="AM114" s="63">
        <v>21893735</v>
      </c>
      <c r="AN114" s="63">
        <v>5473434</v>
      </c>
      <c r="AO114" s="63">
        <v>0</v>
      </c>
      <c r="AP114" s="63">
        <v>54734337</v>
      </c>
      <c r="AQ114" s="63">
        <v>179492</v>
      </c>
      <c r="AR114" s="63">
        <v>179492</v>
      </c>
      <c r="AS114" s="63">
        <v>0</v>
      </c>
      <c r="AT114" s="63">
        <v>0</v>
      </c>
      <c r="AU114" s="63">
        <v>0</v>
      </c>
      <c r="AV114" s="63">
        <v>0</v>
      </c>
      <c r="AW114" s="63">
        <v>0</v>
      </c>
      <c r="AX114" s="63">
        <v>0</v>
      </c>
      <c r="AY114" s="63">
        <v>0</v>
      </c>
      <c r="AZ114" s="63">
        <v>0</v>
      </c>
      <c r="BA114" s="63">
        <v>0</v>
      </c>
      <c r="BB114" s="63">
        <v>0</v>
      </c>
      <c r="BC114" s="63">
        <v>0</v>
      </c>
      <c r="BD114" s="63">
        <v>0</v>
      </c>
      <c r="BE114" s="63">
        <v>0</v>
      </c>
      <c r="BF114" s="63">
        <v>0</v>
      </c>
      <c r="BG114" s="63">
        <v>0</v>
      </c>
      <c r="BH114" s="63">
        <v>-805806</v>
      </c>
      <c r="BI114" s="63">
        <v>-644645</v>
      </c>
      <c r="BJ114" s="63">
        <v>-161161</v>
      </c>
      <c r="BK114" s="63">
        <v>0</v>
      </c>
      <c r="BL114" s="63">
        <v>-1611612</v>
      </c>
      <c r="BM114" s="63">
        <v>26561362</v>
      </c>
      <c r="BN114" s="63">
        <v>21428582</v>
      </c>
      <c r="BO114" s="63">
        <v>5312273</v>
      </c>
      <c r="BP114" s="63">
        <v>0</v>
      </c>
      <c r="BQ114" s="63">
        <v>53302217</v>
      </c>
      <c r="BR114" s="63">
        <v>316645</v>
      </c>
      <c r="BS114" s="63">
        <v>79161</v>
      </c>
      <c r="BT114" s="63">
        <v>0</v>
      </c>
      <c r="BU114" s="63">
        <v>395806</v>
      </c>
      <c r="BV114" s="63">
        <v>396637</v>
      </c>
      <c r="BW114" s="63">
        <v>99159</v>
      </c>
      <c r="BX114" s="63">
        <v>0</v>
      </c>
      <c r="BY114" s="63">
        <v>495796</v>
      </c>
      <c r="BZ114" s="63">
        <v>0</v>
      </c>
      <c r="CA114" s="63">
        <v>0</v>
      </c>
      <c r="CB114" s="63">
        <v>0</v>
      </c>
      <c r="CC114" s="63">
        <v>0</v>
      </c>
      <c r="CD114" s="63">
        <v>38626</v>
      </c>
      <c r="CE114" s="63">
        <v>9656</v>
      </c>
      <c r="CF114" s="63">
        <v>0</v>
      </c>
      <c r="CG114" s="63">
        <v>48282</v>
      </c>
      <c r="CH114" s="63">
        <v>214</v>
      </c>
      <c r="CI114" s="63">
        <v>54</v>
      </c>
      <c r="CJ114" s="63">
        <v>0</v>
      </c>
      <c r="CK114" s="63">
        <v>268</v>
      </c>
      <c r="CL114" s="63">
        <v>0</v>
      </c>
      <c r="CM114" s="63">
        <v>0</v>
      </c>
      <c r="CN114" s="63">
        <v>0</v>
      </c>
      <c r="CO114" s="63">
        <v>0</v>
      </c>
      <c r="CP114" s="63">
        <v>752122</v>
      </c>
      <c r="CQ114" s="63">
        <v>188030</v>
      </c>
      <c r="CR114" s="63">
        <v>0</v>
      </c>
      <c r="CS114" s="63">
        <v>940152</v>
      </c>
      <c r="CU114" s="141" t="s">
        <v>94</v>
      </c>
      <c r="CV114" s="157" t="s">
        <v>966</v>
      </c>
      <c r="CW114" s="156" t="s">
        <v>928</v>
      </c>
      <c r="CX114" s="345"/>
      <c r="CY114" s="345"/>
      <c r="CZ114" s="345"/>
    </row>
    <row r="115" spans="1:104" ht="12.75" x14ac:dyDescent="0.2">
      <c r="A115" s="90">
        <v>108</v>
      </c>
      <c r="B115" s="129" t="s">
        <v>97</v>
      </c>
      <c r="C115" s="130" t="s">
        <v>742</v>
      </c>
      <c r="D115" s="131" t="s">
        <v>743</v>
      </c>
      <c r="E115" s="132" t="s">
        <v>96</v>
      </c>
      <c r="F115" s="63">
        <v>15978321</v>
      </c>
      <c r="G115" s="63">
        <v>0</v>
      </c>
      <c r="H115" s="63">
        <v>0</v>
      </c>
      <c r="I115" s="63">
        <v>79768</v>
      </c>
      <c r="J115" s="63">
        <v>0</v>
      </c>
      <c r="K115" s="63">
        <v>79768</v>
      </c>
      <c r="L115" s="63">
        <v>0</v>
      </c>
      <c r="M115" s="63">
        <v>0</v>
      </c>
      <c r="N115" s="63">
        <v>0</v>
      </c>
      <c r="O115" s="63">
        <v>0</v>
      </c>
      <c r="P115" s="63">
        <v>0</v>
      </c>
      <c r="Q115" s="63">
        <v>15898553</v>
      </c>
      <c r="R115" s="474">
        <v>0.5</v>
      </c>
      <c r="S115" s="474">
        <v>0.4</v>
      </c>
      <c r="T115" s="474">
        <v>0.09</v>
      </c>
      <c r="U115" s="474">
        <v>0.01</v>
      </c>
      <c r="V115" s="474">
        <v>1</v>
      </c>
      <c r="W115" s="63">
        <v>7949276</v>
      </c>
      <c r="X115" s="63">
        <v>6359421</v>
      </c>
      <c r="Y115" s="63">
        <v>1430870</v>
      </c>
      <c r="Z115" s="63">
        <v>158986</v>
      </c>
      <c r="AA115" s="63">
        <v>15898553</v>
      </c>
      <c r="AB115" s="63">
        <v>90616</v>
      </c>
      <c r="AC115" s="63">
        <v>0</v>
      </c>
      <c r="AD115" s="63">
        <v>0</v>
      </c>
      <c r="AE115" s="63">
        <v>0</v>
      </c>
      <c r="AF115" s="63">
        <v>90616</v>
      </c>
      <c r="AG115" s="63">
        <v>0</v>
      </c>
      <c r="AH115" s="63">
        <v>0</v>
      </c>
      <c r="AI115" s="63">
        <v>0</v>
      </c>
      <c r="AJ115" s="63">
        <v>0</v>
      </c>
      <c r="AK115" s="63">
        <v>0</v>
      </c>
      <c r="AL115" s="63">
        <v>7858660</v>
      </c>
      <c r="AM115" s="63">
        <v>6359421</v>
      </c>
      <c r="AN115" s="63">
        <v>1430870</v>
      </c>
      <c r="AO115" s="63">
        <v>158986</v>
      </c>
      <c r="AP115" s="63">
        <v>15807937</v>
      </c>
      <c r="AQ115" s="63">
        <v>79768</v>
      </c>
      <c r="AR115" s="63">
        <v>79768</v>
      </c>
      <c r="AS115" s="63">
        <v>0</v>
      </c>
      <c r="AT115" s="63">
        <v>0</v>
      </c>
      <c r="AU115" s="63">
        <v>0</v>
      </c>
      <c r="AV115" s="63">
        <v>0</v>
      </c>
      <c r="AW115" s="63">
        <v>0</v>
      </c>
      <c r="AX115" s="63">
        <v>90616</v>
      </c>
      <c r="AY115" s="63">
        <v>0</v>
      </c>
      <c r="AZ115" s="63">
        <v>0</v>
      </c>
      <c r="BA115" s="63">
        <v>90616</v>
      </c>
      <c r="BB115" s="63">
        <v>0</v>
      </c>
      <c r="BC115" s="63">
        <v>0</v>
      </c>
      <c r="BD115" s="63">
        <v>0</v>
      </c>
      <c r="BE115" s="63">
        <v>0</v>
      </c>
      <c r="BF115" s="63">
        <v>0</v>
      </c>
      <c r="BG115" s="63">
        <v>0</v>
      </c>
      <c r="BH115" s="63">
        <v>-179469</v>
      </c>
      <c r="BI115" s="63">
        <v>-143575</v>
      </c>
      <c r="BJ115" s="63">
        <v>-32304</v>
      </c>
      <c r="BK115" s="63">
        <v>-3589</v>
      </c>
      <c r="BL115" s="63">
        <v>-358937</v>
      </c>
      <c r="BM115" s="63">
        <v>7679191</v>
      </c>
      <c r="BN115" s="63">
        <v>6386230</v>
      </c>
      <c r="BO115" s="63">
        <v>1398566</v>
      </c>
      <c r="BP115" s="63">
        <v>155397</v>
      </c>
      <c r="BQ115" s="63">
        <v>15619384</v>
      </c>
      <c r="BR115" s="63">
        <v>93286</v>
      </c>
      <c r="BS115" s="63">
        <v>20694</v>
      </c>
      <c r="BT115" s="63">
        <v>2299</v>
      </c>
      <c r="BU115" s="63">
        <v>116279</v>
      </c>
      <c r="BV115" s="63">
        <v>293715</v>
      </c>
      <c r="BW115" s="63">
        <v>64347</v>
      </c>
      <c r="BX115" s="63">
        <v>7150</v>
      </c>
      <c r="BY115" s="63">
        <v>365212</v>
      </c>
      <c r="BZ115" s="63">
        <v>0</v>
      </c>
      <c r="CA115" s="63">
        <v>0</v>
      </c>
      <c r="CB115" s="63">
        <v>0</v>
      </c>
      <c r="CC115" s="63">
        <v>0</v>
      </c>
      <c r="CD115" s="63">
        <v>0</v>
      </c>
      <c r="CE115" s="63">
        <v>0</v>
      </c>
      <c r="CF115" s="63">
        <v>0</v>
      </c>
      <c r="CG115" s="63">
        <v>0</v>
      </c>
      <c r="CH115" s="63">
        <v>1406</v>
      </c>
      <c r="CI115" s="63">
        <v>316</v>
      </c>
      <c r="CJ115" s="63">
        <v>35</v>
      </c>
      <c r="CK115" s="63">
        <v>1757</v>
      </c>
      <c r="CL115" s="63">
        <v>0</v>
      </c>
      <c r="CM115" s="63">
        <v>0</v>
      </c>
      <c r="CN115" s="63">
        <v>0</v>
      </c>
      <c r="CO115" s="63">
        <v>0</v>
      </c>
      <c r="CP115" s="63">
        <v>388407</v>
      </c>
      <c r="CQ115" s="63">
        <v>85357</v>
      </c>
      <c r="CR115" s="63">
        <v>9484</v>
      </c>
      <c r="CS115" s="63">
        <v>483248</v>
      </c>
      <c r="CU115" s="141" t="s">
        <v>96</v>
      </c>
      <c r="CV115" s="157" t="s">
        <v>945</v>
      </c>
      <c r="CW115" s="156" t="s">
        <v>946</v>
      </c>
      <c r="CX115" s="345"/>
      <c r="CY115" s="345"/>
      <c r="CZ115" s="345"/>
    </row>
    <row r="116" spans="1:104" ht="12.75" x14ac:dyDescent="0.2">
      <c r="A116" s="90">
        <v>109</v>
      </c>
      <c r="B116" s="129" t="s">
        <v>99</v>
      </c>
      <c r="C116" s="130" t="s">
        <v>742</v>
      </c>
      <c r="D116" s="131" t="s">
        <v>743</v>
      </c>
      <c r="E116" s="132" t="s">
        <v>98</v>
      </c>
      <c r="F116" s="63">
        <v>24538939</v>
      </c>
      <c r="G116" s="63">
        <v>0</v>
      </c>
      <c r="H116" s="63">
        <v>0</v>
      </c>
      <c r="I116" s="63">
        <v>96778</v>
      </c>
      <c r="J116" s="63">
        <v>0</v>
      </c>
      <c r="K116" s="63">
        <v>96778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63">
        <v>24442161</v>
      </c>
      <c r="R116" s="474">
        <v>0.5</v>
      </c>
      <c r="S116" s="474">
        <v>0.4</v>
      </c>
      <c r="T116" s="474">
        <v>0.09</v>
      </c>
      <c r="U116" s="474">
        <v>0.01</v>
      </c>
      <c r="V116" s="474">
        <v>1</v>
      </c>
      <c r="W116" s="63">
        <v>12221081</v>
      </c>
      <c r="X116" s="63">
        <v>9776864</v>
      </c>
      <c r="Y116" s="63">
        <v>2199794</v>
      </c>
      <c r="Z116" s="63">
        <v>244422</v>
      </c>
      <c r="AA116" s="63">
        <v>24442161</v>
      </c>
      <c r="AB116" s="63">
        <v>0</v>
      </c>
      <c r="AC116" s="63">
        <v>0</v>
      </c>
      <c r="AD116" s="63">
        <v>0</v>
      </c>
      <c r="AE116" s="63">
        <v>0</v>
      </c>
      <c r="AF116" s="63">
        <v>0</v>
      </c>
      <c r="AG116" s="63">
        <v>0</v>
      </c>
      <c r="AH116" s="63">
        <v>0</v>
      </c>
      <c r="AI116" s="63">
        <v>0</v>
      </c>
      <c r="AJ116" s="63">
        <v>0</v>
      </c>
      <c r="AK116" s="63">
        <v>0</v>
      </c>
      <c r="AL116" s="63">
        <v>12221081</v>
      </c>
      <c r="AM116" s="63">
        <v>9776864</v>
      </c>
      <c r="AN116" s="63">
        <v>2199794</v>
      </c>
      <c r="AO116" s="63">
        <v>244422</v>
      </c>
      <c r="AP116" s="63">
        <v>24442161</v>
      </c>
      <c r="AQ116" s="63">
        <v>96778</v>
      </c>
      <c r="AR116" s="63">
        <v>96778</v>
      </c>
      <c r="AS116" s="63">
        <v>0</v>
      </c>
      <c r="AT116" s="63">
        <v>0</v>
      </c>
      <c r="AU116" s="63">
        <v>0</v>
      </c>
      <c r="AV116" s="63">
        <v>0</v>
      </c>
      <c r="AW116" s="63">
        <v>0</v>
      </c>
      <c r="AX116" s="63">
        <v>0</v>
      </c>
      <c r="AY116" s="63">
        <v>0</v>
      </c>
      <c r="AZ116" s="63">
        <v>0</v>
      </c>
      <c r="BA116" s="63">
        <v>0</v>
      </c>
      <c r="BB116" s="63">
        <v>0</v>
      </c>
      <c r="BC116" s="63">
        <v>0</v>
      </c>
      <c r="BD116" s="63">
        <v>0</v>
      </c>
      <c r="BE116" s="63">
        <v>0</v>
      </c>
      <c r="BF116" s="63">
        <v>0</v>
      </c>
      <c r="BG116" s="63">
        <v>0</v>
      </c>
      <c r="BH116" s="63">
        <v>-438522</v>
      </c>
      <c r="BI116" s="63">
        <v>-350818</v>
      </c>
      <c r="BJ116" s="63">
        <v>-78934</v>
      </c>
      <c r="BK116" s="63">
        <v>-8770</v>
      </c>
      <c r="BL116" s="63">
        <v>-877044</v>
      </c>
      <c r="BM116" s="63">
        <v>11782559</v>
      </c>
      <c r="BN116" s="63">
        <v>9522824</v>
      </c>
      <c r="BO116" s="63">
        <v>2120860</v>
      </c>
      <c r="BP116" s="63">
        <v>235652</v>
      </c>
      <c r="BQ116" s="63">
        <v>23661895</v>
      </c>
      <c r="BR116" s="63">
        <v>141401</v>
      </c>
      <c r="BS116" s="63">
        <v>31815</v>
      </c>
      <c r="BT116" s="63">
        <v>3535</v>
      </c>
      <c r="BU116" s="63">
        <v>176751</v>
      </c>
      <c r="BV116" s="63">
        <v>340961</v>
      </c>
      <c r="BW116" s="63">
        <v>76716</v>
      </c>
      <c r="BX116" s="63">
        <v>8524</v>
      </c>
      <c r="BY116" s="63">
        <v>426201</v>
      </c>
      <c r="BZ116" s="63">
        <v>1041</v>
      </c>
      <c r="CA116" s="63">
        <v>234</v>
      </c>
      <c r="CB116" s="63">
        <v>26</v>
      </c>
      <c r="CC116" s="63">
        <v>1301</v>
      </c>
      <c r="CD116" s="63">
        <v>0</v>
      </c>
      <c r="CE116" s="63">
        <v>0</v>
      </c>
      <c r="CF116" s="63">
        <v>0</v>
      </c>
      <c r="CG116" s="63">
        <v>0</v>
      </c>
      <c r="CH116" s="63">
        <v>4193</v>
      </c>
      <c r="CI116" s="63">
        <v>943</v>
      </c>
      <c r="CJ116" s="63">
        <v>105</v>
      </c>
      <c r="CK116" s="63">
        <v>5241</v>
      </c>
      <c r="CL116" s="63">
        <v>0</v>
      </c>
      <c r="CM116" s="63">
        <v>0</v>
      </c>
      <c r="CN116" s="63">
        <v>0</v>
      </c>
      <c r="CO116" s="63">
        <v>0</v>
      </c>
      <c r="CP116" s="63">
        <v>487596</v>
      </c>
      <c r="CQ116" s="63">
        <v>109708</v>
      </c>
      <c r="CR116" s="63">
        <v>12190</v>
      </c>
      <c r="CS116" s="63">
        <v>609494</v>
      </c>
      <c r="CU116" s="141" t="s">
        <v>98</v>
      </c>
      <c r="CV116" s="157" t="s">
        <v>934</v>
      </c>
      <c r="CW116" s="156" t="s">
        <v>935</v>
      </c>
      <c r="CX116" s="345"/>
      <c r="CY116" s="345"/>
      <c r="CZ116" s="345"/>
    </row>
    <row r="117" spans="1:104" ht="12.75" x14ac:dyDescent="0.2">
      <c r="A117" s="90">
        <v>110</v>
      </c>
      <c r="B117" s="129" t="s">
        <v>101</v>
      </c>
      <c r="C117" s="130" t="s">
        <v>742</v>
      </c>
      <c r="D117" s="131" t="s">
        <v>746</v>
      </c>
      <c r="E117" s="132" t="s">
        <v>100</v>
      </c>
      <c r="F117" s="63">
        <v>31389165</v>
      </c>
      <c r="G117" s="63">
        <v>0</v>
      </c>
      <c r="H117" s="63">
        <v>0</v>
      </c>
      <c r="I117" s="63">
        <v>184873</v>
      </c>
      <c r="J117" s="63">
        <v>0</v>
      </c>
      <c r="K117" s="63">
        <v>184873</v>
      </c>
      <c r="L117" s="63">
        <v>0</v>
      </c>
      <c r="M117" s="63">
        <v>0</v>
      </c>
      <c r="N117" s="63">
        <v>55664</v>
      </c>
      <c r="O117" s="63">
        <v>55664</v>
      </c>
      <c r="P117" s="63">
        <v>0</v>
      </c>
      <c r="Q117" s="63">
        <v>31148628</v>
      </c>
      <c r="R117" s="474">
        <v>0.5</v>
      </c>
      <c r="S117" s="474">
        <v>0.4</v>
      </c>
      <c r="T117" s="474">
        <v>0.1</v>
      </c>
      <c r="U117" s="474">
        <v>0</v>
      </c>
      <c r="V117" s="474">
        <v>1</v>
      </c>
      <c r="W117" s="63">
        <v>15574314</v>
      </c>
      <c r="X117" s="63">
        <v>12459451</v>
      </c>
      <c r="Y117" s="63">
        <v>3114863</v>
      </c>
      <c r="Z117" s="63">
        <v>0</v>
      </c>
      <c r="AA117" s="63">
        <v>31148628</v>
      </c>
      <c r="AB117" s="63">
        <v>488370</v>
      </c>
      <c r="AC117" s="63">
        <v>0</v>
      </c>
      <c r="AD117" s="63">
        <v>0</v>
      </c>
      <c r="AE117" s="63">
        <v>0</v>
      </c>
      <c r="AF117" s="63">
        <v>488370</v>
      </c>
      <c r="AG117" s="63">
        <v>0</v>
      </c>
      <c r="AH117" s="63">
        <v>0</v>
      </c>
      <c r="AI117" s="63">
        <v>0</v>
      </c>
      <c r="AJ117" s="63">
        <v>0</v>
      </c>
      <c r="AK117" s="63">
        <v>0</v>
      </c>
      <c r="AL117" s="63">
        <v>15085944</v>
      </c>
      <c r="AM117" s="63">
        <v>12459451</v>
      </c>
      <c r="AN117" s="63">
        <v>3114863</v>
      </c>
      <c r="AO117" s="63">
        <v>0</v>
      </c>
      <c r="AP117" s="63">
        <v>30660258</v>
      </c>
      <c r="AQ117" s="63">
        <v>184873</v>
      </c>
      <c r="AR117" s="63">
        <v>184873</v>
      </c>
      <c r="AS117" s="63">
        <v>0</v>
      </c>
      <c r="AT117" s="63">
        <v>0</v>
      </c>
      <c r="AU117" s="63">
        <v>55664</v>
      </c>
      <c r="AV117" s="63">
        <v>0</v>
      </c>
      <c r="AW117" s="63">
        <v>55664</v>
      </c>
      <c r="AX117" s="63">
        <v>488370</v>
      </c>
      <c r="AY117" s="63">
        <v>0</v>
      </c>
      <c r="AZ117" s="63">
        <v>0</v>
      </c>
      <c r="BA117" s="63">
        <v>488370</v>
      </c>
      <c r="BB117" s="63">
        <v>0</v>
      </c>
      <c r="BC117" s="63">
        <v>0</v>
      </c>
      <c r="BD117" s="63">
        <v>0</v>
      </c>
      <c r="BE117" s="63">
        <v>0</v>
      </c>
      <c r="BF117" s="63">
        <v>0</v>
      </c>
      <c r="BG117" s="63">
        <v>0</v>
      </c>
      <c r="BH117" s="63">
        <v>-338204</v>
      </c>
      <c r="BI117" s="63">
        <v>-270563</v>
      </c>
      <c r="BJ117" s="63">
        <v>-67641</v>
      </c>
      <c r="BK117" s="63">
        <v>0</v>
      </c>
      <c r="BL117" s="63">
        <v>-676408</v>
      </c>
      <c r="BM117" s="63">
        <v>14747740</v>
      </c>
      <c r="BN117" s="63">
        <v>12917795</v>
      </c>
      <c r="BO117" s="63">
        <v>3047222</v>
      </c>
      <c r="BP117" s="63">
        <v>0</v>
      </c>
      <c r="BQ117" s="63">
        <v>30712757</v>
      </c>
      <c r="BR117" s="63">
        <v>188067</v>
      </c>
      <c r="BS117" s="63">
        <v>45050</v>
      </c>
      <c r="BT117" s="63">
        <v>0</v>
      </c>
      <c r="BU117" s="63">
        <v>233117</v>
      </c>
      <c r="BV117" s="63">
        <v>570390</v>
      </c>
      <c r="BW117" s="63">
        <v>142598</v>
      </c>
      <c r="BX117" s="63">
        <v>0</v>
      </c>
      <c r="BY117" s="63">
        <v>712988</v>
      </c>
      <c r="BZ117" s="63">
        <v>0</v>
      </c>
      <c r="CA117" s="63">
        <v>0</v>
      </c>
      <c r="CB117" s="63">
        <v>0</v>
      </c>
      <c r="CC117" s="63">
        <v>0</v>
      </c>
      <c r="CD117" s="63">
        <v>0</v>
      </c>
      <c r="CE117" s="63">
        <v>0</v>
      </c>
      <c r="CF117" s="63">
        <v>0</v>
      </c>
      <c r="CG117" s="63">
        <v>0</v>
      </c>
      <c r="CH117" s="63">
        <v>0</v>
      </c>
      <c r="CI117" s="63">
        <v>0</v>
      </c>
      <c r="CJ117" s="63">
        <v>0</v>
      </c>
      <c r="CK117" s="63">
        <v>0</v>
      </c>
      <c r="CL117" s="63">
        <v>5798</v>
      </c>
      <c r="CM117" s="63">
        <v>1449</v>
      </c>
      <c r="CN117" s="63">
        <v>0</v>
      </c>
      <c r="CO117" s="63">
        <v>7247</v>
      </c>
      <c r="CP117" s="63">
        <v>764255</v>
      </c>
      <c r="CQ117" s="63">
        <v>189097</v>
      </c>
      <c r="CR117" s="63">
        <v>0</v>
      </c>
      <c r="CS117" s="63">
        <v>953352</v>
      </c>
      <c r="CU117" s="141" t="s">
        <v>100</v>
      </c>
      <c r="CV117" s="157" t="s">
        <v>958</v>
      </c>
      <c r="CW117" s="156" t="s">
        <v>928</v>
      </c>
      <c r="CX117" s="345"/>
      <c r="CY117" s="345"/>
      <c r="CZ117" s="345"/>
    </row>
    <row r="118" spans="1:104" ht="12.75" x14ac:dyDescent="0.2">
      <c r="A118" s="90">
        <v>111</v>
      </c>
      <c r="B118" s="129" t="s">
        <v>103</v>
      </c>
      <c r="C118" s="130" t="s">
        <v>754</v>
      </c>
      <c r="D118" s="131" t="s">
        <v>748</v>
      </c>
      <c r="E118" s="132" t="s">
        <v>102</v>
      </c>
      <c r="F118" s="63">
        <v>69168560</v>
      </c>
      <c r="G118" s="63">
        <v>0</v>
      </c>
      <c r="H118" s="63">
        <v>0</v>
      </c>
      <c r="I118" s="63">
        <v>276508</v>
      </c>
      <c r="J118" s="63">
        <v>0</v>
      </c>
      <c r="K118" s="63">
        <v>276508</v>
      </c>
      <c r="L118" s="63">
        <v>0</v>
      </c>
      <c r="M118" s="63">
        <v>0</v>
      </c>
      <c r="N118" s="63">
        <v>0</v>
      </c>
      <c r="O118" s="63">
        <v>0</v>
      </c>
      <c r="P118" s="63">
        <v>0</v>
      </c>
      <c r="Q118" s="63">
        <v>68892052</v>
      </c>
      <c r="R118" s="474">
        <v>0.5</v>
      </c>
      <c r="S118" s="474">
        <v>0.3</v>
      </c>
      <c r="T118" s="474">
        <v>0.2</v>
      </c>
      <c r="U118" s="474">
        <v>0</v>
      </c>
      <c r="V118" s="474">
        <v>1</v>
      </c>
      <c r="W118" s="63">
        <v>34446026</v>
      </c>
      <c r="X118" s="63">
        <v>20667616</v>
      </c>
      <c r="Y118" s="63">
        <v>13778410</v>
      </c>
      <c r="Z118" s="63">
        <v>0</v>
      </c>
      <c r="AA118" s="63">
        <v>68892052</v>
      </c>
      <c r="AB118" s="63">
        <v>0</v>
      </c>
      <c r="AC118" s="63">
        <v>0</v>
      </c>
      <c r="AD118" s="63">
        <v>0</v>
      </c>
      <c r="AE118" s="63">
        <v>0</v>
      </c>
      <c r="AF118" s="63">
        <v>0</v>
      </c>
      <c r="AG118" s="63">
        <v>0</v>
      </c>
      <c r="AH118" s="63">
        <v>0</v>
      </c>
      <c r="AI118" s="63">
        <v>0</v>
      </c>
      <c r="AJ118" s="63">
        <v>0</v>
      </c>
      <c r="AK118" s="63">
        <v>0</v>
      </c>
      <c r="AL118" s="63">
        <v>34446026</v>
      </c>
      <c r="AM118" s="63">
        <v>20667616</v>
      </c>
      <c r="AN118" s="63">
        <v>13778410</v>
      </c>
      <c r="AO118" s="63">
        <v>0</v>
      </c>
      <c r="AP118" s="63">
        <v>68892052</v>
      </c>
      <c r="AQ118" s="63">
        <v>276508</v>
      </c>
      <c r="AR118" s="63">
        <v>276508</v>
      </c>
      <c r="AS118" s="63">
        <v>0</v>
      </c>
      <c r="AT118" s="63">
        <v>0</v>
      </c>
      <c r="AU118" s="63">
        <v>0</v>
      </c>
      <c r="AV118" s="63">
        <v>0</v>
      </c>
      <c r="AW118" s="63">
        <v>0</v>
      </c>
      <c r="AX118" s="63">
        <v>0</v>
      </c>
      <c r="AY118" s="63">
        <v>0</v>
      </c>
      <c r="AZ118" s="63">
        <v>0</v>
      </c>
      <c r="BA118" s="63">
        <v>0</v>
      </c>
      <c r="BB118" s="63">
        <v>0</v>
      </c>
      <c r="BC118" s="63">
        <v>0</v>
      </c>
      <c r="BD118" s="63">
        <v>0</v>
      </c>
      <c r="BE118" s="63">
        <v>0</v>
      </c>
      <c r="BF118" s="63">
        <v>0</v>
      </c>
      <c r="BG118" s="63">
        <v>0</v>
      </c>
      <c r="BH118" s="63">
        <v>-1634500</v>
      </c>
      <c r="BI118" s="63">
        <v>-980700</v>
      </c>
      <c r="BJ118" s="63">
        <v>-653800</v>
      </c>
      <c r="BK118" s="63">
        <v>0</v>
      </c>
      <c r="BL118" s="63">
        <v>-3269000</v>
      </c>
      <c r="BM118" s="63">
        <v>32811526</v>
      </c>
      <c r="BN118" s="63">
        <v>19963424</v>
      </c>
      <c r="BO118" s="63">
        <v>13124610</v>
      </c>
      <c r="BP118" s="63">
        <v>0</v>
      </c>
      <c r="BQ118" s="63">
        <v>65899560</v>
      </c>
      <c r="BR118" s="63">
        <v>298912</v>
      </c>
      <c r="BS118" s="63">
        <v>199275</v>
      </c>
      <c r="BT118" s="63">
        <v>0</v>
      </c>
      <c r="BU118" s="63">
        <v>498187</v>
      </c>
      <c r="BV118" s="63">
        <v>517602</v>
      </c>
      <c r="BW118" s="63">
        <v>345068</v>
      </c>
      <c r="BX118" s="63">
        <v>0</v>
      </c>
      <c r="BY118" s="63">
        <v>862670</v>
      </c>
      <c r="BZ118" s="63">
        <v>0</v>
      </c>
      <c r="CA118" s="63">
        <v>0</v>
      </c>
      <c r="CB118" s="63">
        <v>0</v>
      </c>
      <c r="CC118" s="63">
        <v>0</v>
      </c>
      <c r="CD118" s="63">
        <v>24348</v>
      </c>
      <c r="CE118" s="63">
        <v>16231</v>
      </c>
      <c r="CF118" s="63">
        <v>0</v>
      </c>
      <c r="CG118" s="63">
        <v>40579</v>
      </c>
      <c r="CH118" s="63">
        <v>0</v>
      </c>
      <c r="CI118" s="63">
        <v>0</v>
      </c>
      <c r="CJ118" s="63">
        <v>0</v>
      </c>
      <c r="CK118" s="63">
        <v>0</v>
      </c>
      <c r="CL118" s="63">
        <v>2065</v>
      </c>
      <c r="CM118" s="63">
        <v>1376</v>
      </c>
      <c r="CN118" s="63">
        <v>0</v>
      </c>
      <c r="CO118" s="63">
        <v>3441</v>
      </c>
      <c r="CP118" s="63">
        <v>842927</v>
      </c>
      <c r="CQ118" s="63">
        <v>561950</v>
      </c>
      <c r="CR118" s="63">
        <v>0</v>
      </c>
      <c r="CS118" s="63">
        <v>1404877</v>
      </c>
      <c r="CU118" s="141" t="s">
        <v>102</v>
      </c>
      <c r="CV118" s="157" t="s">
        <v>939</v>
      </c>
      <c r="CW118" s="157" t="s">
        <v>940</v>
      </c>
      <c r="CX118" s="345"/>
      <c r="CY118" s="345"/>
      <c r="CZ118" s="345"/>
    </row>
    <row r="119" spans="1:104" ht="12.75" x14ac:dyDescent="0.2">
      <c r="A119" s="90">
        <v>112</v>
      </c>
      <c r="B119" s="129" t="s">
        <v>105</v>
      </c>
      <c r="C119" s="130" t="s">
        <v>742</v>
      </c>
      <c r="D119" s="131" t="s">
        <v>743</v>
      </c>
      <c r="E119" s="132" t="s">
        <v>104</v>
      </c>
      <c r="F119" s="63">
        <v>83032416</v>
      </c>
      <c r="G119" s="63">
        <v>0</v>
      </c>
      <c r="H119" s="63">
        <v>0</v>
      </c>
      <c r="I119" s="63">
        <v>232751</v>
      </c>
      <c r="J119" s="63">
        <v>0</v>
      </c>
      <c r="K119" s="63">
        <v>232751</v>
      </c>
      <c r="L119" s="63">
        <v>0</v>
      </c>
      <c r="M119" s="63">
        <v>0</v>
      </c>
      <c r="N119" s="63">
        <v>0</v>
      </c>
      <c r="O119" s="63">
        <v>0</v>
      </c>
      <c r="P119" s="63">
        <v>0</v>
      </c>
      <c r="Q119" s="63">
        <v>82799665</v>
      </c>
      <c r="R119" s="474">
        <v>0.5</v>
      </c>
      <c r="S119" s="474">
        <v>0.4</v>
      </c>
      <c r="T119" s="474">
        <v>0.1</v>
      </c>
      <c r="U119" s="474">
        <v>0</v>
      </c>
      <c r="V119" s="474">
        <v>1</v>
      </c>
      <c r="W119" s="63">
        <v>41399832</v>
      </c>
      <c r="X119" s="63">
        <v>33119866</v>
      </c>
      <c r="Y119" s="63">
        <v>8279967</v>
      </c>
      <c r="Z119" s="63">
        <v>0</v>
      </c>
      <c r="AA119" s="63">
        <v>82799665</v>
      </c>
      <c r="AB119" s="63">
        <v>0</v>
      </c>
      <c r="AC119" s="63">
        <v>0</v>
      </c>
      <c r="AD119" s="63">
        <v>0</v>
      </c>
      <c r="AE119" s="63">
        <v>0</v>
      </c>
      <c r="AF119" s="63">
        <v>0</v>
      </c>
      <c r="AG119" s="63">
        <v>0</v>
      </c>
      <c r="AH119" s="63">
        <v>0</v>
      </c>
      <c r="AI119" s="63">
        <v>0</v>
      </c>
      <c r="AJ119" s="63">
        <v>0</v>
      </c>
      <c r="AK119" s="63">
        <v>0</v>
      </c>
      <c r="AL119" s="63">
        <v>41399832</v>
      </c>
      <c r="AM119" s="63">
        <v>33119866</v>
      </c>
      <c r="AN119" s="63">
        <v>8279967</v>
      </c>
      <c r="AO119" s="63">
        <v>0</v>
      </c>
      <c r="AP119" s="63">
        <v>82799665</v>
      </c>
      <c r="AQ119" s="63">
        <v>232751</v>
      </c>
      <c r="AR119" s="63">
        <v>232751</v>
      </c>
      <c r="AS119" s="63">
        <v>0</v>
      </c>
      <c r="AT119" s="63">
        <v>0</v>
      </c>
      <c r="AU119" s="63">
        <v>0</v>
      </c>
      <c r="AV119" s="63">
        <v>0</v>
      </c>
      <c r="AW119" s="63">
        <v>0</v>
      </c>
      <c r="AX119" s="63">
        <v>0</v>
      </c>
      <c r="AY119" s="63">
        <v>0</v>
      </c>
      <c r="AZ119" s="63">
        <v>0</v>
      </c>
      <c r="BA119" s="63">
        <v>0</v>
      </c>
      <c r="BB119" s="63">
        <v>0</v>
      </c>
      <c r="BC119" s="63">
        <v>0</v>
      </c>
      <c r="BD119" s="63">
        <v>0</v>
      </c>
      <c r="BE119" s="63">
        <v>0</v>
      </c>
      <c r="BF119" s="63">
        <v>0</v>
      </c>
      <c r="BG119" s="63">
        <v>0</v>
      </c>
      <c r="BH119" s="63">
        <v>-1890980</v>
      </c>
      <c r="BI119" s="63">
        <v>-1512784</v>
      </c>
      <c r="BJ119" s="63">
        <v>-378196</v>
      </c>
      <c r="BK119" s="63">
        <v>0</v>
      </c>
      <c r="BL119" s="63">
        <v>-3781960</v>
      </c>
      <c r="BM119" s="63">
        <v>39508852</v>
      </c>
      <c r="BN119" s="63">
        <v>31839833</v>
      </c>
      <c r="BO119" s="63">
        <v>7901771</v>
      </c>
      <c r="BP119" s="63">
        <v>0</v>
      </c>
      <c r="BQ119" s="63">
        <v>79250456</v>
      </c>
      <c r="BR119" s="63">
        <v>479006</v>
      </c>
      <c r="BS119" s="63">
        <v>119752</v>
      </c>
      <c r="BT119" s="63">
        <v>0</v>
      </c>
      <c r="BU119" s="63">
        <v>598758</v>
      </c>
      <c r="BV119" s="63">
        <v>369241</v>
      </c>
      <c r="BW119" s="63">
        <v>92310</v>
      </c>
      <c r="BX119" s="63">
        <v>0</v>
      </c>
      <c r="BY119" s="63">
        <v>461551</v>
      </c>
      <c r="BZ119" s="63">
        <v>1460</v>
      </c>
      <c r="CA119" s="63">
        <v>365</v>
      </c>
      <c r="CB119" s="63">
        <v>0</v>
      </c>
      <c r="CC119" s="63">
        <v>1825</v>
      </c>
      <c r="CD119" s="63">
        <v>0</v>
      </c>
      <c r="CE119" s="63">
        <v>0</v>
      </c>
      <c r="CF119" s="63">
        <v>0</v>
      </c>
      <c r="CG119" s="63">
        <v>0</v>
      </c>
      <c r="CH119" s="63">
        <v>1912</v>
      </c>
      <c r="CI119" s="63">
        <v>478</v>
      </c>
      <c r="CJ119" s="63">
        <v>0</v>
      </c>
      <c r="CK119" s="63">
        <v>2390</v>
      </c>
      <c r="CL119" s="63">
        <v>3413</v>
      </c>
      <c r="CM119" s="63">
        <v>853</v>
      </c>
      <c r="CN119" s="63">
        <v>0</v>
      </c>
      <c r="CO119" s="63">
        <v>4266</v>
      </c>
      <c r="CP119" s="63">
        <v>855032</v>
      </c>
      <c r="CQ119" s="63">
        <v>213758</v>
      </c>
      <c r="CR119" s="63">
        <v>0</v>
      </c>
      <c r="CS119" s="63">
        <v>1068790</v>
      </c>
      <c r="CU119" s="141" t="s">
        <v>104</v>
      </c>
      <c r="CV119" s="157" t="s">
        <v>978</v>
      </c>
      <c r="CW119" s="156" t="s">
        <v>928</v>
      </c>
      <c r="CX119" s="345"/>
      <c r="CY119" s="345"/>
      <c r="CZ119" s="345"/>
    </row>
    <row r="120" spans="1:104" ht="12.75" x14ac:dyDescent="0.2">
      <c r="A120" s="90">
        <v>113</v>
      </c>
      <c r="B120" s="129" t="s">
        <v>107</v>
      </c>
      <c r="C120" s="130" t="s">
        <v>754</v>
      </c>
      <c r="D120" s="131" t="s">
        <v>748</v>
      </c>
      <c r="E120" s="132" t="s">
        <v>106</v>
      </c>
      <c r="F120" s="63">
        <v>92655681</v>
      </c>
      <c r="G120" s="63">
        <v>0</v>
      </c>
      <c r="H120" s="63">
        <v>0</v>
      </c>
      <c r="I120" s="63">
        <v>499664</v>
      </c>
      <c r="J120" s="63">
        <v>0</v>
      </c>
      <c r="K120" s="63">
        <v>499664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63">
        <v>92156017</v>
      </c>
      <c r="R120" s="474">
        <v>0.5</v>
      </c>
      <c r="S120" s="474">
        <v>0.3</v>
      </c>
      <c r="T120" s="474">
        <v>0.2</v>
      </c>
      <c r="U120" s="474">
        <v>0</v>
      </c>
      <c r="V120" s="474">
        <v>1</v>
      </c>
      <c r="W120" s="63">
        <v>46078009</v>
      </c>
      <c r="X120" s="63">
        <v>27646805</v>
      </c>
      <c r="Y120" s="63">
        <v>18431203</v>
      </c>
      <c r="Z120" s="63">
        <v>0</v>
      </c>
      <c r="AA120" s="63">
        <v>92156017</v>
      </c>
      <c r="AB120" s="63">
        <v>0</v>
      </c>
      <c r="AC120" s="63">
        <v>0</v>
      </c>
      <c r="AD120" s="63">
        <v>0</v>
      </c>
      <c r="AE120" s="63">
        <v>0</v>
      </c>
      <c r="AF120" s="63">
        <v>0</v>
      </c>
      <c r="AG120" s="63">
        <v>0</v>
      </c>
      <c r="AH120" s="63">
        <v>0</v>
      </c>
      <c r="AI120" s="63">
        <v>0</v>
      </c>
      <c r="AJ120" s="63">
        <v>0</v>
      </c>
      <c r="AK120" s="63">
        <v>0</v>
      </c>
      <c r="AL120" s="63">
        <v>46078009</v>
      </c>
      <c r="AM120" s="63">
        <v>27646805</v>
      </c>
      <c r="AN120" s="63">
        <v>18431203</v>
      </c>
      <c r="AO120" s="63">
        <v>0</v>
      </c>
      <c r="AP120" s="63">
        <v>92156017</v>
      </c>
      <c r="AQ120" s="63">
        <v>499664</v>
      </c>
      <c r="AR120" s="63">
        <v>499664</v>
      </c>
      <c r="AS120" s="63">
        <v>0</v>
      </c>
      <c r="AT120" s="63">
        <v>0</v>
      </c>
      <c r="AU120" s="63">
        <v>0</v>
      </c>
      <c r="AV120" s="63">
        <v>0</v>
      </c>
      <c r="AW120" s="63">
        <v>0</v>
      </c>
      <c r="AX120" s="63">
        <v>0</v>
      </c>
      <c r="AY120" s="63">
        <v>0</v>
      </c>
      <c r="AZ120" s="63">
        <v>0</v>
      </c>
      <c r="BA120" s="63">
        <v>0</v>
      </c>
      <c r="BB120" s="63">
        <v>0</v>
      </c>
      <c r="BC120" s="63">
        <v>0</v>
      </c>
      <c r="BD120" s="63">
        <v>0</v>
      </c>
      <c r="BE120" s="63">
        <v>0</v>
      </c>
      <c r="BF120" s="63">
        <v>0</v>
      </c>
      <c r="BG120" s="63">
        <v>0</v>
      </c>
      <c r="BH120" s="63">
        <v>-5413550</v>
      </c>
      <c r="BI120" s="63">
        <v>-3248130</v>
      </c>
      <c r="BJ120" s="63">
        <v>-2165420</v>
      </c>
      <c r="BK120" s="63">
        <v>0</v>
      </c>
      <c r="BL120" s="63">
        <v>-10827100</v>
      </c>
      <c r="BM120" s="63">
        <v>40664459</v>
      </c>
      <c r="BN120" s="63">
        <v>24898339</v>
      </c>
      <c r="BO120" s="63">
        <v>16265783</v>
      </c>
      <c r="BP120" s="63">
        <v>0</v>
      </c>
      <c r="BQ120" s="63">
        <v>81828581</v>
      </c>
      <c r="BR120" s="63">
        <v>399850</v>
      </c>
      <c r="BS120" s="63">
        <v>266567</v>
      </c>
      <c r="BT120" s="63">
        <v>0</v>
      </c>
      <c r="BU120" s="63">
        <v>666417</v>
      </c>
      <c r="BV120" s="63">
        <v>973884</v>
      </c>
      <c r="BW120" s="63">
        <v>649256</v>
      </c>
      <c r="BX120" s="63">
        <v>0</v>
      </c>
      <c r="BY120" s="63">
        <v>1623140</v>
      </c>
      <c r="BZ120" s="63">
        <v>0</v>
      </c>
      <c r="CA120" s="63">
        <v>0</v>
      </c>
      <c r="CB120" s="63">
        <v>0</v>
      </c>
      <c r="CC120" s="63">
        <v>0</v>
      </c>
      <c r="CD120" s="63">
        <v>0</v>
      </c>
      <c r="CE120" s="63">
        <v>0</v>
      </c>
      <c r="CF120" s="63">
        <v>0</v>
      </c>
      <c r="CG120" s="63">
        <v>0</v>
      </c>
      <c r="CH120" s="63">
        <v>1326</v>
      </c>
      <c r="CI120" s="63">
        <v>884</v>
      </c>
      <c r="CJ120" s="63">
        <v>0</v>
      </c>
      <c r="CK120" s="63">
        <v>2210</v>
      </c>
      <c r="CL120" s="63">
        <v>27183</v>
      </c>
      <c r="CM120" s="63">
        <v>18122</v>
      </c>
      <c r="CN120" s="63">
        <v>0</v>
      </c>
      <c r="CO120" s="63">
        <v>45305</v>
      </c>
      <c r="CP120" s="63">
        <v>1402243</v>
      </c>
      <c r="CQ120" s="63">
        <v>934829</v>
      </c>
      <c r="CR120" s="63">
        <v>0</v>
      </c>
      <c r="CS120" s="63">
        <v>2337072</v>
      </c>
      <c r="CU120" s="141" t="s">
        <v>106</v>
      </c>
      <c r="CV120" s="157" t="s">
        <v>939</v>
      </c>
      <c r="CW120" s="157" t="s">
        <v>940</v>
      </c>
      <c r="CX120" s="345"/>
      <c r="CY120" s="345"/>
      <c r="CZ120" s="345"/>
    </row>
    <row r="121" spans="1:104" ht="12.75" x14ac:dyDescent="0.2">
      <c r="A121" s="90">
        <v>114</v>
      </c>
      <c r="B121" s="129" t="s">
        <v>108</v>
      </c>
      <c r="C121" s="130" t="s">
        <v>501</v>
      </c>
      <c r="D121" s="131" t="s">
        <v>744</v>
      </c>
      <c r="E121" s="132" t="s">
        <v>513</v>
      </c>
      <c r="F121" s="63">
        <v>52575992</v>
      </c>
      <c r="G121" s="63">
        <v>0</v>
      </c>
      <c r="H121" s="63">
        <v>0</v>
      </c>
      <c r="I121" s="63">
        <v>165255</v>
      </c>
      <c r="J121" s="63">
        <v>0</v>
      </c>
      <c r="K121" s="63">
        <v>165255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63">
        <v>52410737</v>
      </c>
      <c r="R121" s="474">
        <v>0.5</v>
      </c>
      <c r="S121" s="474">
        <v>0.49</v>
      </c>
      <c r="T121" s="474">
        <v>0</v>
      </c>
      <c r="U121" s="474">
        <v>0.01</v>
      </c>
      <c r="V121" s="474">
        <v>1</v>
      </c>
      <c r="W121" s="63">
        <v>26205369</v>
      </c>
      <c r="X121" s="63">
        <v>25681261</v>
      </c>
      <c r="Y121" s="63">
        <v>0</v>
      </c>
      <c r="Z121" s="63">
        <v>524107</v>
      </c>
      <c r="AA121" s="63">
        <v>52410737</v>
      </c>
      <c r="AB121" s="63">
        <v>157261</v>
      </c>
      <c r="AC121" s="63">
        <v>0</v>
      </c>
      <c r="AD121" s="63">
        <v>0</v>
      </c>
      <c r="AE121" s="63">
        <v>0</v>
      </c>
      <c r="AF121" s="63">
        <v>157261</v>
      </c>
      <c r="AG121" s="63">
        <v>0</v>
      </c>
      <c r="AH121" s="63">
        <v>0</v>
      </c>
      <c r="AI121" s="63">
        <v>0</v>
      </c>
      <c r="AJ121" s="63">
        <v>0</v>
      </c>
      <c r="AK121" s="63">
        <v>0</v>
      </c>
      <c r="AL121" s="63">
        <v>26048108</v>
      </c>
      <c r="AM121" s="63">
        <v>25681261</v>
      </c>
      <c r="AN121" s="63">
        <v>0</v>
      </c>
      <c r="AO121" s="63">
        <v>524107</v>
      </c>
      <c r="AP121" s="63">
        <v>52253476</v>
      </c>
      <c r="AQ121" s="63">
        <v>165255</v>
      </c>
      <c r="AR121" s="63">
        <v>165255</v>
      </c>
      <c r="AS121" s="63">
        <v>0</v>
      </c>
      <c r="AT121" s="63">
        <v>0</v>
      </c>
      <c r="AU121" s="63">
        <v>0</v>
      </c>
      <c r="AV121" s="63">
        <v>0</v>
      </c>
      <c r="AW121" s="63">
        <v>0</v>
      </c>
      <c r="AX121" s="63">
        <v>156926</v>
      </c>
      <c r="AY121" s="63">
        <v>0</v>
      </c>
      <c r="AZ121" s="63">
        <v>335</v>
      </c>
      <c r="BA121" s="63">
        <v>157261</v>
      </c>
      <c r="BB121" s="63">
        <v>0</v>
      </c>
      <c r="BC121" s="63">
        <v>0</v>
      </c>
      <c r="BD121" s="63">
        <v>0</v>
      </c>
      <c r="BE121" s="63">
        <v>0</v>
      </c>
      <c r="BF121" s="63">
        <v>0</v>
      </c>
      <c r="BG121" s="63">
        <v>0</v>
      </c>
      <c r="BH121" s="63">
        <v>0</v>
      </c>
      <c r="BI121" s="63">
        <v>0</v>
      </c>
      <c r="BJ121" s="63">
        <v>0</v>
      </c>
      <c r="BK121" s="63">
        <v>0</v>
      </c>
      <c r="BL121" s="63">
        <v>0</v>
      </c>
      <c r="BM121" s="63">
        <v>26048108</v>
      </c>
      <c r="BN121" s="63">
        <v>26003442</v>
      </c>
      <c r="BO121" s="63">
        <v>0</v>
      </c>
      <c r="BP121" s="63">
        <v>524442</v>
      </c>
      <c r="BQ121" s="63">
        <v>52575992</v>
      </c>
      <c r="BR121" s="63">
        <v>373693</v>
      </c>
      <c r="BS121" s="63">
        <v>0</v>
      </c>
      <c r="BT121" s="63">
        <v>7585</v>
      </c>
      <c r="BU121" s="63">
        <v>381278</v>
      </c>
      <c r="BV121" s="63">
        <v>496170</v>
      </c>
      <c r="BW121" s="63">
        <v>0</v>
      </c>
      <c r="BX121" s="63">
        <v>10126</v>
      </c>
      <c r="BY121" s="63">
        <v>506296</v>
      </c>
      <c r="BZ121" s="63">
        <v>4329</v>
      </c>
      <c r="CA121" s="63">
        <v>0</v>
      </c>
      <c r="CB121" s="63">
        <v>88</v>
      </c>
      <c r="CC121" s="63">
        <v>4417</v>
      </c>
      <c r="CD121" s="63">
        <v>0</v>
      </c>
      <c r="CE121" s="63">
        <v>0</v>
      </c>
      <c r="CF121" s="63">
        <v>0</v>
      </c>
      <c r="CG121" s="63">
        <v>0</v>
      </c>
      <c r="CH121" s="63">
        <v>13009</v>
      </c>
      <c r="CI121" s="63">
        <v>0</v>
      </c>
      <c r="CJ121" s="63">
        <v>265</v>
      </c>
      <c r="CK121" s="63">
        <v>13274</v>
      </c>
      <c r="CL121" s="63">
        <v>0</v>
      </c>
      <c r="CM121" s="63">
        <v>0</v>
      </c>
      <c r="CN121" s="63">
        <v>0</v>
      </c>
      <c r="CO121" s="63">
        <v>0</v>
      </c>
      <c r="CP121" s="63">
        <v>887201</v>
      </c>
      <c r="CQ121" s="63">
        <v>0</v>
      </c>
      <c r="CR121" s="63">
        <v>18064</v>
      </c>
      <c r="CS121" s="63">
        <v>905265</v>
      </c>
      <c r="CU121" s="141" t="s">
        <v>513</v>
      </c>
      <c r="CV121" s="157" t="s">
        <v>501</v>
      </c>
      <c r="CW121" s="156" t="s">
        <v>968</v>
      </c>
      <c r="CX121" s="345"/>
      <c r="CY121" s="345"/>
      <c r="CZ121" s="345"/>
    </row>
    <row r="122" spans="1:104" ht="12.75" x14ac:dyDescent="0.2">
      <c r="A122" s="90">
        <v>115</v>
      </c>
      <c r="B122" s="129" t="s">
        <v>110</v>
      </c>
      <c r="C122" s="130" t="s">
        <v>742</v>
      </c>
      <c r="D122" s="131" t="s">
        <v>750</v>
      </c>
      <c r="E122" s="132" t="s">
        <v>109</v>
      </c>
      <c r="F122" s="63">
        <v>27601842</v>
      </c>
      <c r="G122" s="63">
        <v>0</v>
      </c>
      <c r="H122" s="63">
        <v>0</v>
      </c>
      <c r="I122" s="63">
        <v>156084</v>
      </c>
      <c r="J122" s="63">
        <v>0</v>
      </c>
      <c r="K122" s="63">
        <v>156084</v>
      </c>
      <c r="L122" s="63">
        <v>0</v>
      </c>
      <c r="M122" s="63">
        <v>0</v>
      </c>
      <c r="N122" s="63">
        <v>0</v>
      </c>
      <c r="O122" s="63">
        <v>0</v>
      </c>
      <c r="P122" s="63">
        <v>0</v>
      </c>
      <c r="Q122" s="63">
        <v>27445758</v>
      </c>
      <c r="R122" s="474">
        <v>0.5</v>
      </c>
      <c r="S122" s="474">
        <v>0.4</v>
      </c>
      <c r="T122" s="474">
        <v>0.09</v>
      </c>
      <c r="U122" s="474">
        <v>0.01</v>
      </c>
      <c r="V122" s="474">
        <v>1</v>
      </c>
      <c r="W122" s="63">
        <v>13722879</v>
      </c>
      <c r="X122" s="63">
        <v>10978303</v>
      </c>
      <c r="Y122" s="63">
        <v>2470118</v>
      </c>
      <c r="Z122" s="63">
        <v>274458</v>
      </c>
      <c r="AA122" s="63">
        <v>27445758</v>
      </c>
      <c r="AB122" s="63">
        <v>0</v>
      </c>
      <c r="AC122" s="63">
        <v>0</v>
      </c>
      <c r="AD122" s="63">
        <v>0</v>
      </c>
      <c r="AE122" s="63">
        <v>0</v>
      </c>
      <c r="AF122" s="63">
        <v>0</v>
      </c>
      <c r="AG122" s="63">
        <v>0</v>
      </c>
      <c r="AH122" s="63">
        <v>0</v>
      </c>
      <c r="AI122" s="63">
        <v>0</v>
      </c>
      <c r="AJ122" s="63">
        <v>0</v>
      </c>
      <c r="AK122" s="63">
        <v>0</v>
      </c>
      <c r="AL122" s="63">
        <v>13722879</v>
      </c>
      <c r="AM122" s="63">
        <v>10978303</v>
      </c>
      <c r="AN122" s="63">
        <v>2470118</v>
      </c>
      <c r="AO122" s="63">
        <v>274458</v>
      </c>
      <c r="AP122" s="63">
        <v>27445758</v>
      </c>
      <c r="AQ122" s="63">
        <v>156084</v>
      </c>
      <c r="AR122" s="63">
        <v>156084</v>
      </c>
      <c r="AS122" s="63">
        <v>0</v>
      </c>
      <c r="AT122" s="63">
        <v>0</v>
      </c>
      <c r="AU122" s="63">
        <v>0</v>
      </c>
      <c r="AV122" s="63">
        <v>0</v>
      </c>
      <c r="AW122" s="63">
        <v>0</v>
      </c>
      <c r="AX122" s="63">
        <v>0</v>
      </c>
      <c r="AY122" s="63">
        <v>0</v>
      </c>
      <c r="AZ122" s="63">
        <v>0</v>
      </c>
      <c r="BA122" s="63">
        <v>0</v>
      </c>
      <c r="BB122" s="63">
        <v>0</v>
      </c>
      <c r="BC122" s="63">
        <v>0</v>
      </c>
      <c r="BD122" s="63">
        <v>0</v>
      </c>
      <c r="BE122" s="63">
        <v>0</v>
      </c>
      <c r="BF122" s="63">
        <v>0</v>
      </c>
      <c r="BG122" s="63">
        <v>0</v>
      </c>
      <c r="BH122" s="63">
        <v>-107472</v>
      </c>
      <c r="BI122" s="63">
        <v>-85978</v>
      </c>
      <c r="BJ122" s="63">
        <v>-19345</v>
      </c>
      <c r="BK122" s="63">
        <v>-2149</v>
      </c>
      <c r="BL122" s="63">
        <v>-214944</v>
      </c>
      <c r="BM122" s="63">
        <v>13615407</v>
      </c>
      <c r="BN122" s="63">
        <v>11048409</v>
      </c>
      <c r="BO122" s="63">
        <v>2450773</v>
      </c>
      <c r="BP122" s="63">
        <v>272309</v>
      </c>
      <c r="BQ122" s="63">
        <v>27386898</v>
      </c>
      <c r="BR122" s="63">
        <v>158777</v>
      </c>
      <c r="BS122" s="63">
        <v>35725</v>
      </c>
      <c r="BT122" s="63">
        <v>3969</v>
      </c>
      <c r="BU122" s="63">
        <v>198471</v>
      </c>
      <c r="BV122" s="63">
        <v>572348</v>
      </c>
      <c r="BW122" s="63">
        <v>128778</v>
      </c>
      <c r="BX122" s="63">
        <v>14309</v>
      </c>
      <c r="BY122" s="63">
        <v>715435</v>
      </c>
      <c r="BZ122" s="63">
        <v>5882</v>
      </c>
      <c r="CA122" s="63">
        <v>1324</v>
      </c>
      <c r="CB122" s="63">
        <v>147</v>
      </c>
      <c r="CC122" s="63">
        <v>7353</v>
      </c>
      <c r="CD122" s="63">
        <v>8116</v>
      </c>
      <c r="CE122" s="63">
        <v>1826</v>
      </c>
      <c r="CF122" s="63">
        <v>203</v>
      </c>
      <c r="CG122" s="63">
        <v>10145</v>
      </c>
      <c r="CH122" s="63">
        <v>8116</v>
      </c>
      <c r="CI122" s="63">
        <v>1826</v>
      </c>
      <c r="CJ122" s="63">
        <v>203</v>
      </c>
      <c r="CK122" s="63">
        <v>10145</v>
      </c>
      <c r="CL122" s="63">
        <v>811</v>
      </c>
      <c r="CM122" s="63">
        <v>183</v>
      </c>
      <c r="CN122" s="63">
        <v>20</v>
      </c>
      <c r="CO122" s="63">
        <v>1014</v>
      </c>
      <c r="CP122" s="63">
        <v>754050</v>
      </c>
      <c r="CQ122" s="63">
        <v>169662</v>
      </c>
      <c r="CR122" s="63">
        <v>18851</v>
      </c>
      <c r="CS122" s="63">
        <v>942563</v>
      </c>
      <c r="CU122" s="141" t="s">
        <v>109</v>
      </c>
      <c r="CV122" s="157" t="s">
        <v>972</v>
      </c>
      <c r="CW122" s="156" t="s">
        <v>764</v>
      </c>
      <c r="CX122" s="345"/>
      <c r="CY122" s="345"/>
      <c r="CZ122" s="345"/>
    </row>
    <row r="123" spans="1:104" ht="12.75" x14ac:dyDescent="0.2">
      <c r="A123" s="90">
        <v>116</v>
      </c>
      <c r="B123" s="129" t="s">
        <v>111</v>
      </c>
      <c r="C123" s="130" t="s">
        <v>754</v>
      </c>
      <c r="D123" s="131" t="s">
        <v>748</v>
      </c>
      <c r="E123" s="132" t="s">
        <v>552</v>
      </c>
      <c r="F123" s="63">
        <v>187408798</v>
      </c>
      <c r="G123" s="63">
        <v>0</v>
      </c>
      <c r="H123" s="63">
        <v>0</v>
      </c>
      <c r="I123" s="63">
        <v>556007</v>
      </c>
      <c r="J123" s="63">
        <v>0</v>
      </c>
      <c r="K123" s="63">
        <v>556007</v>
      </c>
      <c r="L123" s="63">
        <v>0</v>
      </c>
      <c r="M123" s="63">
        <v>0</v>
      </c>
      <c r="N123" s="63">
        <v>0</v>
      </c>
      <c r="O123" s="63">
        <v>0</v>
      </c>
      <c r="P123" s="63">
        <v>0</v>
      </c>
      <c r="Q123" s="63">
        <v>186852791</v>
      </c>
      <c r="R123" s="474">
        <v>0.5</v>
      </c>
      <c r="S123" s="474">
        <v>0.3</v>
      </c>
      <c r="T123" s="474">
        <v>0.2</v>
      </c>
      <c r="U123" s="474">
        <v>0</v>
      </c>
      <c r="V123" s="474">
        <v>1</v>
      </c>
      <c r="W123" s="63">
        <v>93426396</v>
      </c>
      <c r="X123" s="63">
        <v>56055837</v>
      </c>
      <c r="Y123" s="63">
        <v>37370558</v>
      </c>
      <c r="Z123" s="63">
        <v>0</v>
      </c>
      <c r="AA123" s="63">
        <v>186852791</v>
      </c>
      <c r="AB123" s="63">
        <v>0</v>
      </c>
      <c r="AC123" s="63">
        <v>0</v>
      </c>
      <c r="AD123" s="63">
        <v>0</v>
      </c>
      <c r="AE123" s="63">
        <v>0</v>
      </c>
      <c r="AF123" s="63">
        <v>0</v>
      </c>
      <c r="AG123" s="63">
        <v>0</v>
      </c>
      <c r="AH123" s="63">
        <v>0</v>
      </c>
      <c r="AI123" s="63">
        <v>0</v>
      </c>
      <c r="AJ123" s="63">
        <v>0</v>
      </c>
      <c r="AK123" s="63">
        <v>0</v>
      </c>
      <c r="AL123" s="63">
        <v>93426396</v>
      </c>
      <c r="AM123" s="63">
        <v>56055837</v>
      </c>
      <c r="AN123" s="63">
        <v>37370558</v>
      </c>
      <c r="AO123" s="63">
        <v>0</v>
      </c>
      <c r="AP123" s="63">
        <v>186852791</v>
      </c>
      <c r="AQ123" s="63">
        <v>556007</v>
      </c>
      <c r="AR123" s="63">
        <v>556007</v>
      </c>
      <c r="AS123" s="63">
        <v>0</v>
      </c>
      <c r="AT123" s="63">
        <v>0</v>
      </c>
      <c r="AU123" s="63">
        <v>0</v>
      </c>
      <c r="AV123" s="63">
        <v>0</v>
      </c>
      <c r="AW123" s="63">
        <v>0</v>
      </c>
      <c r="AX123" s="63">
        <v>0</v>
      </c>
      <c r="AY123" s="63">
        <v>0</v>
      </c>
      <c r="AZ123" s="63">
        <v>0</v>
      </c>
      <c r="BA123" s="63">
        <v>0</v>
      </c>
      <c r="BB123" s="63">
        <v>0</v>
      </c>
      <c r="BC123" s="63">
        <v>0</v>
      </c>
      <c r="BD123" s="63">
        <v>0</v>
      </c>
      <c r="BE123" s="63">
        <v>0</v>
      </c>
      <c r="BF123" s="63">
        <v>0</v>
      </c>
      <c r="BG123" s="63">
        <v>0</v>
      </c>
      <c r="BH123" s="63">
        <v>4833471</v>
      </c>
      <c r="BI123" s="63">
        <v>2900082</v>
      </c>
      <c r="BJ123" s="63">
        <v>1933388</v>
      </c>
      <c r="BK123" s="63">
        <v>0</v>
      </c>
      <c r="BL123" s="63">
        <v>9666941</v>
      </c>
      <c r="BM123" s="63">
        <v>98259867</v>
      </c>
      <c r="BN123" s="63">
        <v>59511926</v>
      </c>
      <c r="BO123" s="63">
        <v>39303946</v>
      </c>
      <c r="BP123" s="63">
        <v>0</v>
      </c>
      <c r="BQ123" s="63">
        <v>197075739</v>
      </c>
      <c r="BR123" s="63">
        <v>810725</v>
      </c>
      <c r="BS123" s="63">
        <v>540483</v>
      </c>
      <c r="BT123" s="63">
        <v>0</v>
      </c>
      <c r="BU123" s="63">
        <v>1351208</v>
      </c>
      <c r="BV123" s="63">
        <v>348499</v>
      </c>
      <c r="BW123" s="63">
        <v>232333</v>
      </c>
      <c r="BX123" s="63">
        <v>0</v>
      </c>
      <c r="BY123" s="63">
        <v>580832</v>
      </c>
      <c r="BZ123" s="63">
        <v>0</v>
      </c>
      <c r="CA123" s="63">
        <v>0</v>
      </c>
      <c r="CB123" s="63">
        <v>0</v>
      </c>
      <c r="CC123" s="63">
        <v>0</v>
      </c>
      <c r="CD123" s="63">
        <v>107288</v>
      </c>
      <c r="CE123" s="63">
        <v>71525</v>
      </c>
      <c r="CF123" s="63">
        <v>0</v>
      </c>
      <c r="CG123" s="63">
        <v>178813</v>
      </c>
      <c r="CH123" s="63">
        <v>7389</v>
      </c>
      <c r="CI123" s="63">
        <v>4926</v>
      </c>
      <c r="CJ123" s="63">
        <v>0</v>
      </c>
      <c r="CK123" s="63">
        <v>12315</v>
      </c>
      <c r="CL123" s="63">
        <v>0</v>
      </c>
      <c r="CM123" s="63">
        <v>0</v>
      </c>
      <c r="CN123" s="63">
        <v>0</v>
      </c>
      <c r="CO123" s="63">
        <v>0</v>
      </c>
      <c r="CP123" s="63">
        <v>1273901</v>
      </c>
      <c r="CQ123" s="63">
        <v>849267</v>
      </c>
      <c r="CR123" s="63">
        <v>0</v>
      </c>
      <c r="CS123" s="63">
        <v>2123168</v>
      </c>
      <c r="CU123" s="141" t="s">
        <v>552</v>
      </c>
      <c r="CV123" s="157" t="s">
        <v>939</v>
      </c>
      <c r="CW123" s="157" t="s">
        <v>940</v>
      </c>
      <c r="CX123" s="345"/>
      <c r="CY123" s="345"/>
      <c r="CZ123" s="345"/>
    </row>
    <row r="124" spans="1:104" ht="12.75" x14ac:dyDescent="0.2">
      <c r="A124" s="90">
        <v>117</v>
      </c>
      <c r="B124" s="129" t="s">
        <v>113</v>
      </c>
      <c r="C124" s="130" t="s">
        <v>742</v>
      </c>
      <c r="D124" s="131" t="s">
        <v>745</v>
      </c>
      <c r="E124" s="132" t="s">
        <v>112</v>
      </c>
      <c r="F124" s="63">
        <v>37774005</v>
      </c>
      <c r="G124" s="63">
        <v>0</v>
      </c>
      <c r="H124" s="63">
        <v>0</v>
      </c>
      <c r="I124" s="63">
        <v>126674</v>
      </c>
      <c r="J124" s="63">
        <v>0</v>
      </c>
      <c r="K124" s="63">
        <v>126674</v>
      </c>
      <c r="L124" s="63">
        <v>0</v>
      </c>
      <c r="M124" s="63">
        <v>0</v>
      </c>
      <c r="N124" s="63">
        <v>0</v>
      </c>
      <c r="O124" s="63">
        <v>0</v>
      </c>
      <c r="P124" s="63">
        <v>0</v>
      </c>
      <c r="Q124" s="63">
        <v>37647331</v>
      </c>
      <c r="R124" s="474">
        <v>0.5</v>
      </c>
      <c r="S124" s="474">
        <v>0.4</v>
      </c>
      <c r="T124" s="474">
        <v>0.09</v>
      </c>
      <c r="U124" s="474">
        <v>0.01</v>
      </c>
      <c r="V124" s="474">
        <v>1</v>
      </c>
      <c r="W124" s="63">
        <v>18823666</v>
      </c>
      <c r="X124" s="63">
        <v>15058932</v>
      </c>
      <c r="Y124" s="63">
        <v>3388260</v>
      </c>
      <c r="Z124" s="63">
        <v>376473</v>
      </c>
      <c r="AA124" s="63">
        <v>37647331</v>
      </c>
      <c r="AB124" s="63">
        <v>0</v>
      </c>
      <c r="AC124" s="63">
        <v>0</v>
      </c>
      <c r="AD124" s="63">
        <v>0</v>
      </c>
      <c r="AE124" s="63">
        <v>0</v>
      </c>
      <c r="AF124" s="63">
        <v>0</v>
      </c>
      <c r="AG124" s="63">
        <v>0</v>
      </c>
      <c r="AH124" s="63">
        <v>0</v>
      </c>
      <c r="AI124" s="63">
        <v>0</v>
      </c>
      <c r="AJ124" s="63">
        <v>0</v>
      </c>
      <c r="AK124" s="63">
        <v>0</v>
      </c>
      <c r="AL124" s="63">
        <v>18823666</v>
      </c>
      <c r="AM124" s="63">
        <v>15058932</v>
      </c>
      <c r="AN124" s="63">
        <v>3388260</v>
      </c>
      <c r="AO124" s="63">
        <v>376473</v>
      </c>
      <c r="AP124" s="63">
        <v>37647331</v>
      </c>
      <c r="AQ124" s="63">
        <v>126674</v>
      </c>
      <c r="AR124" s="63">
        <v>126674</v>
      </c>
      <c r="AS124" s="63">
        <v>0</v>
      </c>
      <c r="AT124" s="63">
        <v>0</v>
      </c>
      <c r="AU124" s="63">
        <v>0</v>
      </c>
      <c r="AV124" s="63">
        <v>0</v>
      </c>
      <c r="AW124" s="63">
        <v>0</v>
      </c>
      <c r="AX124" s="63">
        <v>0</v>
      </c>
      <c r="AY124" s="63">
        <v>0</v>
      </c>
      <c r="AZ124" s="63">
        <v>0</v>
      </c>
      <c r="BA124" s="63">
        <v>0</v>
      </c>
      <c r="BB124" s="63">
        <v>0</v>
      </c>
      <c r="BC124" s="63">
        <v>0</v>
      </c>
      <c r="BD124" s="63">
        <v>0</v>
      </c>
      <c r="BE124" s="63">
        <v>0</v>
      </c>
      <c r="BF124" s="63">
        <v>0</v>
      </c>
      <c r="BG124" s="63">
        <v>0</v>
      </c>
      <c r="BH124" s="63">
        <v>-1165693</v>
      </c>
      <c r="BI124" s="63">
        <v>-932554</v>
      </c>
      <c r="BJ124" s="63">
        <v>-209825</v>
      </c>
      <c r="BK124" s="63">
        <v>-23314</v>
      </c>
      <c r="BL124" s="63">
        <v>-2331386</v>
      </c>
      <c r="BM124" s="63">
        <v>17657973</v>
      </c>
      <c r="BN124" s="63">
        <v>14253052</v>
      </c>
      <c r="BO124" s="63">
        <v>3178435</v>
      </c>
      <c r="BP124" s="63">
        <v>353159</v>
      </c>
      <c r="BQ124" s="63">
        <v>35442619</v>
      </c>
      <c r="BR124" s="63">
        <v>217794</v>
      </c>
      <c r="BS124" s="63">
        <v>49004</v>
      </c>
      <c r="BT124" s="63">
        <v>5445</v>
      </c>
      <c r="BU124" s="63">
        <v>272243</v>
      </c>
      <c r="BV124" s="63">
        <v>363553</v>
      </c>
      <c r="BW124" s="63">
        <v>81800</v>
      </c>
      <c r="BX124" s="63">
        <v>9089</v>
      </c>
      <c r="BY124" s="63">
        <v>454442</v>
      </c>
      <c r="BZ124" s="63">
        <v>1059</v>
      </c>
      <c r="CA124" s="63">
        <v>238</v>
      </c>
      <c r="CB124" s="63">
        <v>26</v>
      </c>
      <c r="CC124" s="63">
        <v>1323</v>
      </c>
      <c r="CD124" s="63">
        <v>6086</v>
      </c>
      <c r="CE124" s="63">
        <v>1370</v>
      </c>
      <c r="CF124" s="63">
        <v>152</v>
      </c>
      <c r="CG124" s="63">
        <v>7608</v>
      </c>
      <c r="CH124" s="63">
        <v>0</v>
      </c>
      <c r="CI124" s="63">
        <v>0</v>
      </c>
      <c r="CJ124" s="63">
        <v>0</v>
      </c>
      <c r="CK124" s="63">
        <v>0</v>
      </c>
      <c r="CL124" s="63">
        <v>1409</v>
      </c>
      <c r="CM124" s="63">
        <v>317</v>
      </c>
      <c r="CN124" s="63">
        <v>35</v>
      </c>
      <c r="CO124" s="63">
        <v>1761</v>
      </c>
      <c r="CP124" s="63">
        <v>589901</v>
      </c>
      <c r="CQ124" s="63">
        <v>132729</v>
      </c>
      <c r="CR124" s="63">
        <v>14747</v>
      </c>
      <c r="CS124" s="63">
        <v>737377</v>
      </c>
      <c r="CU124" s="141" t="s">
        <v>112</v>
      </c>
      <c r="CV124" s="157" t="s">
        <v>950</v>
      </c>
      <c r="CW124" s="156" t="s">
        <v>951</v>
      </c>
      <c r="CX124" s="345"/>
      <c r="CY124" s="345"/>
      <c r="CZ124" s="345"/>
    </row>
    <row r="125" spans="1:104" ht="12.75" x14ac:dyDescent="0.2">
      <c r="A125" s="90">
        <v>118</v>
      </c>
      <c r="B125" s="129" t="s">
        <v>115</v>
      </c>
      <c r="C125" s="130" t="s">
        <v>747</v>
      </c>
      <c r="D125" s="131" t="s">
        <v>748</v>
      </c>
      <c r="E125" s="132" t="s">
        <v>114</v>
      </c>
      <c r="F125" s="63">
        <v>66428112</v>
      </c>
      <c r="G125" s="63">
        <v>0</v>
      </c>
      <c r="H125" s="63">
        <v>0</v>
      </c>
      <c r="I125" s="63">
        <v>305922</v>
      </c>
      <c r="J125" s="63">
        <v>0</v>
      </c>
      <c r="K125" s="63">
        <v>305922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63">
        <v>66122190</v>
      </c>
      <c r="R125" s="474">
        <v>0.5</v>
      </c>
      <c r="S125" s="474">
        <v>0.3</v>
      </c>
      <c r="T125" s="474">
        <v>0.2</v>
      </c>
      <c r="U125" s="474">
        <v>0</v>
      </c>
      <c r="V125" s="474">
        <v>1</v>
      </c>
      <c r="W125" s="63">
        <v>33061095</v>
      </c>
      <c r="X125" s="63">
        <v>19836657</v>
      </c>
      <c r="Y125" s="63">
        <v>13224438</v>
      </c>
      <c r="Z125" s="63">
        <v>0</v>
      </c>
      <c r="AA125" s="63">
        <v>66122190</v>
      </c>
      <c r="AB125" s="63">
        <v>0</v>
      </c>
      <c r="AC125" s="63">
        <v>0</v>
      </c>
      <c r="AD125" s="63">
        <v>0</v>
      </c>
      <c r="AE125" s="63">
        <v>0</v>
      </c>
      <c r="AF125" s="63">
        <v>0</v>
      </c>
      <c r="AG125" s="63">
        <v>0</v>
      </c>
      <c r="AH125" s="63">
        <v>0</v>
      </c>
      <c r="AI125" s="63">
        <v>0</v>
      </c>
      <c r="AJ125" s="63">
        <v>0</v>
      </c>
      <c r="AK125" s="63">
        <v>0</v>
      </c>
      <c r="AL125" s="63">
        <v>33061095</v>
      </c>
      <c r="AM125" s="63">
        <v>19836657</v>
      </c>
      <c r="AN125" s="63">
        <v>13224438</v>
      </c>
      <c r="AO125" s="63">
        <v>0</v>
      </c>
      <c r="AP125" s="63">
        <v>66122190</v>
      </c>
      <c r="AQ125" s="63">
        <v>305922</v>
      </c>
      <c r="AR125" s="63">
        <v>305922</v>
      </c>
      <c r="AS125" s="63">
        <v>0</v>
      </c>
      <c r="AT125" s="63">
        <v>0</v>
      </c>
      <c r="AU125" s="63">
        <v>0</v>
      </c>
      <c r="AV125" s="63">
        <v>0</v>
      </c>
      <c r="AW125" s="63">
        <v>0</v>
      </c>
      <c r="AX125" s="63">
        <v>0</v>
      </c>
      <c r="AY125" s="63">
        <v>0</v>
      </c>
      <c r="AZ125" s="63">
        <v>0</v>
      </c>
      <c r="BA125" s="63">
        <v>0</v>
      </c>
      <c r="BB125" s="63">
        <v>0</v>
      </c>
      <c r="BC125" s="63">
        <v>0</v>
      </c>
      <c r="BD125" s="63">
        <v>0</v>
      </c>
      <c r="BE125" s="63">
        <v>0</v>
      </c>
      <c r="BF125" s="63">
        <v>0</v>
      </c>
      <c r="BG125" s="63">
        <v>0</v>
      </c>
      <c r="BH125" s="63">
        <v>-4649040</v>
      </c>
      <c r="BI125" s="63">
        <v>-2789424</v>
      </c>
      <c r="BJ125" s="63">
        <v>-1859616</v>
      </c>
      <c r="BK125" s="63">
        <v>0</v>
      </c>
      <c r="BL125" s="63">
        <v>-9298080</v>
      </c>
      <c r="BM125" s="63">
        <v>28412055</v>
      </c>
      <c r="BN125" s="63">
        <v>17353155</v>
      </c>
      <c r="BO125" s="63">
        <v>11364822</v>
      </c>
      <c r="BP125" s="63">
        <v>0</v>
      </c>
      <c r="BQ125" s="63">
        <v>57130032</v>
      </c>
      <c r="BR125" s="63">
        <v>286894</v>
      </c>
      <c r="BS125" s="63">
        <v>191263</v>
      </c>
      <c r="BT125" s="63">
        <v>0</v>
      </c>
      <c r="BU125" s="63">
        <v>478157</v>
      </c>
      <c r="BV125" s="63">
        <v>663190</v>
      </c>
      <c r="BW125" s="63">
        <v>442126</v>
      </c>
      <c r="BX125" s="63">
        <v>0</v>
      </c>
      <c r="BY125" s="63">
        <v>1105316</v>
      </c>
      <c r="BZ125" s="63">
        <v>0</v>
      </c>
      <c r="CA125" s="63">
        <v>0</v>
      </c>
      <c r="CB125" s="63">
        <v>0</v>
      </c>
      <c r="CC125" s="63">
        <v>0</v>
      </c>
      <c r="CD125" s="63">
        <v>25525</v>
      </c>
      <c r="CE125" s="63">
        <v>17016</v>
      </c>
      <c r="CF125" s="63">
        <v>0</v>
      </c>
      <c r="CG125" s="63">
        <v>42541</v>
      </c>
      <c r="CH125" s="63">
        <v>5637</v>
      </c>
      <c r="CI125" s="63">
        <v>3758</v>
      </c>
      <c r="CJ125" s="63">
        <v>0</v>
      </c>
      <c r="CK125" s="63">
        <v>9395</v>
      </c>
      <c r="CL125" s="63">
        <v>0</v>
      </c>
      <c r="CM125" s="63">
        <v>0</v>
      </c>
      <c r="CN125" s="63">
        <v>0</v>
      </c>
      <c r="CO125" s="63">
        <v>0</v>
      </c>
      <c r="CP125" s="63">
        <v>981246</v>
      </c>
      <c r="CQ125" s="63">
        <v>654163</v>
      </c>
      <c r="CR125" s="63">
        <v>0</v>
      </c>
      <c r="CS125" s="63">
        <v>1635409</v>
      </c>
      <c r="CU125" s="141" t="s">
        <v>114</v>
      </c>
      <c r="CV125" s="157" t="s">
        <v>939</v>
      </c>
      <c r="CW125" s="157" t="s">
        <v>940</v>
      </c>
      <c r="CX125" s="345"/>
      <c r="CY125" s="345"/>
      <c r="CZ125" s="345"/>
    </row>
    <row r="126" spans="1:104" ht="12.75" x14ac:dyDescent="0.2">
      <c r="A126" s="90">
        <v>119</v>
      </c>
      <c r="B126" s="129" t="s">
        <v>117</v>
      </c>
      <c r="C126" s="130" t="s">
        <v>742</v>
      </c>
      <c r="D126" s="131" t="s">
        <v>746</v>
      </c>
      <c r="E126" s="132" t="s">
        <v>116</v>
      </c>
      <c r="F126" s="63">
        <v>47983885.229999997</v>
      </c>
      <c r="G126" s="63">
        <v>0</v>
      </c>
      <c r="H126" s="63">
        <v>0</v>
      </c>
      <c r="I126" s="63">
        <v>121903</v>
      </c>
      <c r="J126" s="63">
        <v>0</v>
      </c>
      <c r="K126" s="63">
        <v>121903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63">
        <v>47861982</v>
      </c>
      <c r="R126" s="474">
        <v>0.5</v>
      </c>
      <c r="S126" s="474">
        <v>0.4</v>
      </c>
      <c r="T126" s="474">
        <v>0.09</v>
      </c>
      <c r="U126" s="474">
        <v>0.01</v>
      </c>
      <c r="V126" s="474">
        <v>1</v>
      </c>
      <c r="W126" s="63">
        <v>23930991</v>
      </c>
      <c r="X126" s="63">
        <v>19144793</v>
      </c>
      <c r="Y126" s="63">
        <v>4307578</v>
      </c>
      <c r="Z126" s="63">
        <v>478620</v>
      </c>
      <c r="AA126" s="63">
        <v>47861982</v>
      </c>
      <c r="AB126" s="63">
        <v>0</v>
      </c>
      <c r="AC126" s="63">
        <v>0</v>
      </c>
      <c r="AD126" s="63">
        <v>0</v>
      </c>
      <c r="AE126" s="63">
        <v>0</v>
      </c>
      <c r="AF126" s="63">
        <v>0</v>
      </c>
      <c r="AG126" s="63">
        <v>0</v>
      </c>
      <c r="AH126" s="63">
        <v>0</v>
      </c>
      <c r="AI126" s="63">
        <v>0</v>
      </c>
      <c r="AJ126" s="63">
        <v>0</v>
      </c>
      <c r="AK126" s="63">
        <v>0</v>
      </c>
      <c r="AL126" s="63">
        <v>23930991</v>
      </c>
      <c r="AM126" s="63">
        <v>19144793</v>
      </c>
      <c r="AN126" s="63">
        <v>4307578</v>
      </c>
      <c r="AO126" s="63">
        <v>478620</v>
      </c>
      <c r="AP126" s="63">
        <v>47861982</v>
      </c>
      <c r="AQ126" s="63">
        <v>121903</v>
      </c>
      <c r="AR126" s="63">
        <v>121903</v>
      </c>
      <c r="AS126" s="63">
        <v>0</v>
      </c>
      <c r="AT126" s="63">
        <v>0</v>
      </c>
      <c r="AU126" s="63">
        <v>0</v>
      </c>
      <c r="AV126" s="63">
        <v>0</v>
      </c>
      <c r="AW126" s="63">
        <v>0</v>
      </c>
      <c r="AX126" s="63">
        <v>0</v>
      </c>
      <c r="AY126" s="63">
        <v>0</v>
      </c>
      <c r="AZ126" s="63">
        <v>0</v>
      </c>
      <c r="BA126" s="63">
        <v>0</v>
      </c>
      <c r="BB126" s="63">
        <v>0</v>
      </c>
      <c r="BC126" s="63">
        <v>0</v>
      </c>
      <c r="BD126" s="63">
        <v>0</v>
      </c>
      <c r="BE126" s="63">
        <v>0</v>
      </c>
      <c r="BF126" s="63">
        <v>0</v>
      </c>
      <c r="BG126" s="63">
        <v>0</v>
      </c>
      <c r="BH126" s="63">
        <v>1325227</v>
      </c>
      <c r="BI126" s="63">
        <v>1060182</v>
      </c>
      <c r="BJ126" s="63">
        <v>238541</v>
      </c>
      <c r="BK126" s="63">
        <v>26505</v>
      </c>
      <c r="BL126" s="63">
        <v>2650455</v>
      </c>
      <c r="BM126" s="63">
        <v>25256218</v>
      </c>
      <c r="BN126" s="63">
        <v>20326878</v>
      </c>
      <c r="BO126" s="63">
        <v>4546119</v>
      </c>
      <c r="BP126" s="63">
        <v>505125</v>
      </c>
      <c r="BQ126" s="63">
        <v>50634340</v>
      </c>
      <c r="BR126" s="63">
        <v>276888</v>
      </c>
      <c r="BS126" s="63">
        <v>62300</v>
      </c>
      <c r="BT126" s="63">
        <v>6922</v>
      </c>
      <c r="BU126" s="63">
        <v>346110</v>
      </c>
      <c r="BV126" s="63">
        <v>198221</v>
      </c>
      <c r="BW126" s="63">
        <v>39714</v>
      </c>
      <c r="BX126" s="63">
        <v>4413</v>
      </c>
      <c r="BY126" s="63">
        <v>242348</v>
      </c>
      <c r="BZ126" s="63">
        <v>0</v>
      </c>
      <c r="CA126" s="63">
        <v>0</v>
      </c>
      <c r="CB126" s="63">
        <v>0</v>
      </c>
      <c r="CC126" s="63">
        <v>0</v>
      </c>
      <c r="CD126" s="63">
        <v>0</v>
      </c>
      <c r="CE126" s="63">
        <v>0</v>
      </c>
      <c r="CF126" s="63">
        <v>0</v>
      </c>
      <c r="CG126" s="63">
        <v>0</v>
      </c>
      <c r="CH126" s="63">
        <v>0</v>
      </c>
      <c r="CI126" s="63">
        <v>0</v>
      </c>
      <c r="CJ126" s="63">
        <v>0</v>
      </c>
      <c r="CK126" s="63">
        <v>0</v>
      </c>
      <c r="CL126" s="63">
        <v>2085</v>
      </c>
      <c r="CM126" s="63">
        <v>469</v>
      </c>
      <c r="CN126" s="63">
        <v>52</v>
      </c>
      <c r="CO126" s="63">
        <v>2606</v>
      </c>
      <c r="CP126" s="63">
        <v>477194</v>
      </c>
      <c r="CQ126" s="63">
        <v>102483</v>
      </c>
      <c r="CR126" s="63">
        <v>11387</v>
      </c>
      <c r="CS126" s="63">
        <v>591064</v>
      </c>
      <c r="CU126" s="141" t="s">
        <v>116</v>
      </c>
      <c r="CV126" s="157" t="s">
        <v>943</v>
      </c>
      <c r="CW126" s="156" t="s">
        <v>944</v>
      </c>
      <c r="CX126" s="345"/>
      <c r="CY126" s="345"/>
      <c r="CZ126" s="345"/>
    </row>
    <row r="127" spans="1:104" ht="12.75" x14ac:dyDescent="0.2">
      <c r="A127" s="90">
        <v>120</v>
      </c>
      <c r="B127" s="129" t="s">
        <v>119</v>
      </c>
      <c r="C127" s="130" t="s">
        <v>742</v>
      </c>
      <c r="D127" s="131" t="s">
        <v>750</v>
      </c>
      <c r="E127" s="132" t="s">
        <v>118</v>
      </c>
      <c r="F127" s="63">
        <v>62166307</v>
      </c>
      <c r="G127" s="63">
        <v>0</v>
      </c>
      <c r="H127" s="63">
        <v>0</v>
      </c>
      <c r="I127" s="63">
        <v>287378</v>
      </c>
      <c r="J127" s="63">
        <v>0</v>
      </c>
      <c r="K127" s="63">
        <v>287378</v>
      </c>
      <c r="L127" s="63">
        <v>0</v>
      </c>
      <c r="M127" s="63">
        <v>0</v>
      </c>
      <c r="N127" s="63">
        <v>0</v>
      </c>
      <c r="O127" s="63">
        <v>0</v>
      </c>
      <c r="P127" s="63">
        <v>0</v>
      </c>
      <c r="Q127" s="63">
        <v>61878929</v>
      </c>
      <c r="R127" s="474">
        <v>0.5</v>
      </c>
      <c r="S127" s="474">
        <v>0.4</v>
      </c>
      <c r="T127" s="474">
        <v>0.09</v>
      </c>
      <c r="U127" s="474">
        <v>0.01</v>
      </c>
      <c r="V127" s="474">
        <v>1</v>
      </c>
      <c r="W127" s="63">
        <v>30939464</v>
      </c>
      <c r="X127" s="63">
        <v>24751572</v>
      </c>
      <c r="Y127" s="63">
        <v>5569104</v>
      </c>
      <c r="Z127" s="63">
        <v>618789</v>
      </c>
      <c r="AA127" s="63">
        <v>61878929</v>
      </c>
      <c r="AB127" s="63">
        <v>0</v>
      </c>
      <c r="AC127" s="63">
        <v>0</v>
      </c>
      <c r="AD127" s="63">
        <v>0</v>
      </c>
      <c r="AE127" s="63">
        <v>0</v>
      </c>
      <c r="AF127" s="63">
        <v>0</v>
      </c>
      <c r="AG127" s="63">
        <v>0</v>
      </c>
      <c r="AH127" s="63">
        <v>0</v>
      </c>
      <c r="AI127" s="63">
        <v>0</v>
      </c>
      <c r="AJ127" s="63">
        <v>0</v>
      </c>
      <c r="AK127" s="63">
        <v>0</v>
      </c>
      <c r="AL127" s="63">
        <v>30939464</v>
      </c>
      <c r="AM127" s="63">
        <v>24751572</v>
      </c>
      <c r="AN127" s="63">
        <v>5569104</v>
      </c>
      <c r="AO127" s="63">
        <v>618789</v>
      </c>
      <c r="AP127" s="63">
        <v>61878929</v>
      </c>
      <c r="AQ127" s="63">
        <v>287378</v>
      </c>
      <c r="AR127" s="63">
        <v>287378</v>
      </c>
      <c r="AS127" s="63">
        <v>0</v>
      </c>
      <c r="AT127" s="63">
        <v>0</v>
      </c>
      <c r="AU127" s="63">
        <v>0</v>
      </c>
      <c r="AV127" s="63">
        <v>0</v>
      </c>
      <c r="AW127" s="63">
        <v>0</v>
      </c>
      <c r="AX127" s="63">
        <v>0</v>
      </c>
      <c r="AY127" s="63">
        <v>0</v>
      </c>
      <c r="AZ127" s="63">
        <v>0</v>
      </c>
      <c r="BA127" s="63">
        <v>0</v>
      </c>
      <c r="BB127" s="63">
        <v>0</v>
      </c>
      <c r="BC127" s="63">
        <v>0</v>
      </c>
      <c r="BD127" s="63">
        <v>0</v>
      </c>
      <c r="BE127" s="63">
        <v>0</v>
      </c>
      <c r="BF127" s="63">
        <v>0</v>
      </c>
      <c r="BG127" s="63">
        <v>0</v>
      </c>
      <c r="BH127" s="63">
        <v>-741500</v>
      </c>
      <c r="BI127" s="63">
        <v>-593200</v>
      </c>
      <c r="BJ127" s="63">
        <v>-133470</v>
      </c>
      <c r="BK127" s="63">
        <v>-14830</v>
      </c>
      <c r="BL127" s="63">
        <v>-1483000</v>
      </c>
      <c r="BM127" s="63">
        <v>30197964</v>
      </c>
      <c r="BN127" s="63">
        <v>24445750</v>
      </c>
      <c r="BO127" s="63">
        <v>5435634</v>
      </c>
      <c r="BP127" s="63">
        <v>603959</v>
      </c>
      <c r="BQ127" s="63">
        <v>60683307</v>
      </c>
      <c r="BR127" s="63">
        <v>357977</v>
      </c>
      <c r="BS127" s="63">
        <v>80545</v>
      </c>
      <c r="BT127" s="63">
        <v>8949</v>
      </c>
      <c r="BU127" s="63">
        <v>447471</v>
      </c>
      <c r="BV127" s="63">
        <v>996571</v>
      </c>
      <c r="BW127" s="63">
        <v>224228</v>
      </c>
      <c r="BX127" s="63">
        <v>24914</v>
      </c>
      <c r="BY127" s="63">
        <v>1245713</v>
      </c>
      <c r="BZ127" s="63">
        <v>724</v>
      </c>
      <c r="CA127" s="63">
        <v>163</v>
      </c>
      <c r="CB127" s="63">
        <v>18</v>
      </c>
      <c r="CC127" s="63">
        <v>905</v>
      </c>
      <c r="CD127" s="63">
        <v>14070</v>
      </c>
      <c r="CE127" s="63">
        <v>3166</v>
      </c>
      <c r="CF127" s="63">
        <v>352</v>
      </c>
      <c r="CG127" s="63">
        <v>17588</v>
      </c>
      <c r="CH127" s="63">
        <v>6636</v>
      </c>
      <c r="CI127" s="63">
        <v>1493</v>
      </c>
      <c r="CJ127" s="63">
        <v>166</v>
      </c>
      <c r="CK127" s="63">
        <v>8295</v>
      </c>
      <c r="CL127" s="63">
        <v>8285</v>
      </c>
      <c r="CM127" s="63">
        <v>1864</v>
      </c>
      <c r="CN127" s="63">
        <v>207</v>
      </c>
      <c r="CO127" s="63">
        <v>10356</v>
      </c>
      <c r="CP127" s="63">
        <v>1384263</v>
      </c>
      <c r="CQ127" s="63">
        <v>311459</v>
      </c>
      <c r="CR127" s="63">
        <v>34606</v>
      </c>
      <c r="CS127" s="63">
        <v>1730328</v>
      </c>
      <c r="CU127" s="141" t="s">
        <v>118</v>
      </c>
      <c r="CV127" s="157" t="s">
        <v>972</v>
      </c>
      <c r="CW127" s="156" t="s">
        <v>764</v>
      </c>
      <c r="CX127" s="345"/>
      <c r="CY127" s="345"/>
      <c r="CZ127" s="345"/>
    </row>
    <row r="128" spans="1:104" ht="12.75" x14ac:dyDescent="0.2">
      <c r="A128" s="90">
        <v>121</v>
      </c>
      <c r="B128" s="129" t="s">
        <v>121</v>
      </c>
      <c r="C128" s="130" t="s">
        <v>747</v>
      </c>
      <c r="D128" s="131" t="s">
        <v>748</v>
      </c>
      <c r="E128" s="132" t="s">
        <v>120</v>
      </c>
      <c r="F128" s="63">
        <v>44211718</v>
      </c>
      <c r="G128" s="63">
        <v>0</v>
      </c>
      <c r="H128" s="63">
        <v>0</v>
      </c>
      <c r="I128" s="63">
        <v>248795</v>
      </c>
      <c r="J128" s="63">
        <v>0</v>
      </c>
      <c r="K128" s="63">
        <v>248795</v>
      </c>
      <c r="L128" s="63">
        <v>0</v>
      </c>
      <c r="M128" s="63">
        <v>0</v>
      </c>
      <c r="N128" s="63">
        <v>0</v>
      </c>
      <c r="O128" s="63">
        <v>0</v>
      </c>
      <c r="P128" s="63">
        <v>0</v>
      </c>
      <c r="Q128" s="63">
        <v>43962923</v>
      </c>
      <c r="R128" s="474">
        <v>0.5</v>
      </c>
      <c r="S128" s="474">
        <v>0.3</v>
      </c>
      <c r="T128" s="474">
        <v>0.2</v>
      </c>
      <c r="U128" s="474">
        <v>0</v>
      </c>
      <c r="V128" s="474">
        <v>1</v>
      </c>
      <c r="W128" s="63">
        <v>21981461</v>
      </c>
      <c r="X128" s="63">
        <v>13188877</v>
      </c>
      <c r="Y128" s="63">
        <v>8792585</v>
      </c>
      <c r="Z128" s="63">
        <v>0</v>
      </c>
      <c r="AA128" s="63">
        <v>43962923</v>
      </c>
      <c r="AB128" s="63">
        <v>0</v>
      </c>
      <c r="AC128" s="63">
        <v>0</v>
      </c>
      <c r="AD128" s="63">
        <v>0</v>
      </c>
      <c r="AE128" s="63">
        <v>0</v>
      </c>
      <c r="AF128" s="63">
        <v>0</v>
      </c>
      <c r="AG128" s="63">
        <v>0</v>
      </c>
      <c r="AH128" s="63">
        <v>0</v>
      </c>
      <c r="AI128" s="63">
        <v>0</v>
      </c>
      <c r="AJ128" s="63">
        <v>0</v>
      </c>
      <c r="AK128" s="63">
        <v>0</v>
      </c>
      <c r="AL128" s="63">
        <v>21981461</v>
      </c>
      <c r="AM128" s="63">
        <v>13188877</v>
      </c>
      <c r="AN128" s="63">
        <v>8792585</v>
      </c>
      <c r="AO128" s="63">
        <v>0</v>
      </c>
      <c r="AP128" s="63">
        <v>43962923</v>
      </c>
      <c r="AQ128" s="63">
        <v>248795</v>
      </c>
      <c r="AR128" s="63">
        <v>248795</v>
      </c>
      <c r="AS128" s="63">
        <v>0</v>
      </c>
      <c r="AT128" s="63">
        <v>0</v>
      </c>
      <c r="AU128" s="63">
        <v>0</v>
      </c>
      <c r="AV128" s="63">
        <v>0</v>
      </c>
      <c r="AW128" s="63">
        <v>0</v>
      </c>
      <c r="AX128" s="63">
        <v>0</v>
      </c>
      <c r="AY128" s="63">
        <v>0</v>
      </c>
      <c r="AZ128" s="63">
        <v>0</v>
      </c>
      <c r="BA128" s="63">
        <v>0</v>
      </c>
      <c r="BB128" s="63">
        <v>0</v>
      </c>
      <c r="BC128" s="63">
        <v>0</v>
      </c>
      <c r="BD128" s="63">
        <v>0</v>
      </c>
      <c r="BE128" s="63">
        <v>0</v>
      </c>
      <c r="BF128" s="63">
        <v>0</v>
      </c>
      <c r="BG128" s="63">
        <v>0</v>
      </c>
      <c r="BH128" s="63">
        <v>-1008078</v>
      </c>
      <c r="BI128" s="63">
        <v>-604847</v>
      </c>
      <c r="BJ128" s="63">
        <v>-403231</v>
      </c>
      <c r="BK128" s="63">
        <v>0</v>
      </c>
      <c r="BL128" s="63">
        <v>-2016156</v>
      </c>
      <c r="BM128" s="63">
        <v>20973383</v>
      </c>
      <c r="BN128" s="63">
        <v>12832825</v>
      </c>
      <c r="BO128" s="63">
        <v>8389354</v>
      </c>
      <c r="BP128" s="63">
        <v>0</v>
      </c>
      <c r="BQ128" s="63">
        <v>42195562</v>
      </c>
      <c r="BR128" s="63">
        <v>190748</v>
      </c>
      <c r="BS128" s="63">
        <v>127165</v>
      </c>
      <c r="BT128" s="63">
        <v>0</v>
      </c>
      <c r="BU128" s="63">
        <v>317913</v>
      </c>
      <c r="BV128" s="63">
        <v>475377</v>
      </c>
      <c r="BW128" s="63">
        <v>316918</v>
      </c>
      <c r="BX128" s="63">
        <v>0</v>
      </c>
      <c r="BY128" s="63">
        <v>792295</v>
      </c>
      <c r="BZ128" s="63">
        <v>0</v>
      </c>
      <c r="CA128" s="63">
        <v>0</v>
      </c>
      <c r="CB128" s="63">
        <v>0</v>
      </c>
      <c r="CC128" s="63">
        <v>0</v>
      </c>
      <c r="CD128" s="63">
        <v>0</v>
      </c>
      <c r="CE128" s="63">
        <v>0</v>
      </c>
      <c r="CF128" s="63">
        <v>0</v>
      </c>
      <c r="CG128" s="63">
        <v>0</v>
      </c>
      <c r="CH128" s="63">
        <v>0</v>
      </c>
      <c r="CI128" s="63">
        <v>0</v>
      </c>
      <c r="CJ128" s="63">
        <v>0</v>
      </c>
      <c r="CK128" s="63">
        <v>0</v>
      </c>
      <c r="CL128" s="63">
        <v>0</v>
      </c>
      <c r="CM128" s="63">
        <v>0</v>
      </c>
      <c r="CN128" s="63">
        <v>0</v>
      </c>
      <c r="CO128" s="63">
        <v>0</v>
      </c>
      <c r="CP128" s="63">
        <v>666125</v>
      </c>
      <c r="CQ128" s="63">
        <v>444083</v>
      </c>
      <c r="CR128" s="63">
        <v>0</v>
      </c>
      <c r="CS128" s="63">
        <v>1110208</v>
      </c>
      <c r="CU128" s="141" t="s">
        <v>120</v>
      </c>
      <c r="CV128" s="157" t="s">
        <v>939</v>
      </c>
      <c r="CW128" s="157" t="s">
        <v>940</v>
      </c>
      <c r="CX128" s="345"/>
      <c r="CY128" s="345"/>
      <c r="CZ128" s="345"/>
    </row>
    <row r="129" spans="1:104" ht="12.75" x14ac:dyDescent="0.2">
      <c r="A129" s="90">
        <v>122</v>
      </c>
      <c r="B129" s="129" t="s">
        <v>123</v>
      </c>
      <c r="C129" s="130" t="s">
        <v>742</v>
      </c>
      <c r="D129" s="131" t="s">
        <v>743</v>
      </c>
      <c r="E129" s="132" t="s">
        <v>122</v>
      </c>
      <c r="F129" s="63">
        <v>29880125</v>
      </c>
      <c r="G129" s="63">
        <v>0</v>
      </c>
      <c r="H129" s="63">
        <v>0</v>
      </c>
      <c r="I129" s="63">
        <v>98299</v>
      </c>
      <c r="J129" s="63">
        <v>0</v>
      </c>
      <c r="K129" s="63">
        <v>98299</v>
      </c>
      <c r="L129" s="63">
        <v>0</v>
      </c>
      <c r="M129" s="63">
        <v>0</v>
      </c>
      <c r="N129" s="63">
        <v>0</v>
      </c>
      <c r="O129" s="63">
        <v>0</v>
      </c>
      <c r="P129" s="63">
        <v>0</v>
      </c>
      <c r="Q129" s="63">
        <v>29781826</v>
      </c>
      <c r="R129" s="474">
        <v>0.5</v>
      </c>
      <c r="S129" s="474">
        <v>0.4</v>
      </c>
      <c r="T129" s="474">
        <v>0.09</v>
      </c>
      <c r="U129" s="474">
        <v>0.01</v>
      </c>
      <c r="V129" s="474">
        <v>1</v>
      </c>
      <c r="W129" s="63">
        <v>14890914</v>
      </c>
      <c r="X129" s="63">
        <v>11912730</v>
      </c>
      <c r="Y129" s="63">
        <v>2680364</v>
      </c>
      <c r="Z129" s="63">
        <v>297818</v>
      </c>
      <c r="AA129" s="63">
        <v>29781826</v>
      </c>
      <c r="AB129" s="63">
        <v>0</v>
      </c>
      <c r="AC129" s="63">
        <v>0</v>
      </c>
      <c r="AD129" s="63">
        <v>0</v>
      </c>
      <c r="AE129" s="63">
        <v>0</v>
      </c>
      <c r="AF129" s="63">
        <v>0</v>
      </c>
      <c r="AG129" s="63">
        <v>0</v>
      </c>
      <c r="AH129" s="63">
        <v>0</v>
      </c>
      <c r="AI129" s="63">
        <v>0</v>
      </c>
      <c r="AJ129" s="63">
        <v>0</v>
      </c>
      <c r="AK129" s="63">
        <v>0</v>
      </c>
      <c r="AL129" s="63">
        <v>14890914</v>
      </c>
      <c r="AM129" s="63">
        <v>11912730</v>
      </c>
      <c r="AN129" s="63">
        <v>2680364</v>
      </c>
      <c r="AO129" s="63">
        <v>297818</v>
      </c>
      <c r="AP129" s="63">
        <v>29781826</v>
      </c>
      <c r="AQ129" s="63">
        <v>98299</v>
      </c>
      <c r="AR129" s="63">
        <v>98299</v>
      </c>
      <c r="AS129" s="63">
        <v>0</v>
      </c>
      <c r="AT129" s="63">
        <v>0</v>
      </c>
      <c r="AU129" s="63">
        <v>0</v>
      </c>
      <c r="AV129" s="63">
        <v>0</v>
      </c>
      <c r="AW129" s="63">
        <v>0</v>
      </c>
      <c r="AX129" s="63">
        <v>0</v>
      </c>
      <c r="AY129" s="63">
        <v>0</v>
      </c>
      <c r="AZ129" s="63">
        <v>0</v>
      </c>
      <c r="BA129" s="63">
        <v>0</v>
      </c>
      <c r="BB129" s="63">
        <v>0</v>
      </c>
      <c r="BC129" s="63">
        <v>0</v>
      </c>
      <c r="BD129" s="63">
        <v>0</v>
      </c>
      <c r="BE129" s="63">
        <v>0</v>
      </c>
      <c r="BF129" s="63">
        <v>0</v>
      </c>
      <c r="BG129" s="63">
        <v>0</v>
      </c>
      <c r="BH129" s="63">
        <v>-348042</v>
      </c>
      <c r="BI129" s="63">
        <v>-278434</v>
      </c>
      <c r="BJ129" s="63">
        <v>-62648</v>
      </c>
      <c r="BK129" s="63">
        <v>-6961</v>
      </c>
      <c r="BL129" s="63">
        <v>-696085</v>
      </c>
      <c r="BM129" s="63">
        <v>14542872</v>
      </c>
      <c r="BN129" s="63">
        <v>11732595</v>
      </c>
      <c r="BO129" s="63">
        <v>2617716</v>
      </c>
      <c r="BP129" s="63">
        <v>290857</v>
      </c>
      <c r="BQ129" s="63">
        <v>29184040</v>
      </c>
      <c r="BR129" s="63">
        <v>172292</v>
      </c>
      <c r="BS129" s="63">
        <v>38766</v>
      </c>
      <c r="BT129" s="63">
        <v>4307</v>
      </c>
      <c r="BU129" s="63">
        <v>215365</v>
      </c>
      <c r="BV129" s="63">
        <v>225247</v>
      </c>
      <c r="BW129" s="63">
        <v>50681</v>
      </c>
      <c r="BX129" s="63">
        <v>5631</v>
      </c>
      <c r="BY129" s="63">
        <v>281559</v>
      </c>
      <c r="BZ129" s="63">
        <v>0</v>
      </c>
      <c r="CA129" s="63">
        <v>0</v>
      </c>
      <c r="CB129" s="63">
        <v>0</v>
      </c>
      <c r="CC129" s="63">
        <v>0</v>
      </c>
      <c r="CD129" s="63">
        <v>0</v>
      </c>
      <c r="CE129" s="63">
        <v>0</v>
      </c>
      <c r="CF129" s="63">
        <v>0</v>
      </c>
      <c r="CG129" s="63">
        <v>0</v>
      </c>
      <c r="CH129" s="63">
        <v>447</v>
      </c>
      <c r="CI129" s="63">
        <v>100</v>
      </c>
      <c r="CJ129" s="63">
        <v>11</v>
      </c>
      <c r="CK129" s="63">
        <v>558</v>
      </c>
      <c r="CL129" s="63">
        <v>0</v>
      </c>
      <c r="CM129" s="63">
        <v>0</v>
      </c>
      <c r="CN129" s="63">
        <v>0</v>
      </c>
      <c r="CO129" s="63">
        <v>0</v>
      </c>
      <c r="CP129" s="63">
        <v>397986</v>
      </c>
      <c r="CQ129" s="63">
        <v>89547</v>
      </c>
      <c r="CR129" s="63">
        <v>9949</v>
      </c>
      <c r="CS129" s="63">
        <v>497482</v>
      </c>
      <c r="CU129" s="141" t="s">
        <v>122</v>
      </c>
      <c r="CV129" s="157" t="s">
        <v>945</v>
      </c>
      <c r="CW129" s="156" t="s">
        <v>946</v>
      </c>
      <c r="CX129" s="345"/>
      <c r="CY129" s="345"/>
      <c r="CZ129" s="345"/>
    </row>
    <row r="130" spans="1:104" ht="12.75" x14ac:dyDescent="0.2">
      <c r="A130" s="90">
        <v>123</v>
      </c>
      <c r="B130" s="129" t="s">
        <v>124</v>
      </c>
      <c r="C130" s="130" t="s">
        <v>501</v>
      </c>
      <c r="D130" s="131" t="s">
        <v>755</v>
      </c>
      <c r="E130" s="132" t="s">
        <v>516</v>
      </c>
      <c r="F130" s="63">
        <v>32512911</v>
      </c>
      <c r="G130" s="63">
        <v>0</v>
      </c>
      <c r="H130" s="63">
        <v>0</v>
      </c>
      <c r="I130" s="63">
        <v>118845</v>
      </c>
      <c r="J130" s="63">
        <v>0</v>
      </c>
      <c r="K130" s="63">
        <v>118845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63">
        <v>32394066</v>
      </c>
      <c r="R130" s="474">
        <v>0.5</v>
      </c>
      <c r="S130" s="474">
        <v>0.49</v>
      </c>
      <c r="T130" s="474">
        <v>0</v>
      </c>
      <c r="U130" s="474">
        <v>0.01</v>
      </c>
      <c r="V130" s="474">
        <v>1</v>
      </c>
      <c r="W130" s="63">
        <v>16197033</v>
      </c>
      <c r="X130" s="63">
        <v>15873092</v>
      </c>
      <c r="Y130" s="63">
        <v>0</v>
      </c>
      <c r="Z130" s="63">
        <v>323941</v>
      </c>
      <c r="AA130" s="63">
        <v>32394066</v>
      </c>
      <c r="AB130" s="63">
        <v>117273</v>
      </c>
      <c r="AC130" s="63">
        <v>0</v>
      </c>
      <c r="AD130" s="63">
        <v>0</v>
      </c>
      <c r="AE130" s="63">
        <v>0</v>
      </c>
      <c r="AF130" s="63">
        <v>117273</v>
      </c>
      <c r="AG130" s="63">
        <v>0</v>
      </c>
      <c r="AH130" s="63">
        <v>0</v>
      </c>
      <c r="AI130" s="63">
        <v>0</v>
      </c>
      <c r="AJ130" s="63">
        <v>0</v>
      </c>
      <c r="AK130" s="63">
        <v>0</v>
      </c>
      <c r="AL130" s="63">
        <v>16079760</v>
      </c>
      <c r="AM130" s="63">
        <v>15873092</v>
      </c>
      <c r="AN130" s="63">
        <v>0</v>
      </c>
      <c r="AO130" s="63">
        <v>323941</v>
      </c>
      <c r="AP130" s="63">
        <v>32276793</v>
      </c>
      <c r="AQ130" s="63">
        <v>118845</v>
      </c>
      <c r="AR130" s="63">
        <v>118845</v>
      </c>
      <c r="AS130" s="63">
        <v>0</v>
      </c>
      <c r="AT130" s="63">
        <v>0</v>
      </c>
      <c r="AU130" s="63">
        <v>0</v>
      </c>
      <c r="AV130" s="63">
        <v>0</v>
      </c>
      <c r="AW130" s="63">
        <v>0</v>
      </c>
      <c r="AX130" s="63">
        <v>117273</v>
      </c>
      <c r="AY130" s="63">
        <v>0</v>
      </c>
      <c r="AZ130" s="63">
        <v>0</v>
      </c>
      <c r="BA130" s="63">
        <v>117273</v>
      </c>
      <c r="BB130" s="63">
        <v>0</v>
      </c>
      <c r="BC130" s="63">
        <v>0</v>
      </c>
      <c r="BD130" s="63">
        <v>0</v>
      </c>
      <c r="BE130" s="63">
        <v>0</v>
      </c>
      <c r="BF130" s="63">
        <v>0</v>
      </c>
      <c r="BG130" s="63">
        <v>0</v>
      </c>
      <c r="BH130" s="63">
        <v>-20919464</v>
      </c>
      <c r="BI130" s="63">
        <v>-20501075</v>
      </c>
      <c r="BJ130" s="63">
        <v>0</v>
      </c>
      <c r="BK130" s="63">
        <v>-418389</v>
      </c>
      <c r="BL130" s="63">
        <v>-41838928</v>
      </c>
      <c r="BM130" s="63">
        <v>-4839704</v>
      </c>
      <c r="BN130" s="63">
        <v>-4391865</v>
      </c>
      <c r="BO130" s="63">
        <v>0</v>
      </c>
      <c r="BP130" s="63">
        <v>-94448</v>
      </c>
      <c r="BQ130" s="63">
        <v>-9326017</v>
      </c>
      <c r="BR130" s="63">
        <v>231266</v>
      </c>
      <c r="BS130" s="63">
        <v>0</v>
      </c>
      <c r="BT130" s="63">
        <v>4685</v>
      </c>
      <c r="BU130" s="63">
        <v>235951</v>
      </c>
      <c r="BV130" s="63">
        <v>498183</v>
      </c>
      <c r="BW130" s="63">
        <v>0</v>
      </c>
      <c r="BX130" s="63">
        <v>10167</v>
      </c>
      <c r="BY130" s="63">
        <v>508350</v>
      </c>
      <c r="BZ130" s="63">
        <v>2626</v>
      </c>
      <c r="CA130" s="63">
        <v>0</v>
      </c>
      <c r="CB130" s="63">
        <v>54</v>
      </c>
      <c r="CC130" s="63">
        <v>2680</v>
      </c>
      <c r="CD130" s="63">
        <v>0</v>
      </c>
      <c r="CE130" s="63">
        <v>0</v>
      </c>
      <c r="CF130" s="63">
        <v>0</v>
      </c>
      <c r="CG130" s="63">
        <v>0</v>
      </c>
      <c r="CH130" s="63">
        <v>0</v>
      </c>
      <c r="CI130" s="63">
        <v>0</v>
      </c>
      <c r="CJ130" s="63">
        <v>0</v>
      </c>
      <c r="CK130" s="63">
        <v>0</v>
      </c>
      <c r="CL130" s="63">
        <v>1309</v>
      </c>
      <c r="CM130" s="63">
        <v>0</v>
      </c>
      <c r="CN130" s="63">
        <v>27</v>
      </c>
      <c r="CO130" s="63">
        <v>1336</v>
      </c>
      <c r="CP130" s="63">
        <v>733384</v>
      </c>
      <c r="CQ130" s="63">
        <v>0</v>
      </c>
      <c r="CR130" s="63">
        <v>14933</v>
      </c>
      <c r="CS130" s="63">
        <v>748317</v>
      </c>
      <c r="CU130" s="141" t="s">
        <v>516</v>
      </c>
      <c r="CV130" s="157" t="s">
        <v>501</v>
      </c>
      <c r="CW130" s="156" t="s">
        <v>980</v>
      </c>
      <c r="CX130" s="345"/>
      <c r="CY130" s="345"/>
      <c r="CZ130" s="345"/>
    </row>
    <row r="131" spans="1:104" ht="12.75" x14ac:dyDescent="0.2">
      <c r="A131" s="90">
        <v>124</v>
      </c>
      <c r="B131" s="129" t="s">
        <v>126</v>
      </c>
      <c r="C131" s="130" t="s">
        <v>742</v>
      </c>
      <c r="D131" s="131" t="s">
        <v>743</v>
      </c>
      <c r="E131" s="132" t="s">
        <v>125</v>
      </c>
      <c r="F131" s="63">
        <v>21500735</v>
      </c>
      <c r="G131" s="63">
        <v>0</v>
      </c>
      <c r="H131" s="63">
        <v>0</v>
      </c>
      <c r="I131" s="63">
        <v>133943</v>
      </c>
      <c r="J131" s="63">
        <v>0</v>
      </c>
      <c r="K131" s="63">
        <v>133943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63">
        <v>21366792</v>
      </c>
      <c r="R131" s="474">
        <v>0.5</v>
      </c>
      <c r="S131" s="474">
        <v>0.4</v>
      </c>
      <c r="T131" s="474">
        <v>0.09</v>
      </c>
      <c r="U131" s="474">
        <v>0.01</v>
      </c>
      <c r="V131" s="474">
        <v>1</v>
      </c>
      <c r="W131" s="63">
        <v>10683396</v>
      </c>
      <c r="X131" s="63">
        <v>8546717</v>
      </c>
      <c r="Y131" s="63">
        <v>1923011</v>
      </c>
      <c r="Z131" s="63">
        <v>213668</v>
      </c>
      <c r="AA131" s="63">
        <v>21366792</v>
      </c>
      <c r="AB131" s="63">
        <v>0</v>
      </c>
      <c r="AC131" s="63">
        <v>0</v>
      </c>
      <c r="AD131" s="63">
        <v>0</v>
      </c>
      <c r="AE131" s="63">
        <v>0</v>
      </c>
      <c r="AF131" s="63">
        <v>0</v>
      </c>
      <c r="AG131" s="63">
        <v>0</v>
      </c>
      <c r="AH131" s="63">
        <v>0</v>
      </c>
      <c r="AI131" s="63">
        <v>0</v>
      </c>
      <c r="AJ131" s="63">
        <v>0</v>
      </c>
      <c r="AK131" s="63">
        <v>0</v>
      </c>
      <c r="AL131" s="63">
        <v>10683396</v>
      </c>
      <c r="AM131" s="63">
        <v>8546717</v>
      </c>
      <c r="AN131" s="63">
        <v>1923011</v>
      </c>
      <c r="AO131" s="63">
        <v>213668</v>
      </c>
      <c r="AP131" s="63">
        <v>21366792</v>
      </c>
      <c r="AQ131" s="63">
        <v>133943</v>
      </c>
      <c r="AR131" s="63">
        <v>133943</v>
      </c>
      <c r="AS131" s="63">
        <v>0</v>
      </c>
      <c r="AT131" s="63">
        <v>0</v>
      </c>
      <c r="AU131" s="63">
        <v>0</v>
      </c>
      <c r="AV131" s="63">
        <v>0</v>
      </c>
      <c r="AW131" s="63">
        <v>0</v>
      </c>
      <c r="AX131" s="63">
        <v>0</v>
      </c>
      <c r="AY131" s="63">
        <v>0</v>
      </c>
      <c r="AZ131" s="63">
        <v>0</v>
      </c>
      <c r="BA131" s="63">
        <v>0</v>
      </c>
      <c r="BB131" s="63">
        <v>0</v>
      </c>
      <c r="BC131" s="63">
        <v>0</v>
      </c>
      <c r="BD131" s="63">
        <v>0</v>
      </c>
      <c r="BE131" s="63">
        <v>0</v>
      </c>
      <c r="BF131" s="63">
        <v>0</v>
      </c>
      <c r="BG131" s="63">
        <v>0</v>
      </c>
      <c r="BH131" s="63">
        <v>-798325</v>
      </c>
      <c r="BI131" s="63">
        <v>-638660</v>
      </c>
      <c r="BJ131" s="63">
        <v>-143698</v>
      </c>
      <c r="BK131" s="63">
        <v>-15966</v>
      </c>
      <c r="BL131" s="63">
        <v>-1596649</v>
      </c>
      <c r="BM131" s="63">
        <v>9885071</v>
      </c>
      <c r="BN131" s="63">
        <v>8042000</v>
      </c>
      <c r="BO131" s="63">
        <v>1779313</v>
      </c>
      <c r="BP131" s="63">
        <v>197702</v>
      </c>
      <c r="BQ131" s="63">
        <v>19904086</v>
      </c>
      <c r="BR131" s="63">
        <v>123610</v>
      </c>
      <c r="BS131" s="63">
        <v>27812</v>
      </c>
      <c r="BT131" s="63">
        <v>3090</v>
      </c>
      <c r="BU131" s="63">
        <v>154512</v>
      </c>
      <c r="BV131" s="63">
        <v>510307</v>
      </c>
      <c r="BW131" s="63">
        <v>114819</v>
      </c>
      <c r="BX131" s="63">
        <v>12758</v>
      </c>
      <c r="BY131" s="63">
        <v>637884</v>
      </c>
      <c r="BZ131" s="63">
        <v>0</v>
      </c>
      <c r="CA131" s="63">
        <v>0</v>
      </c>
      <c r="CB131" s="63">
        <v>0</v>
      </c>
      <c r="CC131" s="63">
        <v>0</v>
      </c>
      <c r="CD131" s="63">
        <v>43411</v>
      </c>
      <c r="CE131" s="63">
        <v>9767</v>
      </c>
      <c r="CF131" s="63">
        <v>1085</v>
      </c>
      <c r="CG131" s="63">
        <v>54263</v>
      </c>
      <c r="CH131" s="63">
        <v>0</v>
      </c>
      <c r="CI131" s="63">
        <v>0</v>
      </c>
      <c r="CJ131" s="63">
        <v>0</v>
      </c>
      <c r="CK131" s="63">
        <v>0</v>
      </c>
      <c r="CL131" s="63">
        <v>6212</v>
      </c>
      <c r="CM131" s="63">
        <v>1397</v>
      </c>
      <c r="CN131" s="63">
        <v>155</v>
      </c>
      <c r="CO131" s="63">
        <v>7764</v>
      </c>
      <c r="CP131" s="63">
        <v>683540</v>
      </c>
      <c r="CQ131" s="63">
        <v>153795</v>
      </c>
      <c r="CR131" s="63">
        <v>17088</v>
      </c>
      <c r="CS131" s="63">
        <v>854423</v>
      </c>
      <c r="CU131" s="141" t="s">
        <v>125</v>
      </c>
      <c r="CV131" s="157" t="s">
        <v>977</v>
      </c>
      <c r="CW131" s="156" t="s">
        <v>959</v>
      </c>
      <c r="CX131" s="345"/>
      <c r="CY131" s="345"/>
      <c r="CZ131" s="345"/>
    </row>
    <row r="132" spans="1:104" ht="12.75" x14ac:dyDescent="0.2">
      <c r="A132" s="90">
        <v>125</v>
      </c>
      <c r="B132" s="129" t="s">
        <v>128</v>
      </c>
      <c r="C132" s="130" t="s">
        <v>742</v>
      </c>
      <c r="D132" s="131" t="s">
        <v>743</v>
      </c>
      <c r="E132" s="132" t="s">
        <v>127</v>
      </c>
      <c r="F132" s="63">
        <v>34889059</v>
      </c>
      <c r="G132" s="63">
        <v>0</v>
      </c>
      <c r="H132" s="63">
        <v>0</v>
      </c>
      <c r="I132" s="63">
        <v>140006</v>
      </c>
      <c r="J132" s="63">
        <v>0</v>
      </c>
      <c r="K132" s="63">
        <v>140006</v>
      </c>
      <c r="L132" s="63">
        <v>0</v>
      </c>
      <c r="M132" s="63">
        <v>0</v>
      </c>
      <c r="N132" s="63">
        <v>0</v>
      </c>
      <c r="O132" s="63">
        <v>0</v>
      </c>
      <c r="P132" s="63">
        <v>0</v>
      </c>
      <c r="Q132" s="63">
        <v>34749053</v>
      </c>
      <c r="R132" s="474">
        <v>0.5</v>
      </c>
      <c r="S132" s="474">
        <v>0.4</v>
      </c>
      <c r="T132" s="474">
        <v>0.09</v>
      </c>
      <c r="U132" s="474">
        <v>0.01</v>
      </c>
      <c r="V132" s="474">
        <v>1</v>
      </c>
      <c r="W132" s="63">
        <v>17374526</v>
      </c>
      <c r="X132" s="63">
        <v>13899621</v>
      </c>
      <c r="Y132" s="63">
        <v>3127415</v>
      </c>
      <c r="Z132" s="63">
        <v>347491</v>
      </c>
      <c r="AA132" s="63">
        <v>34749053</v>
      </c>
      <c r="AB132" s="63">
        <v>0</v>
      </c>
      <c r="AC132" s="63">
        <v>0</v>
      </c>
      <c r="AD132" s="63">
        <v>0</v>
      </c>
      <c r="AE132" s="63">
        <v>0</v>
      </c>
      <c r="AF132" s="63">
        <v>0</v>
      </c>
      <c r="AG132" s="63">
        <v>0</v>
      </c>
      <c r="AH132" s="63">
        <v>0</v>
      </c>
      <c r="AI132" s="63">
        <v>0</v>
      </c>
      <c r="AJ132" s="63">
        <v>0</v>
      </c>
      <c r="AK132" s="63">
        <v>0</v>
      </c>
      <c r="AL132" s="63">
        <v>17374526</v>
      </c>
      <c r="AM132" s="63">
        <v>13899621</v>
      </c>
      <c r="AN132" s="63">
        <v>3127415</v>
      </c>
      <c r="AO132" s="63">
        <v>347491</v>
      </c>
      <c r="AP132" s="63">
        <v>34749053</v>
      </c>
      <c r="AQ132" s="63">
        <v>140006</v>
      </c>
      <c r="AR132" s="63">
        <v>140006</v>
      </c>
      <c r="AS132" s="63">
        <v>0</v>
      </c>
      <c r="AT132" s="63">
        <v>0</v>
      </c>
      <c r="AU132" s="63">
        <v>0</v>
      </c>
      <c r="AV132" s="63">
        <v>0</v>
      </c>
      <c r="AW132" s="63">
        <v>0</v>
      </c>
      <c r="AX132" s="63">
        <v>0</v>
      </c>
      <c r="AY132" s="63">
        <v>0</v>
      </c>
      <c r="AZ132" s="63">
        <v>0</v>
      </c>
      <c r="BA132" s="63">
        <v>0</v>
      </c>
      <c r="BB132" s="63">
        <v>0</v>
      </c>
      <c r="BC132" s="63">
        <v>0</v>
      </c>
      <c r="BD132" s="63">
        <v>0</v>
      </c>
      <c r="BE132" s="63">
        <v>0</v>
      </c>
      <c r="BF132" s="63">
        <v>0</v>
      </c>
      <c r="BG132" s="63">
        <v>0</v>
      </c>
      <c r="BH132" s="63">
        <v>209212</v>
      </c>
      <c r="BI132" s="63">
        <v>167369</v>
      </c>
      <c r="BJ132" s="63">
        <v>37658</v>
      </c>
      <c r="BK132" s="63">
        <v>4184</v>
      </c>
      <c r="BL132" s="63">
        <v>418423</v>
      </c>
      <c r="BM132" s="63">
        <v>17583738</v>
      </c>
      <c r="BN132" s="63">
        <v>14206996</v>
      </c>
      <c r="BO132" s="63">
        <v>3165073</v>
      </c>
      <c r="BP132" s="63">
        <v>351675</v>
      </c>
      <c r="BQ132" s="63">
        <v>35307482</v>
      </c>
      <c r="BR132" s="63">
        <v>201028</v>
      </c>
      <c r="BS132" s="63">
        <v>45231</v>
      </c>
      <c r="BT132" s="63">
        <v>5026</v>
      </c>
      <c r="BU132" s="63">
        <v>251285</v>
      </c>
      <c r="BV132" s="63">
        <v>426673</v>
      </c>
      <c r="BW132" s="63">
        <v>96001</v>
      </c>
      <c r="BX132" s="63">
        <v>10667</v>
      </c>
      <c r="BY132" s="63">
        <v>533341</v>
      </c>
      <c r="BZ132" s="63">
        <v>1114</v>
      </c>
      <c r="CA132" s="63">
        <v>251</v>
      </c>
      <c r="CB132" s="63">
        <v>28</v>
      </c>
      <c r="CC132" s="63">
        <v>1393</v>
      </c>
      <c r="CD132" s="63">
        <v>0</v>
      </c>
      <c r="CE132" s="63">
        <v>0</v>
      </c>
      <c r="CF132" s="63">
        <v>0</v>
      </c>
      <c r="CG132" s="63">
        <v>0</v>
      </c>
      <c r="CH132" s="63">
        <v>0</v>
      </c>
      <c r="CI132" s="63">
        <v>0</v>
      </c>
      <c r="CJ132" s="63">
        <v>0</v>
      </c>
      <c r="CK132" s="63">
        <v>0</v>
      </c>
      <c r="CL132" s="63">
        <v>2847</v>
      </c>
      <c r="CM132" s="63">
        <v>640</v>
      </c>
      <c r="CN132" s="63">
        <v>71</v>
      </c>
      <c r="CO132" s="63">
        <v>3558</v>
      </c>
      <c r="CP132" s="63">
        <v>631662</v>
      </c>
      <c r="CQ132" s="63">
        <v>142123</v>
      </c>
      <c r="CR132" s="63">
        <v>15792</v>
      </c>
      <c r="CS132" s="63">
        <v>789577</v>
      </c>
      <c r="CU132" s="141" t="s">
        <v>127</v>
      </c>
      <c r="CV132" s="157" t="s">
        <v>945</v>
      </c>
      <c r="CW132" s="156" t="s">
        <v>946</v>
      </c>
      <c r="CX132" s="345"/>
      <c r="CY132" s="345"/>
      <c r="CZ132" s="345"/>
    </row>
    <row r="133" spans="1:104" ht="12.75" x14ac:dyDescent="0.2">
      <c r="A133" s="90">
        <v>126</v>
      </c>
      <c r="B133" s="129" t="s">
        <v>130</v>
      </c>
      <c r="C133" s="130" t="s">
        <v>747</v>
      </c>
      <c r="D133" s="131" t="s">
        <v>748</v>
      </c>
      <c r="E133" s="132" t="s">
        <v>129</v>
      </c>
      <c r="F133" s="63">
        <v>75314371</v>
      </c>
      <c r="G133" s="63">
        <v>0</v>
      </c>
      <c r="H133" s="63">
        <v>0</v>
      </c>
      <c r="I133" s="63">
        <v>270688</v>
      </c>
      <c r="J133" s="63">
        <v>0</v>
      </c>
      <c r="K133" s="63">
        <v>270688</v>
      </c>
      <c r="L133" s="63">
        <v>0</v>
      </c>
      <c r="M133" s="63">
        <v>0</v>
      </c>
      <c r="N133" s="63">
        <v>0</v>
      </c>
      <c r="O133" s="63">
        <v>0</v>
      </c>
      <c r="P133" s="63">
        <v>0</v>
      </c>
      <c r="Q133" s="63">
        <v>75043683</v>
      </c>
      <c r="R133" s="474">
        <v>0.5</v>
      </c>
      <c r="S133" s="474">
        <v>0.3</v>
      </c>
      <c r="T133" s="474">
        <v>0.2</v>
      </c>
      <c r="U133" s="474">
        <v>0</v>
      </c>
      <c r="V133" s="474">
        <v>1</v>
      </c>
      <c r="W133" s="63">
        <v>37521841</v>
      </c>
      <c r="X133" s="63">
        <v>22513105</v>
      </c>
      <c r="Y133" s="63">
        <v>15008737</v>
      </c>
      <c r="Z133" s="63">
        <v>0</v>
      </c>
      <c r="AA133" s="63">
        <v>75043683</v>
      </c>
      <c r="AB133" s="63">
        <v>0</v>
      </c>
      <c r="AC133" s="63">
        <v>0</v>
      </c>
      <c r="AD133" s="63">
        <v>0</v>
      </c>
      <c r="AE133" s="63">
        <v>0</v>
      </c>
      <c r="AF133" s="63">
        <v>0</v>
      </c>
      <c r="AG133" s="63">
        <v>0</v>
      </c>
      <c r="AH133" s="63">
        <v>0</v>
      </c>
      <c r="AI133" s="63">
        <v>0</v>
      </c>
      <c r="AJ133" s="63">
        <v>0</v>
      </c>
      <c r="AK133" s="63">
        <v>0</v>
      </c>
      <c r="AL133" s="63">
        <v>37521841</v>
      </c>
      <c r="AM133" s="63">
        <v>22513105</v>
      </c>
      <c r="AN133" s="63">
        <v>15008737</v>
      </c>
      <c r="AO133" s="63">
        <v>0</v>
      </c>
      <c r="AP133" s="63">
        <v>75043683</v>
      </c>
      <c r="AQ133" s="63">
        <v>270688</v>
      </c>
      <c r="AR133" s="63">
        <v>270688</v>
      </c>
      <c r="AS133" s="63">
        <v>0</v>
      </c>
      <c r="AT133" s="63">
        <v>0</v>
      </c>
      <c r="AU133" s="63">
        <v>0</v>
      </c>
      <c r="AV133" s="63">
        <v>0</v>
      </c>
      <c r="AW133" s="63">
        <v>0</v>
      </c>
      <c r="AX133" s="63">
        <v>0</v>
      </c>
      <c r="AY133" s="63">
        <v>0</v>
      </c>
      <c r="AZ133" s="63">
        <v>0</v>
      </c>
      <c r="BA133" s="63">
        <v>0</v>
      </c>
      <c r="BB133" s="63">
        <v>0</v>
      </c>
      <c r="BC133" s="63">
        <v>0</v>
      </c>
      <c r="BD133" s="63">
        <v>0</v>
      </c>
      <c r="BE133" s="63">
        <v>0</v>
      </c>
      <c r="BF133" s="63">
        <v>0</v>
      </c>
      <c r="BG133" s="63">
        <v>0</v>
      </c>
      <c r="BH133" s="63">
        <v>-3105766</v>
      </c>
      <c r="BI133" s="63">
        <v>-1863460</v>
      </c>
      <c r="BJ133" s="63">
        <v>-1242306</v>
      </c>
      <c r="BK133" s="63">
        <v>0</v>
      </c>
      <c r="BL133" s="63">
        <v>-6211532</v>
      </c>
      <c r="BM133" s="63">
        <v>34416075</v>
      </c>
      <c r="BN133" s="63">
        <v>20920333</v>
      </c>
      <c r="BO133" s="63">
        <v>13766431</v>
      </c>
      <c r="BP133" s="63">
        <v>0</v>
      </c>
      <c r="BQ133" s="63">
        <v>69102839</v>
      </c>
      <c r="BR133" s="63">
        <v>325603</v>
      </c>
      <c r="BS133" s="63">
        <v>217069</v>
      </c>
      <c r="BT133" s="63">
        <v>0</v>
      </c>
      <c r="BU133" s="63">
        <v>542672</v>
      </c>
      <c r="BV133" s="63">
        <v>556325</v>
      </c>
      <c r="BW133" s="63">
        <v>370883</v>
      </c>
      <c r="BX133" s="63">
        <v>0</v>
      </c>
      <c r="BY133" s="63">
        <v>927208</v>
      </c>
      <c r="BZ133" s="63">
        <v>0</v>
      </c>
      <c r="CA133" s="63">
        <v>0</v>
      </c>
      <c r="CB133" s="63">
        <v>0</v>
      </c>
      <c r="CC133" s="63">
        <v>0</v>
      </c>
      <c r="CD133" s="63">
        <v>5332</v>
      </c>
      <c r="CE133" s="63">
        <v>3554</v>
      </c>
      <c r="CF133" s="63">
        <v>0</v>
      </c>
      <c r="CG133" s="63">
        <v>8886</v>
      </c>
      <c r="CH133" s="63">
        <v>2023</v>
      </c>
      <c r="CI133" s="63">
        <v>1349</v>
      </c>
      <c r="CJ133" s="63">
        <v>0</v>
      </c>
      <c r="CK133" s="63">
        <v>3372</v>
      </c>
      <c r="CL133" s="63">
        <v>0</v>
      </c>
      <c r="CM133" s="63">
        <v>0</v>
      </c>
      <c r="CN133" s="63">
        <v>0</v>
      </c>
      <c r="CO133" s="63">
        <v>0</v>
      </c>
      <c r="CP133" s="63">
        <v>889283</v>
      </c>
      <c r="CQ133" s="63">
        <v>592855</v>
      </c>
      <c r="CR133" s="63">
        <v>0</v>
      </c>
      <c r="CS133" s="63">
        <v>1482138</v>
      </c>
      <c r="CU133" s="141" t="s">
        <v>129</v>
      </c>
      <c r="CV133" s="157" t="s">
        <v>939</v>
      </c>
      <c r="CW133" s="157" t="s">
        <v>940</v>
      </c>
      <c r="CX133" s="345"/>
      <c r="CY133" s="345"/>
      <c r="CZ133" s="345"/>
    </row>
    <row r="134" spans="1:104" ht="12.75" x14ac:dyDescent="0.2">
      <c r="A134" s="90">
        <v>127</v>
      </c>
      <c r="B134" s="129" t="s">
        <v>131</v>
      </c>
      <c r="C134" s="130" t="s">
        <v>501</v>
      </c>
      <c r="D134" s="131" t="s">
        <v>752</v>
      </c>
      <c r="E134" s="132" t="s">
        <v>532</v>
      </c>
      <c r="F134" s="63">
        <v>48074828</v>
      </c>
      <c r="G134" s="63">
        <v>0</v>
      </c>
      <c r="H134" s="63">
        <v>0</v>
      </c>
      <c r="I134" s="63">
        <v>304935</v>
      </c>
      <c r="J134" s="63">
        <v>0</v>
      </c>
      <c r="K134" s="63">
        <v>304935</v>
      </c>
      <c r="L134" s="63">
        <v>0</v>
      </c>
      <c r="M134" s="63">
        <v>0</v>
      </c>
      <c r="N134" s="63">
        <v>100000</v>
      </c>
      <c r="O134" s="63">
        <v>100000</v>
      </c>
      <c r="P134" s="63">
        <v>0</v>
      </c>
      <c r="Q134" s="63">
        <v>47669893</v>
      </c>
      <c r="R134" s="474">
        <v>0.5</v>
      </c>
      <c r="S134" s="474">
        <v>0.49</v>
      </c>
      <c r="T134" s="474">
        <v>0</v>
      </c>
      <c r="U134" s="474">
        <v>0.01</v>
      </c>
      <c r="V134" s="474">
        <v>1</v>
      </c>
      <c r="W134" s="63">
        <v>23834946</v>
      </c>
      <c r="X134" s="63">
        <v>23358248</v>
      </c>
      <c r="Y134" s="63">
        <v>0</v>
      </c>
      <c r="Z134" s="63">
        <v>476699</v>
      </c>
      <c r="AA134" s="63">
        <v>47669893</v>
      </c>
      <c r="AB134" s="63">
        <v>351596</v>
      </c>
      <c r="AC134" s="63">
        <v>0</v>
      </c>
      <c r="AD134" s="63">
        <v>0</v>
      </c>
      <c r="AE134" s="63">
        <v>0</v>
      </c>
      <c r="AF134" s="63">
        <v>351596</v>
      </c>
      <c r="AG134" s="63">
        <v>0</v>
      </c>
      <c r="AH134" s="63">
        <v>0</v>
      </c>
      <c r="AI134" s="63">
        <v>0</v>
      </c>
      <c r="AJ134" s="63">
        <v>0</v>
      </c>
      <c r="AK134" s="63">
        <v>0</v>
      </c>
      <c r="AL134" s="63">
        <v>23483350</v>
      </c>
      <c r="AM134" s="63">
        <v>23358248</v>
      </c>
      <c r="AN134" s="63">
        <v>0</v>
      </c>
      <c r="AO134" s="63">
        <v>476699</v>
      </c>
      <c r="AP134" s="63">
        <v>47318297</v>
      </c>
      <c r="AQ134" s="63">
        <v>304935</v>
      </c>
      <c r="AR134" s="63">
        <v>304935</v>
      </c>
      <c r="AS134" s="63">
        <v>0</v>
      </c>
      <c r="AT134" s="63">
        <v>0</v>
      </c>
      <c r="AU134" s="63">
        <v>100000</v>
      </c>
      <c r="AV134" s="63">
        <v>0</v>
      </c>
      <c r="AW134" s="63">
        <v>100000</v>
      </c>
      <c r="AX134" s="63">
        <v>351596</v>
      </c>
      <c r="AY134" s="63">
        <v>0</v>
      </c>
      <c r="AZ134" s="63">
        <v>0</v>
      </c>
      <c r="BA134" s="63">
        <v>351596</v>
      </c>
      <c r="BB134" s="63">
        <v>0</v>
      </c>
      <c r="BC134" s="63">
        <v>0</v>
      </c>
      <c r="BD134" s="63">
        <v>0</v>
      </c>
      <c r="BE134" s="63">
        <v>0</v>
      </c>
      <c r="BF134" s="63">
        <v>0</v>
      </c>
      <c r="BG134" s="63">
        <v>0</v>
      </c>
      <c r="BH134" s="63">
        <v>-2577369</v>
      </c>
      <c r="BI134" s="63">
        <v>-2525822</v>
      </c>
      <c r="BJ134" s="63">
        <v>0</v>
      </c>
      <c r="BK134" s="63">
        <v>-51547</v>
      </c>
      <c r="BL134" s="63">
        <v>-5154738</v>
      </c>
      <c r="BM134" s="63">
        <v>20905981</v>
      </c>
      <c r="BN134" s="63">
        <v>21588957</v>
      </c>
      <c r="BO134" s="63">
        <v>0</v>
      </c>
      <c r="BP134" s="63">
        <v>425152</v>
      </c>
      <c r="BQ134" s="63">
        <v>42920090</v>
      </c>
      <c r="BR134" s="63">
        <v>344357</v>
      </c>
      <c r="BS134" s="63">
        <v>0</v>
      </c>
      <c r="BT134" s="63">
        <v>6894</v>
      </c>
      <c r="BU134" s="63">
        <v>351251</v>
      </c>
      <c r="BV134" s="63">
        <v>1486530</v>
      </c>
      <c r="BW134" s="63">
        <v>0</v>
      </c>
      <c r="BX134" s="63">
        <v>29692</v>
      </c>
      <c r="BY134" s="63">
        <v>1516222</v>
      </c>
      <c r="BZ134" s="63">
        <v>0</v>
      </c>
      <c r="CA134" s="63">
        <v>0</v>
      </c>
      <c r="CB134" s="63">
        <v>0</v>
      </c>
      <c r="CC134" s="63">
        <v>0</v>
      </c>
      <c r="CD134" s="63">
        <v>24855</v>
      </c>
      <c r="CE134" s="63">
        <v>0</v>
      </c>
      <c r="CF134" s="63">
        <v>507</v>
      </c>
      <c r="CG134" s="63">
        <v>25362</v>
      </c>
      <c r="CH134" s="63">
        <v>12427</v>
      </c>
      <c r="CI134" s="63">
        <v>0</v>
      </c>
      <c r="CJ134" s="63">
        <v>254</v>
      </c>
      <c r="CK134" s="63">
        <v>12681</v>
      </c>
      <c r="CL134" s="63">
        <v>24855</v>
      </c>
      <c r="CM134" s="63">
        <v>0</v>
      </c>
      <c r="CN134" s="63">
        <v>507</v>
      </c>
      <c r="CO134" s="63">
        <v>25362</v>
      </c>
      <c r="CP134" s="63">
        <v>1893024</v>
      </c>
      <c r="CQ134" s="63">
        <v>0</v>
      </c>
      <c r="CR134" s="63">
        <v>37854</v>
      </c>
      <c r="CS134" s="63">
        <v>1930878</v>
      </c>
      <c r="CU134" s="141" t="s">
        <v>532</v>
      </c>
      <c r="CV134" s="157" t="s">
        <v>501</v>
      </c>
      <c r="CW134" s="156" t="s">
        <v>763</v>
      </c>
      <c r="CX134" s="345"/>
      <c r="CY134" s="345"/>
      <c r="CZ134" s="345"/>
    </row>
    <row r="135" spans="1:104" ht="12.75" x14ac:dyDescent="0.2">
      <c r="A135" s="90">
        <v>128</v>
      </c>
      <c r="B135" s="129" t="s">
        <v>133</v>
      </c>
      <c r="C135" s="130" t="s">
        <v>742</v>
      </c>
      <c r="D135" s="131" t="s">
        <v>746</v>
      </c>
      <c r="E135" s="132" t="s">
        <v>132</v>
      </c>
      <c r="F135" s="63">
        <v>47256118</v>
      </c>
      <c r="G135" s="63">
        <v>0</v>
      </c>
      <c r="H135" s="63">
        <v>0</v>
      </c>
      <c r="I135" s="63">
        <v>152119</v>
      </c>
      <c r="J135" s="63">
        <v>0</v>
      </c>
      <c r="K135" s="63">
        <v>152119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63">
        <v>47103999</v>
      </c>
      <c r="R135" s="474">
        <v>0.5</v>
      </c>
      <c r="S135" s="474">
        <v>0.4</v>
      </c>
      <c r="T135" s="474">
        <v>0.1</v>
      </c>
      <c r="U135" s="474">
        <v>0</v>
      </c>
      <c r="V135" s="474">
        <v>1</v>
      </c>
      <c r="W135" s="63">
        <v>23551999</v>
      </c>
      <c r="X135" s="63">
        <v>18841600</v>
      </c>
      <c r="Y135" s="63">
        <v>4710400</v>
      </c>
      <c r="Z135" s="63">
        <v>0</v>
      </c>
      <c r="AA135" s="63">
        <v>47103999</v>
      </c>
      <c r="AB135" s="63">
        <v>0</v>
      </c>
      <c r="AC135" s="63">
        <v>0</v>
      </c>
      <c r="AD135" s="63">
        <v>0</v>
      </c>
      <c r="AE135" s="63">
        <v>0</v>
      </c>
      <c r="AF135" s="63">
        <v>0</v>
      </c>
      <c r="AG135" s="63">
        <v>0</v>
      </c>
      <c r="AH135" s="63">
        <v>0</v>
      </c>
      <c r="AI135" s="63">
        <v>0</v>
      </c>
      <c r="AJ135" s="63">
        <v>0</v>
      </c>
      <c r="AK135" s="63">
        <v>0</v>
      </c>
      <c r="AL135" s="63">
        <v>23551999</v>
      </c>
      <c r="AM135" s="63">
        <v>18841600</v>
      </c>
      <c r="AN135" s="63">
        <v>4710400</v>
      </c>
      <c r="AO135" s="63">
        <v>0</v>
      </c>
      <c r="AP135" s="63">
        <v>47103999</v>
      </c>
      <c r="AQ135" s="63">
        <v>152119</v>
      </c>
      <c r="AR135" s="63">
        <v>152119</v>
      </c>
      <c r="AS135" s="63">
        <v>0</v>
      </c>
      <c r="AT135" s="63">
        <v>0</v>
      </c>
      <c r="AU135" s="63">
        <v>0</v>
      </c>
      <c r="AV135" s="63">
        <v>0</v>
      </c>
      <c r="AW135" s="63">
        <v>0</v>
      </c>
      <c r="AX135" s="63">
        <v>0</v>
      </c>
      <c r="AY135" s="63">
        <v>0</v>
      </c>
      <c r="AZ135" s="63">
        <v>0</v>
      </c>
      <c r="BA135" s="63">
        <v>0</v>
      </c>
      <c r="BB135" s="63">
        <v>0</v>
      </c>
      <c r="BC135" s="63">
        <v>0</v>
      </c>
      <c r="BD135" s="63">
        <v>0</v>
      </c>
      <c r="BE135" s="63">
        <v>0</v>
      </c>
      <c r="BF135" s="63">
        <v>0</v>
      </c>
      <c r="BG135" s="63">
        <v>0</v>
      </c>
      <c r="BH135" s="63">
        <v>98007</v>
      </c>
      <c r="BI135" s="63">
        <v>78406</v>
      </c>
      <c r="BJ135" s="63">
        <v>19601</v>
      </c>
      <c r="BK135" s="63">
        <v>0</v>
      </c>
      <c r="BL135" s="63">
        <v>196014</v>
      </c>
      <c r="BM135" s="63">
        <v>23650006</v>
      </c>
      <c r="BN135" s="63">
        <v>19072125</v>
      </c>
      <c r="BO135" s="63">
        <v>4730001</v>
      </c>
      <c r="BP135" s="63">
        <v>0</v>
      </c>
      <c r="BQ135" s="63">
        <v>47452132</v>
      </c>
      <c r="BR135" s="63">
        <v>272502</v>
      </c>
      <c r="BS135" s="63">
        <v>68126</v>
      </c>
      <c r="BT135" s="63">
        <v>0</v>
      </c>
      <c r="BU135" s="63">
        <v>340628</v>
      </c>
      <c r="BV135" s="63">
        <v>325523</v>
      </c>
      <c r="BW135" s="63">
        <v>81381</v>
      </c>
      <c r="BX135" s="63">
        <v>0</v>
      </c>
      <c r="BY135" s="63">
        <v>406904</v>
      </c>
      <c r="BZ135" s="63">
        <v>0</v>
      </c>
      <c r="CA135" s="63">
        <v>0</v>
      </c>
      <c r="CB135" s="63">
        <v>0</v>
      </c>
      <c r="CC135" s="63">
        <v>0</v>
      </c>
      <c r="CD135" s="63">
        <v>0</v>
      </c>
      <c r="CE135" s="63">
        <v>0</v>
      </c>
      <c r="CF135" s="63">
        <v>0</v>
      </c>
      <c r="CG135" s="63">
        <v>0</v>
      </c>
      <c r="CH135" s="63">
        <v>19666</v>
      </c>
      <c r="CI135" s="63">
        <v>4917</v>
      </c>
      <c r="CJ135" s="63">
        <v>0</v>
      </c>
      <c r="CK135" s="63">
        <v>24583</v>
      </c>
      <c r="CL135" s="63">
        <v>1278</v>
      </c>
      <c r="CM135" s="63">
        <v>319</v>
      </c>
      <c r="CN135" s="63">
        <v>0</v>
      </c>
      <c r="CO135" s="63">
        <v>1597</v>
      </c>
      <c r="CP135" s="63">
        <v>618969</v>
      </c>
      <c r="CQ135" s="63">
        <v>154743</v>
      </c>
      <c r="CR135" s="63">
        <v>0</v>
      </c>
      <c r="CS135" s="63">
        <v>773712</v>
      </c>
      <c r="CU135" s="141" t="s">
        <v>132</v>
      </c>
      <c r="CV135" s="157" t="s">
        <v>960</v>
      </c>
      <c r="CW135" s="156" t="s">
        <v>928</v>
      </c>
      <c r="CX135" s="345"/>
      <c r="CY135" s="345"/>
      <c r="CZ135" s="345"/>
    </row>
    <row r="136" spans="1:104" ht="12.75" x14ac:dyDescent="0.2">
      <c r="A136" s="90">
        <v>129</v>
      </c>
      <c r="B136" s="129" t="s">
        <v>135</v>
      </c>
      <c r="C136" s="130" t="s">
        <v>742</v>
      </c>
      <c r="D136" s="131" t="s">
        <v>745</v>
      </c>
      <c r="E136" s="132" t="s">
        <v>134</v>
      </c>
      <c r="F136" s="63">
        <v>24493918</v>
      </c>
      <c r="G136" s="63">
        <v>0</v>
      </c>
      <c r="H136" s="63">
        <v>0</v>
      </c>
      <c r="I136" s="63">
        <v>135432</v>
      </c>
      <c r="J136" s="63">
        <v>0</v>
      </c>
      <c r="K136" s="63">
        <v>135432</v>
      </c>
      <c r="L136" s="63">
        <v>0</v>
      </c>
      <c r="M136" s="63">
        <v>0</v>
      </c>
      <c r="N136" s="63">
        <v>0</v>
      </c>
      <c r="O136" s="63">
        <v>0</v>
      </c>
      <c r="P136" s="63">
        <v>0</v>
      </c>
      <c r="Q136" s="63">
        <v>24358486</v>
      </c>
      <c r="R136" s="474">
        <v>0.5</v>
      </c>
      <c r="S136" s="474">
        <v>0.4</v>
      </c>
      <c r="T136" s="474">
        <v>0.09</v>
      </c>
      <c r="U136" s="474">
        <v>0.01</v>
      </c>
      <c r="V136" s="474">
        <v>1</v>
      </c>
      <c r="W136" s="63">
        <v>12179243</v>
      </c>
      <c r="X136" s="63">
        <v>9743394</v>
      </c>
      <c r="Y136" s="63">
        <v>2192264</v>
      </c>
      <c r="Z136" s="63">
        <v>243585</v>
      </c>
      <c r="AA136" s="63">
        <v>24358486</v>
      </c>
      <c r="AB136" s="63">
        <v>0</v>
      </c>
      <c r="AC136" s="63">
        <v>0</v>
      </c>
      <c r="AD136" s="63">
        <v>0</v>
      </c>
      <c r="AE136" s="63">
        <v>0</v>
      </c>
      <c r="AF136" s="63">
        <v>0</v>
      </c>
      <c r="AG136" s="63">
        <v>0</v>
      </c>
      <c r="AH136" s="63">
        <v>0</v>
      </c>
      <c r="AI136" s="63">
        <v>0</v>
      </c>
      <c r="AJ136" s="63">
        <v>0</v>
      </c>
      <c r="AK136" s="63">
        <v>0</v>
      </c>
      <c r="AL136" s="63">
        <v>12179243</v>
      </c>
      <c r="AM136" s="63">
        <v>9743394</v>
      </c>
      <c r="AN136" s="63">
        <v>2192264</v>
      </c>
      <c r="AO136" s="63">
        <v>243585</v>
      </c>
      <c r="AP136" s="63">
        <v>24358486</v>
      </c>
      <c r="AQ136" s="63">
        <v>135432</v>
      </c>
      <c r="AR136" s="63">
        <v>135432</v>
      </c>
      <c r="AS136" s="63">
        <v>0</v>
      </c>
      <c r="AT136" s="63">
        <v>0</v>
      </c>
      <c r="AU136" s="63">
        <v>0</v>
      </c>
      <c r="AV136" s="63">
        <v>0</v>
      </c>
      <c r="AW136" s="63">
        <v>0</v>
      </c>
      <c r="AX136" s="63">
        <v>0</v>
      </c>
      <c r="AY136" s="63">
        <v>0</v>
      </c>
      <c r="AZ136" s="63">
        <v>0</v>
      </c>
      <c r="BA136" s="63">
        <v>0</v>
      </c>
      <c r="BB136" s="63">
        <v>0</v>
      </c>
      <c r="BC136" s="63">
        <v>0</v>
      </c>
      <c r="BD136" s="63">
        <v>0</v>
      </c>
      <c r="BE136" s="63">
        <v>0</v>
      </c>
      <c r="BF136" s="63">
        <v>0</v>
      </c>
      <c r="BG136" s="63">
        <v>0</v>
      </c>
      <c r="BH136" s="63">
        <v>-733469</v>
      </c>
      <c r="BI136" s="63">
        <v>-586775</v>
      </c>
      <c r="BJ136" s="63">
        <v>-132024</v>
      </c>
      <c r="BK136" s="63">
        <v>-14669</v>
      </c>
      <c r="BL136" s="63">
        <v>-1466937</v>
      </c>
      <c r="BM136" s="63">
        <v>11445774</v>
      </c>
      <c r="BN136" s="63">
        <v>9292051</v>
      </c>
      <c r="BO136" s="63">
        <v>2060240</v>
      </c>
      <c r="BP136" s="63">
        <v>228916</v>
      </c>
      <c r="BQ136" s="63">
        <v>23026981</v>
      </c>
      <c r="BR136" s="63">
        <v>140917</v>
      </c>
      <c r="BS136" s="63">
        <v>31706</v>
      </c>
      <c r="BT136" s="63">
        <v>3523</v>
      </c>
      <c r="BU136" s="63">
        <v>176146</v>
      </c>
      <c r="BV136" s="63">
        <v>529658</v>
      </c>
      <c r="BW136" s="63">
        <v>119173</v>
      </c>
      <c r="BX136" s="63">
        <v>13241</v>
      </c>
      <c r="BY136" s="63">
        <v>662072</v>
      </c>
      <c r="BZ136" s="63">
        <v>0</v>
      </c>
      <c r="CA136" s="63">
        <v>0</v>
      </c>
      <c r="CB136" s="63">
        <v>0</v>
      </c>
      <c r="CC136" s="63">
        <v>0</v>
      </c>
      <c r="CD136" s="63">
        <v>0</v>
      </c>
      <c r="CE136" s="63">
        <v>0</v>
      </c>
      <c r="CF136" s="63">
        <v>0</v>
      </c>
      <c r="CG136" s="63">
        <v>0</v>
      </c>
      <c r="CH136" s="63">
        <v>6535</v>
      </c>
      <c r="CI136" s="63">
        <v>1470</v>
      </c>
      <c r="CJ136" s="63">
        <v>163</v>
      </c>
      <c r="CK136" s="63">
        <v>8168</v>
      </c>
      <c r="CL136" s="63">
        <v>24323</v>
      </c>
      <c r="CM136" s="63">
        <v>5473</v>
      </c>
      <c r="CN136" s="63">
        <v>608</v>
      </c>
      <c r="CO136" s="63">
        <v>30404</v>
      </c>
      <c r="CP136" s="63">
        <v>701433</v>
      </c>
      <c r="CQ136" s="63">
        <v>157822</v>
      </c>
      <c r="CR136" s="63">
        <v>17535</v>
      </c>
      <c r="CS136" s="63">
        <v>876790</v>
      </c>
      <c r="CU136" s="141" t="s">
        <v>134</v>
      </c>
      <c r="CV136" s="157" t="s">
        <v>930</v>
      </c>
      <c r="CW136" s="156" t="s">
        <v>931</v>
      </c>
      <c r="CX136" s="345"/>
      <c r="CY136" s="345"/>
      <c r="CZ136" s="345"/>
    </row>
    <row r="137" spans="1:104" ht="12.75" x14ac:dyDescent="0.2">
      <c r="A137" s="90">
        <v>130</v>
      </c>
      <c r="B137" s="129" t="s">
        <v>137</v>
      </c>
      <c r="C137" s="130" t="s">
        <v>747</v>
      </c>
      <c r="D137" s="131" t="s">
        <v>748</v>
      </c>
      <c r="E137" s="132" t="s">
        <v>136</v>
      </c>
      <c r="F137" s="63">
        <v>375288286</v>
      </c>
      <c r="G137" s="63">
        <v>0</v>
      </c>
      <c r="H137" s="63">
        <v>0</v>
      </c>
      <c r="I137" s="63">
        <v>597680</v>
      </c>
      <c r="J137" s="63">
        <v>0</v>
      </c>
      <c r="K137" s="63">
        <v>597680</v>
      </c>
      <c r="L137" s="63">
        <v>0</v>
      </c>
      <c r="M137" s="63">
        <v>0</v>
      </c>
      <c r="N137" s="63">
        <v>0</v>
      </c>
      <c r="O137" s="63">
        <v>0</v>
      </c>
      <c r="P137" s="63">
        <v>0</v>
      </c>
      <c r="Q137" s="63">
        <v>374690606</v>
      </c>
      <c r="R137" s="474">
        <v>0.5</v>
      </c>
      <c r="S137" s="474">
        <v>0.3</v>
      </c>
      <c r="T137" s="474">
        <v>0.2</v>
      </c>
      <c r="U137" s="474">
        <v>0</v>
      </c>
      <c r="V137" s="474">
        <v>1</v>
      </c>
      <c r="W137" s="63">
        <v>187345303</v>
      </c>
      <c r="X137" s="63">
        <v>112407182</v>
      </c>
      <c r="Y137" s="63">
        <v>74938121</v>
      </c>
      <c r="Z137" s="63">
        <v>0</v>
      </c>
      <c r="AA137" s="63">
        <v>374690606</v>
      </c>
      <c r="AB137" s="63">
        <v>0</v>
      </c>
      <c r="AC137" s="63">
        <v>0</v>
      </c>
      <c r="AD137" s="63">
        <v>0</v>
      </c>
      <c r="AE137" s="63">
        <v>0</v>
      </c>
      <c r="AF137" s="63">
        <v>0</v>
      </c>
      <c r="AG137" s="63">
        <v>0</v>
      </c>
      <c r="AH137" s="63">
        <v>0</v>
      </c>
      <c r="AI137" s="63">
        <v>0</v>
      </c>
      <c r="AJ137" s="63">
        <v>0</v>
      </c>
      <c r="AK137" s="63">
        <v>0</v>
      </c>
      <c r="AL137" s="63">
        <v>187345303</v>
      </c>
      <c r="AM137" s="63">
        <v>112407182</v>
      </c>
      <c r="AN137" s="63">
        <v>74938121</v>
      </c>
      <c r="AO137" s="63">
        <v>0</v>
      </c>
      <c r="AP137" s="63">
        <v>374690606</v>
      </c>
      <c r="AQ137" s="63">
        <v>597680</v>
      </c>
      <c r="AR137" s="63">
        <v>597680</v>
      </c>
      <c r="AS137" s="63">
        <v>0</v>
      </c>
      <c r="AT137" s="63">
        <v>0</v>
      </c>
      <c r="AU137" s="63">
        <v>0</v>
      </c>
      <c r="AV137" s="63">
        <v>0</v>
      </c>
      <c r="AW137" s="63">
        <v>0</v>
      </c>
      <c r="AX137" s="63">
        <v>0</v>
      </c>
      <c r="AY137" s="63">
        <v>0</v>
      </c>
      <c r="AZ137" s="63">
        <v>0</v>
      </c>
      <c r="BA137" s="63">
        <v>0</v>
      </c>
      <c r="BB137" s="63">
        <v>0</v>
      </c>
      <c r="BC137" s="63">
        <v>0</v>
      </c>
      <c r="BD137" s="63">
        <v>0</v>
      </c>
      <c r="BE137" s="63">
        <v>0</v>
      </c>
      <c r="BF137" s="63">
        <v>0</v>
      </c>
      <c r="BG137" s="63">
        <v>0</v>
      </c>
      <c r="BH137" s="63">
        <v>-3750000</v>
      </c>
      <c r="BI137" s="63">
        <v>-2250000</v>
      </c>
      <c r="BJ137" s="63">
        <v>-1500000</v>
      </c>
      <c r="BK137" s="63">
        <v>0</v>
      </c>
      <c r="BL137" s="63">
        <v>-7500000</v>
      </c>
      <c r="BM137" s="63">
        <v>183595303</v>
      </c>
      <c r="BN137" s="63">
        <v>110754862</v>
      </c>
      <c r="BO137" s="63">
        <v>73438121</v>
      </c>
      <c r="BP137" s="63">
        <v>0</v>
      </c>
      <c r="BQ137" s="63">
        <v>367788286</v>
      </c>
      <c r="BR137" s="63">
        <v>1625724</v>
      </c>
      <c r="BS137" s="63">
        <v>1083816</v>
      </c>
      <c r="BT137" s="63">
        <v>0</v>
      </c>
      <c r="BU137" s="63">
        <v>2709540</v>
      </c>
      <c r="BV137" s="63">
        <v>518309</v>
      </c>
      <c r="BW137" s="63">
        <v>345540</v>
      </c>
      <c r="BX137" s="63">
        <v>0</v>
      </c>
      <c r="BY137" s="63">
        <v>863849</v>
      </c>
      <c r="BZ137" s="63">
        <v>0</v>
      </c>
      <c r="CA137" s="63">
        <v>0</v>
      </c>
      <c r="CB137" s="63">
        <v>0</v>
      </c>
      <c r="CC137" s="63">
        <v>0</v>
      </c>
      <c r="CD137" s="63">
        <v>0</v>
      </c>
      <c r="CE137" s="63">
        <v>0</v>
      </c>
      <c r="CF137" s="63">
        <v>0</v>
      </c>
      <c r="CG137" s="63">
        <v>0</v>
      </c>
      <c r="CH137" s="63">
        <v>30434</v>
      </c>
      <c r="CI137" s="63">
        <v>20289</v>
      </c>
      <c r="CJ137" s="63">
        <v>0</v>
      </c>
      <c r="CK137" s="63">
        <v>50723</v>
      </c>
      <c r="CL137" s="63">
        <v>112582</v>
      </c>
      <c r="CM137" s="63">
        <v>75054</v>
      </c>
      <c r="CN137" s="63">
        <v>0</v>
      </c>
      <c r="CO137" s="63">
        <v>187636</v>
      </c>
      <c r="CP137" s="63">
        <v>2287049</v>
      </c>
      <c r="CQ137" s="63">
        <v>1524699</v>
      </c>
      <c r="CR137" s="63">
        <v>0</v>
      </c>
      <c r="CS137" s="63">
        <v>3811748</v>
      </c>
      <c r="CU137" s="141" t="s">
        <v>136</v>
      </c>
      <c r="CV137" s="157" t="s">
        <v>939</v>
      </c>
      <c r="CW137" s="157" t="s">
        <v>940</v>
      </c>
      <c r="CX137" s="345"/>
      <c r="CY137" s="345"/>
      <c r="CZ137" s="345"/>
    </row>
    <row r="138" spans="1:104" ht="12.75" x14ac:dyDescent="0.2">
      <c r="A138" s="90">
        <v>131</v>
      </c>
      <c r="B138" s="129" t="s">
        <v>138</v>
      </c>
      <c r="C138" s="130" t="s">
        <v>742</v>
      </c>
      <c r="D138" s="131" t="s">
        <v>745</v>
      </c>
      <c r="E138" s="132" t="s">
        <v>542</v>
      </c>
      <c r="F138" s="63">
        <v>33608708</v>
      </c>
      <c r="G138" s="63">
        <v>0</v>
      </c>
      <c r="H138" s="63">
        <v>0</v>
      </c>
      <c r="I138" s="63">
        <v>124755</v>
      </c>
      <c r="J138" s="63">
        <v>0</v>
      </c>
      <c r="K138" s="63">
        <v>124755</v>
      </c>
      <c r="L138" s="63">
        <v>0</v>
      </c>
      <c r="M138" s="63">
        <v>59254</v>
      </c>
      <c r="N138" s="63">
        <v>140000</v>
      </c>
      <c r="O138" s="63">
        <v>140000</v>
      </c>
      <c r="P138" s="63">
        <v>0</v>
      </c>
      <c r="Q138" s="63">
        <v>33284699</v>
      </c>
      <c r="R138" s="474">
        <v>0.5</v>
      </c>
      <c r="S138" s="474">
        <v>0.4</v>
      </c>
      <c r="T138" s="474">
        <v>0.09</v>
      </c>
      <c r="U138" s="474">
        <v>0.01</v>
      </c>
      <c r="V138" s="474">
        <v>1</v>
      </c>
      <c r="W138" s="63">
        <v>16642349</v>
      </c>
      <c r="X138" s="63">
        <v>13313880</v>
      </c>
      <c r="Y138" s="63">
        <v>2995623</v>
      </c>
      <c r="Z138" s="63">
        <v>332847</v>
      </c>
      <c r="AA138" s="63">
        <v>33284699</v>
      </c>
      <c r="AB138" s="63">
        <v>84242</v>
      </c>
      <c r="AC138" s="63">
        <v>0</v>
      </c>
      <c r="AD138" s="63">
        <v>0</v>
      </c>
      <c r="AE138" s="63">
        <v>0</v>
      </c>
      <c r="AF138" s="63">
        <v>84242</v>
      </c>
      <c r="AG138" s="63">
        <v>0</v>
      </c>
      <c r="AH138" s="63">
        <v>0</v>
      </c>
      <c r="AI138" s="63">
        <v>0</v>
      </c>
      <c r="AJ138" s="63">
        <v>0</v>
      </c>
      <c r="AK138" s="63">
        <v>0</v>
      </c>
      <c r="AL138" s="63">
        <v>16558107</v>
      </c>
      <c r="AM138" s="63">
        <v>13313880</v>
      </c>
      <c r="AN138" s="63">
        <v>2995623</v>
      </c>
      <c r="AO138" s="63">
        <v>332847</v>
      </c>
      <c r="AP138" s="63">
        <v>33200457</v>
      </c>
      <c r="AQ138" s="63">
        <v>124755</v>
      </c>
      <c r="AR138" s="63">
        <v>124755</v>
      </c>
      <c r="AS138" s="63">
        <v>59254</v>
      </c>
      <c r="AT138" s="63">
        <v>59254</v>
      </c>
      <c r="AU138" s="63">
        <v>140000</v>
      </c>
      <c r="AV138" s="63">
        <v>0</v>
      </c>
      <c r="AW138" s="63">
        <v>140000</v>
      </c>
      <c r="AX138" s="63">
        <v>84242</v>
      </c>
      <c r="AY138" s="63">
        <v>0</v>
      </c>
      <c r="AZ138" s="63">
        <v>0</v>
      </c>
      <c r="BA138" s="63">
        <v>84242</v>
      </c>
      <c r="BB138" s="63">
        <v>0</v>
      </c>
      <c r="BC138" s="63">
        <v>0</v>
      </c>
      <c r="BD138" s="63">
        <v>0</v>
      </c>
      <c r="BE138" s="63">
        <v>0</v>
      </c>
      <c r="BF138" s="63">
        <v>0</v>
      </c>
      <c r="BG138" s="63">
        <v>0</v>
      </c>
      <c r="BH138" s="63">
        <v>-682816</v>
      </c>
      <c r="BI138" s="63">
        <v>-546253</v>
      </c>
      <c r="BJ138" s="63">
        <v>-122907</v>
      </c>
      <c r="BK138" s="63">
        <v>-13656</v>
      </c>
      <c r="BL138" s="63">
        <v>-1365632</v>
      </c>
      <c r="BM138" s="63">
        <v>15875291</v>
      </c>
      <c r="BN138" s="63">
        <v>13175878</v>
      </c>
      <c r="BO138" s="63">
        <v>2872716</v>
      </c>
      <c r="BP138" s="63">
        <v>319191</v>
      </c>
      <c r="BQ138" s="63">
        <v>32243076</v>
      </c>
      <c r="BR138" s="63">
        <v>196656</v>
      </c>
      <c r="BS138" s="63">
        <v>43325</v>
      </c>
      <c r="BT138" s="63">
        <v>4814</v>
      </c>
      <c r="BU138" s="63">
        <v>244795</v>
      </c>
      <c r="BV138" s="63">
        <v>476193</v>
      </c>
      <c r="BW138" s="63">
        <v>107143</v>
      </c>
      <c r="BX138" s="63">
        <v>11905</v>
      </c>
      <c r="BY138" s="63">
        <v>595241</v>
      </c>
      <c r="BZ138" s="63">
        <v>5075</v>
      </c>
      <c r="CA138" s="63">
        <v>1142</v>
      </c>
      <c r="CB138" s="63">
        <v>127</v>
      </c>
      <c r="CC138" s="63">
        <v>6344</v>
      </c>
      <c r="CD138" s="63">
        <v>7442</v>
      </c>
      <c r="CE138" s="63">
        <v>1674</v>
      </c>
      <c r="CF138" s="63">
        <v>186</v>
      </c>
      <c r="CG138" s="63">
        <v>9302</v>
      </c>
      <c r="CH138" s="63">
        <v>2446</v>
      </c>
      <c r="CI138" s="63">
        <v>550</v>
      </c>
      <c r="CJ138" s="63">
        <v>61</v>
      </c>
      <c r="CK138" s="63">
        <v>3057</v>
      </c>
      <c r="CL138" s="63">
        <v>86</v>
      </c>
      <c r="CM138" s="63">
        <v>19</v>
      </c>
      <c r="CN138" s="63">
        <v>2</v>
      </c>
      <c r="CO138" s="63">
        <v>107</v>
      </c>
      <c r="CP138" s="63">
        <v>687898</v>
      </c>
      <c r="CQ138" s="63">
        <v>153853</v>
      </c>
      <c r="CR138" s="63">
        <v>17095</v>
      </c>
      <c r="CS138" s="63">
        <v>858846</v>
      </c>
      <c r="CU138" s="141" t="s">
        <v>542</v>
      </c>
      <c r="CV138" s="157" t="s">
        <v>950</v>
      </c>
      <c r="CW138" s="156" t="s">
        <v>951</v>
      </c>
      <c r="CX138" s="345"/>
      <c r="CY138" s="345"/>
      <c r="CZ138" s="345"/>
    </row>
    <row r="139" spans="1:104" ht="12.75" x14ac:dyDescent="0.2">
      <c r="A139" s="90">
        <v>132</v>
      </c>
      <c r="B139" s="129" t="s">
        <v>140</v>
      </c>
      <c r="C139" s="130" t="s">
        <v>742</v>
      </c>
      <c r="D139" s="131" t="s">
        <v>743</v>
      </c>
      <c r="E139" s="132" t="s">
        <v>139</v>
      </c>
      <c r="F139" s="63">
        <v>41586442</v>
      </c>
      <c r="G139" s="63">
        <v>0</v>
      </c>
      <c r="H139" s="63">
        <v>0</v>
      </c>
      <c r="I139" s="63">
        <v>178742</v>
      </c>
      <c r="J139" s="63">
        <v>0</v>
      </c>
      <c r="K139" s="63">
        <v>178742</v>
      </c>
      <c r="L139" s="63">
        <v>0</v>
      </c>
      <c r="M139" s="63">
        <v>0</v>
      </c>
      <c r="N139" s="63">
        <v>0</v>
      </c>
      <c r="O139" s="63">
        <v>0</v>
      </c>
      <c r="P139" s="63">
        <v>0</v>
      </c>
      <c r="Q139" s="63">
        <v>41407700</v>
      </c>
      <c r="R139" s="474">
        <v>0.5</v>
      </c>
      <c r="S139" s="474">
        <v>0.4</v>
      </c>
      <c r="T139" s="474">
        <v>0.1</v>
      </c>
      <c r="U139" s="474">
        <v>0</v>
      </c>
      <c r="V139" s="474">
        <v>1</v>
      </c>
      <c r="W139" s="63">
        <v>20703850</v>
      </c>
      <c r="X139" s="63">
        <v>16563080</v>
      </c>
      <c r="Y139" s="63">
        <v>4140770</v>
      </c>
      <c r="Z139" s="63">
        <v>0</v>
      </c>
      <c r="AA139" s="63">
        <v>41407700</v>
      </c>
      <c r="AB139" s="63">
        <v>0</v>
      </c>
      <c r="AC139" s="63">
        <v>0</v>
      </c>
      <c r="AD139" s="63">
        <v>0</v>
      </c>
      <c r="AE139" s="63">
        <v>0</v>
      </c>
      <c r="AF139" s="63">
        <v>0</v>
      </c>
      <c r="AG139" s="63">
        <v>0</v>
      </c>
      <c r="AH139" s="63">
        <v>0</v>
      </c>
      <c r="AI139" s="63">
        <v>0</v>
      </c>
      <c r="AJ139" s="63">
        <v>0</v>
      </c>
      <c r="AK139" s="63">
        <v>0</v>
      </c>
      <c r="AL139" s="63">
        <v>20703850</v>
      </c>
      <c r="AM139" s="63">
        <v>16563080</v>
      </c>
      <c r="AN139" s="63">
        <v>4140770</v>
      </c>
      <c r="AO139" s="63">
        <v>0</v>
      </c>
      <c r="AP139" s="63">
        <v>41407700</v>
      </c>
      <c r="AQ139" s="63">
        <v>178742</v>
      </c>
      <c r="AR139" s="63">
        <v>178742</v>
      </c>
      <c r="AS139" s="63">
        <v>0</v>
      </c>
      <c r="AT139" s="63">
        <v>0</v>
      </c>
      <c r="AU139" s="63">
        <v>0</v>
      </c>
      <c r="AV139" s="63">
        <v>0</v>
      </c>
      <c r="AW139" s="63">
        <v>0</v>
      </c>
      <c r="AX139" s="63">
        <v>0</v>
      </c>
      <c r="AY139" s="63">
        <v>0</v>
      </c>
      <c r="AZ139" s="63">
        <v>0</v>
      </c>
      <c r="BA139" s="63">
        <v>0</v>
      </c>
      <c r="BB139" s="63">
        <v>0</v>
      </c>
      <c r="BC139" s="63">
        <v>0</v>
      </c>
      <c r="BD139" s="63">
        <v>0</v>
      </c>
      <c r="BE139" s="63">
        <v>0</v>
      </c>
      <c r="BF139" s="63">
        <v>0</v>
      </c>
      <c r="BG139" s="63">
        <v>0</v>
      </c>
      <c r="BH139" s="63">
        <v>-800000</v>
      </c>
      <c r="BI139" s="63">
        <v>-640000</v>
      </c>
      <c r="BJ139" s="63">
        <v>-160000</v>
      </c>
      <c r="BK139" s="63">
        <v>0</v>
      </c>
      <c r="BL139" s="63">
        <v>-1600000</v>
      </c>
      <c r="BM139" s="63">
        <v>19903850</v>
      </c>
      <c r="BN139" s="63">
        <v>16101822</v>
      </c>
      <c r="BO139" s="63">
        <v>3980770</v>
      </c>
      <c r="BP139" s="63">
        <v>0</v>
      </c>
      <c r="BQ139" s="63">
        <v>39986442</v>
      </c>
      <c r="BR139" s="63">
        <v>239549</v>
      </c>
      <c r="BS139" s="63">
        <v>59887</v>
      </c>
      <c r="BT139" s="63">
        <v>0</v>
      </c>
      <c r="BU139" s="63">
        <v>299436</v>
      </c>
      <c r="BV139" s="63">
        <v>575880</v>
      </c>
      <c r="BW139" s="63">
        <v>143970</v>
      </c>
      <c r="BX139" s="63">
        <v>0</v>
      </c>
      <c r="BY139" s="63">
        <v>719850</v>
      </c>
      <c r="BZ139" s="63">
        <v>0</v>
      </c>
      <c r="CA139" s="63">
        <v>0</v>
      </c>
      <c r="CB139" s="63">
        <v>0</v>
      </c>
      <c r="CC139" s="63">
        <v>0</v>
      </c>
      <c r="CD139" s="63">
        <v>36301</v>
      </c>
      <c r="CE139" s="63">
        <v>9075</v>
      </c>
      <c r="CF139" s="63">
        <v>0</v>
      </c>
      <c r="CG139" s="63">
        <v>45376</v>
      </c>
      <c r="CH139" s="63">
        <v>0</v>
      </c>
      <c r="CI139" s="63">
        <v>0</v>
      </c>
      <c r="CJ139" s="63">
        <v>0</v>
      </c>
      <c r="CK139" s="63">
        <v>0</v>
      </c>
      <c r="CL139" s="63">
        <v>541</v>
      </c>
      <c r="CM139" s="63">
        <v>135</v>
      </c>
      <c r="CN139" s="63">
        <v>0</v>
      </c>
      <c r="CO139" s="63">
        <v>676</v>
      </c>
      <c r="CP139" s="63">
        <v>852271</v>
      </c>
      <c r="CQ139" s="63">
        <v>213067</v>
      </c>
      <c r="CR139" s="63">
        <v>0</v>
      </c>
      <c r="CS139" s="63">
        <v>1065338</v>
      </c>
      <c r="CU139" s="141" t="s">
        <v>139</v>
      </c>
      <c r="CV139" s="157" t="s">
        <v>927</v>
      </c>
      <c r="CW139" s="156" t="s">
        <v>928</v>
      </c>
      <c r="CX139" s="345"/>
      <c r="CY139" s="345"/>
      <c r="CZ139" s="345"/>
    </row>
    <row r="140" spans="1:104" ht="12.75" x14ac:dyDescent="0.2">
      <c r="A140" s="90">
        <v>133</v>
      </c>
      <c r="B140" s="129" t="s">
        <v>142</v>
      </c>
      <c r="C140" s="130" t="s">
        <v>747</v>
      </c>
      <c r="D140" s="131" t="s">
        <v>748</v>
      </c>
      <c r="E140" s="132" t="s">
        <v>141</v>
      </c>
      <c r="F140" s="63">
        <v>161703128</v>
      </c>
      <c r="G140" s="63">
        <v>0</v>
      </c>
      <c r="H140" s="63">
        <v>0</v>
      </c>
      <c r="I140" s="63">
        <v>399618</v>
      </c>
      <c r="J140" s="63">
        <v>0</v>
      </c>
      <c r="K140" s="63">
        <v>399618</v>
      </c>
      <c r="L140" s="63">
        <v>0</v>
      </c>
      <c r="M140" s="63">
        <v>0</v>
      </c>
      <c r="N140" s="63">
        <v>0</v>
      </c>
      <c r="O140" s="63">
        <v>0</v>
      </c>
      <c r="P140" s="63">
        <v>0</v>
      </c>
      <c r="Q140" s="63">
        <v>161303510</v>
      </c>
      <c r="R140" s="474">
        <v>0.5</v>
      </c>
      <c r="S140" s="474">
        <v>0.3</v>
      </c>
      <c r="T140" s="474">
        <v>0.2</v>
      </c>
      <c r="U140" s="474">
        <v>0</v>
      </c>
      <c r="V140" s="474">
        <v>1</v>
      </c>
      <c r="W140" s="63">
        <v>80651755</v>
      </c>
      <c r="X140" s="63">
        <v>48391053</v>
      </c>
      <c r="Y140" s="63">
        <v>32260702</v>
      </c>
      <c r="Z140" s="63">
        <v>0</v>
      </c>
      <c r="AA140" s="63">
        <v>161303510</v>
      </c>
      <c r="AB140" s="63">
        <v>0</v>
      </c>
      <c r="AC140" s="63">
        <v>0</v>
      </c>
      <c r="AD140" s="63">
        <v>0</v>
      </c>
      <c r="AE140" s="63">
        <v>0</v>
      </c>
      <c r="AF140" s="63">
        <v>0</v>
      </c>
      <c r="AG140" s="63">
        <v>0</v>
      </c>
      <c r="AH140" s="63">
        <v>0</v>
      </c>
      <c r="AI140" s="63">
        <v>0</v>
      </c>
      <c r="AJ140" s="63">
        <v>0</v>
      </c>
      <c r="AK140" s="63">
        <v>0</v>
      </c>
      <c r="AL140" s="63">
        <v>80651755</v>
      </c>
      <c r="AM140" s="63">
        <v>48391053</v>
      </c>
      <c r="AN140" s="63">
        <v>32260702</v>
      </c>
      <c r="AO140" s="63">
        <v>0</v>
      </c>
      <c r="AP140" s="63">
        <v>161303510</v>
      </c>
      <c r="AQ140" s="63">
        <v>399618</v>
      </c>
      <c r="AR140" s="63">
        <v>399618</v>
      </c>
      <c r="AS140" s="63">
        <v>0</v>
      </c>
      <c r="AT140" s="63">
        <v>0</v>
      </c>
      <c r="AU140" s="63">
        <v>0</v>
      </c>
      <c r="AV140" s="63">
        <v>0</v>
      </c>
      <c r="AW140" s="63">
        <v>0</v>
      </c>
      <c r="AX140" s="63">
        <v>0</v>
      </c>
      <c r="AY140" s="63">
        <v>0</v>
      </c>
      <c r="AZ140" s="63">
        <v>0</v>
      </c>
      <c r="BA140" s="63">
        <v>0</v>
      </c>
      <c r="BB140" s="63">
        <v>0</v>
      </c>
      <c r="BC140" s="63">
        <v>0</v>
      </c>
      <c r="BD140" s="63">
        <v>0</v>
      </c>
      <c r="BE140" s="63">
        <v>0</v>
      </c>
      <c r="BF140" s="63">
        <v>0</v>
      </c>
      <c r="BG140" s="63">
        <v>0</v>
      </c>
      <c r="BH140" s="63">
        <v>-5270914</v>
      </c>
      <c r="BI140" s="63">
        <v>-3162549</v>
      </c>
      <c r="BJ140" s="63">
        <v>-2108366</v>
      </c>
      <c r="BK140" s="63">
        <v>0</v>
      </c>
      <c r="BL140" s="63">
        <v>-10541829</v>
      </c>
      <c r="BM140" s="63">
        <v>75380841</v>
      </c>
      <c r="BN140" s="63">
        <v>45628122</v>
      </c>
      <c r="BO140" s="63">
        <v>30152336</v>
      </c>
      <c r="BP140" s="63">
        <v>0</v>
      </c>
      <c r="BQ140" s="63">
        <v>151161299</v>
      </c>
      <c r="BR140" s="63">
        <v>699871</v>
      </c>
      <c r="BS140" s="63">
        <v>466580</v>
      </c>
      <c r="BT140" s="63">
        <v>0</v>
      </c>
      <c r="BU140" s="63">
        <v>1166451</v>
      </c>
      <c r="BV140" s="63">
        <v>432039</v>
      </c>
      <c r="BW140" s="63">
        <v>288026</v>
      </c>
      <c r="BX140" s="63">
        <v>0</v>
      </c>
      <c r="BY140" s="63">
        <v>720065</v>
      </c>
      <c r="BZ140" s="63">
        <v>0</v>
      </c>
      <c r="CA140" s="63">
        <v>0</v>
      </c>
      <c r="CB140" s="63">
        <v>0</v>
      </c>
      <c r="CC140" s="63">
        <v>0</v>
      </c>
      <c r="CD140" s="63">
        <v>96437</v>
      </c>
      <c r="CE140" s="63">
        <v>64292</v>
      </c>
      <c r="CF140" s="63">
        <v>0</v>
      </c>
      <c r="CG140" s="63">
        <v>160729</v>
      </c>
      <c r="CH140" s="63">
        <v>9416</v>
      </c>
      <c r="CI140" s="63">
        <v>6277</v>
      </c>
      <c r="CJ140" s="63">
        <v>0</v>
      </c>
      <c r="CK140" s="63">
        <v>15693</v>
      </c>
      <c r="CL140" s="63">
        <v>0</v>
      </c>
      <c r="CM140" s="63">
        <v>0</v>
      </c>
      <c r="CN140" s="63">
        <v>0</v>
      </c>
      <c r="CO140" s="63">
        <v>0</v>
      </c>
      <c r="CP140" s="63">
        <v>1237763</v>
      </c>
      <c r="CQ140" s="63">
        <v>825175</v>
      </c>
      <c r="CR140" s="63">
        <v>0</v>
      </c>
      <c r="CS140" s="63">
        <v>2062938</v>
      </c>
      <c r="CU140" s="141" t="s">
        <v>141</v>
      </c>
      <c r="CV140" s="157" t="s">
        <v>939</v>
      </c>
      <c r="CW140" s="157" t="s">
        <v>940</v>
      </c>
      <c r="CX140" s="345"/>
      <c r="CY140" s="345"/>
      <c r="CZ140" s="345"/>
    </row>
    <row r="141" spans="1:104" ht="12.75" x14ac:dyDescent="0.2">
      <c r="A141" s="90">
        <v>134</v>
      </c>
      <c r="B141" s="129" t="s">
        <v>143</v>
      </c>
      <c r="C141" s="130" t="s">
        <v>742</v>
      </c>
      <c r="D141" s="131" t="s">
        <v>746</v>
      </c>
      <c r="E141" s="132" t="s">
        <v>765</v>
      </c>
      <c r="F141" s="63">
        <v>61492148</v>
      </c>
      <c r="G141" s="63">
        <v>0</v>
      </c>
      <c r="H141" s="63">
        <v>0</v>
      </c>
      <c r="I141" s="63">
        <v>222458</v>
      </c>
      <c r="J141" s="63">
        <v>0</v>
      </c>
      <c r="K141" s="63">
        <v>222458</v>
      </c>
      <c r="L141" s="63">
        <v>0</v>
      </c>
      <c r="M141" s="63">
        <v>0</v>
      </c>
      <c r="N141" s="63">
        <v>837588</v>
      </c>
      <c r="O141" s="63">
        <v>837588</v>
      </c>
      <c r="P141" s="63">
        <v>0</v>
      </c>
      <c r="Q141" s="63">
        <v>60432102</v>
      </c>
      <c r="R141" s="474">
        <v>0.5</v>
      </c>
      <c r="S141" s="474">
        <v>0.4</v>
      </c>
      <c r="T141" s="474">
        <v>0.09</v>
      </c>
      <c r="U141" s="474">
        <v>0.01</v>
      </c>
      <c r="V141" s="474">
        <v>1</v>
      </c>
      <c r="W141" s="63">
        <v>30216051</v>
      </c>
      <c r="X141" s="63">
        <v>24172841</v>
      </c>
      <c r="Y141" s="63">
        <v>5438889</v>
      </c>
      <c r="Z141" s="63">
        <v>604321</v>
      </c>
      <c r="AA141" s="63">
        <v>60432102</v>
      </c>
      <c r="AB141" s="63">
        <v>233296</v>
      </c>
      <c r="AC141" s="63">
        <v>0</v>
      </c>
      <c r="AD141" s="63">
        <v>0</v>
      </c>
      <c r="AE141" s="63">
        <v>0</v>
      </c>
      <c r="AF141" s="63">
        <v>233296</v>
      </c>
      <c r="AG141" s="63">
        <v>0</v>
      </c>
      <c r="AH141" s="63">
        <v>0</v>
      </c>
      <c r="AI141" s="63">
        <v>0</v>
      </c>
      <c r="AJ141" s="63">
        <v>0</v>
      </c>
      <c r="AK141" s="63">
        <v>0</v>
      </c>
      <c r="AL141" s="63">
        <v>29982755</v>
      </c>
      <c r="AM141" s="63">
        <v>24172841</v>
      </c>
      <c r="AN141" s="63">
        <v>5438889</v>
      </c>
      <c r="AO141" s="63">
        <v>604321</v>
      </c>
      <c r="AP141" s="63">
        <v>60198806</v>
      </c>
      <c r="AQ141" s="63">
        <v>222458</v>
      </c>
      <c r="AR141" s="63">
        <v>222458</v>
      </c>
      <c r="AS141" s="63">
        <v>0</v>
      </c>
      <c r="AT141" s="63">
        <v>0</v>
      </c>
      <c r="AU141" s="63">
        <v>837588</v>
      </c>
      <c r="AV141" s="63">
        <v>0</v>
      </c>
      <c r="AW141" s="63">
        <v>837588</v>
      </c>
      <c r="AX141" s="63">
        <v>233296</v>
      </c>
      <c r="AY141" s="63">
        <v>0</v>
      </c>
      <c r="AZ141" s="63">
        <v>0</v>
      </c>
      <c r="BA141" s="63">
        <v>233296</v>
      </c>
      <c r="BB141" s="63">
        <v>0</v>
      </c>
      <c r="BC141" s="63">
        <v>0</v>
      </c>
      <c r="BD141" s="63">
        <v>0</v>
      </c>
      <c r="BE141" s="63">
        <v>0</v>
      </c>
      <c r="BF141" s="63">
        <v>0</v>
      </c>
      <c r="BG141" s="63">
        <v>0</v>
      </c>
      <c r="BH141" s="63">
        <v>-4524031</v>
      </c>
      <c r="BI141" s="63">
        <v>-3619224</v>
      </c>
      <c r="BJ141" s="63">
        <v>-814325</v>
      </c>
      <c r="BK141" s="63">
        <v>-90481</v>
      </c>
      <c r="BL141" s="63">
        <v>-9048061</v>
      </c>
      <c r="BM141" s="63">
        <v>25458724</v>
      </c>
      <c r="BN141" s="63">
        <v>21846959</v>
      </c>
      <c r="BO141" s="63">
        <v>4624564</v>
      </c>
      <c r="BP141" s="63">
        <v>513840</v>
      </c>
      <c r="BQ141" s="63">
        <v>52444087</v>
      </c>
      <c r="BR141" s="63">
        <v>365095</v>
      </c>
      <c r="BS141" s="63">
        <v>78662</v>
      </c>
      <c r="BT141" s="63">
        <v>8740</v>
      </c>
      <c r="BU141" s="63">
        <v>452497</v>
      </c>
      <c r="BV141" s="63">
        <v>626140</v>
      </c>
      <c r="BW141" s="63">
        <v>140882</v>
      </c>
      <c r="BX141" s="63">
        <v>15654</v>
      </c>
      <c r="BY141" s="63">
        <v>782676</v>
      </c>
      <c r="BZ141" s="63">
        <v>15003</v>
      </c>
      <c r="CA141" s="63">
        <v>3376</v>
      </c>
      <c r="CB141" s="63">
        <v>375</v>
      </c>
      <c r="CC141" s="63">
        <v>18754</v>
      </c>
      <c r="CD141" s="63">
        <v>4058</v>
      </c>
      <c r="CE141" s="63">
        <v>913</v>
      </c>
      <c r="CF141" s="63">
        <v>101</v>
      </c>
      <c r="CG141" s="63">
        <v>5072</v>
      </c>
      <c r="CH141" s="63">
        <v>2028</v>
      </c>
      <c r="CI141" s="63">
        <v>457</v>
      </c>
      <c r="CJ141" s="63">
        <v>51</v>
      </c>
      <c r="CK141" s="63">
        <v>2536</v>
      </c>
      <c r="CL141" s="63">
        <v>0</v>
      </c>
      <c r="CM141" s="63">
        <v>0</v>
      </c>
      <c r="CN141" s="63">
        <v>0</v>
      </c>
      <c r="CO141" s="63">
        <v>0</v>
      </c>
      <c r="CP141" s="63">
        <v>1012324</v>
      </c>
      <c r="CQ141" s="63">
        <v>224290</v>
      </c>
      <c r="CR141" s="63">
        <v>24921</v>
      </c>
      <c r="CS141" s="63">
        <v>1261535</v>
      </c>
      <c r="CU141" s="141" t="s">
        <v>765</v>
      </c>
      <c r="CV141" s="157" t="s">
        <v>962</v>
      </c>
      <c r="CW141" s="156" t="s">
        <v>963</v>
      </c>
      <c r="CX141" s="345"/>
      <c r="CY141" s="345"/>
      <c r="CZ141" s="345"/>
    </row>
    <row r="142" spans="1:104" ht="12.75" x14ac:dyDescent="0.2">
      <c r="A142" s="90">
        <v>135</v>
      </c>
      <c r="B142" s="129" t="s">
        <v>145</v>
      </c>
      <c r="C142" s="130" t="s">
        <v>742</v>
      </c>
      <c r="D142" s="131" t="s">
        <v>744</v>
      </c>
      <c r="E142" s="132" t="s">
        <v>144</v>
      </c>
      <c r="F142" s="63">
        <v>19700932</v>
      </c>
      <c r="G142" s="63">
        <v>0</v>
      </c>
      <c r="H142" s="63">
        <v>0</v>
      </c>
      <c r="I142" s="63">
        <v>130406</v>
      </c>
      <c r="J142" s="63">
        <v>0</v>
      </c>
      <c r="K142" s="63">
        <v>130406</v>
      </c>
      <c r="L142" s="63">
        <v>0</v>
      </c>
      <c r="M142" s="63">
        <v>0</v>
      </c>
      <c r="N142" s="63">
        <v>0</v>
      </c>
      <c r="O142" s="63">
        <v>0</v>
      </c>
      <c r="P142" s="63">
        <v>0</v>
      </c>
      <c r="Q142" s="63">
        <v>19570526</v>
      </c>
      <c r="R142" s="474">
        <v>0.5</v>
      </c>
      <c r="S142" s="474">
        <v>0.4</v>
      </c>
      <c r="T142" s="474">
        <v>0.09</v>
      </c>
      <c r="U142" s="474">
        <v>0.01</v>
      </c>
      <c r="V142" s="474">
        <v>1</v>
      </c>
      <c r="W142" s="63">
        <v>9785264</v>
      </c>
      <c r="X142" s="63">
        <v>7828210</v>
      </c>
      <c r="Y142" s="63">
        <v>1761347</v>
      </c>
      <c r="Z142" s="63">
        <v>195705</v>
      </c>
      <c r="AA142" s="63">
        <v>19570526</v>
      </c>
      <c r="AB142" s="63">
        <v>0</v>
      </c>
      <c r="AC142" s="63">
        <v>0</v>
      </c>
      <c r="AD142" s="63">
        <v>0</v>
      </c>
      <c r="AE142" s="63">
        <v>0</v>
      </c>
      <c r="AF142" s="63">
        <v>0</v>
      </c>
      <c r="AG142" s="63">
        <v>0</v>
      </c>
      <c r="AH142" s="63">
        <v>0</v>
      </c>
      <c r="AI142" s="63">
        <v>0</v>
      </c>
      <c r="AJ142" s="63">
        <v>0</v>
      </c>
      <c r="AK142" s="63">
        <v>0</v>
      </c>
      <c r="AL142" s="63">
        <v>9785264</v>
      </c>
      <c r="AM142" s="63">
        <v>7828210</v>
      </c>
      <c r="AN142" s="63">
        <v>1761347</v>
      </c>
      <c r="AO142" s="63">
        <v>195705</v>
      </c>
      <c r="AP142" s="63">
        <v>19570526</v>
      </c>
      <c r="AQ142" s="63">
        <v>130406</v>
      </c>
      <c r="AR142" s="63">
        <v>130406</v>
      </c>
      <c r="AS142" s="63">
        <v>0</v>
      </c>
      <c r="AT142" s="63">
        <v>0</v>
      </c>
      <c r="AU142" s="63">
        <v>0</v>
      </c>
      <c r="AV142" s="63">
        <v>0</v>
      </c>
      <c r="AW142" s="63">
        <v>0</v>
      </c>
      <c r="AX142" s="63">
        <v>0</v>
      </c>
      <c r="AY142" s="63">
        <v>0</v>
      </c>
      <c r="AZ142" s="63">
        <v>0</v>
      </c>
      <c r="BA142" s="63">
        <v>0</v>
      </c>
      <c r="BB142" s="63">
        <v>0</v>
      </c>
      <c r="BC142" s="63">
        <v>0</v>
      </c>
      <c r="BD142" s="63">
        <v>0</v>
      </c>
      <c r="BE142" s="63">
        <v>0</v>
      </c>
      <c r="BF142" s="63">
        <v>0</v>
      </c>
      <c r="BG142" s="63">
        <v>0</v>
      </c>
      <c r="BH142" s="63">
        <v>-55352</v>
      </c>
      <c r="BI142" s="63">
        <v>-44282</v>
      </c>
      <c r="BJ142" s="63">
        <v>-9963</v>
      </c>
      <c r="BK142" s="63">
        <v>-1107</v>
      </c>
      <c r="BL142" s="63">
        <v>-110704</v>
      </c>
      <c r="BM142" s="63">
        <v>9729912</v>
      </c>
      <c r="BN142" s="63">
        <v>7914334</v>
      </c>
      <c r="BO142" s="63">
        <v>1751384</v>
      </c>
      <c r="BP142" s="63">
        <v>194598</v>
      </c>
      <c r="BQ142" s="63">
        <v>19590228</v>
      </c>
      <c r="BR142" s="63">
        <v>113218</v>
      </c>
      <c r="BS142" s="63">
        <v>25474</v>
      </c>
      <c r="BT142" s="63">
        <v>2830</v>
      </c>
      <c r="BU142" s="63">
        <v>141522</v>
      </c>
      <c r="BV142" s="63">
        <v>515811</v>
      </c>
      <c r="BW142" s="63">
        <v>116057</v>
      </c>
      <c r="BX142" s="63">
        <v>12895</v>
      </c>
      <c r="BY142" s="63">
        <v>644763</v>
      </c>
      <c r="BZ142" s="63">
        <v>0</v>
      </c>
      <c r="CA142" s="63">
        <v>0</v>
      </c>
      <c r="CB142" s="63">
        <v>0</v>
      </c>
      <c r="CC142" s="63">
        <v>0</v>
      </c>
      <c r="CD142" s="63">
        <v>0</v>
      </c>
      <c r="CE142" s="63">
        <v>0</v>
      </c>
      <c r="CF142" s="63">
        <v>0</v>
      </c>
      <c r="CG142" s="63">
        <v>0</v>
      </c>
      <c r="CH142" s="63">
        <v>1099</v>
      </c>
      <c r="CI142" s="63">
        <v>248</v>
      </c>
      <c r="CJ142" s="63">
        <v>28</v>
      </c>
      <c r="CK142" s="63">
        <v>1375</v>
      </c>
      <c r="CL142" s="63">
        <v>0</v>
      </c>
      <c r="CM142" s="63">
        <v>0</v>
      </c>
      <c r="CN142" s="63">
        <v>0</v>
      </c>
      <c r="CO142" s="63">
        <v>0</v>
      </c>
      <c r="CP142" s="63">
        <v>630128</v>
      </c>
      <c r="CQ142" s="63">
        <v>141779</v>
      </c>
      <c r="CR142" s="63">
        <v>15753</v>
      </c>
      <c r="CS142" s="63">
        <v>787660</v>
      </c>
      <c r="CU142" s="141" t="s">
        <v>144</v>
      </c>
      <c r="CV142" s="157" t="s">
        <v>961</v>
      </c>
      <c r="CW142" s="156" t="s">
        <v>952</v>
      </c>
      <c r="CX142" s="345"/>
      <c r="CY142" s="345"/>
      <c r="CZ142" s="345"/>
    </row>
    <row r="143" spans="1:104" ht="12.75" x14ac:dyDescent="0.2">
      <c r="A143" s="90">
        <v>136</v>
      </c>
      <c r="B143" s="129" t="s">
        <v>147</v>
      </c>
      <c r="C143" s="130" t="s">
        <v>742</v>
      </c>
      <c r="D143" s="131" t="s">
        <v>746</v>
      </c>
      <c r="E143" s="132" t="s">
        <v>146</v>
      </c>
      <c r="F143" s="63">
        <v>57830307</v>
      </c>
      <c r="G143" s="63">
        <v>0</v>
      </c>
      <c r="H143" s="63">
        <v>0</v>
      </c>
      <c r="I143" s="63">
        <v>193418</v>
      </c>
      <c r="J143" s="63">
        <v>0</v>
      </c>
      <c r="K143" s="63">
        <v>193418</v>
      </c>
      <c r="L143" s="63">
        <v>0</v>
      </c>
      <c r="M143" s="63">
        <v>0</v>
      </c>
      <c r="N143" s="63">
        <v>0</v>
      </c>
      <c r="O143" s="63">
        <v>0</v>
      </c>
      <c r="P143" s="63">
        <v>0</v>
      </c>
      <c r="Q143" s="63">
        <v>57636889</v>
      </c>
      <c r="R143" s="474">
        <v>0.5</v>
      </c>
      <c r="S143" s="474">
        <v>0.4</v>
      </c>
      <c r="T143" s="474">
        <v>0.1</v>
      </c>
      <c r="U143" s="474">
        <v>0</v>
      </c>
      <c r="V143" s="474">
        <v>1</v>
      </c>
      <c r="W143" s="63">
        <v>28818444</v>
      </c>
      <c r="X143" s="63">
        <v>23054756</v>
      </c>
      <c r="Y143" s="63">
        <v>5763689</v>
      </c>
      <c r="Z143" s="63">
        <v>0</v>
      </c>
      <c r="AA143" s="63">
        <v>57636889</v>
      </c>
      <c r="AB143" s="63">
        <v>81085</v>
      </c>
      <c r="AC143" s="63">
        <v>0</v>
      </c>
      <c r="AD143" s="63">
        <v>0</v>
      </c>
      <c r="AE143" s="63">
        <v>0</v>
      </c>
      <c r="AF143" s="63">
        <v>81085</v>
      </c>
      <c r="AG143" s="63">
        <v>0</v>
      </c>
      <c r="AH143" s="63">
        <v>0</v>
      </c>
      <c r="AI143" s="63">
        <v>0</v>
      </c>
      <c r="AJ143" s="63">
        <v>0</v>
      </c>
      <c r="AK143" s="63">
        <v>0</v>
      </c>
      <c r="AL143" s="63">
        <v>28737359</v>
      </c>
      <c r="AM143" s="63">
        <v>23054756</v>
      </c>
      <c r="AN143" s="63">
        <v>5763689</v>
      </c>
      <c r="AO143" s="63">
        <v>0</v>
      </c>
      <c r="AP143" s="63">
        <v>57555804</v>
      </c>
      <c r="AQ143" s="63">
        <v>193418</v>
      </c>
      <c r="AR143" s="63">
        <v>193418</v>
      </c>
      <c r="AS143" s="63">
        <v>0</v>
      </c>
      <c r="AT143" s="63">
        <v>0</v>
      </c>
      <c r="AU143" s="63">
        <v>0</v>
      </c>
      <c r="AV143" s="63">
        <v>0</v>
      </c>
      <c r="AW143" s="63">
        <v>0</v>
      </c>
      <c r="AX143" s="63">
        <v>81085</v>
      </c>
      <c r="AY143" s="63">
        <v>0</v>
      </c>
      <c r="AZ143" s="63">
        <v>0</v>
      </c>
      <c r="BA143" s="63">
        <v>81085</v>
      </c>
      <c r="BB143" s="63">
        <v>0</v>
      </c>
      <c r="BC143" s="63">
        <v>0</v>
      </c>
      <c r="BD143" s="63">
        <v>0</v>
      </c>
      <c r="BE143" s="63">
        <v>0</v>
      </c>
      <c r="BF143" s="63">
        <v>0</v>
      </c>
      <c r="BG143" s="63">
        <v>0</v>
      </c>
      <c r="BH143" s="63">
        <v>-603852</v>
      </c>
      <c r="BI143" s="63">
        <v>-483082</v>
      </c>
      <c r="BJ143" s="63">
        <v>-120771</v>
      </c>
      <c r="BK143" s="63">
        <v>0</v>
      </c>
      <c r="BL143" s="63">
        <v>-1207705</v>
      </c>
      <c r="BM143" s="63">
        <v>28133507</v>
      </c>
      <c r="BN143" s="63">
        <v>22846177</v>
      </c>
      <c r="BO143" s="63">
        <v>5642918</v>
      </c>
      <c r="BP143" s="63">
        <v>0</v>
      </c>
      <c r="BQ143" s="63">
        <v>56622602</v>
      </c>
      <c r="BR143" s="63">
        <v>334609</v>
      </c>
      <c r="BS143" s="63">
        <v>83359</v>
      </c>
      <c r="BT143" s="63">
        <v>0</v>
      </c>
      <c r="BU143" s="63">
        <v>417968</v>
      </c>
      <c r="BV143" s="63">
        <v>517184</v>
      </c>
      <c r="BW143" s="63">
        <v>129296</v>
      </c>
      <c r="BX143" s="63">
        <v>0</v>
      </c>
      <c r="BY143" s="63">
        <v>646480</v>
      </c>
      <c r="BZ143" s="63">
        <v>4262</v>
      </c>
      <c r="CA143" s="63">
        <v>1065</v>
      </c>
      <c r="CB143" s="63">
        <v>0</v>
      </c>
      <c r="CC143" s="63">
        <v>5327</v>
      </c>
      <c r="CD143" s="63">
        <v>0</v>
      </c>
      <c r="CE143" s="63">
        <v>0</v>
      </c>
      <c r="CF143" s="63">
        <v>0</v>
      </c>
      <c r="CG143" s="63">
        <v>0</v>
      </c>
      <c r="CH143" s="63">
        <v>35944</v>
      </c>
      <c r="CI143" s="63">
        <v>8986</v>
      </c>
      <c r="CJ143" s="63">
        <v>0</v>
      </c>
      <c r="CK143" s="63">
        <v>44930</v>
      </c>
      <c r="CL143" s="63">
        <v>3266</v>
      </c>
      <c r="CM143" s="63">
        <v>817</v>
      </c>
      <c r="CN143" s="63">
        <v>0</v>
      </c>
      <c r="CO143" s="63">
        <v>4083</v>
      </c>
      <c r="CP143" s="63">
        <v>895265</v>
      </c>
      <c r="CQ143" s="63">
        <v>223523</v>
      </c>
      <c r="CR143" s="63">
        <v>0</v>
      </c>
      <c r="CS143" s="63">
        <v>1118788</v>
      </c>
      <c r="CU143" s="141" t="s">
        <v>146</v>
      </c>
      <c r="CV143" s="157" t="s">
        <v>938</v>
      </c>
      <c r="CW143" s="156" t="s">
        <v>928</v>
      </c>
      <c r="CX143" s="345"/>
      <c r="CY143" s="345"/>
      <c r="CZ143" s="345"/>
    </row>
    <row r="144" spans="1:104" ht="12.75" x14ac:dyDescent="0.2">
      <c r="A144" s="90">
        <v>137</v>
      </c>
      <c r="B144" s="129" t="s">
        <v>148</v>
      </c>
      <c r="C144" s="130" t="s">
        <v>501</v>
      </c>
      <c r="D144" s="131" t="s">
        <v>743</v>
      </c>
      <c r="E144" s="132" t="s">
        <v>757</v>
      </c>
      <c r="F144" s="63">
        <v>36006573</v>
      </c>
      <c r="G144" s="63">
        <v>0</v>
      </c>
      <c r="H144" s="63">
        <v>0</v>
      </c>
      <c r="I144" s="63">
        <v>257322</v>
      </c>
      <c r="J144" s="63">
        <v>0</v>
      </c>
      <c r="K144" s="63">
        <v>257322</v>
      </c>
      <c r="L144" s="63">
        <v>0</v>
      </c>
      <c r="M144" s="63">
        <v>0</v>
      </c>
      <c r="N144" s="63">
        <v>117695</v>
      </c>
      <c r="O144" s="63">
        <v>117695</v>
      </c>
      <c r="P144" s="63">
        <v>0</v>
      </c>
      <c r="Q144" s="63">
        <v>35631556</v>
      </c>
      <c r="R144" s="474">
        <v>0.5</v>
      </c>
      <c r="S144" s="474">
        <v>0.5</v>
      </c>
      <c r="T144" s="474">
        <v>0</v>
      </c>
      <c r="U144" s="474">
        <v>0</v>
      </c>
      <c r="V144" s="474">
        <v>1</v>
      </c>
      <c r="W144" s="63">
        <v>17815778</v>
      </c>
      <c r="X144" s="63">
        <v>17815778</v>
      </c>
      <c r="Y144" s="63">
        <v>0</v>
      </c>
      <c r="Z144" s="63">
        <v>0</v>
      </c>
      <c r="AA144" s="63">
        <v>35631556</v>
      </c>
      <c r="AB144" s="63">
        <v>0</v>
      </c>
      <c r="AC144" s="63">
        <v>0</v>
      </c>
      <c r="AD144" s="63">
        <v>0</v>
      </c>
      <c r="AE144" s="63">
        <v>0</v>
      </c>
      <c r="AF144" s="63">
        <v>0</v>
      </c>
      <c r="AG144" s="63">
        <v>0</v>
      </c>
      <c r="AH144" s="63">
        <v>0</v>
      </c>
      <c r="AI144" s="63">
        <v>0</v>
      </c>
      <c r="AJ144" s="63">
        <v>0</v>
      </c>
      <c r="AK144" s="63">
        <v>0</v>
      </c>
      <c r="AL144" s="63">
        <v>17815778</v>
      </c>
      <c r="AM144" s="63">
        <v>17815778</v>
      </c>
      <c r="AN144" s="63">
        <v>0</v>
      </c>
      <c r="AO144" s="63">
        <v>0</v>
      </c>
      <c r="AP144" s="63">
        <v>35631556</v>
      </c>
      <c r="AQ144" s="63">
        <v>257322</v>
      </c>
      <c r="AR144" s="63">
        <v>257322</v>
      </c>
      <c r="AS144" s="63">
        <v>0</v>
      </c>
      <c r="AT144" s="63">
        <v>0</v>
      </c>
      <c r="AU144" s="63">
        <v>117695</v>
      </c>
      <c r="AV144" s="63">
        <v>0</v>
      </c>
      <c r="AW144" s="63">
        <v>117695</v>
      </c>
      <c r="AX144" s="63">
        <v>0</v>
      </c>
      <c r="AY144" s="63">
        <v>0</v>
      </c>
      <c r="AZ144" s="63">
        <v>0</v>
      </c>
      <c r="BA144" s="63">
        <v>0</v>
      </c>
      <c r="BB144" s="63">
        <v>0</v>
      </c>
      <c r="BC144" s="63">
        <v>0</v>
      </c>
      <c r="BD144" s="63">
        <v>0</v>
      </c>
      <c r="BE144" s="63">
        <v>0</v>
      </c>
      <c r="BF144" s="63">
        <v>0</v>
      </c>
      <c r="BG144" s="63">
        <v>0</v>
      </c>
      <c r="BH144" s="63">
        <v>-2032850</v>
      </c>
      <c r="BI144" s="63">
        <v>-2032850</v>
      </c>
      <c r="BJ144" s="63">
        <v>0</v>
      </c>
      <c r="BK144" s="63">
        <v>0</v>
      </c>
      <c r="BL144" s="63">
        <v>-4065700</v>
      </c>
      <c r="BM144" s="63">
        <v>15782928</v>
      </c>
      <c r="BN144" s="63">
        <v>16157945</v>
      </c>
      <c r="BO144" s="63">
        <v>0</v>
      </c>
      <c r="BP144" s="63">
        <v>0</v>
      </c>
      <c r="BQ144" s="63">
        <v>31940873</v>
      </c>
      <c r="BR144" s="63">
        <v>259368</v>
      </c>
      <c r="BS144" s="63">
        <v>0</v>
      </c>
      <c r="BT144" s="63">
        <v>0</v>
      </c>
      <c r="BU144" s="63">
        <v>259368</v>
      </c>
      <c r="BV144" s="63">
        <v>1296500</v>
      </c>
      <c r="BW144" s="63">
        <v>0</v>
      </c>
      <c r="BX144" s="63">
        <v>0</v>
      </c>
      <c r="BY144" s="63">
        <v>1296500</v>
      </c>
      <c r="BZ144" s="63">
        <v>2496</v>
      </c>
      <c r="CA144" s="63">
        <v>0</v>
      </c>
      <c r="CB144" s="63">
        <v>0</v>
      </c>
      <c r="CC144" s="63">
        <v>2496</v>
      </c>
      <c r="CD144" s="63">
        <v>2536</v>
      </c>
      <c r="CE144" s="63">
        <v>0</v>
      </c>
      <c r="CF144" s="63">
        <v>0</v>
      </c>
      <c r="CG144" s="63">
        <v>2536</v>
      </c>
      <c r="CH144" s="63">
        <v>7608</v>
      </c>
      <c r="CI144" s="63">
        <v>0</v>
      </c>
      <c r="CJ144" s="63">
        <v>0</v>
      </c>
      <c r="CK144" s="63">
        <v>7608</v>
      </c>
      <c r="CL144" s="63">
        <v>5072</v>
      </c>
      <c r="CM144" s="63">
        <v>0</v>
      </c>
      <c r="CN144" s="63">
        <v>0</v>
      </c>
      <c r="CO144" s="63">
        <v>5072</v>
      </c>
      <c r="CP144" s="63">
        <v>1573580</v>
      </c>
      <c r="CQ144" s="63">
        <v>0</v>
      </c>
      <c r="CR144" s="63">
        <v>0</v>
      </c>
      <c r="CS144" s="63">
        <v>1573580</v>
      </c>
      <c r="CU144" s="141" t="s">
        <v>757</v>
      </c>
      <c r="CV144" s="157" t="s">
        <v>501</v>
      </c>
      <c r="CW144" s="156" t="s">
        <v>928</v>
      </c>
      <c r="CX144" s="345"/>
      <c r="CY144" s="345"/>
      <c r="CZ144" s="345"/>
    </row>
    <row r="145" spans="1:104" ht="12.75" x14ac:dyDescent="0.2">
      <c r="A145" s="90">
        <v>138</v>
      </c>
      <c r="B145" s="129" t="s">
        <v>150</v>
      </c>
      <c r="C145" s="130" t="s">
        <v>501</v>
      </c>
      <c r="D145" s="131" t="s">
        <v>751</v>
      </c>
      <c r="E145" s="132" t="s">
        <v>149</v>
      </c>
      <c r="F145" s="63">
        <v>1703381</v>
      </c>
      <c r="G145" s="63">
        <v>0</v>
      </c>
      <c r="H145" s="63">
        <v>0</v>
      </c>
      <c r="I145" s="63">
        <v>24540</v>
      </c>
      <c r="J145" s="63">
        <v>0</v>
      </c>
      <c r="K145" s="63">
        <v>24540</v>
      </c>
      <c r="L145" s="63">
        <v>0</v>
      </c>
      <c r="M145" s="63">
        <v>0</v>
      </c>
      <c r="N145" s="63">
        <v>0</v>
      </c>
      <c r="O145" s="63">
        <v>0</v>
      </c>
      <c r="P145" s="63">
        <v>0</v>
      </c>
      <c r="Q145" s="63">
        <v>1678841</v>
      </c>
      <c r="R145" s="474">
        <v>0.5</v>
      </c>
      <c r="S145" s="474">
        <v>0.5</v>
      </c>
      <c r="T145" s="474">
        <v>0</v>
      </c>
      <c r="U145" s="474">
        <v>0</v>
      </c>
      <c r="V145" s="474">
        <v>1</v>
      </c>
      <c r="W145" s="63">
        <v>839420</v>
      </c>
      <c r="X145" s="63">
        <v>839421</v>
      </c>
      <c r="Y145" s="63">
        <v>0</v>
      </c>
      <c r="Z145" s="63">
        <v>0</v>
      </c>
      <c r="AA145" s="63">
        <v>1678841</v>
      </c>
      <c r="AB145" s="63">
        <v>0</v>
      </c>
      <c r="AC145" s="63">
        <v>0</v>
      </c>
      <c r="AD145" s="63">
        <v>0</v>
      </c>
      <c r="AE145" s="63">
        <v>0</v>
      </c>
      <c r="AF145" s="63">
        <v>0</v>
      </c>
      <c r="AG145" s="63">
        <v>0</v>
      </c>
      <c r="AH145" s="63">
        <v>0</v>
      </c>
      <c r="AI145" s="63">
        <v>0</v>
      </c>
      <c r="AJ145" s="63">
        <v>0</v>
      </c>
      <c r="AK145" s="63">
        <v>0</v>
      </c>
      <c r="AL145" s="63">
        <v>839420</v>
      </c>
      <c r="AM145" s="63">
        <v>839421</v>
      </c>
      <c r="AN145" s="63">
        <v>0</v>
      </c>
      <c r="AO145" s="63">
        <v>0</v>
      </c>
      <c r="AP145" s="63">
        <v>1678841</v>
      </c>
      <c r="AQ145" s="63">
        <v>24540</v>
      </c>
      <c r="AR145" s="63">
        <v>24540</v>
      </c>
      <c r="AS145" s="63">
        <v>0</v>
      </c>
      <c r="AT145" s="63">
        <v>0</v>
      </c>
      <c r="AU145" s="63">
        <v>0</v>
      </c>
      <c r="AV145" s="63">
        <v>0</v>
      </c>
      <c r="AW145" s="63">
        <v>0</v>
      </c>
      <c r="AX145" s="63">
        <v>0</v>
      </c>
      <c r="AY145" s="63">
        <v>0</v>
      </c>
      <c r="AZ145" s="63">
        <v>0</v>
      </c>
      <c r="BA145" s="63">
        <v>0</v>
      </c>
      <c r="BB145" s="63">
        <v>0</v>
      </c>
      <c r="BC145" s="63">
        <v>0</v>
      </c>
      <c r="BD145" s="63">
        <v>0</v>
      </c>
      <c r="BE145" s="63">
        <v>0</v>
      </c>
      <c r="BF145" s="63">
        <v>0</v>
      </c>
      <c r="BG145" s="63">
        <v>0</v>
      </c>
      <c r="BH145" s="63">
        <v>-26560</v>
      </c>
      <c r="BI145" s="63">
        <v>-26561</v>
      </c>
      <c r="BJ145" s="63">
        <v>0</v>
      </c>
      <c r="BK145" s="63">
        <v>0</v>
      </c>
      <c r="BL145" s="63">
        <v>-53121</v>
      </c>
      <c r="BM145" s="63">
        <v>812860</v>
      </c>
      <c r="BN145" s="63">
        <v>837400</v>
      </c>
      <c r="BO145" s="63">
        <v>0</v>
      </c>
      <c r="BP145" s="63">
        <v>0</v>
      </c>
      <c r="BQ145" s="63">
        <v>1650260</v>
      </c>
      <c r="BR145" s="63">
        <v>12140</v>
      </c>
      <c r="BS145" s="63">
        <v>0</v>
      </c>
      <c r="BT145" s="63">
        <v>0</v>
      </c>
      <c r="BU145" s="63">
        <v>12140</v>
      </c>
      <c r="BV145" s="63">
        <v>85844</v>
      </c>
      <c r="BW145" s="63">
        <v>0</v>
      </c>
      <c r="BX145" s="63">
        <v>0</v>
      </c>
      <c r="BY145" s="63">
        <v>85844</v>
      </c>
      <c r="BZ145" s="63">
        <v>0</v>
      </c>
      <c r="CA145" s="63">
        <v>0</v>
      </c>
      <c r="CB145" s="63">
        <v>0</v>
      </c>
      <c r="CC145" s="63">
        <v>0</v>
      </c>
      <c r="CD145" s="63">
        <v>0</v>
      </c>
      <c r="CE145" s="63">
        <v>0</v>
      </c>
      <c r="CF145" s="63">
        <v>0</v>
      </c>
      <c r="CG145" s="63">
        <v>0</v>
      </c>
      <c r="CH145" s="63">
        <v>0</v>
      </c>
      <c r="CI145" s="63">
        <v>0</v>
      </c>
      <c r="CJ145" s="63">
        <v>0</v>
      </c>
      <c r="CK145" s="63">
        <v>0</v>
      </c>
      <c r="CL145" s="63">
        <v>0</v>
      </c>
      <c r="CM145" s="63">
        <v>0</v>
      </c>
      <c r="CN145" s="63">
        <v>0</v>
      </c>
      <c r="CO145" s="63">
        <v>0</v>
      </c>
      <c r="CP145" s="63">
        <v>97984</v>
      </c>
      <c r="CQ145" s="63">
        <v>0</v>
      </c>
      <c r="CR145" s="63">
        <v>0</v>
      </c>
      <c r="CS145" s="63">
        <v>97984</v>
      </c>
      <c r="CU145" s="141" t="s">
        <v>149</v>
      </c>
      <c r="CV145" s="157" t="s">
        <v>501</v>
      </c>
      <c r="CW145" s="156" t="s">
        <v>928</v>
      </c>
      <c r="CX145" s="345"/>
      <c r="CY145" s="345"/>
      <c r="CZ145" s="345"/>
    </row>
    <row r="146" spans="1:104" ht="12.75" x14ac:dyDescent="0.2">
      <c r="A146" s="90">
        <v>139</v>
      </c>
      <c r="B146" s="129" t="s">
        <v>152</v>
      </c>
      <c r="C146" s="130" t="s">
        <v>754</v>
      </c>
      <c r="D146" s="131" t="s">
        <v>748</v>
      </c>
      <c r="E146" s="132" t="s">
        <v>151</v>
      </c>
      <c r="F146" s="63">
        <v>193240129</v>
      </c>
      <c r="G146" s="63">
        <v>0</v>
      </c>
      <c r="H146" s="63">
        <v>0</v>
      </c>
      <c r="I146" s="63">
        <v>644084</v>
      </c>
      <c r="J146" s="63">
        <v>0</v>
      </c>
      <c r="K146" s="63">
        <v>644084</v>
      </c>
      <c r="L146" s="63">
        <v>0</v>
      </c>
      <c r="M146" s="63">
        <v>0</v>
      </c>
      <c r="N146" s="63">
        <v>62040</v>
      </c>
      <c r="O146" s="63">
        <v>62040</v>
      </c>
      <c r="P146" s="63">
        <v>0</v>
      </c>
      <c r="Q146" s="63">
        <v>192534005</v>
      </c>
      <c r="R146" s="474">
        <v>0.5</v>
      </c>
      <c r="S146" s="474">
        <v>0.3</v>
      </c>
      <c r="T146" s="474">
        <v>0.2</v>
      </c>
      <c r="U146" s="474">
        <v>0</v>
      </c>
      <c r="V146" s="474">
        <v>1</v>
      </c>
      <c r="W146" s="63">
        <v>96267002</v>
      </c>
      <c r="X146" s="63">
        <v>57760202</v>
      </c>
      <c r="Y146" s="63">
        <v>38506801</v>
      </c>
      <c r="Z146" s="63">
        <v>0</v>
      </c>
      <c r="AA146" s="63">
        <v>192534005</v>
      </c>
      <c r="AB146" s="63">
        <v>0</v>
      </c>
      <c r="AC146" s="63">
        <v>0</v>
      </c>
      <c r="AD146" s="63">
        <v>0</v>
      </c>
      <c r="AE146" s="63">
        <v>0</v>
      </c>
      <c r="AF146" s="63">
        <v>0</v>
      </c>
      <c r="AG146" s="63">
        <v>0</v>
      </c>
      <c r="AH146" s="63">
        <v>0</v>
      </c>
      <c r="AI146" s="63">
        <v>0</v>
      </c>
      <c r="AJ146" s="63">
        <v>0</v>
      </c>
      <c r="AK146" s="63">
        <v>0</v>
      </c>
      <c r="AL146" s="63">
        <v>96267002</v>
      </c>
      <c r="AM146" s="63">
        <v>57760202</v>
      </c>
      <c r="AN146" s="63">
        <v>38506801</v>
      </c>
      <c r="AO146" s="63">
        <v>0</v>
      </c>
      <c r="AP146" s="63">
        <v>192534005</v>
      </c>
      <c r="AQ146" s="63">
        <v>644084</v>
      </c>
      <c r="AR146" s="63">
        <v>644084</v>
      </c>
      <c r="AS146" s="63">
        <v>0</v>
      </c>
      <c r="AT146" s="63">
        <v>0</v>
      </c>
      <c r="AU146" s="63">
        <v>62040</v>
      </c>
      <c r="AV146" s="63">
        <v>0</v>
      </c>
      <c r="AW146" s="63">
        <v>62040</v>
      </c>
      <c r="AX146" s="63">
        <v>0</v>
      </c>
      <c r="AY146" s="63">
        <v>0</v>
      </c>
      <c r="AZ146" s="63">
        <v>0</v>
      </c>
      <c r="BA146" s="63">
        <v>0</v>
      </c>
      <c r="BB146" s="63">
        <v>0</v>
      </c>
      <c r="BC146" s="63">
        <v>0</v>
      </c>
      <c r="BD146" s="63">
        <v>0</v>
      </c>
      <c r="BE146" s="63">
        <v>0</v>
      </c>
      <c r="BF146" s="63">
        <v>0</v>
      </c>
      <c r="BG146" s="63">
        <v>0</v>
      </c>
      <c r="BH146" s="63">
        <v>0</v>
      </c>
      <c r="BI146" s="63">
        <v>0</v>
      </c>
      <c r="BJ146" s="63">
        <v>0</v>
      </c>
      <c r="BK146" s="63">
        <v>0</v>
      </c>
      <c r="BL146" s="63">
        <v>0</v>
      </c>
      <c r="BM146" s="63">
        <v>96267002</v>
      </c>
      <c r="BN146" s="63">
        <v>58466326</v>
      </c>
      <c r="BO146" s="63">
        <v>38506801</v>
      </c>
      <c r="BP146" s="63">
        <v>0</v>
      </c>
      <c r="BQ146" s="63">
        <v>193240129</v>
      </c>
      <c r="BR146" s="63">
        <v>836272</v>
      </c>
      <c r="BS146" s="63">
        <v>556917</v>
      </c>
      <c r="BT146" s="63">
        <v>0</v>
      </c>
      <c r="BU146" s="63">
        <v>1393189</v>
      </c>
      <c r="BV146" s="63">
        <v>528769</v>
      </c>
      <c r="BW146" s="63">
        <v>352512</v>
      </c>
      <c r="BX146" s="63">
        <v>0</v>
      </c>
      <c r="BY146" s="63">
        <v>881281</v>
      </c>
      <c r="BZ146" s="63">
        <v>0</v>
      </c>
      <c r="CA146" s="63">
        <v>0</v>
      </c>
      <c r="CB146" s="63">
        <v>0</v>
      </c>
      <c r="CC146" s="63">
        <v>0</v>
      </c>
      <c r="CD146" s="63">
        <v>70661</v>
      </c>
      <c r="CE146" s="63">
        <v>47108</v>
      </c>
      <c r="CF146" s="63">
        <v>0</v>
      </c>
      <c r="CG146" s="63">
        <v>117769</v>
      </c>
      <c r="CH146" s="63">
        <v>345</v>
      </c>
      <c r="CI146" s="63">
        <v>230</v>
      </c>
      <c r="CJ146" s="63">
        <v>0</v>
      </c>
      <c r="CK146" s="63">
        <v>575</v>
      </c>
      <c r="CL146" s="63">
        <v>113416</v>
      </c>
      <c r="CM146" s="63">
        <v>75611</v>
      </c>
      <c r="CN146" s="63">
        <v>0</v>
      </c>
      <c r="CO146" s="63">
        <v>189027</v>
      </c>
      <c r="CP146" s="63">
        <v>1549463</v>
      </c>
      <c r="CQ146" s="63">
        <v>1032378</v>
      </c>
      <c r="CR146" s="63">
        <v>0</v>
      </c>
      <c r="CS146" s="63">
        <v>2581841</v>
      </c>
      <c r="CU146" s="141" t="s">
        <v>151</v>
      </c>
      <c r="CV146" s="157" t="s">
        <v>939</v>
      </c>
      <c r="CW146" s="157" t="s">
        <v>940</v>
      </c>
      <c r="CX146" s="345"/>
      <c r="CY146" s="345"/>
      <c r="CZ146" s="345"/>
    </row>
    <row r="147" spans="1:104" ht="12.75" x14ac:dyDescent="0.2">
      <c r="A147" s="90">
        <v>140</v>
      </c>
      <c r="B147" s="129" t="s">
        <v>153</v>
      </c>
      <c r="C147" s="130" t="s">
        <v>754</v>
      </c>
      <c r="D147" s="131" t="s">
        <v>748</v>
      </c>
      <c r="E147" s="132" t="s">
        <v>553</v>
      </c>
      <c r="F147" s="63">
        <v>274603971</v>
      </c>
      <c r="G147" s="63">
        <v>0</v>
      </c>
      <c r="H147" s="63">
        <v>0</v>
      </c>
      <c r="I147" s="63">
        <v>606852</v>
      </c>
      <c r="J147" s="63">
        <v>0</v>
      </c>
      <c r="K147" s="63">
        <v>606852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63">
        <v>273997119</v>
      </c>
      <c r="R147" s="474">
        <v>0.5</v>
      </c>
      <c r="S147" s="474">
        <v>0.3</v>
      </c>
      <c r="T147" s="474">
        <v>0.2</v>
      </c>
      <c r="U147" s="474">
        <v>0</v>
      </c>
      <c r="V147" s="474">
        <v>1</v>
      </c>
      <c r="W147" s="63">
        <v>136998559</v>
      </c>
      <c r="X147" s="63">
        <v>82199136</v>
      </c>
      <c r="Y147" s="63">
        <v>54799424</v>
      </c>
      <c r="Z147" s="63">
        <v>0</v>
      </c>
      <c r="AA147" s="63">
        <v>273997119</v>
      </c>
      <c r="AB147" s="63">
        <v>0</v>
      </c>
      <c r="AC147" s="63">
        <v>0</v>
      </c>
      <c r="AD147" s="63">
        <v>0</v>
      </c>
      <c r="AE147" s="63">
        <v>0</v>
      </c>
      <c r="AF147" s="63">
        <v>0</v>
      </c>
      <c r="AG147" s="63">
        <v>0</v>
      </c>
      <c r="AH147" s="63">
        <v>0</v>
      </c>
      <c r="AI147" s="63">
        <v>0</v>
      </c>
      <c r="AJ147" s="63">
        <v>0</v>
      </c>
      <c r="AK147" s="63">
        <v>0</v>
      </c>
      <c r="AL147" s="63">
        <v>136998559</v>
      </c>
      <c r="AM147" s="63">
        <v>82199136</v>
      </c>
      <c r="AN147" s="63">
        <v>54799424</v>
      </c>
      <c r="AO147" s="63">
        <v>0</v>
      </c>
      <c r="AP147" s="63">
        <v>273997119</v>
      </c>
      <c r="AQ147" s="63">
        <v>606852</v>
      </c>
      <c r="AR147" s="63">
        <v>606852</v>
      </c>
      <c r="AS147" s="63">
        <v>0</v>
      </c>
      <c r="AT147" s="63">
        <v>0</v>
      </c>
      <c r="AU147" s="63">
        <v>0</v>
      </c>
      <c r="AV147" s="63">
        <v>0</v>
      </c>
      <c r="AW147" s="63">
        <v>0</v>
      </c>
      <c r="AX147" s="63">
        <v>0</v>
      </c>
      <c r="AY147" s="63">
        <v>0</v>
      </c>
      <c r="AZ147" s="63">
        <v>0</v>
      </c>
      <c r="BA147" s="63">
        <v>0</v>
      </c>
      <c r="BB147" s="63">
        <v>0</v>
      </c>
      <c r="BC147" s="63">
        <v>0</v>
      </c>
      <c r="BD147" s="63">
        <v>0</v>
      </c>
      <c r="BE147" s="63">
        <v>0</v>
      </c>
      <c r="BF147" s="63">
        <v>0</v>
      </c>
      <c r="BG147" s="63">
        <v>0</v>
      </c>
      <c r="BH147" s="63">
        <v>0</v>
      </c>
      <c r="BI147" s="63">
        <v>0</v>
      </c>
      <c r="BJ147" s="63">
        <v>0</v>
      </c>
      <c r="BK147" s="63">
        <v>0</v>
      </c>
      <c r="BL147" s="63">
        <v>0</v>
      </c>
      <c r="BM147" s="63">
        <v>136998559</v>
      </c>
      <c r="BN147" s="63">
        <v>82805988</v>
      </c>
      <c r="BO147" s="63">
        <v>54799424</v>
      </c>
      <c r="BP147" s="63">
        <v>0</v>
      </c>
      <c r="BQ147" s="63">
        <v>274603971</v>
      </c>
      <c r="BR147" s="63">
        <v>1188830</v>
      </c>
      <c r="BS147" s="63">
        <v>792554</v>
      </c>
      <c r="BT147" s="63">
        <v>0</v>
      </c>
      <c r="BU147" s="63">
        <v>1981384</v>
      </c>
      <c r="BV147" s="63">
        <v>259549</v>
      </c>
      <c r="BW147" s="63">
        <v>173032</v>
      </c>
      <c r="BX147" s="63">
        <v>0</v>
      </c>
      <c r="BY147" s="63">
        <v>432581</v>
      </c>
      <c r="BZ147" s="63">
        <v>472</v>
      </c>
      <c r="CA147" s="63">
        <v>314</v>
      </c>
      <c r="CB147" s="63">
        <v>0</v>
      </c>
      <c r="CC147" s="63">
        <v>786</v>
      </c>
      <c r="CD147" s="63">
        <v>0</v>
      </c>
      <c r="CE147" s="63">
        <v>0</v>
      </c>
      <c r="CF147" s="63">
        <v>0</v>
      </c>
      <c r="CG147" s="63">
        <v>0</v>
      </c>
      <c r="CH147" s="63">
        <v>33477</v>
      </c>
      <c r="CI147" s="63">
        <v>22318</v>
      </c>
      <c r="CJ147" s="63">
        <v>0</v>
      </c>
      <c r="CK147" s="63">
        <v>55795</v>
      </c>
      <c r="CL147" s="63">
        <v>447</v>
      </c>
      <c r="CM147" s="63">
        <v>297</v>
      </c>
      <c r="CN147" s="63">
        <v>0</v>
      </c>
      <c r="CO147" s="63">
        <v>744</v>
      </c>
      <c r="CP147" s="63">
        <v>1482775</v>
      </c>
      <c r="CQ147" s="63">
        <v>988515</v>
      </c>
      <c r="CR147" s="63">
        <v>0</v>
      </c>
      <c r="CS147" s="63">
        <v>2471290</v>
      </c>
      <c r="CU147" s="141" t="s">
        <v>553</v>
      </c>
      <c r="CV147" s="157" t="s">
        <v>939</v>
      </c>
      <c r="CW147" s="157" t="s">
        <v>940</v>
      </c>
      <c r="CX147" s="345"/>
      <c r="CY147" s="345"/>
      <c r="CZ147" s="345"/>
    </row>
    <row r="148" spans="1:104" ht="12.75" x14ac:dyDescent="0.2">
      <c r="A148" s="90">
        <v>141</v>
      </c>
      <c r="B148" s="129" t="s">
        <v>155</v>
      </c>
      <c r="C148" s="130" t="s">
        <v>742</v>
      </c>
      <c r="D148" s="131" t="s">
        <v>745</v>
      </c>
      <c r="E148" s="132" t="s">
        <v>154</v>
      </c>
      <c r="F148" s="63">
        <v>33047130.800700001</v>
      </c>
      <c r="G148" s="63">
        <v>0</v>
      </c>
      <c r="H148" s="63">
        <v>0</v>
      </c>
      <c r="I148" s="63">
        <v>112507</v>
      </c>
      <c r="J148" s="63">
        <v>0</v>
      </c>
      <c r="K148" s="63">
        <v>112507</v>
      </c>
      <c r="L148" s="63">
        <v>0</v>
      </c>
      <c r="M148" s="63">
        <v>0</v>
      </c>
      <c r="N148" s="63">
        <v>218000</v>
      </c>
      <c r="O148" s="63">
        <v>218000</v>
      </c>
      <c r="P148" s="63">
        <v>0</v>
      </c>
      <c r="Q148" s="63">
        <v>32716624</v>
      </c>
      <c r="R148" s="474">
        <v>0.5</v>
      </c>
      <c r="S148" s="474">
        <v>0.4</v>
      </c>
      <c r="T148" s="474">
        <v>0.1</v>
      </c>
      <c r="U148" s="474">
        <v>0</v>
      </c>
      <c r="V148" s="474">
        <v>1</v>
      </c>
      <c r="W148" s="63">
        <v>16358312</v>
      </c>
      <c r="X148" s="63">
        <v>13086650</v>
      </c>
      <c r="Y148" s="63">
        <v>3271662</v>
      </c>
      <c r="Z148" s="63">
        <v>0</v>
      </c>
      <c r="AA148" s="63">
        <v>32716624</v>
      </c>
      <c r="AB148" s="63">
        <v>0</v>
      </c>
      <c r="AC148" s="63">
        <v>0</v>
      </c>
      <c r="AD148" s="63">
        <v>0</v>
      </c>
      <c r="AE148" s="63">
        <v>0</v>
      </c>
      <c r="AF148" s="63">
        <v>0</v>
      </c>
      <c r="AG148" s="63">
        <v>0</v>
      </c>
      <c r="AH148" s="63">
        <v>0</v>
      </c>
      <c r="AI148" s="63">
        <v>0</v>
      </c>
      <c r="AJ148" s="63">
        <v>0</v>
      </c>
      <c r="AK148" s="63">
        <v>0</v>
      </c>
      <c r="AL148" s="63">
        <v>16358312</v>
      </c>
      <c r="AM148" s="63">
        <v>13086650</v>
      </c>
      <c r="AN148" s="63">
        <v>3271662</v>
      </c>
      <c r="AO148" s="63">
        <v>0</v>
      </c>
      <c r="AP148" s="63">
        <v>32716624</v>
      </c>
      <c r="AQ148" s="63">
        <v>112507</v>
      </c>
      <c r="AR148" s="63">
        <v>112507</v>
      </c>
      <c r="AS148" s="63">
        <v>0</v>
      </c>
      <c r="AT148" s="63">
        <v>0</v>
      </c>
      <c r="AU148" s="63">
        <v>218000</v>
      </c>
      <c r="AV148" s="63">
        <v>0</v>
      </c>
      <c r="AW148" s="63">
        <v>218000</v>
      </c>
      <c r="AX148" s="63">
        <v>0</v>
      </c>
      <c r="AY148" s="63">
        <v>0</v>
      </c>
      <c r="AZ148" s="63">
        <v>0</v>
      </c>
      <c r="BA148" s="63">
        <v>0</v>
      </c>
      <c r="BB148" s="63">
        <v>0</v>
      </c>
      <c r="BC148" s="63">
        <v>0</v>
      </c>
      <c r="BD148" s="63">
        <v>0</v>
      </c>
      <c r="BE148" s="63">
        <v>0</v>
      </c>
      <c r="BF148" s="63">
        <v>0</v>
      </c>
      <c r="BG148" s="63">
        <v>0</v>
      </c>
      <c r="BH148" s="63">
        <v>-647885</v>
      </c>
      <c r="BI148" s="63">
        <v>-518308</v>
      </c>
      <c r="BJ148" s="63">
        <v>-129577</v>
      </c>
      <c r="BK148" s="63">
        <v>0</v>
      </c>
      <c r="BL148" s="63">
        <v>-1295770</v>
      </c>
      <c r="BM148" s="63">
        <v>15710427</v>
      </c>
      <c r="BN148" s="63">
        <v>12898849</v>
      </c>
      <c r="BO148" s="63">
        <v>3142085</v>
      </c>
      <c r="BP148" s="63">
        <v>0</v>
      </c>
      <c r="BQ148" s="63">
        <v>31751361</v>
      </c>
      <c r="BR148" s="63">
        <v>192423</v>
      </c>
      <c r="BS148" s="63">
        <v>47317</v>
      </c>
      <c r="BT148" s="63">
        <v>0</v>
      </c>
      <c r="BU148" s="63">
        <v>239740</v>
      </c>
      <c r="BV148" s="63">
        <v>348091</v>
      </c>
      <c r="BW148" s="63">
        <v>87023</v>
      </c>
      <c r="BX148" s="63">
        <v>0</v>
      </c>
      <c r="BY148" s="63">
        <v>435114</v>
      </c>
      <c r="BZ148" s="63">
        <v>4958</v>
      </c>
      <c r="CA148" s="63">
        <v>1239</v>
      </c>
      <c r="CB148" s="63">
        <v>0</v>
      </c>
      <c r="CC148" s="63">
        <v>6197</v>
      </c>
      <c r="CD148" s="63">
        <v>1014</v>
      </c>
      <c r="CE148" s="63">
        <v>254</v>
      </c>
      <c r="CF148" s="63">
        <v>0</v>
      </c>
      <c r="CG148" s="63">
        <v>1268</v>
      </c>
      <c r="CH148" s="63">
        <v>6086</v>
      </c>
      <c r="CI148" s="63">
        <v>1522</v>
      </c>
      <c r="CJ148" s="63">
        <v>0</v>
      </c>
      <c r="CK148" s="63">
        <v>7608</v>
      </c>
      <c r="CL148" s="63">
        <v>0</v>
      </c>
      <c r="CM148" s="63">
        <v>0</v>
      </c>
      <c r="CN148" s="63">
        <v>0</v>
      </c>
      <c r="CO148" s="63">
        <v>0</v>
      </c>
      <c r="CP148" s="63">
        <v>552572</v>
      </c>
      <c r="CQ148" s="63">
        <v>137355</v>
      </c>
      <c r="CR148" s="63">
        <v>0</v>
      </c>
      <c r="CS148" s="63">
        <v>689927</v>
      </c>
      <c r="CU148" s="141" t="s">
        <v>154</v>
      </c>
      <c r="CV148" s="157" t="s">
        <v>971</v>
      </c>
      <c r="CW148" s="156" t="s">
        <v>928</v>
      </c>
      <c r="CX148" s="345"/>
      <c r="CY148" s="345"/>
      <c r="CZ148" s="345"/>
    </row>
    <row r="149" spans="1:104" ht="12.75" x14ac:dyDescent="0.2">
      <c r="A149" s="90">
        <v>142</v>
      </c>
      <c r="B149" s="129" t="s">
        <v>156</v>
      </c>
      <c r="C149" s="130" t="s">
        <v>742</v>
      </c>
      <c r="D149" s="131" t="s">
        <v>746</v>
      </c>
      <c r="E149" s="132" t="s">
        <v>758</v>
      </c>
      <c r="F149" s="63">
        <v>43971924</v>
      </c>
      <c r="G149" s="63">
        <v>0</v>
      </c>
      <c r="H149" s="63">
        <v>0</v>
      </c>
      <c r="I149" s="63">
        <v>220920</v>
      </c>
      <c r="J149" s="63">
        <v>0</v>
      </c>
      <c r="K149" s="63">
        <v>220920</v>
      </c>
      <c r="L149" s="63">
        <v>0</v>
      </c>
      <c r="M149" s="63">
        <v>12100</v>
      </c>
      <c r="N149" s="63">
        <v>747239</v>
      </c>
      <c r="O149" s="63">
        <v>747239</v>
      </c>
      <c r="P149" s="63">
        <v>0</v>
      </c>
      <c r="Q149" s="63">
        <v>42991665</v>
      </c>
      <c r="R149" s="474">
        <v>0.5</v>
      </c>
      <c r="S149" s="474">
        <v>0.4</v>
      </c>
      <c r="T149" s="474">
        <v>0.1</v>
      </c>
      <c r="U149" s="474">
        <v>0</v>
      </c>
      <c r="V149" s="474">
        <v>1</v>
      </c>
      <c r="W149" s="63">
        <v>21495832</v>
      </c>
      <c r="X149" s="63">
        <v>17196666</v>
      </c>
      <c r="Y149" s="63">
        <v>4299167</v>
      </c>
      <c r="Z149" s="63">
        <v>0</v>
      </c>
      <c r="AA149" s="63">
        <v>42991665</v>
      </c>
      <c r="AB149" s="63">
        <v>0</v>
      </c>
      <c r="AC149" s="63">
        <v>0</v>
      </c>
      <c r="AD149" s="63">
        <v>0</v>
      </c>
      <c r="AE149" s="63">
        <v>0</v>
      </c>
      <c r="AF149" s="63">
        <v>0</v>
      </c>
      <c r="AG149" s="63">
        <v>0</v>
      </c>
      <c r="AH149" s="63">
        <v>0</v>
      </c>
      <c r="AI149" s="63">
        <v>0</v>
      </c>
      <c r="AJ149" s="63">
        <v>0</v>
      </c>
      <c r="AK149" s="63">
        <v>0</v>
      </c>
      <c r="AL149" s="63">
        <v>21495832</v>
      </c>
      <c r="AM149" s="63">
        <v>17196666</v>
      </c>
      <c r="AN149" s="63">
        <v>4299167</v>
      </c>
      <c r="AO149" s="63">
        <v>0</v>
      </c>
      <c r="AP149" s="63">
        <v>42991665</v>
      </c>
      <c r="AQ149" s="63">
        <v>220920</v>
      </c>
      <c r="AR149" s="63">
        <v>220920</v>
      </c>
      <c r="AS149" s="63">
        <v>12100</v>
      </c>
      <c r="AT149" s="63">
        <v>12100</v>
      </c>
      <c r="AU149" s="63">
        <v>747239</v>
      </c>
      <c r="AV149" s="63">
        <v>0</v>
      </c>
      <c r="AW149" s="63">
        <v>747239</v>
      </c>
      <c r="AX149" s="63">
        <v>0</v>
      </c>
      <c r="AY149" s="63">
        <v>0</v>
      </c>
      <c r="AZ149" s="63">
        <v>0</v>
      </c>
      <c r="BA149" s="63">
        <v>0</v>
      </c>
      <c r="BB149" s="63">
        <v>0</v>
      </c>
      <c r="BC149" s="63">
        <v>0</v>
      </c>
      <c r="BD149" s="63">
        <v>0</v>
      </c>
      <c r="BE149" s="63">
        <v>0</v>
      </c>
      <c r="BF149" s="63">
        <v>0</v>
      </c>
      <c r="BG149" s="63">
        <v>0</v>
      </c>
      <c r="BH149" s="63">
        <v>-1040001</v>
      </c>
      <c r="BI149" s="63">
        <v>-832000</v>
      </c>
      <c r="BJ149" s="63">
        <v>-208000</v>
      </c>
      <c r="BK149" s="63">
        <v>0</v>
      </c>
      <c r="BL149" s="63">
        <v>-2080001</v>
      </c>
      <c r="BM149" s="63">
        <v>20455831</v>
      </c>
      <c r="BN149" s="63">
        <v>17344925</v>
      </c>
      <c r="BO149" s="63">
        <v>4091167</v>
      </c>
      <c r="BP149" s="63">
        <v>0</v>
      </c>
      <c r="BQ149" s="63">
        <v>41891923</v>
      </c>
      <c r="BR149" s="63">
        <v>259694</v>
      </c>
      <c r="BS149" s="63">
        <v>62178</v>
      </c>
      <c r="BT149" s="63">
        <v>0</v>
      </c>
      <c r="BU149" s="63">
        <v>321872</v>
      </c>
      <c r="BV149" s="63">
        <v>706103</v>
      </c>
      <c r="BW149" s="63">
        <v>176526</v>
      </c>
      <c r="BX149" s="63">
        <v>0</v>
      </c>
      <c r="BY149" s="63">
        <v>882629</v>
      </c>
      <c r="BZ149" s="63">
        <v>584</v>
      </c>
      <c r="CA149" s="63">
        <v>146</v>
      </c>
      <c r="CB149" s="63">
        <v>0</v>
      </c>
      <c r="CC149" s="63">
        <v>730</v>
      </c>
      <c r="CD149" s="63">
        <v>2810</v>
      </c>
      <c r="CE149" s="63">
        <v>703</v>
      </c>
      <c r="CF149" s="63">
        <v>0</v>
      </c>
      <c r="CG149" s="63">
        <v>3513</v>
      </c>
      <c r="CH149" s="63">
        <v>882</v>
      </c>
      <c r="CI149" s="63">
        <v>220</v>
      </c>
      <c r="CJ149" s="63">
        <v>0</v>
      </c>
      <c r="CK149" s="63">
        <v>1102</v>
      </c>
      <c r="CL149" s="63">
        <v>9584</v>
      </c>
      <c r="CM149" s="63">
        <v>2396</v>
      </c>
      <c r="CN149" s="63">
        <v>0</v>
      </c>
      <c r="CO149" s="63">
        <v>11980</v>
      </c>
      <c r="CP149" s="63">
        <v>979657</v>
      </c>
      <c r="CQ149" s="63">
        <v>242169</v>
      </c>
      <c r="CR149" s="63">
        <v>0</v>
      </c>
      <c r="CS149" s="63">
        <v>1221826</v>
      </c>
      <c r="CU149" s="141" t="s">
        <v>758</v>
      </c>
      <c r="CV149" s="157" t="s">
        <v>958</v>
      </c>
      <c r="CW149" s="156" t="s">
        <v>928</v>
      </c>
      <c r="CX149" s="345"/>
      <c r="CY149" s="345"/>
      <c r="CZ149" s="345"/>
    </row>
    <row r="150" spans="1:104" ht="12.75" x14ac:dyDescent="0.2">
      <c r="A150" s="90">
        <v>143</v>
      </c>
      <c r="B150" s="129" t="s">
        <v>157</v>
      </c>
      <c r="C150" s="130" t="s">
        <v>501</v>
      </c>
      <c r="D150" s="131" t="s">
        <v>750</v>
      </c>
      <c r="E150" s="132" t="s">
        <v>759</v>
      </c>
      <c r="F150" s="63">
        <v>95934635</v>
      </c>
      <c r="G150" s="63">
        <v>0</v>
      </c>
      <c r="H150" s="63">
        <v>0</v>
      </c>
      <c r="I150" s="63">
        <v>371663</v>
      </c>
      <c r="J150" s="63">
        <v>0</v>
      </c>
      <c r="K150" s="63">
        <v>371663</v>
      </c>
      <c r="L150" s="63">
        <v>0</v>
      </c>
      <c r="M150" s="63">
        <v>15192</v>
      </c>
      <c r="N150" s="63">
        <v>0</v>
      </c>
      <c r="O150" s="63">
        <v>0</v>
      </c>
      <c r="P150" s="63">
        <v>0</v>
      </c>
      <c r="Q150" s="63">
        <v>95547780</v>
      </c>
      <c r="R150" s="474">
        <v>0.5</v>
      </c>
      <c r="S150" s="474">
        <v>0.49</v>
      </c>
      <c r="T150" s="474">
        <v>0</v>
      </c>
      <c r="U150" s="474">
        <v>0.01</v>
      </c>
      <c r="V150" s="474">
        <v>1</v>
      </c>
      <c r="W150" s="63">
        <v>47773890</v>
      </c>
      <c r="X150" s="63">
        <v>46818412</v>
      </c>
      <c r="Y150" s="63">
        <v>0</v>
      </c>
      <c r="Z150" s="63">
        <v>955478</v>
      </c>
      <c r="AA150" s="63">
        <v>95547780</v>
      </c>
      <c r="AB150" s="63">
        <v>0</v>
      </c>
      <c r="AC150" s="63">
        <v>0</v>
      </c>
      <c r="AD150" s="63">
        <v>0</v>
      </c>
      <c r="AE150" s="63">
        <v>0</v>
      </c>
      <c r="AF150" s="63">
        <v>0</v>
      </c>
      <c r="AG150" s="63">
        <v>0</v>
      </c>
      <c r="AH150" s="63">
        <v>0</v>
      </c>
      <c r="AI150" s="63">
        <v>0</v>
      </c>
      <c r="AJ150" s="63">
        <v>0</v>
      </c>
      <c r="AK150" s="63">
        <v>0</v>
      </c>
      <c r="AL150" s="63">
        <v>47773890</v>
      </c>
      <c r="AM150" s="63">
        <v>46818412</v>
      </c>
      <c r="AN150" s="63">
        <v>0</v>
      </c>
      <c r="AO150" s="63">
        <v>955478</v>
      </c>
      <c r="AP150" s="63">
        <v>95547780</v>
      </c>
      <c r="AQ150" s="63">
        <v>371663</v>
      </c>
      <c r="AR150" s="63">
        <v>371663</v>
      </c>
      <c r="AS150" s="63">
        <v>15192</v>
      </c>
      <c r="AT150" s="63">
        <v>15192</v>
      </c>
      <c r="AU150" s="63">
        <v>0</v>
      </c>
      <c r="AV150" s="63">
        <v>0</v>
      </c>
      <c r="AW150" s="63">
        <v>0</v>
      </c>
      <c r="AX150" s="63">
        <v>0</v>
      </c>
      <c r="AY150" s="63">
        <v>0</v>
      </c>
      <c r="AZ150" s="63">
        <v>0</v>
      </c>
      <c r="BA150" s="63">
        <v>0</v>
      </c>
      <c r="BB150" s="63">
        <v>0</v>
      </c>
      <c r="BC150" s="63">
        <v>0</v>
      </c>
      <c r="BD150" s="63">
        <v>0</v>
      </c>
      <c r="BE150" s="63">
        <v>0</v>
      </c>
      <c r="BF150" s="63">
        <v>0</v>
      </c>
      <c r="BG150" s="63">
        <v>0</v>
      </c>
      <c r="BH150" s="63">
        <v>33760</v>
      </c>
      <c r="BI150" s="63">
        <v>33085</v>
      </c>
      <c r="BJ150" s="63">
        <v>0</v>
      </c>
      <c r="BK150" s="63">
        <v>675</v>
      </c>
      <c r="BL150" s="63">
        <v>67520</v>
      </c>
      <c r="BM150" s="63">
        <v>47807650</v>
      </c>
      <c r="BN150" s="63">
        <v>47238352</v>
      </c>
      <c r="BO150" s="63">
        <v>0</v>
      </c>
      <c r="BP150" s="63">
        <v>956153</v>
      </c>
      <c r="BQ150" s="63">
        <v>96002155</v>
      </c>
      <c r="BR150" s="63">
        <v>677346</v>
      </c>
      <c r="BS150" s="63">
        <v>0</v>
      </c>
      <c r="BT150" s="63">
        <v>13819</v>
      </c>
      <c r="BU150" s="63">
        <v>691165</v>
      </c>
      <c r="BV150" s="63">
        <v>1463175</v>
      </c>
      <c r="BW150" s="63">
        <v>0</v>
      </c>
      <c r="BX150" s="63">
        <v>29861</v>
      </c>
      <c r="BY150" s="63">
        <v>1493036</v>
      </c>
      <c r="BZ150" s="63">
        <v>994</v>
      </c>
      <c r="CA150" s="63">
        <v>0</v>
      </c>
      <c r="CB150" s="63">
        <v>20</v>
      </c>
      <c r="CC150" s="63">
        <v>1014</v>
      </c>
      <c r="CD150" s="63">
        <v>44738</v>
      </c>
      <c r="CE150" s="63">
        <v>0</v>
      </c>
      <c r="CF150" s="63">
        <v>913</v>
      </c>
      <c r="CG150" s="63">
        <v>45651</v>
      </c>
      <c r="CH150" s="63">
        <v>59651</v>
      </c>
      <c r="CI150" s="63">
        <v>0</v>
      </c>
      <c r="CJ150" s="63">
        <v>1217</v>
      </c>
      <c r="CK150" s="63">
        <v>60868</v>
      </c>
      <c r="CL150" s="63">
        <v>5301</v>
      </c>
      <c r="CM150" s="63">
        <v>0</v>
      </c>
      <c r="CN150" s="63">
        <v>108</v>
      </c>
      <c r="CO150" s="63">
        <v>5409</v>
      </c>
      <c r="CP150" s="63">
        <v>2251205</v>
      </c>
      <c r="CQ150" s="63">
        <v>0</v>
      </c>
      <c r="CR150" s="63">
        <v>45938</v>
      </c>
      <c r="CS150" s="63">
        <v>2297143</v>
      </c>
      <c r="CU150" s="141" t="s">
        <v>759</v>
      </c>
      <c r="CV150" s="157" t="s">
        <v>501</v>
      </c>
      <c r="CW150" s="156" t="s">
        <v>976</v>
      </c>
      <c r="CX150" s="345"/>
      <c r="CY150" s="345"/>
      <c r="CZ150" s="345"/>
    </row>
    <row r="151" spans="1:104" ht="12.75" x14ac:dyDescent="0.2">
      <c r="A151" s="90">
        <v>144</v>
      </c>
      <c r="B151" s="129" t="s">
        <v>159</v>
      </c>
      <c r="C151" s="130" t="s">
        <v>747</v>
      </c>
      <c r="D151" s="131" t="s">
        <v>748</v>
      </c>
      <c r="E151" s="132" t="s">
        <v>158</v>
      </c>
      <c r="F151" s="63">
        <v>83511607</v>
      </c>
      <c r="G151" s="63">
        <v>0</v>
      </c>
      <c r="H151" s="63">
        <v>0</v>
      </c>
      <c r="I151" s="63">
        <v>251900</v>
      </c>
      <c r="J151" s="63">
        <v>23477</v>
      </c>
      <c r="K151" s="63">
        <v>275377</v>
      </c>
      <c r="L151" s="63">
        <v>0</v>
      </c>
      <c r="M151" s="63">
        <v>0</v>
      </c>
      <c r="N151" s="63">
        <v>0</v>
      </c>
      <c r="O151" s="63">
        <v>0</v>
      </c>
      <c r="P151" s="63">
        <v>0</v>
      </c>
      <c r="Q151" s="63">
        <v>83236230</v>
      </c>
      <c r="R151" s="474">
        <v>0.5</v>
      </c>
      <c r="S151" s="474">
        <v>0.3</v>
      </c>
      <c r="T151" s="474">
        <v>0.2</v>
      </c>
      <c r="U151" s="474">
        <v>0</v>
      </c>
      <c r="V151" s="474">
        <v>1</v>
      </c>
      <c r="W151" s="63">
        <v>41618115</v>
      </c>
      <c r="X151" s="63">
        <v>24970869</v>
      </c>
      <c r="Y151" s="63">
        <v>16647246</v>
      </c>
      <c r="Z151" s="63">
        <v>0</v>
      </c>
      <c r="AA151" s="63">
        <v>83236230</v>
      </c>
      <c r="AB151" s="63">
        <v>0</v>
      </c>
      <c r="AC151" s="63">
        <v>0</v>
      </c>
      <c r="AD151" s="63">
        <v>0</v>
      </c>
      <c r="AE151" s="63">
        <v>0</v>
      </c>
      <c r="AF151" s="63">
        <v>0</v>
      </c>
      <c r="AG151" s="63">
        <v>0</v>
      </c>
      <c r="AH151" s="63">
        <v>0</v>
      </c>
      <c r="AI151" s="63">
        <v>0</v>
      </c>
      <c r="AJ151" s="63">
        <v>0</v>
      </c>
      <c r="AK151" s="63">
        <v>0</v>
      </c>
      <c r="AL151" s="63">
        <v>41618115</v>
      </c>
      <c r="AM151" s="63">
        <v>24970869</v>
      </c>
      <c r="AN151" s="63">
        <v>16647246</v>
      </c>
      <c r="AO151" s="63">
        <v>0</v>
      </c>
      <c r="AP151" s="63">
        <v>83236230</v>
      </c>
      <c r="AQ151" s="63">
        <v>275377</v>
      </c>
      <c r="AR151" s="63">
        <v>275377</v>
      </c>
      <c r="AS151" s="63">
        <v>0</v>
      </c>
      <c r="AT151" s="63">
        <v>0</v>
      </c>
      <c r="AU151" s="63">
        <v>0</v>
      </c>
      <c r="AV151" s="63">
        <v>0</v>
      </c>
      <c r="AW151" s="63">
        <v>0</v>
      </c>
      <c r="AX151" s="63">
        <v>0</v>
      </c>
      <c r="AY151" s="63">
        <v>0</v>
      </c>
      <c r="AZ151" s="63">
        <v>0</v>
      </c>
      <c r="BA151" s="63">
        <v>0</v>
      </c>
      <c r="BB151" s="63">
        <v>0</v>
      </c>
      <c r="BC151" s="63">
        <v>0</v>
      </c>
      <c r="BD151" s="63">
        <v>0</v>
      </c>
      <c r="BE151" s="63">
        <v>0</v>
      </c>
      <c r="BF151" s="63">
        <v>0</v>
      </c>
      <c r="BG151" s="63">
        <v>0</v>
      </c>
      <c r="BH151" s="63">
        <v>-2811314</v>
      </c>
      <c r="BI151" s="63">
        <v>-1686788</v>
      </c>
      <c r="BJ151" s="63">
        <v>-1124525</v>
      </c>
      <c r="BK151" s="63">
        <v>0</v>
      </c>
      <c r="BL151" s="63">
        <v>-5622627</v>
      </c>
      <c r="BM151" s="63">
        <v>38806801</v>
      </c>
      <c r="BN151" s="63">
        <v>23559458</v>
      </c>
      <c r="BO151" s="63">
        <v>15522721</v>
      </c>
      <c r="BP151" s="63">
        <v>0</v>
      </c>
      <c r="BQ151" s="63">
        <v>77888980</v>
      </c>
      <c r="BR151" s="63">
        <v>361149</v>
      </c>
      <c r="BS151" s="63">
        <v>240766</v>
      </c>
      <c r="BT151" s="63">
        <v>0</v>
      </c>
      <c r="BU151" s="63">
        <v>601915</v>
      </c>
      <c r="BV151" s="63">
        <v>370472</v>
      </c>
      <c r="BW151" s="63">
        <v>246981</v>
      </c>
      <c r="BX151" s="63">
        <v>0</v>
      </c>
      <c r="BY151" s="63">
        <v>617453</v>
      </c>
      <c r="BZ151" s="63">
        <v>1522</v>
      </c>
      <c r="CA151" s="63">
        <v>1014</v>
      </c>
      <c r="CB151" s="63">
        <v>0</v>
      </c>
      <c r="CC151" s="63">
        <v>2536</v>
      </c>
      <c r="CD151" s="63">
        <v>0</v>
      </c>
      <c r="CE151" s="63">
        <v>0</v>
      </c>
      <c r="CF151" s="63">
        <v>0</v>
      </c>
      <c r="CG151" s="63">
        <v>0</v>
      </c>
      <c r="CH151" s="63">
        <v>0</v>
      </c>
      <c r="CI151" s="63">
        <v>0</v>
      </c>
      <c r="CJ151" s="63">
        <v>0</v>
      </c>
      <c r="CK151" s="63">
        <v>0</v>
      </c>
      <c r="CL151" s="63">
        <v>0</v>
      </c>
      <c r="CM151" s="63">
        <v>0</v>
      </c>
      <c r="CN151" s="63">
        <v>0</v>
      </c>
      <c r="CO151" s="63">
        <v>0</v>
      </c>
      <c r="CP151" s="63">
        <v>733143</v>
      </c>
      <c r="CQ151" s="63">
        <v>488761</v>
      </c>
      <c r="CR151" s="63">
        <v>0</v>
      </c>
      <c r="CS151" s="63">
        <v>1221904</v>
      </c>
      <c r="CU151" s="141" t="s">
        <v>158</v>
      </c>
      <c r="CV151" s="157" t="s">
        <v>939</v>
      </c>
      <c r="CW151" s="157" t="s">
        <v>940</v>
      </c>
      <c r="CX151" s="345"/>
      <c r="CY151" s="345"/>
      <c r="CZ151" s="345"/>
    </row>
    <row r="152" spans="1:104" ht="12.75" x14ac:dyDescent="0.2">
      <c r="A152" s="90">
        <v>145</v>
      </c>
      <c r="B152" s="129" t="s">
        <v>161</v>
      </c>
      <c r="C152" s="130" t="s">
        <v>749</v>
      </c>
      <c r="D152" s="131" t="s">
        <v>750</v>
      </c>
      <c r="E152" s="132" t="s">
        <v>160</v>
      </c>
      <c r="F152" s="63">
        <v>105595038</v>
      </c>
      <c r="G152" s="63">
        <v>0</v>
      </c>
      <c r="H152" s="63">
        <v>0</v>
      </c>
      <c r="I152" s="63">
        <v>612897</v>
      </c>
      <c r="J152" s="63">
        <v>0</v>
      </c>
      <c r="K152" s="63">
        <v>612897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63">
        <v>104982141</v>
      </c>
      <c r="R152" s="474">
        <v>0.5</v>
      </c>
      <c r="S152" s="474">
        <v>0.49</v>
      </c>
      <c r="T152" s="474">
        <v>0</v>
      </c>
      <c r="U152" s="474">
        <v>0.01</v>
      </c>
      <c r="V152" s="474">
        <v>1</v>
      </c>
      <c r="W152" s="63">
        <v>52491071</v>
      </c>
      <c r="X152" s="63">
        <v>51441249</v>
      </c>
      <c r="Y152" s="63">
        <v>0</v>
      </c>
      <c r="Z152" s="63">
        <v>1049821</v>
      </c>
      <c r="AA152" s="63">
        <v>104982141</v>
      </c>
      <c r="AB152" s="63">
        <v>0</v>
      </c>
      <c r="AC152" s="63">
        <v>0</v>
      </c>
      <c r="AD152" s="63">
        <v>0</v>
      </c>
      <c r="AE152" s="63">
        <v>0</v>
      </c>
      <c r="AF152" s="63">
        <v>0</v>
      </c>
      <c r="AG152" s="63">
        <v>0</v>
      </c>
      <c r="AH152" s="63">
        <v>0</v>
      </c>
      <c r="AI152" s="63">
        <v>0</v>
      </c>
      <c r="AJ152" s="63">
        <v>0</v>
      </c>
      <c r="AK152" s="63">
        <v>0</v>
      </c>
      <c r="AL152" s="63">
        <v>52491071</v>
      </c>
      <c r="AM152" s="63">
        <v>51441249</v>
      </c>
      <c r="AN152" s="63">
        <v>0</v>
      </c>
      <c r="AO152" s="63">
        <v>1049821</v>
      </c>
      <c r="AP152" s="63">
        <v>104982141</v>
      </c>
      <c r="AQ152" s="63">
        <v>612897</v>
      </c>
      <c r="AR152" s="63">
        <v>612897</v>
      </c>
      <c r="AS152" s="63">
        <v>0</v>
      </c>
      <c r="AT152" s="63">
        <v>0</v>
      </c>
      <c r="AU152" s="63">
        <v>0</v>
      </c>
      <c r="AV152" s="63">
        <v>0</v>
      </c>
      <c r="AW152" s="63">
        <v>0</v>
      </c>
      <c r="AX152" s="63">
        <v>0</v>
      </c>
      <c r="AY152" s="63">
        <v>0</v>
      </c>
      <c r="AZ152" s="63">
        <v>0</v>
      </c>
      <c r="BA152" s="63">
        <v>0</v>
      </c>
      <c r="BB152" s="63">
        <v>0</v>
      </c>
      <c r="BC152" s="63">
        <v>0</v>
      </c>
      <c r="BD152" s="63">
        <v>0</v>
      </c>
      <c r="BE152" s="63">
        <v>0</v>
      </c>
      <c r="BF152" s="63">
        <v>0</v>
      </c>
      <c r="BG152" s="63">
        <v>0</v>
      </c>
      <c r="BH152" s="63">
        <v>-4299696</v>
      </c>
      <c r="BI152" s="63">
        <v>-4213703</v>
      </c>
      <c r="BJ152" s="63">
        <v>0</v>
      </c>
      <c r="BK152" s="63">
        <v>-85994</v>
      </c>
      <c r="BL152" s="63">
        <v>-8599393</v>
      </c>
      <c r="BM152" s="63">
        <v>48191375</v>
      </c>
      <c r="BN152" s="63">
        <v>47840443</v>
      </c>
      <c r="BO152" s="63">
        <v>0</v>
      </c>
      <c r="BP152" s="63">
        <v>963827</v>
      </c>
      <c r="BQ152" s="63">
        <v>96995645</v>
      </c>
      <c r="BR152" s="63">
        <v>743985</v>
      </c>
      <c r="BS152" s="63">
        <v>0</v>
      </c>
      <c r="BT152" s="63">
        <v>15183</v>
      </c>
      <c r="BU152" s="63">
        <v>759168</v>
      </c>
      <c r="BV152" s="63">
        <v>3407606</v>
      </c>
      <c r="BW152" s="63">
        <v>0</v>
      </c>
      <c r="BX152" s="63">
        <v>69543</v>
      </c>
      <c r="BY152" s="63">
        <v>3477149</v>
      </c>
      <c r="BZ152" s="63">
        <v>27210</v>
      </c>
      <c r="CA152" s="63">
        <v>0</v>
      </c>
      <c r="CB152" s="63">
        <v>555</v>
      </c>
      <c r="CC152" s="63">
        <v>27765</v>
      </c>
      <c r="CD152" s="63">
        <v>0</v>
      </c>
      <c r="CE152" s="63">
        <v>0</v>
      </c>
      <c r="CF152" s="63">
        <v>0</v>
      </c>
      <c r="CG152" s="63">
        <v>0</v>
      </c>
      <c r="CH152" s="63">
        <v>79000</v>
      </c>
      <c r="CI152" s="63">
        <v>0</v>
      </c>
      <c r="CJ152" s="63">
        <v>1612</v>
      </c>
      <c r="CK152" s="63">
        <v>80612</v>
      </c>
      <c r="CL152" s="63">
        <v>0</v>
      </c>
      <c r="CM152" s="63">
        <v>0</v>
      </c>
      <c r="CN152" s="63">
        <v>0</v>
      </c>
      <c r="CO152" s="63">
        <v>0</v>
      </c>
      <c r="CP152" s="63">
        <v>4257801</v>
      </c>
      <c r="CQ152" s="63">
        <v>0</v>
      </c>
      <c r="CR152" s="63">
        <v>86893</v>
      </c>
      <c r="CS152" s="63">
        <v>4344694</v>
      </c>
      <c r="CU152" s="141" t="s">
        <v>160</v>
      </c>
      <c r="CV152" s="157" t="s">
        <v>941</v>
      </c>
      <c r="CW152" s="156" t="s">
        <v>957</v>
      </c>
      <c r="CX152" s="345"/>
      <c r="CY152" s="345"/>
      <c r="CZ152" s="345"/>
    </row>
    <row r="153" spans="1:104" ht="12.75" x14ac:dyDescent="0.2">
      <c r="A153" s="90">
        <v>146</v>
      </c>
      <c r="B153" s="129" t="s">
        <v>163</v>
      </c>
      <c r="C153" s="130" t="s">
        <v>749</v>
      </c>
      <c r="D153" s="131" t="s">
        <v>744</v>
      </c>
      <c r="E153" s="132" t="s">
        <v>162</v>
      </c>
      <c r="F153" s="63">
        <v>41412046</v>
      </c>
      <c r="G153" s="63">
        <v>0</v>
      </c>
      <c r="H153" s="63">
        <v>0</v>
      </c>
      <c r="I153" s="63">
        <v>142849</v>
      </c>
      <c r="J153" s="63">
        <v>0</v>
      </c>
      <c r="K153" s="63">
        <v>142849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63">
        <v>41269197</v>
      </c>
      <c r="R153" s="474">
        <v>0.5</v>
      </c>
      <c r="S153" s="474">
        <v>0.49</v>
      </c>
      <c r="T153" s="474">
        <v>0</v>
      </c>
      <c r="U153" s="474">
        <v>0.01</v>
      </c>
      <c r="V153" s="474">
        <v>1</v>
      </c>
      <c r="W153" s="63">
        <v>20634598</v>
      </c>
      <c r="X153" s="63">
        <v>20221907</v>
      </c>
      <c r="Y153" s="63">
        <v>0</v>
      </c>
      <c r="Z153" s="63">
        <v>412692</v>
      </c>
      <c r="AA153" s="63">
        <v>41269197</v>
      </c>
      <c r="AB153" s="63">
        <v>0</v>
      </c>
      <c r="AC153" s="63">
        <v>0</v>
      </c>
      <c r="AD153" s="63">
        <v>0</v>
      </c>
      <c r="AE153" s="63">
        <v>0</v>
      </c>
      <c r="AF153" s="63">
        <v>0</v>
      </c>
      <c r="AG153" s="63">
        <v>0</v>
      </c>
      <c r="AH153" s="63">
        <v>0</v>
      </c>
      <c r="AI153" s="63">
        <v>0</v>
      </c>
      <c r="AJ153" s="63">
        <v>0</v>
      </c>
      <c r="AK153" s="63">
        <v>0</v>
      </c>
      <c r="AL153" s="63">
        <v>20634598</v>
      </c>
      <c r="AM153" s="63">
        <v>20221907</v>
      </c>
      <c r="AN153" s="63">
        <v>0</v>
      </c>
      <c r="AO153" s="63">
        <v>412692</v>
      </c>
      <c r="AP153" s="63">
        <v>41269197</v>
      </c>
      <c r="AQ153" s="63">
        <v>142849</v>
      </c>
      <c r="AR153" s="63">
        <v>142849</v>
      </c>
      <c r="AS153" s="63">
        <v>0</v>
      </c>
      <c r="AT153" s="63">
        <v>0</v>
      </c>
      <c r="AU153" s="63">
        <v>0</v>
      </c>
      <c r="AV153" s="63">
        <v>0</v>
      </c>
      <c r="AW153" s="63">
        <v>0</v>
      </c>
      <c r="AX153" s="63">
        <v>0</v>
      </c>
      <c r="AY153" s="63">
        <v>0</v>
      </c>
      <c r="AZ153" s="63">
        <v>0</v>
      </c>
      <c r="BA153" s="63">
        <v>0</v>
      </c>
      <c r="BB153" s="63">
        <v>0</v>
      </c>
      <c r="BC153" s="63">
        <v>0</v>
      </c>
      <c r="BD153" s="63">
        <v>0</v>
      </c>
      <c r="BE153" s="63">
        <v>0</v>
      </c>
      <c r="BF153" s="63">
        <v>0</v>
      </c>
      <c r="BG153" s="63">
        <v>0</v>
      </c>
      <c r="BH153" s="63">
        <v>-5342821</v>
      </c>
      <c r="BI153" s="63">
        <v>-5235964</v>
      </c>
      <c r="BJ153" s="63">
        <v>0</v>
      </c>
      <c r="BK153" s="63">
        <v>-106856</v>
      </c>
      <c r="BL153" s="63">
        <v>-10685641</v>
      </c>
      <c r="BM153" s="63">
        <v>15291777</v>
      </c>
      <c r="BN153" s="63">
        <v>15128792</v>
      </c>
      <c r="BO153" s="63">
        <v>0</v>
      </c>
      <c r="BP153" s="63">
        <v>305836</v>
      </c>
      <c r="BQ153" s="63">
        <v>30726405</v>
      </c>
      <c r="BR153" s="63">
        <v>292466</v>
      </c>
      <c r="BS153" s="63">
        <v>0</v>
      </c>
      <c r="BT153" s="63">
        <v>5969</v>
      </c>
      <c r="BU153" s="63">
        <v>298435</v>
      </c>
      <c r="BV153" s="63">
        <v>484112</v>
      </c>
      <c r="BW153" s="63">
        <v>0</v>
      </c>
      <c r="BX153" s="63">
        <v>9880</v>
      </c>
      <c r="BY153" s="63">
        <v>493992</v>
      </c>
      <c r="BZ153" s="63">
        <v>6075</v>
      </c>
      <c r="CA153" s="63">
        <v>0</v>
      </c>
      <c r="CB153" s="63">
        <v>124</v>
      </c>
      <c r="CC153" s="63">
        <v>6199</v>
      </c>
      <c r="CD153" s="63">
        <v>32311</v>
      </c>
      <c r="CE153" s="63">
        <v>0</v>
      </c>
      <c r="CF153" s="63">
        <v>659</v>
      </c>
      <c r="CG153" s="63">
        <v>32970</v>
      </c>
      <c r="CH153" s="63">
        <v>15410</v>
      </c>
      <c r="CI153" s="63">
        <v>0</v>
      </c>
      <c r="CJ153" s="63">
        <v>314</v>
      </c>
      <c r="CK153" s="63">
        <v>15724</v>
      </c>
      <c r="CL153" s="63">
        <v>646</v>
      </c>
      <c r="CM153" s="63">
        <v>0</v>
      </c>
      <c r="CN153" s="63">
        <v>13</v>
      </c>
      <c r="CO153" s="63">
        <v>659</v>
      </c>
      <c r="CP153" s="63">
        <v>831020</v>
      </c>
      <c r="CQ153" s="63">
        <v>0</v>
      </c>
      <c r="CR153" s="63">
        <v>16959</v>
      </c>
      <c r="CS153" s="63">
        <v>847979</v>
      </c>
      <c r="CU153" s="141" t="s">
        <v>162</v>
      </c>
      <c r="CV153" s="157" t="s">
        <v>941</v>
      </c>
      <c r="CW153" s="156" t="s">
        <v>981</v>
      </c>
      <c r="CX153" s="345"/>
      <c r="CY153" s="345"/>
      <c r="CZ153" s="345"/>
    </row>
    <row r="154" spans="1:104" ht="12.75" x14ac:dyDescent="0.2">
      <c r="A154" s="90">
        <v>147</v>
      </c>
      <c r="B154" s="129" t="s">
        <v>165</v>
      </c>
      <c r="C154" s="130" t="s">
        <v>754</v>
      </c>
      <c r="D154" s="131" t="s">
        <v>748</v>
      </c>
      <c r="E154" s="132" t="s">
        <v>164</v>
      </c>
      <c r="F154" s="63">
        <v>123633780</v>
      </c>
      <c r="G154" s="63">
        <v>0</v>
      </c>
      <c r="H154" s="63">
        <v>0</v>
      </c>
      <c r="I154" s="63">
        <v>486528</v>
      </c>
      <c r="J154" s="63">
        <v>0</v>
      </c>
      <c r="K154" s="63">
        <v>486528</v>
      </c>
      <c r="L154" s="63">
        <v>0</v>
      </c>
      <c r="M154" s="63">
        <v>0</v>
      </c>
      <c r="N154" s="63">
        <v>0</v>
      </c>
      <c r="O154" s="63">
        <v>0</v>
      </c>
      <c r="P154" s="63">
        <v>0</v>
      </c>
      <c r="Q154" s="63">
        <v>123147252</v>
      </c>
      <c r="R154" s="474">
        <v>0.5</v>
      </c>
      <c r="S154" s="474">
        <v>0.3</v>
      </c>
      <c r="T154" s="474">
        <v>0.2</v>
      </c>
      <c r="U154" s="474">
        <v>0</v>
      </c>
      <c r="V154" s="474">
        <v>1</v>
      </c>
      <c r="W154" s="63">
        <v>61573626</v>
      </c>
      <c r="X154" s="63">
        <v>36944176</v>
      </c>
      <c r="Y154" s="63">
        <v>24629450</v>
      </c>
      <c r="Z154" s="63">
        <v>0</v>
      </c>
      <c r="AA154" s="63">
        <v>123147252</v>
      </c>
      <c r="AB154" s="63">
        <v>0</v>
      </c>
      <c r="AC154" s="63">
        <v>0</v>
      </c>
      <c r="AD154" s="63">
        <v>0</v>
      </c>
      <c r="AE154" s="63">
        <v>0</v>
      </c>
      <c r="AF154" s="63">
        <v>0</v>
      </c>
      <c r="AG154" s="63">
        <v>0</v>
      </c>
      <c r="AH154" s="63">
        <v>0</v>
      </c>
      <c r="AI154" s="63">
        <v>0</v>
      </c>
      <c r="AJ154" s="63">
        <v>0</v>
      </c>
      <c r="AK154" s="63">
        <v>0</v>
      </c>
      <c r="AL154" s="63">
        <v>61573626</v>
      </c>
      <c r="AM154" s="63">
        <v>36944176</v>
      </c>
      <c r="AN154" s="63">
        <v>24629450</v>
      </c>
      <c r="AO154" s="63">
        <v>0</v>
      </c>
      <c r="AP154" s="63">
        <v>123147252</v>
      </c>
      <c r="AQ154" s="63">
        <v>486528</v>
      </c>
      <c r="AR154" s="63">
        <v>486528</v>
      </c>
      <c r="AS154" s="63">
        <v>0</v>
      </c>
      <c r="AT154" s="63">
        <v>0</v>
      </c>
      <c r="AU154" s="63">
        <v>0</v>
      </c>
      <c r="AV154" s="63">
        <v>0</v>
      </c>
      <c r="AW154" s="63">
        <v>0</v>
      </c>
      <c r="AX154" s="63">
        <v>0</v>
      </c>
      <c r="AY154" s="63">
        <v>0</v>
      </c>
      <c r="AZ154" s="63">
        <v>0</v>
      </c>
      <c r="BA154" s="63">
        <v>0</v>
      </c>
      <c r="BB154" s="63">
        <v>0</v>
      </c>
      <c r="BC154" s="63">
        <v>0</v>
      </c>
      <c r="BD154" s="63">
        <v>0</v>
      </c>
      <c r="BE154" s="63">
        <v>0</v>
      </c>
      <c r="BF154" s="63">
        <v>0</v>
      </c>
      <c r="BG154" s="63">
        <v>0</v>
      </c>
      <c r="BH154" s="63">
        <v>-6965311</v>
      </c>
      <c r="BI154" s="63">
        <v>-4179187</v>
      </c>
      <c r="BJ154" s="63">
        <v>-2786125</v>
      </c>
      <c r="BK154" s="63">
        <v>0</v>
      </c>
      <c r="BL154" s="63">
        <v>-13930623</v>
      </c>
      <c r="BM154" s="63">
        <v>54608315</v>
      </c>
      <c r="BN154" s="63">
        <v>33251517</v>
      </c>
      <c r="BO154" s="63">
        <v>21843325</v>
      </c>
      <c r="BP154" s="63">
        <v>0</v>
      </c>
      <c r="BQ154" s="63">
        <v>109703157</v>
      </c>
      <c r="BR154" s="63">
        <v>534317</v>
      </c>
      <c r="BS154" s="63">
        <v>356211</v>
      </c>
      <c r="BT154" s="63">
        <v>0</v>
      </c>
      <c r="BU154" s="63">
        <v>890528</v>
      </c>
      <c r="BV154" s="63">
        <v>876466</v>
      </c>
      <c r="BW154" s="63">
        <v>584310</v>
      </c>
      <c r="BX154" s="63">
        <v>0</v>
      </c>
      <c r="BY154" s="63">
        <v>1460776</v>
      </c>
      <c r="BZ154" s="63">
        <v>0</v>
      </c>
      <c r="CA154" s="63">
        <v>0</v>
      </c>
      <c r="CB154" s="63">
        <v>0</v>
      </c>
      <c r="CC154" s="63">
        <v>0</v>
      </c>
      <c r="CD154" s="63">
        <v>7676</v>
      </c>
      <c r="CE154" s="63">
        <v>5118</v>
      </c>
      <c r="CF154" s="63">
        <v>0</v>
      </c>
      <c r="CG154" s="63">
        <v>12794</v>
      </c>
      <c r="CH154" s="63">
        <v>920</v>
      </c>
      <c r="CI154" s="63">
        <v>614</v>
      </c>
      <c r="CJ154" s="63">
        <v>0</v>
      </c>
      <c r="CK154" s="63">
        <v>1534</v>
      </c>
      <c r="CL154" s="63">
        <v>0</v>
      </c>
      <c r="CM154" s="63">
        <v>0</v>
      </c>
      <c r="CN154" s="63">
        <v>0</v>
      </c>
      <c r="CO154" s="63">
        <v>0</v>
      </c>
      <c r="CP154" s="63">
        <v>1419379</v>
      </c>
      <c r="CQ154" s="63">
        <v>946253</v>
      </c>
      <c r="CR154" s="63">
        <v>0</v>
      </c>
      <c r="CS154" s="63">
        <v>2365632</v>
      </c>
      <c r="CU154" s="141" t="s">
        <v>164</v>
      </c>
      <c r="CV154" s="157" t="s">
        <v>939</v>
      </c>
      <c r="CW154" s="157" t="s">
        <v>940</v>
      </c>
      <c r="CX154" s="345"/>
      <c r="CY154" s="345"/>
      <c r="CZ154" s="345"/>
    </row>
    <row r="155" spans="1:104" ht="12.75" x14ac:dyDescent="0.2">
      <c r="A155" s="90">
        <v>148</v>
      </c>
      <c r="B155" s="129" t="s">
        <v>167</v>
      </c>
      <c r="C155" s="130" t="s">
        <v>742</v>
      </c>
      <c r="D155" s="131" t="s">
        <v>744</v>
      </c>
      <c r="E155" s="132" t="s">
        <v>166</v>
      </c>
      <c r="F155" s="63">
        <v>61336986</v>
      </c>
      <c r="G155" s="63">
        <v>0</v>
      </c>
      <c r="H155" s="63">
        <v>0</v>
      </c>
      <c r="I155" s="63">
        <v>222663</v>
      </c>
      <c r="J155" s="63">
        <v>0</v>
      </c>
      <c r="K155" s="63">
        <v>222663</v>
      </c>
      <c r="L155" s="63">
        <v>0</v>
      </c>
      <c r="M155" s="63">
        <v>0</v>
      </c>
      <c r="N155" s="63">
        <v>930045</v>
      </c>
      <c r="O155" s="63">
        <v>930045</v>
      </c>
      <c r="P155" s="63">
        <v>0</v>
      </c>
      <c r="Q155" s="63">
        <v>60184278</v>
      </c>
      <c r="R155" s="474">
        <v>0.5</v>
      </c>
      <c r="S155" s="474">
        <v>0.4</v>
      </c>
      <c r="T155" s="474">
        <v>0.09</v>
      </c>
      <c r="U155" s="474">
        <v>0.01</v>
      </c>
      <c r="V155" s="474">
        <v>1</v>
      </c>
      <c r="W155" s="63">
        <v>30092139</v>
      </c>
      <c r="X155" s="63">
        <v>24073711</v>
      </c>
      <c r="Y155" s="63">
        <v>5416585</v>
      </c>
      <c r="Z155" s="63">
        <v>601843</v>
      </c>
      <c r="AA155" s="63">
        <v>60184278</v>
      </c>
      <c r="AB155" s="63">
        <v>0</v>
      </c>
      <c r="AC155" s="63">
        <v>0</v>
      </c>
      <c r="AD155" s="63">
        <v>0</v>
      </c>
      <c r="AE155" s="63">
        <v>0</v>
      </c>
      <c r="AF155" s="63">
        <v>0</v>
      </c>
      <c r="AG155" s="63">
        <v>0</v>
      </c>
      <c r="AH155" s="63">
        <v>0</v>
      </c>
      <c r="AI155" s="63">
        <v>0</v>
      </c>
      <c r="AJ155" s="63">
        <v>0</v>
      </c>
      <c r="AK155" s="63">
        <v>0</v>
      </c>
      <c r="AL155" s="63">
        <v>30092139</v>
      </c>
      <c r="AM155" s="63">
        <v>24073711</v>
      </c>
      <c r="AN155" s="63">
        <v>5416585</v>
      </c>
      <c r="AO155" s="63">
        <v>601843</v>
      </c>
      <c r="AP155" s="63">
        <v>60184278</v>
      </c>
      <c r="AQ155" s="63">
        <v>222663</v>
      </c>
      <c r="AR155" s="63">
        <v>222663</v>
      </c>
      <c r="AS155" s="63">
        <v>0</v>
      </c>
      <c r="AT155" s="63">
        <v>0</v>
      </c>
      <c r="AU155" s="63">
        <v>930045</v>
      </c>
      <c r="AV155" s="63">
        <v>0</v>
      </c>
      <c r="AW155" s="63">
        <v>930045</v>
      </c>
      <c r="AX155" s="63">
        <v>0</v>
      </c>
      <c r="AY155" s="63">
        <v>0</v>
      </c>
      <c r="AZ155" s="63">
        <v>0</v>
      </c>
      <c r="BA155" s="63">
        <v>0</v>
      </c>
      <c r="BB155" s="63">
        <v>0</v>
      </c>
      <c r="BC155" s="63">
        <v>0</v>
      </c>
      <c r="BD155" s="63">
        <v>0</v>
      </c>
      <c r="BE155" s="63">
        <v>0</v>
      </c>
      <c r="BF155" s="63">
        <v>0</v>
      </c>
      <c r="BG155" s="63">
        <v>0</v>
      </c>
      <c r="BH155" s="63">
        <v>-7166547</v>
      </c>
      <c r="BI155" s="63">
        <v>-5733238</v>
      </c>
      <c r="BJ155" s="63">
        <v>-1289979</v>
      </c>
      <c r="BK155" s="63">
        <v>-143331</v>
      </c>
      <c r="BL155" s="63">
        <v>-14333095</v>
      </c>
      <c r="BM155" s="63">
        <v>22925592</v>
      </c>
      <c r="BN155" s="63">
        <v>19493181</v>
      </c>
      <c r="BO155" s="63">
        <v>4126606</v>
      </c>
      <c r="BP155" s="63">
        <v>458512</v>
      </c>
      <c r="BQ155" s="63">
        <v>47003891</v>
      </c>
      <c r="BR155" s="63">
        <v>361625</v>
      </c>
      <c r="BS155" s="63">
        <v>78339</v>
      </c>
      <c r="BT155" s="63">
        <v>8704</v>
      </c>
      <c r="BU155" s="63">
        <v>448668</v>
      </c>
      <c r="BV155" s="63">
        <v>682798</v>
      </c>
      <c r="BW155" s="63">
        <v>153630</v>
      </c>
      <c r="BX155" s="63">
        <v>17070</v>
      </c>
      <c r="BY155" s="63">
        <v>853498</v>
      </c>
      <c r="BZ155" s="63">
        <v>5151</v>
      </c>
      <c r="CA155" s="63">
        <v>1159</v>
      </c>
      <c r="CB155" s="63">
        <v>129</v>
      </c>
      <c r="CC155" s="63">
        <v>6439</v>
      </c>
      <c r="CD155" s="63">
        <v>6151</v>
      </c>
      <c r="CE155" s="63">
        <v>1384</v>
      </c>
      <c r="CF155" s="63">
        <v>154</v>
      </c>
      <c r="CG155" s="63">
        <v>7689</v>
      </c>
      <c r="CH155" s="63">
        <v>7780</v>
      </c>
      <c r="CI155" s="63">
        <v>1750</v>
      </c>
      <c r="CJ155" s="63">
        <v>194</v>
      </c>
      <c r="CK155" s="63">
        <v>9724</v>
      </c>
      <c r="CL155" s="63">
        <v>8134</v>
      </c>
      <c r="CM155" s="63">
        <v>1830</v>
      </c>
      <c r="CN155" s="63">
        <v>203</v>
      </c>
      <c r="CO155" s="63">
        <v>10167</v>
      </c>
      <c r="CP155" s="63">
        <v>1071639</v>
      </c>
      <c r="CQ155" s="63">
        <v>238092</v>
      </c>
      <c r="CR155" s="63">
        <v>26454</v>
      </c>
      <c r="CS155" s="63">
        <v>1336185</v>
      </c>
      <c r="CU155" s="141" t="s">
        <v>166</v>
      </c>
      <c r="CV155" s="157" t="s">
        <v>961</v>
      </c>
      <c r="CW155" s="156" t="s">
        <v>952</v>
      </c>
      <c r="CX155" s="345"/>
      <c r="CY155" s="345"/>
      <c r="CZ155" s="345"/>
    </row>
    <row r="156" spans="1:104" ht="12.75" x14ac:dyDescent="0.2">
      <c r="A156" s="90">
        <v>149</v>
      </c>
      <c r="B156" s="129" t="s">
        <v>169</v>
      </c>
      <c r="C156" s="130" t="s">
        <v>749</v>
      </c>
      <c r="D156" s="131" t="s">
        <v>750</v>
      </c>
      <c r="E156" s="132" t="s">
        <v>168</v>
      </c>
      <c r="F156" s="63">
        <v>394407701</v>
      </c>
      <c r="G156" s="63">
        <v>0</v>
      </c>
      <c r="H156" s="63">
        <v>0</v>
      </c>
      <c r="I156" s="63">
        <v>1231515</v>
      </c>
      <c r="J156" s="63">
        <v>0</v>
      </c>
      <c r="K156" s="63">
        <v>1231515</v>
      </c>
      <c r="L156" s="63">
        <v>0</v>
      </c>
      <c r="M156" s="63">
        <v>544202</v>
      </c>
      <c r="N156" s="63">
        <v>0</v>
      </c>
      <c r="O156" s="63">
        <v>0</v>
      </c>
      <c r="P156" s="63">
        <v>0</v>
      </c>
      <c r="Q156" s="63">
        <v>392631984</v>
      </c>
      <c r="R156" s="474">
        <v>0.5</v>
      </c>
      <c r="S156" s="474">
        <v>0.49</v>
      </c>
      <c r="T156" s="474">
        <v>0</v>
      </c>
      <c r="U156" s="474">
        <v>0.01</v>
      </c>
      <c r="V156" s="474">
        <v>1</v>
      </c>
      <c r="W156" s="63">
        <v>196315992</v>
      </c>
      <c r="X156" s="63">
        <v>192389672</v>
      </c>
      <c r="Y156" s="63">
        <v>0</v>
      </c>
      <c r="Z156" s="63">
        <v>3926320</v>
      </c>
      <c r="AA156" s="63">
        <v>392631984</v>
      </c>
      <c r="AB156" s="63">
        <v>370000</v>
      </c>
      <c r="AC156" s="63">
        <v>0</v>
      </c>
      <c r="AD156" s="63">
        <v>0</v>
      </c>
      <c r="AE156" s="63">
        <v>0</v>
      </c>
      <c r="AF156" s="63">
        <v>370000</v>
      </c>
      <c r="AG156" s="63">
        <v>0</v>
      </c>
      <c r="AH156" s="63">
        <v>0</v>
      </c>
      <c r="AI156" s="63">
        <v>0</v>
      </c>
      <c r="AJ156" s="63">
        <v>0</v>
      </c>
      <c r="AK156" s="63">
        <v>0</v>
      </c>
      <c r="AL156" s="63">
        <v>195945992</v>
      </c>
      <c r="AM156" s="63">
        <v>192389672</v>
      </c>
      <c r="AN156" s="63">
        <v>0</v>
      </c>
      <c r="AO156" s="63">
        <v>3926320</v>
      </c>
      <c r="AP156" s="63">
        <v>392261984</v>
      </c>
      <c r="AQ156" s="63">
        <v>1231515</v>
      </c>
      <c r="AR156" s="63">
        <v>1231515</v>
      </c>
      <c r="AS156" s="63">
        <v>544202</v>
      </c>
      <c r="AT156" s="63">
        <v>544202</v>
      </c>
      <c r="AU156" s="63">
        <v>0</v>
      </c>
      <c r="AV156" s="63">
        <v>0</v>
      </c>
      <c r="AW156" s="63">
        <v>0</v>
      </c>
      <c r="AX156" s="63">
        <v>370000</v>
      </c>
      <c r="AY156" s="63">
        <v>0</v>
      </c>
      <c r="AZ156" s="63">
        <v>0</v>
      </c>
      <c r="BA156" s="63">
        <v>370000</v>
      </c>
      <c r="BB156" s="63">
        <v>0</v>
      </c>
      <c r="BC156" s="63">
        <v>0</v>
      </c>
      <c r="BD156" s="63">
        <v>0</v>
      </c>
      <c r="BE156" s="63">
        <v>0</v>
      </c>
      <c r="BF156" s="63">
        <v>0</v>
      </c>
      <c r="BG156" s="63">
        <v>0</v>
      </c>
      <c r="BH156" s="63">
        <v>-23505169</v>
      </c>
      <c r="BI156" s="63">
        <v>-23035065</v>
      </c>
      <c r="BJ156" s="63">
        <v>0</v>
      </c>
      <c r="BK156" s="63">
        <v>-470103</v>
      </c>
      <c r="BL156" s="63">
        <v>-47010337</v>
      </c>
      <c r="BM156" s="63">
        <v>172440823</v>
      </c>
      <c r="BN156" s="63">
        <v>171500324</v>
      </c>
      <c r="BO156" s="63">
        <v>0</v>
      </c>
      <c r="BP156" s="63">
        <v>3456217</v>
      </c>
      <c r="BQ156" s="63">
        <v>347397364</v>
      </c>
      <c r="BR156" s="63">
        <v>2795717</v>
      </c>
      <c r="BS156" s="63">
        <v>0</v>
      </c>
      <c r="BT156" s="63">
        <v>56786</v>
      </c>
      <c r="BU156" s="63">
        <v>2852503</v>
      </c>
      <c r="BV156" s="63">
        <v>4165786</v>
      </c>
      <c r="BW156" s="63">
        <v>0</v>
      </c>
      <c r="BX156" s="63">
        <v>85016</v>
      </c>
      <c r="BY156" s="63">
        <v>4250802</v>
      </c>
      <c r="BZ156" s="63">
        <v>9942</v>
      </c>
      <c r="CA156" s="63">
        <v>0</v>
      </c>
      <c r="CB156" s="63">
        <v>203</v>
      </c>
      <c r="CC156" s="63">
        <v>10145</v>
      </c>
      <c r="CD156" s="63">
        <v>24855</v>
      </c>
      <c r="CE156" s="63">
        <v>0</v>
      </c>
      <c r="CF156" s="63">
        <v>507</v>
      </c>
      <c r="CG156" s="63">
        <v>25362</v>
      </c>
      <c r="CH156" s="63">
        <v>100485</v>
      </c>
      <c r="CI156" s="63">
        <v>0</v>
      </c>
      <c r="CJ156" s="63">
        <v>2051</v>
      </c>
      <c r="CK156" s="63">
        <v>102536</v>
      </c>
      <c r="CL156" s="63">
        <v>24855</v>
      </c>
      <c r="CM156" s="63">
        <v>0</v>
      </c>
      <c r="CN156" s="63">
        <v>507</v>
      </c>
      <c r="CO156" s="63">
        <v>25362</v>
      </c>
      <c r="CP156" s="63">
        <v>7121640</v>
      </c>
      <c r="CQ156" s="63">
        <v>0</v>
      </c>
      <c r="CR156" s="63">
        <v>145070</v>
      </c>
      <c r="CS156" s="63">
        <v>7266710</v>
      </c>
      <c r="CU156" s="141" t="s">
        <v>168</v>
      </c>
      <c r="CV156" s="157" t="s">
        <v>941</v>
      </c>
      <c r="CW156" s="156" t="s">
        <v>957</v>
      </c>
      <c r="CX156" s="345"/>
      <c r="CY156" s="345"/>
      <c r="CZ156" s="345"/>
    </row>
    <row r="157" spans="1:104" ht="12.75" x14ac:dyDescent="0.2">
      <c r="A157" s="90">
        <v>150</v>
      </c>
      <c r="B157" s="129" t="s">
        <v>170</v>
      </c>
      <c r="C157" s="130" t="s">
        <v>501</v>
      </c>
      <c r="D157" s="131" t="s">
        <v>745</v>
      </c>
      <c r="E157" s="132" t="s">
        <v>540</v>
      </c>
      <c r="F157" s="63">
        <v>104693014</v>
      </c>
      <c r="G157" s="63">
        <v>0</v>
      </c>
      <c r="H157" s="63">
        <v>0</v>
      </c>
      <c r="I157" s="63">
        <v>491654</v>
      </c>
      <c r="J157" s="63">
        <v>0</v>
      </c>
      <c r="K157" s="63">
        <v>491654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63">
        <v>104201360</v>
      </c>
      <c r="R157" s="474">
        <v>0.5</v>
      </c>
      <c r="S157" s="474">
        <v>0.49</v>
      </c>
      <c r="T157" s="474">
        <v>0</v>
      </c>
      <c r="U157" s="474">
        <v>0.01</v>
      </c>
      <c r="V157" s="474">
        <v>1</v>
      </c>
      <c r="W157" s="63">
        <v>52100680</v>
      </c>
      <c r="X157" s="63">
        <v>51058666</v>
      </c>
      <c r="Y157" s="63">
        <v>0</v>
      </c>
      <c r="Z157" s="63">
        <v>1042014</v>
      </c>
      <c r="AA157" s="63">
        <v>104201360</v>
      </c>
      <c r="AB157" s="63">
        <v>0</v>
      </c>
      <c r="AC157" s="63">
        <v>0</v>
      </c>
      <c r="AD157" s="63">
        <v>0</v>
      </c>
      <c r="AE157" s="63">
        <v>0</v>
      </c>
      <c r="AF157" s="63">
        <v>0</v>
      </c>
      <c r="AG157" s="63">
        <v>0</v>
      </c>
      <c r="AH157" s="63">
        <v>0</v>
      </c>
      <c r="AI157" s="63">
        <v>0</v>
      </c>
      <c r="AJ157" s="63">
        <v>0</v>
      </c>
      <c r="AK157" s="63">
        <v>0</v>
      </c>
      <c r="AL157" s="63">
        <v>52100680</v>
      </c>
      <c r="AM157" s="63">
        <v>51058666</v>
      </c>
      <c r="AN157" s="63">
        <v>0</v>
      </c>
      <c r="AO157" s="63">
        <v>1042014</v>
      </c>
      <c r="AP157" s="63">
        <v>104201360</v>
      </c>
      <c r="AQ157" s="63">
        <v>491654</v>
      </c>
      <c r="AR157" s="63">
        <v>491654</v>
      </c>
      <c r="AS157" s="63">
        <v>0</v>
      </c>
      <c r="AT157" s="63">
        <v>0</v>
      </c>
      <c r="AU157" s="63">
        <v>0</v>
      </c>
      <c r="AV157" s="63">
        <v>0</v>
      </c>
      <c r="AW157" s="63">
        <v>0</v>
      </c>
      <c r="AX157" s="63">
        <v>0</v>
      </c>
      <c r="AY157" s="63">
        <v>0</v>
      </c>
      <c r="AZ157" s="63">
        <v>0</v>
      </c>
      <c r="BA157" s="63">
        <v>0</v>
      </c>
      <c r="BB157" s="63">
        <v>0</v>
      </c>
      <c r="BC157" s="63">
        <v>0</v>
      </c>
      <c r="BD157" s="63">
        <v>0</v>
      </c>
      <c r="BE157" s="63">
        <v>0</v>
      </c>
      <c r="BF157" s="63">
        <v>0</v>
      </c>
      <c r="BG157" s="63">
        <v>0</v>
      </c>
      <c r="BH157" s="63">
        <v>-5299454</v>
      </c>
      <c r="BI157" s="63">
        <v>-5193464</v>
      </c>
      <c r="BJ157" s="63">
        <v>0</v>
      </c>
      <c r="BK157" s="63">
        <v>-105989</v>
      </c>
      <c r="BL157" s="63">
        <v>-10598907</v>
      </c>
      <c r="BM157" s="63">
        <v>46801226</v>
      </c>
      <c r="BN157" s="63">
        <v>46356856</v>
      </c>
      <c r="BO157" s="63">
        <v>0</v>
      </c>
      <c r="BP157" s="63">
        <v>936025</v>
      </c>
      <c r="BQ157" s="63">
        <v>94094107</v>
      </c>
      <c r="BR157" s="63">
        <v>738452</v>
      </c>
      <c r="BS157" s="63">
        <v>0</v>
      </c>
      <c r="BT157" s="63">
        <v>15070</v>
      </c>
      <c r="BU157" s="63">
        <v>753522</v>
      </c>
      <c r="BV157" s="63">
        <v>2151500</v>
      </c>
      <c r="BW157" s="63">
        <v>0</v>
      </c>
      <c r="BX157" s="63">
        <v>43908</v>
      </c>
      <c r="BY157" s="63">
        <v>2195408</v>
      </c>
      <c r="BZ157" s="63">
        <v>17398</v>
      </c>
      <c r="CA157" s="63">
        <v>0</v>
      </c>
      <c r="CB157" s="63">
        <v>355</v>
      </c>
      <c r="CC157" s="63">
        <v>17753</v>
      </c>
      <c r="CD157" s="63">
        <v>34796</v>
      </c>
      <c r="CE157" s="63">
        <v>0</v>
      </c>
      <c r="CF157" s="63">
        <v>710</v>
      </c>
      <c r="CG157" s="63">
        <v>35506</v>
      </c>
      <c r="CH157" s="63">
        <v>54429</v>
      </c>
      <c r="CI157" s="63">
        <v>0</v>
      </c>
      <c r="CJ157" s="63">
        <v>1111</v>
      </c>
      <c r="CK157" s="63">
        <v>55540</v>
      </c>
      <c r="CL157" s="63">
        <v>185</v>
      </c>
      <c r="CM157" s="63">
        <v>0</v>
      </c>
      <c r="CN157" s="63">
        <v>4</v>
      </c>
      <c r="CO157" s="63">
        <v>189</v>
      </c>
      <c r="CP157" s="63">
        <v>2996760</v>
      </c>
      <c r="CQ157" s="63">
        <v>0</v>
      </c>
      <c r="CR157" s="63">
        <v>61158</v>
      </c>
      <c r="CS157" s="63">
        <v>3057918</v>
      </c>
      <c r="CU157" s="141" t="s">
        <v>540</v>
      </c>
      <c r="CV157" s="157" t="s">
        <v>501</v>
      </c>
      <c r="CW157" s="156" t="s">
        <v>951</v>
      </c>
      <c r="CX157" s="345"/>
      <c r="CY157" s="345"/>
      <c r="CZ157" s="345"/>
    </row>
    <row r="158" spans="1:104" ht="12.75" x14ac:dyDescent="0.2">
      <c r="A158" s="90">
        <v>151</v>
      </c>
      <c r="B158" s="129" t="s">
        <v>172</v>
      </c>
      <c r="C158" s="130" t="s">
        <v>742</v>
      </c>
      <c r="D158" s="131" t="s">
        <v>743</v>
      </c>
      <c r="E158" s="132" t="s">
        <v>171</v>
      </c>
      <c r="F158" s="63">
        <v>25965262</v>
      </c>
      <c r="G158" s="63">
        <v>0</v>
      </c>
      <c r="H158" s="63">
        <v>0</v>
      </c>
      <c r="I158" s="63">
        <v>131056</v>
      </c>
      <c r="J158" s="63">
        <v>0</v>
      </c>
      <c r="K158" s="63">
        <v>131056</v>
      </c>
      <c r="L158" s="63">
        <v>0</v>
      </c>
      <c r="M158" s="63">
        <v>0</v>
      </c>
      <c r="N158" s="63">
        <v>0</v>
      </c>
      <c r="O158" s="63">
        <v>0</v>
      </c>
      <c r="P158" s="63">
        <v>0</v>
      </c>
      <c r="Q158" s="63">
        <v>25834206</v>
      </c>
      <c r="R158" s="474">
        <v>0.5</v>
      </c>
      <c r="S158" s="474">
        <v>0.4</v>
      </c>
      <c r="T158" s="474">
        <v>0.09</v>
      </c>
      <c r="U158" s="474">
        <v>0.01</v>
      </c>
      <c r="V158" s="474">
        <v>1</v>
      </c>
      <c r="W158" s="63">
        <v>12917103</v>
      </c>
      <c r="X158" s="63">
        <v>10333682</v>
      </c>
      <c r="Y158" s="63">
        <v>2325079</v>
      </c>
      <c r="Z158" s="63">
        <v>258342</v>
      </c>
      <c r="AA158" s="63">
        <v>25834206</v>
      </c>
      <c r="AB158" s="63">
        <v>0</v>
      </c>
      <c r="AC158" s="63">
        <v>0</v>
      </c>
      <c r="AD158" s="63">
        <v>0</v>
      </c>
      <c r="AE158" s="63">
        <v>0</v>
      </c>
      <c r="AF158" s="63">
        <v>0</v>
      </c>
      <c r="AG158" s="63">
        <v>0</v>
      </c>
      <c r="AH158" s="63">
        <v>0</v>
      </c>
      <c r="AI158" s="63">
        <v>0</v>
      </c>
      <c r="AJ158" s="63">
        <v>0</v>
      </c>
      <c r="AK158" s="63">
        <v>0</v>
      </c>
      <c r="AL158" s="63">
        <v>12917103</v>
      </c>
      <c r="AM158" s="63">
        <v>10333682</v>
      </c>
      <c r="AN158" s="63">
        <v>2325079</v>
      </c>
      <c r="AO158" s="63">
        <v>258342</v>
      </c>
      <c r="AP158" s="63">
        <v>25834206</v>
      </c>
      <c r="AQ158" s="63">
        <v>131056</v>
      </c>
      <c r="AR158" s="63">
        <v>131056</v>
      </c>
      <c r="AS158" s="63">
        <v>0</v>
      </c>
      <c r="AT158" s="63">
        <v>0</v>
      </c>
      <c r="AU158" s="63">
        <v>0</v>
      </c>
      <c r="AV158" s="63">
        <v>0</v>
      </c>
      <c r="AW158" s="63">
        <v>0</v>
      </c>
      <c r="AX158" s="63">
        <v>0</v>
      </c>
      <c r="AY158" s="63">
        <v>0</v>
      </c>
      <c r="AZ158" s="63">
        <v>0</v>
      </c>
      <c r="BA158" s="63">
        <v>0</v>
      </c>
      <c r="BB158" s="63">
        <v>0</v>
      </c>
      <c r="BC158" s="63">
        <v>0</v>
      </c>
      <c r="BD158" s="63">
        <v>0</v>
      </c>
      <c r="BE158" s="63">
        <v>0</v>
      </c>
      <c r="BF158" s="63">
        <v>0</v>
      </c>
      <c r="BG158" s="63">
        <v>0</v>
      </c>
      <c r="BH158" s="63">
        <v>-799703</v>
      </c>
      <c r="BI158" s="63">
        <v>-639762</v>
      </c>
      <c r="BJ158" s="63">
        <v>-143946</v>
      </c>
      <c r="BK158" s="63">
        <v>-15994</v>
      </c>
      <c r="BL158" s="63">
        <v>-1599405</v>
      </c>
      <c r="BM158" s="63">
        <v>12117400</v>
      </c>
      <c r="BN158" s="63">
        <v>9824976</v>
      </c>
      <c r="BO158" s="63">
        <v>2181133</v>
      </c>
      <c r="BP158" s="63">
        <v>242348</v>
      </c>
      <c r="BQ158" s="63">
        <v>24365857</v>
      </c>
      <c r="BR158" s="63">
        <v>149454</v>
      </c>
      <c r="BS158" s="63">
        <v>33627</v>
      </c>
      <c r="BT158" s="63">
        <v>3736</v>
      </c>
      <c r="BU158" s="63">
        <v>186817</v>
      </c>
      <c r="BV158" s="63">
        <v>501295</v>
      </c>
      <c r="BW158" s="63">
        <v>112791</v>
      </c>
      <c r="BX158" s="63">
        <v>12532</v>
      </c>
      <c r="BY158" s="63">
        <v>626618</v>
      </c>
      <c r="BZ158" s="63">
        <v>0</v>
      </c>
      <c r="CA158" s="63">
        <v>0</v>
      </c>
      <c r="CB158" s="63">
        <v>0</v>
      </c>
      <c r="CC158" s="63">
        <v>0</v>
      </c>
      <c r="CD158" s="63">
        <v>0</v>
      </c>
      <c r="CE158" s="63">
        <v>0</v>
      </c>
      <c r="CF158" s="63">
        <v>0</v>
      </c>
      <c r="CG158" s="63">
        <v>0</v>
      </c>
      <c r="CH158" s="63">
        <v>0</v>
      </c>
      <c r="CI158" s="63">
        <v>0</v>
      </c>
      <c r="CJ158" s="63">
        <v>0</v>
      </c>
      <c r="CK158" s="63">
        <v>0</v>
      </c>
      <c r="CL158" s="63">
        <v>0</v>
      </c>
      <c r="CM158" s="63">
        <v>0</v>
      </c>
      <c r="CN158" s="63">
        <v>0</v>
      </c>
      <c r="CO158" s="63">
        <v>0</v>
      </c>
      <c r="CP158" s="63">
        <v>650749</v>
      </c>
      <c r="CQ158" s="63">
        <v>146418</v>
      </c>
      <c r="CR158" s="63">
        <v>16268</v>
      </c>
      <c r="CS158" s="63">
        <v>813435</v>
      </c>
      <c r="CU158" s="141" t="s">
        <v>171</v>
      </c>
      <c r="CV158" s="157" t="s">
        <v>977</v>
      </c>
      <c r="CW158" s="156" t="s">
        <v>959</v>
      </c>
      <c r="CX158" s="345"/>
      <c r="CY158" s="345"/>
      <c r="CZ158" s="345"/>
    </row>
    <row r="159" spans="1:104" ht="12.75" x14ac:dyDescent="0.2">
      <c r="A159" s="90">
        <v>152</v>
      </c>
      <c r="B159" s="129" t="s">
        <v>174</v>
      </c>
      <c r="C159" s="130" t="s">
        <v>754</v>
      </c>
      <c r="D159" s="131" t="s">
        <v>748</v>
      </c>
      <c r="E159" s="132" t="s">
        <v>173</v>
      </c>
      <c r="F159" s="63">
        <v>56911589</v>
      </c>
      <c r="G159" s="63">
        <v>0</v>
      </c>
      <c r="H159" s="63">
        <v>0</v>
      </c>
      <c r="I159" s="63">
        <v>303330</v>
      </c>
      <c r="J159" s="63">
        <v>0</v>
      </c>
      <c r="K159" s="63">
        <v>303330</v>
      </c>
      <c r="L159" s="63">
        <v>0</v>
      </c>
      <c r="M159" s="63">
        <v>0</v>
      </c>
      <c r="N159" s="63">
        <v>0</v>
      </c>
      <c r="O159" s="63">
        <v>0</v>
      </c>
      <c r="P159" s="63">
        <v>0</v>
      </c>
      <c r="Q159" s="63">
        <v>56608259</v>
      </c>
      <c r="R159" s="474">
        <v>0.5</v>
      </c>
      <c r="S159" s="474">
        <v>0.3</v>
      </c>
      <c r="T159" s="474">
        <v>0.2</v>
      </c>
      <c r="U159" s="474">
        <v>0</v>
      </c>
      <c r="V159" s="474">
        <v>1</v>
      </c>
      <c r="W159" s="63">
        <v>28304129</v>
      </c>
      <c r="X159" s="63">
        <v>16982478</v>
      </c>
      <c r="Y159" s="63">
        <v>11321652</v>
      </c>
      <c r="Z159" s="63">
        <v>0</v>
      </c>
      <c r="AA159" s="63">
        <v>56608259</v>
      </c>
      <c r="AB159" s="63">
        <v>0</v>
      </c>
      <c r="AC159" s="63">
        <v>0</v>
      </c>
      <c r="AD159" s="63">
        <v>0</v>
      </c>
      <c r="AE159" s="63">
        <v>0</v>
      </c>
      <c r="AF159" s="63">
        <v>0</v>
      </c>
      <c r="AG159" s="63">
        <v>0</v>
      </c>
      <c r="AH159" s="63">
        <v>0</v>
      </c>
      <c r="AI159" s="63">
        <v>0</v>
      </c>
      <c r="AJ159" s="63">
        <v>0</v>
      </c>
      <c r="AK159" s="63">
        <v>0</v>
      </c>
      <c r="AL159" s="63">
        <v>28304129</v>
      </c>
      <c r="AM159" s="63">
        <v>16982478</v>
      </c>
      <c r="AN159" s="63">
        <v>11321652</v>
      </c>
      <c r="AO159" s="63">
        <v>0</v>
      </c>
      <c r="AP159" s="63">
        <v>56608259</v>
      </c>
      <c r="AQ159" s="63">
        <v>303330</v>
      </c>
      <c r="AR159" s="63">
        <v>303330</v>
      </c>
      <c r="AS159" s="63">
        <v>0</v>
      </c>
      <c r="AT159" s="63">
        <v>0</v>
      </c>
      <c r="AU159" s="63">
        <v>0</v>
      </c>
      <c r="AV159" s="63">
        <v>0</v>
      </c>
      <c r="AW159" s="63">
        <v>0</v>
      </c>
      <c r="AX159" s="63">
        <v>0</v>
      </c>
      <c r="AY159" s="63">
        <v>0</v>
      </c>
      <c r="AZ159" s="63">
        <v>0</v>
      </c>
      <c r="BA159" s="63">
        <v>0</v>
      </c>
      <c r="BB159" s="63">
        <v>0</v>
      </c>
      <c r="BC159" s="63">
        <v>0</v>
      </c>
      <c r="BD159" s="63">
        <v>0</v>
      </c>
      <c r="BE159" s="63">
        <v>0</v>
      </c>
      <c r="BF159" s="63">
        <v>0</v>
      </c>
      <c r="BG159" s="63">
        <v>0</v>
      </c>
      <c r="BH159" s="63">
        <v>-2240318</v>
      </c>
      <c r="BI159" s="63">
        <v>-1344191</v>
      </c>
      <c r="BJ159" s="63">
        <v>-896127</v>
      </c>
      <c r="BK159" s="63">
        <v>0</v>
      </c>
      <c r="BL159" s="63">
        <v>-4480636</v>
      </c>
      <c r="BM159" s="63">
        <v>26063811</v>
      </c>
      <c r="BN159" s="63">
        <v>15941617</v>
      </c>
      <c r="BO159" s="63">
        <v>10425525</v>
      </c>
      <c r="BP159" s="63">
        <v>0</v>
      </c>
      <c r="BQ159" s="63">
        <v>52430953</v>
      </c>
      <c r="BR159" s="63">
        <v>245614</v>
      </c>
      <c r="BS159" s="63">
        <v>163743</v>
      </c>
      <c r="BT159" s="63">
        <v>0</v>
      </c>
      <c r="BU159" s="63">
        <v>409357</v>
      </c>
      <c r="BV159" s="63">
        <v>724530</v>
      </c>
      <c r="BW159" s="63">
        <v>483021</v>
      </c>
      <c r="BX159" s="63">
        <v>0</v>
      </c>
      <c r="BY159" s="63">
        <v>1207551</v>
      </c>
      <c r="BZ159" s="63">
        <v>0</v>
      </c>
      <c r="CA159" s="63">
        <v>0</v>
      </c>
      <c r="CB159" s="63">
        <v>0</v>
      </c>
      <c r="CC159" s="63">
        <v>0</v>
      </c>
      <c r="CD159" s="63">
        <v>0</v>
      </c>
      <c r="CE159" s="63">
        <v>0</v>
      </c>
      <c r="CF159" s="63">
        <v>0</v>
      </c>
      <c r="CG159" s="63">
        <v>0</v>
      </c>
      <c r="CH159" s="63">
        <v>3228</v>
      </c>
      <c r="CI159" s="63">
        <v>2152</v>
      </c>
      <c r="CJ159" s="63">
        <v>0</v>
      </c>
      <c r="CK159" s="63">
        <v>5380</v>
      </c>
      <c r="CL159" s="63">
        <v>0</v>
      </c>
      <c r="CM159" s="63">
        <v>0</v>
      </c>
      <c r="CN159" s="63">
        <v>0</v>
      </c>
      <c r="CO159" s="63">
        <v>0</v>
      </c>
      <c r="CP159" s="63">
        <v>973372</v>
      </c>
      <c r="CQ159" s="63">
        <v>648916</v>
      </c>
      <c r="CR159" s="63">
        <v>0</v>
      </c>
      <c r="CS159" s="63">
        <v>1622288</v>
      </c>
      <c r="CU159" s="141" t="s">
        <v>173</v>
      </c>
      <c r="CV159" s="157" t="s">
        <v>939</v>
      </c>
      <c r="CW159" s="157" t="s">
        <v>940</v>
      </c>
      <c r="CX159" s="345"/>
      <c r="CY159" s="345"/>
      <c r="CZ159" s="345"/>
    </row>
    <row r="160" spans="1:104" ht="12.75" x14ac:dyDescent="0.2">
      <c r="A160" s="90">
        <v>153</v>
      </c>
      <c r="B160" s="129" t="s">
        <v>176</v>
      </c>
      <c r="C160" s="130" t="s">
        <v>742</v>
      </c>
      <c r="D160" s="131" t="s">
        <v>752</v>
      </c>
      <c r="E160" s="132" t="s">
        <v>175</v>
      </c>
      <c r="F160" s="63">
        <v>33891934</v>
      </c>
      <c r="G160" s="63">
        <v>0</v>
      </c>
      <c r="H160" s="63">
        <v>0</v>
      </c>
      <c r="I160" s="63">
        <v>123642</v>
      </c>
      <c r="J160" s="63">
        <v>0</v>
      </c>
      <c r="K160" s="63">
        <v>123642</v>
      </c>
      <c r="L160" s="63">
        <v>0</v>
      </c>
      <c r="M160" s="63">
        <v>0</v>
      </c>
      <c r="N160" s="63">
        <v>0</v>
      </c>
      <c r="O160" s="63">
        <v>0</v>
      </c>
      <c r="P160" s="63">
        <v>0</v>
      </c>
      <c r="Q160" s="63">
        <v>33768292</v>
      </c>
      <c r="R160" s="474">
        <v>0.5</v>
      </c>
      <c r="S160" s="474">
        <v>0.4</v>
      </c>
      <c r="T160" s="474">
        <v>0.09</v>
      </c>
      <c r="U160" s="474">
        <v>0.01</v>
      </c>
      <c r="V160" s="474">
        <v>1</v>
      </c>
      <c r="W160" s="63">
        <v>16884146</v>
      </c>
      <c r="X160" s="63">
        <v>13507317</v>
      </c>
      <c r="Y160" s="63">
        <v>3039146</v>
      </c>
      <c r="Z160" s="63">
        <v>337683</v>
      </c>
      <c r="AA160" s="63">
        <v>33768292</v>
      </c>
      <c r="AB160" s="63">
        <v>0</v>
      </c>
      <c r="AC160" s="63">
        <v>0</v>
      </c>
      <c r="AD160" s="63">
        <v>0</v>
      </c>
      <c r="AE160" s="63">
        <v>0</v>
      </c>
      <c r="AF160" s="63">
        <v>0</v>
      </c>
      <c r="AG160" s="63">
        <v>0</v>
      </c>
      <c r="AH160" s="63">
        <v>0</v>
      </c>
      <c r="AI160" s="63">
        <v>0</v>
      </c>
      <c r="AJ160" s="63">
        <v>0</v>
      </c>
      <c r="AK160" s="63">
        <v>0</v>
      </c>
      <c r="AL160" s="63">
        <v>16884146</v>
      </c>
      <c r="AM160" s="63">
        <v>13507317</v>
      </c>
      <c r="AN160" s="63">
        <v>3039146</v>
      </c>
      <c r="AO160" s="63">
        <v>337683</v>
      </c>
      <c r="AP160" s="63">
        <v>33768292</v>
      </c>
      <c r="AQ160" s="63">
        <v>123642</v>
      </c>
      <c r="AR160" s="63">
        <v>123642</v>
      </c>
      <c r="AS160" s="63">
        <v>0</v>
      </c>
      <c r="AT160" s="63">
        <v>0</v>
      </c>
      <c r="AU160" s="63">
        <v>0</v>
      </c>
      <c r="AV160" s="63">
        <v>0</v>
      </c>
      <c r="AW160" s="63">
        <v>0</v>
      </c>
      <c r="AX160" s="63">
        <v>0</v>
      </c>
      <c r="AY160" s="63">
        <v>0</v>
      </c>
      <c r="AZ160" s="63">
        <v>0</v>
      </c>
      <c r="BA160" s="63">
        <v>0</v>
      </c>
      <c r="BB160" s="63">
        <v>0</v>
      </c>
      <c r="BC160" s="63">
        <v>0</v>
      </c>
      <c r="BD160" s="63">
        <v>0</v>
      </c>
      <c r="BE160" s="63">
        <v>0</v>
      </c>
      <c r="BF160" s="63">
        <v>0</v>
      </c>
      <c r="BG160" s="63">
        <v>0</v>
      </c>
      <c r="BH160" s="63">
        <v>-731803</v>
      </c>
      <c r="BI160" s="63">
        <v>-585443</v>
      </c>
      <c r="BJ160" s="63">
        <v>-131725</v>
      </c>
      <c r="BK160" s="63">
        <v>-14636</v>
      </c>
      <c r="BL160" s="63">
        <v>-1463607</v>
      </c>
      <c r="BM160" s="63">
        <v>16152343</v>
      </c>
      <c r="BN160" s="63">
        <v>13045516</v>
      </c>
      <c r="BO160" s="63">
        <v>2907421</v>
      </c>
      <c r="BP160" s="63">
        <v>323047</v>
      </c>
      <c r="BQ160" s="63">
        <v>32428327</v>
      </c>
      <c r="BR160" s="63">
        <v>195354</v>
      </c>
      <c r="BS160" s="63">
        <v>43955</v>
      </c>
      <c r="BT160" s="63">
        <v>4884</v>
      </c>
      <c r="BU160" s="63">
        <v>244193</v>
      </c>
      <c r="BV160" s="63">
        <v>358776</v>
      </c>
      <c r="BW160" s="63">
        <v>80724</v>
      </c>
      <c r="BX160" s="63">
        <v>8969</v>
      </c>
      <c r="BY160" s="63">
        <v>448469</v>
      </c>
      <c r="BZ160" s="63">
        <v>13834</v>
      </c>
      <c r="CA160" s="63">
        <v>3113</v>
      </c>
      <c r="CB160" s="63">
        <v>346</v>
      </c>
      <c r="CC160" s="63">
        <v>17293</v>
      </c>
      <c r="CD160" s="63">
        <v>0</v>
      </c>
      <c r="CE160" s="63">
        <v>0</v>
      </c>
      <c r="CF160" s="63">
        <v>0</v>
      </c>
      <c r="CG160" s="63">
        <v>0</v>
      </c>
      <c r="CH160" s="63">
        <v>0</v>
      </c>
      <c r="CI160" s="63">
        <v>0</v>
      </c>
      <c r="CJ160" s="63">
        <v>0</v>
      </c>
      <c r="CK160" s="63">
        <v>0</v>
      </c>
      <c r="CL160" s="63">
        <v>5686</v>
      </c>
      <c r="CM160" s="63">
        <v>1279</v>
      </c>
      <c r="CN160" s="63">
        <v>142</v>
      </c>
      <c r="CO160" s="63">
        <v>7107</v>
      </c>
      <c r="CP160" s="63">
        <v>573650</v>
      </c>
      <c r="CQ160" s="63">
        <v>129071</v>
      </c>
      <c r="CR160" s="63">
        <v>14341</v>
      </c>
      <c r="CS160" s="63">
        <v>717062</v>
      </c>
      <c r="CU160" s="141" t="s">
        <v>175</v>
      </c>
      <c r="CV160" s="157" t="s">
        <v>964</v>
      </c>
      <c r="CW160" s="156" t="s">
        <v>965</v>
      </c>
      <c r="CX160" s="345"/>
      <c r="CY160" s="345"/>
      <c r="CZ160" s="345"/>
    </row>
    <row r="161" spans="1:104" ht="12.75" x14ac:dyDescent="0.2">
      <c r="A161" s="90">
        <v>154</v>
      </c>
      <c r="B161" s="129" t="s">
        <v>178</v>
      </c>
      <c r="C161" s="130" t="s">
        <v>742</v>
      </c>
      <c r="D161" s="131" t="s">
        <v>745</v>
      </c>
      <c r="E161" s="132" t="s">
        <v>177</v>
      </c>
      <c r="F161" s="63">
        <v>43359935</v>
      </c>
      <c r="G161" s="63">
        <v>0</v>
      </c>
      <c r="H161" s="63">
        <v>0</v>
      </c>
      <c r="I161" s="63">
        <v>148207</v>
      </c>
      <c r="J161" s="63">
        <v>0</v>
      </c>
      <c r="K161" s="63">
        <v>148207</v>
      </c>
      <c r="L161" s="63">
        <v>0</v>
      </c>
      <c r="M161" s="63">
        <v>0</v>
      </c>
      <c r="N161" s="63">
        <v>0</v>
      </c>
      <c r="O161" s="63">
        <v>0</v>
      </c>
      <c r="P161" s="63">
        <v>0</v>
      </c>
      <c r="Q161" s="63">
        <v>43211728</v>
      </c>
      <c r="R161" s="474">
        <v>0.5</v>
      </c>
      <c r="S161" s="474">
        <v>0.4</v>
      </c>
      <c r="T161" s="474">
        <v>0.1</v>
      </c>
      <c r="U161" s="474">
        <v>0</v>
      </c>
      <c r="V161" s="474">
        <v>1</v>
      </c>
      <c r="W161" s="63">
        <v>21605864</v>
      </c>
      <c r="X161" s="63">
        <v>17284691</v>
      </c>
      <c r="Y161" s="63">
        <v>4321173</v>
      </c>
      <c r="Z161" s="63">
        <v>0</v>
      </c>
      <c r="AA161" s="63">
        <v>43211728</v>
      </c>
      <c r="AB161" s="63">
        <v>0</v>
      </c>
      <c r="AC161" s="63">
        <v>0</v>
      </c>
      <c r="AD161" s="63">
        <v>0</v>
      </c>
      <c r="AE161" s="63">
        <v>0</v>
      </c>
      <c r="AF161" s="63">
        <v>0</v>
      </c>
      <c r="AG161" s="63">
        <v>0</v>
      </c>
      <c r="AH161" s="63">
        <v>0</v>
      </c>
      <c r="AI161" s="63">
        <v>0</v>
      </c>
      <c r="AJ161" s="63">
        <v>0</v>
      </c>
      <c r="AK161" s="63">
        <v>0</v>
      </c>
      <c r="AL161" s="63">
        <v>21605864</v>
      </c>
      <c r="AM161" s="63">
        <v>17284691</v>
      </c>
      <c r="AN161" s="63">
        <v>4321173</v>
      </c>
      <c r="AO161" s="63">
        <v>0</v>
      </c>
      <c r="AP161" s="63">
        <v>43211728</v>
      </c>
      <c r="AQ161" s="63">
        <v>148207</v>
      </c>
      <c r="AR161" s="63">
        <v>148207</v>
      </c>
      <c r="AS161" s="63">
        <v>0</v>
      </c>
      <c r="AT161" s="63">
        <v>0</v>
      </c>
      <c r="AU161" s="63">
        <v>0</v>
      </c>
      <c r="AV161" s="63">
        <v>0</v>
      </c>
      <c r="AW161" s="63">
        <v>0</v>
      </c>
      <c r="AX161" s="63">
        <v>0</v>
      </c>
      <c r="AY161" s="63">
        <v>0</v>
      </c>
      <c r="AZ161" s="63">
        <v>0</v>
      </c>
      <c r="BA161" s="63">
        <v>0</v>
      </c>
      <c r="BB161" s="63">
        <v>0</v>
      </c>
      <c r="BC161" s="63">
        <v>0</v>
      </c>
      <c r="BD161" s="63">
        <v>0</v>
      </c>
      <c r="BE161" s="63">
        <v>0</v>
      </c>
      <c r="BF161" s="63">
        <v>0</v>
      </c>
      <c r="BG161" s="63">
        <v>0</v>
      </c>
      <c r="BH161" s="63">
        <v>-1733121</v>
      </c>
      <c r="BI161" s="63">
        <v>-1386496</v>
      </c>
      <c r="BJ161" s="63">
        <v>-346624</v>
      </c>
      <c r="BK161" s="63">
        <v>0</v>
      </c>
      <c r="BL161" s="63">
        <v>-3466241</v>
      </c>
      <c r="BM161" s="63">
        <v>19872743</v>
      </c>
      <c r="BN161" s="63">
        <v>16046402</v>
      </c>
      <c r="BO161" s="63">
        <v>3974549</v>
      </c>
      <c r="BP161" s="63">
        <v>0</v>
      </c>
      <c r="BQ161" s="63">
        <v>39893694</v>
      </c>
      <c r="BR161" s="63">
        <v>249985</v>
      </c>
      <c r="BS161" s="63">
        <v>62496</v>
      </c>
      <c r="BT161" s="63">
        <v>0</v>
      </c>
      <c r="BU161" s="63">
        <v>312481</v>
      </c>
      <c r="BV161" s="63">
        <v>390770</v>
      </c>
      <c r="BW161" s="63">
        <v>97692</v>
      </c>
      <c r="BX161" s="63">
        <v>0</v>
      </c>
      <c r="BY161" s="63">
        <v>488462</v>
      </c>
      <c r="BZ161" s="63">
        <v>1637</v>
      </c>
      <c r="CA161" s="63">
        <v>409</v>
      </c>
      <c r="CB161" s="63">
        <v>0</v>
      </c>
      <c r="CC161" s="63">
        <v>2046</v>
      </c>
      <c r="CD161" s="63">
        <v>71758</v>
      </c>
      <c r="CE161" s="63">
        <v>17940</v>
      </c>
      <c r="CF161" s="63">
        <v>0</v>
      </c>
      <c r="CG161" s="63">
        <v>89698</v>
      </c>
      <c r="CH161" s="63">
        <v>53734</v>
      </c>
      <c r="CI161" s="63">
        <v>13434</v>
      </c>
      <c r="CJ161" s="63">
        <v>0</v>
      </c>
      <c r="CK161" s="63">
        <v>67168</v>
      </c>
      <c r="CL161" s="63">
        <v>0</v>
      </c>
      <c r="CM161" s="63">
        <v>0</v>
      </c>
      <c r="CN161" s="63">
        <v>0</v>
      </c>
      <c r="CO161" s="63">
        <v>0</v>
      </c>
      <c r="CP161" s="63">
        <v>767884</v>
      </c>
      <c r="CQ161" s="63">
        <v>191971</v>
      </c>
      <c r="CR161" s="63">
        <v>0</v>
      </c>
      <c r="CS161" s="63">
        <v>959855</v>
      </c>
      <c r="CU161" s="141" t="s">
        <v>177</v>
      </c>
      <c r="CV161" s="157" t="s">
        <v>954</v>
      </c>
      <c r="CW161" s="156" t="s">
        <v>928</v>
      </c>
      <c r="CX161" s="345"/>
      <c r="CY161" s="345"/>
      <c r="CZ161" s="345"/>
    </row>
    <row r="162" spans="1:104" ht="12.75" x14ac:dyDescent="0.2">
      <c r="A162" s="90">
        <v>155</v>
      </c>
      <c r="B162" s="129" t="s">
        <v>180</v>
      </c>
      <c r="C162" s="130" t="s">
        <v>749</v>
      </c>
      <c r="D162" s="131" t="s">
        <v>744</v>
      </c>
      <c r="E162" s="132" t="s">
        <v>179</v>
      </c>
      <c r="F162" s="63">
        <v>195183043</v>
      </c>
      <c r="G162" s="63">
        <v>0</v>
      </c>
      <c r="H162" s="63">
        <v>0</v>
      </c>
      <c r="I162" s="63">
        <v>779426</v>
      </c>
      <c r="J162" s="63">
        <v>0</v>
      </c>
      <c r="K162" s="63">
        <v>779426</v>
      </c>
      <c r="L162" s="63">
        <v>0</v>
      </c>
      <c r="M162" s="63">
        <v>0</v>
      </c>
      <c r="N162" s="63">
        <v>0</v>
      </c>
      <c r="O162" s="63">
        <v>0</v>
      </c>
      <c r="P162" s="63">
        <v>0</v>
      </c>
      <c r="Q162" s="63">
        <v>194403617</v>
      </c>
      <c r="R162" s="474">
        <v>0.5</v>
      </c>
      <c r="S162" s="474">
        <v>0.49</v>
      </c>
      <c r="T162" s="474">
        <v>0</v>
      </c>
      <c r="U162" s="474">
        <v>0.01</v>
      </c>
      <c r="V162" s="474">
        <v>1</v>
      </c>
      <c r="W162" s="63">
        <v>97201809</v>
      </c>
      <c r="X162" s="63">
        <v>95257772</v>
      </c>
      <c r="Y162" s="63">
        <v>0</v>
      </c>
      <c r="Z162" s="63">
        <v>1944036</v>
      </c>
      <c r="AA162" s="63">
        <v>194403617</v>
      </c>
      <c r="AB162" s="63">
        <v>236576</v>
      </c>
      <c r="AC162" s="63">
        <v>0</v>
      </c>
      <c r="AD162" s="63">
        <v>0</v>
      </c>
      <c r="AE162" s="63">
        <v>0</v>
      </c>
      <c r="AF162" s="63">
        <v>236576</v>
      </c>
      <c r="AG162" s="63">
        <v>0</v>
      </c>
      <c r="AH162" s="63">
        <v>0</v>
      </c>
      <c r="AI162" s="63">
        <v>0</v>
      </c>
      <c r="AJ162" s="63">
        <v>0</v>
      </c>
      <c r="AK162" s="63">
        <v>0</v>
      </c>
      <c r="AL162" s="63">
        <v>96965233</v>
      </c>
      <c r="AM162" s="63">
        <v>95257772</v>
      </c>
      <c r="AN162" s="63">
        <v>0</v>
      </c>
      <c r="AO162" s="63">
        <v>1944036</v>
      </c>
      <c r="AP162" s="63">
        <v>194167041</v>
      </c>
      <c r="AQ162" s="63">
        <v>779426</v>
      </c>
      <c r="AR162" s="63">
        <v>779426</v>
      </c>
      <c r="AS162" s="63">
        <v>0</v>
      </c>
      <c r="AT162" s="63">
        <v>0</v>
      </c>
      <c r="AU162" s="63">
        <v>0</v>
      </c>
      <c r="AV162" s="63">
        <v>0</v>
      </c>
      <c r="AW162" s="63">
        <v>0</v>
      </c>
      <c r="AX162" s="63">
        <v>236576</v>
      </c>
      <c r="AY162" s="63">
        <v>0</v>
      </c>
      <c r="AZ162" s="63">
        <v>0</v>
      </c>
      <c r="BA162" s="63">
        <v>236576</v>
      </c>
      <c r="BB162" s="63">
        <v>0</v>
      </c>
      <c r="BC162" s="63">
        <v>0</v>
      </c>
      <c r="BD162" s="63">
        <v>0</v>
      </c>
      <c r="BE162" s="63">
        <v>0</v>
      </c>
      <c r="BF162" s="63">
        <v>0</v>
      </c>
      <c r="BG162" s="63">
        <v>0</v>
      </c>
      <c r="BH162" s="63">
        <v>-9212834</v>
      </c>
      <c r="BI162" s="63">
        <v>-9028577</v>
      </c>
      <c r="BJ162" s="63">
        <v>0</v>
      </c>
      <c r="BK162" s="63">
        <v>-184257</v>
      </c>
      <c r="BL162" s="63">
        <v>-18425668</v>
      </c>
      <c r="BM162" s="63">
        <v>87752399</v>
      </c>
      <c r="BN162" s="63">
        <v>87245197</v>
      </c>
      <c r="BO162" s="63">
        <v>0</v>
      </c>
      <c r="BP162" s="63">
        <v>1759779</v>
      </c>
      <c r="BQ162" s="63">
        <v>176757375</v>
      </c>
      <c r="BR162" s="63">
        <v>1381117</v>
      </c>
      <c r="BS162" s="63">
        <v>0</v>
      </c>
      <c r="BT162" s="63">
        <v>28116</v>
      </c>
      <c r="BU162" s="63">
        <v>1409233</v>
      </c>
      <c r="BV162" s="63">
        <v>2459769</v>
      </c>
      <c r="BW162" s="63">
        <v>0</v>
      </c>
      <c r="BX162" s="63">
        <v>44409</v>
      </c>
      <c r="BY162" s="63">
        <v>2504178</v>
      </c>
      <c r="BZ162" s="63">
        <v>49693</v>
      </c>
      <c r="CA162" s="63">
        <v>0</v>
      </c>
      <c r="CB162" s="63">
        <v>897</v>
      </c>
      <c r="CC162" s="63">
        <v>50590</v>
      </c>
      <c r="CD162" s="63">
        <v>24855</v>
      </c>
      <c r="CE162" s="63">
        <v>0</v>
      </c>
      <c r="CF162" s="63">
        <v>507</v>
      </c>
      <c r="CG162" s="63">
        <v>25362</v>
      </c>
      <c r="CH162" s="63">
        <v>108085</v>
      </c>
      <c r="CI162" s="63">
        <v>0</v>
      </c>
      <c r="CJ162" s="63">
        <v>945</v>
      </c>
      <c r="CK162" s="63">
        <v>109030</v>
      </c>
      <c r="CL162" s="63">
        <v>23701</v>
      </c>
      <c r="CM162" s="63">
        <v>0</v>
      </c>
      <c r="CN162" s="63">
        <v>484</v>
      </c>
      <c r="CO162" s="63">
        <v>24185</v>
      </c>
      <c r="CP162" s="63">
        <v>4047220</v>
      </c>
      <c r="CQ162" s="63">
        <v>0</v>
      </c>
      <c r="CR162" s="63">
        <v>75358</v>
      </c>
      <c r="CS162" s="63">
        <v>4122578</v>
      </c>
      <c r="CU162" s="141" t="s">
        <v>179</v>
      </c>
      <c r="CV162" s="157" t="s">
        <v>941</v>
      </c>
      <c r="CW162" s="156" t="s">
        <v>981</v>
      </c>
      <c r="CX162" s="345"/>
      <c r="CY162" s="345"/>
      <c r="CZ162" s="345"/>
    </row>
    <row r="163" spans="1:104" ht="12.75" x14ac:dyDescent="0.2">
      <c r="A163" s="90">
        <v>156</v>
      </c>
      <c r="B163" s="129" t="s">
        <v>181</v>
      </c>
      <c r="C163" s="130" t="s">
        <v>501</v>
      </c>
      <c r="D163" s="131" t="s">
        <v>746</v>
      </c>
      <c r="E163" s="132" t="s">
        <v>504</v>
      </c>
      <c r="F163" s="63">
        <v>68181264</v>
      </c>
      <c r="G163" s="63">
        <v>0</v>
      </c>
      <c r="H163" s="63">
        <v>0</v>
      </c>
      <c r="I163" s="63">
        <v>255038</v>
      </c>
      <c r="J163" s="63">
        <v>0</v>
      </c>
      <c r="K163" s="63">
        <v>255038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63">
        <v>67926226</v>
      </c>
      <c r="R163" s="474">
        <v>0.5</v>
      </c>
      <c r="S163" s="474">
        <v>0.49</v>
      </c>
      <c r="T163" s="474">
        <v>0</v>
      </c>
      <c r="U163" s="474">
        <v>0.01</v>
      </c>
      <c r="V163" s="474">
        <v>1</v>
      </c>
      <c r="W163" s="63">
        <v>33963113</v>
      </c>
      <c r="X163" s="63">
        <v>33283851</v>
      </c>
      <c r="Y163" s="63">
        <v>0</v>
      </c>
      <c r="Z163" s="63">
        <v>679262</v>
      </c>
      <c r="AA163" s="63">
        <v>67926226</v>
      </c>
      <c r="AB163" s="63">
        <v>0</v>
      </c>
      <c r="AC163" s="63">
        <v>0</v>
      </c>
      <c r="AD163" s="63">
        <v>0</v>
      </c>
      <c r="AE163" s="63">
        <v>0</v>
      </c>
      <c r="AF163" s="63">
        <v>0</v>
      </c>
      <c r="AG163" s="63">
        <v>0</v>
      </c>
      <c r="AH163" s="63">
        <v>0</v>
      </c>
      <c r="AI163" s="63">
        <v>0</v>
      </c>
      <c r="AJ163" s="63">
        <v>0</v>
      </c>
      <c r="AK163" s="63">
        <v>0</v>
      </c>
      <c r="AL163" s="63">
        <v>33963113</v>
      </c>
      <c r="AM163" s="63">
        <v>33283851</v>
      </c>
      <c r="AN163" s="63">
        <v>0</v>
      </c>
      <c r="AO163" s="63">
        <v>679262</v>
      </c>
      <c r="AP163" s="63">
        <v>67926226</v>
      </c>
      <c r="AQ163" s="63">
        <v>255038</v>
      </c>
      <c r="AR163" s="63">
        <v>255038</v>
      </c>
      <c r="AS163" s="63">
        <v>0</v>
      </c>
      <c r="AT163" s="63">
        <v>0</v>
      </c>
      <c r="AU163" s="63">
        <v>0</v>
      </c>
      <c r="AV163" s="63">
        <v>0</v>
      </c>
      <c r="AW163" s="63">
        <v>0</v>
      </c>
      <c r="AX163" s="63">
        <v>0</v>
      </c>
      <c r="AY163" s="63">
        <v>0</v>
      </c>
      <c r="AZ163" s="63">
        <v>0</v>
      </c>
      <c r="BA163" s="63">
        <v>0</v>
      </c>
      <c r="BB163" s="63">
        <v>0</v>
      </c>
      <c r="BC163" s="63">
        <v>0</v>
      </c>
      <c r="BD163" s="63">
        <v>0</v>
      </c>
      <c r="BE163" s="63">
        <v>0</v>
      </c>
      <c r="BF163" s="63">
        <v>0</v>
      </c>
      <c r="BG163" s="63">
        <v>0</v>
      </c>
      <c r="BH163" s="63">
        <v>437202</v>
      </c>
      <c r="BI163" s="63">
        <v>428458</v>
      </c>
      <c r="BJ163" s="63">
        <v>0</v>
      </c>
      <c r="BK163" s="63">
        <v>8744</v>
      </c>
      <c r="BL163" s="63">
        <v>874404</v>
      </c>
      <c r="BM163" s="63">
        <v>34400315</v>
      </c>
      <c r="BN163" s="63">
        <v>33967347</v>
      </c>
      <c r="BO163" s="63">
        <v>0</v>
      </c>
      <c r="BP163" s="63">
        <v>688006</v>
      </c>
      <c r="BQ163" s="63">
        <v>69055668</v>
      </c>
      <c r="BR163" s="63">
        <v>481378</v>
      </c>
      <c r="BS163" s="63">
        <v>0</v>
      </c>
      <c r="BT163" s="63">
        <v>9824</v>
      </c>
      <c r="BU163" s="63">
        <v>491202</v>
      </c>
      <c r="BV163" s="63">
        <v>789207</v>
      </c>
      <c r="BW163" s="63">
        <v>0</v>
      </c>
      <c r="BX163" s="63">
        <v>15634</v>
      </c>
      <c r="BY163" s="63">
        <v>804841</v>
      </c>
      <c r="BZ163" s="63">
        <v>2753</v>
      </c>
      <c r="CA163" s="63">
        <v>0</v>
      </c>
      <c r="CB163" s="63">
        <v>56</v>
      </c>
      <c r="CC163" s="63">
        <v>2809</v>
      </c>
      <c r="CD163" s="63">
        <v>1730</v>
      </c>
      <c r="CE163" s="63">
        <v>0</v>
      </c>
      <c r="CF163" s="63">
        <v>0</v>
      </c>
      <c r="CG163" s="63">
        <v>1730</v>
      </c>
      <c r="CH163" s="63">
        <v>3150</v>
      </c>
      <c r="CI163" s="63">
        <v>0</v>
      </c>
      <c r="CJ163" s="63">
        <v>64</v>
      </c>
      <c r="CK163" s="63">
        <v>3214</v>
      </c>
      <c r="CL163" s="63">
        <v>529667</v>
      </c>
      <c r="CM163" s="63">
        <v>0</v>
      </c>
      <c r="CN163" s="63">
        <v>10810</v>
      </c>
      <c r="CO163" s="63">
        <v>540477</v>
      </c>
      <c r="CP163" s="63">
        <v>1807885</v>
      </c>
      <c r="CQ163" s="63">
        <v>0</v>
      </c>
      <c r="CR163" s="63">
        <v>36388</v>
      </c>
      <c r="CS163" s="63">
        <v>1844273</v>
      </c>
      <c r="CU163" s="141" t="s">
        <v>504</v>
      </c>
      <c r="CV163" s="157" t="s">
        <v>501</v>
      </c>
      <c r="CW163" s="156" t="s">
        <v>948</v>
      </c>
      <c r="CX163" s="345"/>
      <c r="CY163" s="345"/>
      <c r="CZ163" s="345"/>
    </row>
    <row r="164" spans="1:104" ht="12.75" x14ac:dyDescent="0.2">
      <c r="A164" s="90">
        <v>157</v>
      </c>
      <c r="B164" s="129" t="s">
        <v>183</v>
      </c>
      <c r="C164" s="130" t="s">
        <v>742</v>
      </c>
      <c r="D164" s="131" t="s">
        <v>743</v>
      </c>
      <c r="E164" s="132" t="s">
        <v>182</v>
      </c>
      <c r="F164" s="63">
        <v>60353439</v>
      </c>
      <c r="G164" s="63">
        <v>0</v>
      </c>
      <c r="H164" s="63">
        <v>0</v>
      </c>
      <c r="I164" s="63">
        <v>206494</v>
      </c>
      <c r="J164" s="63">
        <v>0</v>
      </c>
      <c r="K164" s="63">
        <v>206494</v>
      </c>
      <c r="L164" s="63">
        <v>0</v>
      </c>
      <c r="M164" s="63">
        <v>0</v>
      </c>
      <c r="N164" s="63">
        <v>0</v>
      </c>
      <c r="O164" s="63">
        <v>0</v>
      </c>
      <c r="P164" s="63">
        <v>0</v>
      </c>
      <c r="Q164" s="63">
        <v>60146945</v>
      </c>
      <c r="R164" s="474">
        <v>0.5</v>
      </c>
      <c r="S164" s="474">
        <v>0.4</v>
      </c>
      <c r="T164" s="474">
        <v>0.09</v>
      </c>
      <c r="U164" s="474">
        <v>0.01</v>
      </c>
      <c r="V164" s="474">
        <v>1</v>
      </c>
      <c r="W164" s="63">
        <v>30073473</v>
      </c>
      <c r="X164" s="63">
        <v>24058778</v>
      </c>
      <c r="Y164" s="63">
        <v>5413225</v>
      </c>
      <c r="Z164" s="63">
        <v>601469</v>
      </c>
      <c r="AA164" s="63">
        <v>60146945</v>
      </c>
      <c r="AB164" s="63">
        <v>0</v>
      </c>
      <c r="AC164" s="63">
        <v>0</v>
      </c>
      <c r="AD164" s="63">
        <v>0</v>
      </c>
      <c r="AE164" s="63">
        <v>0</v>
      </c>
      <c r="AF164" s="63">
        <v>0</v>
      </c>
      <c r="AG164" s="63">
        <v>0</v>
      </c>
      <c r="AH164" s="63">
        <v>0</v>
      </c>
      <c r="AI164" s="63">
        <v>0</v>
      </c>
      <c r="AJ164" s="63">
        <v>0</v>
      </c>
      <c r="AK164" s="63">
        <v>0</v>
      </c>
      <c r="AL164" s="63">
        <v>30073473</v>
      </c>
      <c r="AM164" s="63">
        <v>24058778</v>
      </c>
      <c r="AN164" s="63">
        <v>5413225</v>
      </c>
      <c r="AO164" s="63">
        <v>601469</v>
      </c>
      <c r="AP164" s="63">
        <v>60146945</v>
      </c>
      <c r="AQ164" s="63">
        <v>206494</v>
      </c>
      <c r="AR164" s="63">
        <v>206494</v>
      </c>
      <c r="AS164" s="63">
        <v>0</v>
      </c>
      <c r="AT164" s="63">
        <v>0</v>
      </c>
      <c r="AU164" s="63">
        <v>0</v>
      </c>
      <c r="AV164" s="63">
        <v>0</v>
      </c>
      <c r="AW164" s="63">
        <v>0</v>
      </c>
      <c r="AX164" s="63">
        <v>0</v>
      </c>
      <c r="AY164" s="63">
        <v>0</v>
      </c>
      <c r="AZ164" s="63">
        <v>0</v>
      </c>
      <c r="BA164" s="63">
        <v>0</v>
      </c>
      <c r="BB164" s="63">
        <v>0</v>
      </c>
      <c r="BC164" s="63">
        <v>0</v>
      </c>
      <c r="BD164" s="63">
        <v>0</v>
      </c>
      <c r="BE164" s="63">
        <v>0</v>
      </c>
      <c r="BF164" s="63">
        <v>0</v>
      </c>
      <c r="BG164" s="63">
        <v>0</v>
      </c>
      <c r="BH164" s="63">
        <v>1268866</v>
      </c>
      <c r="BI164" s="63">
        <v>1015093</v>
      </c>
      <c r="BJ164" s="63">
        <v>228396</v>
      </c>
      <c r="BK164" s="63">
        <v>25377</v>
      </c>
      <c r="BL164" s="63">
        <v>2537732</v>
      </c>
      <c r="BM164" s="63">
        <v>31342339</v>
      </c>
      <c r="BN164" s="63">
        <v>25280365</v>
      </c>
      <c r="BO164" s="63">
        <v>5641621</v>
      </c>
      <c r="BP164" s="63">
        <v>626846</v>
      </c>
      <c r="BQ164" s="63">
        <v>62891171</v>
      </c>
      <c r="BR164" s="63">
        <v>347958</v>
      </c>
      <c r="BS164" s="63">
        <v>78290</v>
      </c>
      <c r="BT164" s="63">
        <v>8699</v>
      </c>
      <c r="BU164" s="63">
        <v>434947</v>
      </c>
      <c r="BV164" s="63">
        <v>500809</v>
      </c>
      <c r="BW164" s="63">
        <v>112682</v>
      </c>
      <c r="BX164" s="63">
        <v>12520</v>
      </c>
      <c r="BY164" s="63">
        <v>626011</v>
      </c>
      <c r="BZ164" s="63">
        <v>3371</v>
      </c>
      <c r="CA164" s="63">
        <v>758</v>
      </c>
      <c r="CB164" s="63">
        <v>84</v>
      </c>
      <c r="CC164" s="63">
        <v>4213</v>
      </c>
      <c r="CD164" s="63">
        <v>0</v>
      </c>
      <c r="CE164" s="63">
        <v>0</v>
      </c>
      <c r="CF164" s="63">
        <v>0</v>
      </c>
      <c r="CG164" s="63">
        <v>0</v>
      </c>
      <c r="CH164" s="63">
        <v>14558</v>
      </c>
      <c r="CI164" s="63">
        <v>3275</v>
      </c>
      <c r="CJ164" s="63">
        <v>364</v>
      </c>
      <c r="CK164" s="63">
        <v>18197</v>
      </c>
      <c r="CL164" s="63">
        <v>4820</v>
      </c>
      <c r="CM164" s="63">
        <v>1084</v>
      </c>
      <c r="CN164" s="63">
        <v>120</v>
      </c>
      <c r="CO164" s="63">
        <v>6024</v>
      </c>
      <c r="CP164" s="63">
        <v>871516</v>
      </c>
      <c r="CQ164" s="63">
        <v>196089</v>
      </c>
      <c r="CR164" s="63">
        <v>21787</v>
      </c>
      <c r="CS164" s="63">
        <v>1089392</v>
      </c>
      <c r="CU164" s="141" t="s">
        <v>182</v>
      </c>
      <c r="CV164" s="157" t="s">
        <v>934</v>
      </c>
      <c r="CW164" s="156" t="s">
        <v>935</v>
      </c>
      <c r="CX164" s="345"/>
      <c r="CY164" s="345"/>
      <c r="CZ164" s="345"/>
    </row>
    <row r="165" spans="1:104" ht="12.75" x14ac:dyDescent="0.2">
      <c r="A165" s="90">
        <v>158</v>
      </c>
      <c r="B165" s="129" t="s">
        <v>185</v>
      </c>
      <c r="C165" s="130" t="s">
        <v>742</v>
      </c>
      <c r="D165" s="131" t="s">
        <v>746</v>
      </c>
      <c r="E165" s="132" t="s">
        <v>184</v>
      </c>
      <c r="F165" s="63">
        <v>14357004</v>
      </c>
      <c r="G165" s="63">
        <v>0</v>
      </c>
      <c r="H165" s="63">
        <v>0</v>
      </c>
      <c r="I165" s="63">
        <v>93784</v>
      </c>
      <c r="J165" s="63">
        <v>0</v>
      </c>
      <c r="K165" s="63">
        <v>93784</v>
      </c>
      <c r="L165" s="63">
        <v>0</v>
      </c>
      <c r="M165" s="63">
        <v>0</v>
      </c>
      <c r="N165" s="63">
        <v>484575</v>
      </c>
      <c r="O165" s="63">
        <v>484575</v>
      </c>
      <c r="P165" s="63">
        <v>0</v>
      </c>
      <c r="Q165" s="63">
        <v>13778645</v>
      </c>
      <c r="R165" s="474">
        <v>0.5</v>
      </c>
      <c r="S165" s="474">
        <v>0.4</v>
      </c>
      <c r="T165" s="474">
        <v>0.09</v>
      </c>
      <c r="U165" s="474">
        <v>0.01</v>
      </c>
      <c r="V165" s="474">
        <v>1</v>
      </c>
      <c r="W165" s="63">
        <v>6889323</v>
      </c>
      <c r="X165" s="63">
        <v>5511458</v>
      </c>
      <c r="Y165" s="63">
        <v>1240078</v>
      </c>
      <c r="Z165" s="63">
        <v>137786</v>
      </c>
      <c r="AA165" s="63">
        <v>13778645</v>
      </c>
      <c r="AB165" s="63">
        <v>0</v>
      </c>
      <c r="AC165" s="63">
        <v>0</v>
      </c>
      <c r="AD165" s="63">
        <v>0</v>
      </c>
      <c r="AE165" s="63">
        <v>0</v>
      </c>
      <c r="AF165" s="63">
        <v>0</v>
      </c>
      <c r="AG165" s="63">
        <v>0</v>
      </c>
      <c r="AH165" s="63">
        <v>0</v>
      </c>
      <c r="AI165" s="63">
        <v>0</v>
      </c>
      <c r="AJ165" s="63">
        <v>0</v>
      </c>
      <c r="AK165" s="63">
        <v>0</v>
      </c>
      <c r="AL165" s="63">
        <v>6889323</v>
      </c>
      <c r="AM165" s="63">
        <v>5511458</v>
      </c>
      <c r="AN165" s="63">
        <v>1240078</v>
      </c>
      <c r="AO165" s="63">
        <v>137786</v>
      </c>
      <c r="AP165" s="63">
        <v>13778645</v>
      </c>
      <c r="AQ165" s="63">
        <v>93784</v>
      </c>
      <c r="AR165" s="63">
        <v>93784</v>
      </c>
      <c r="AS165" s="63">
        <v>0</v>
      </c>
      <c r="AT165" s="63">
        <v>0</v>
      </c>
      <c r="AU165" s="63">
        <v>484575</v>
      </c>
      <c r="AV165" s="63">
        <v>0</v>
      </c>
      <c r="AW165" s="63">
        <v>484575</v>
      </c>
      <c r="AX165" s="63">
        <v>0</v>
      </c>
      <c r="AY165" s="63">
        <v>0</v>
      </c>
      <c r="AZ165" s="63">
        <v>0</v>
      </c>
      <c r="BA165" s="63">
        <v>0</v>
      </c>
      <c r="BB165" s="63">
        <v>0</v>
      </c>
      <c r="BC165" s="63">
        <v>0</v>
      </c>
      <c r="BD165" s="63">
        <v>0</v>
      </c>
      <c r="BE165" s="63">
        <v>0</v>
      </c>
      <c r="BF165" s="63">
        <v>0</v>
      </c>
      <c r="BG165" s="63">
        <v>0</v>
      </c>
      <c r="BH165" s="63">
        <v>339904</v>
      </c>
      <c r="BI165" s="63">
        <v>271924</v>
      </c>
      <c r="BJ165" s="63">
        <v>61183</v>
      </c>
      <c r="BK165" s="63">
        <v>6798</v>
      </c>
      <c r="BL165" s="63">
        <v>679809</v>
      </c>
      <c r="BM165" s="63">
        <v>7229227</v>
      </c>
      <c r="BN165" s="63">
        <v>6361741</v>
      </c>
      <c r="BO165" s="63">
        <v>1301261</v>
      </c>
      <c r="BP165" s="63">
        <v>144584</v>
      </c>
      <c r="BQ165" s="63">
        <v>15036813</v>
      </c>
      <c r="BR165" s="63">
        <v>86719</v>
      </c>
      <c r="BS165" s="63">
        <v>17935</v>
      </c>
      <c r="BT165" s="63">
        <v>1993</v>
      </c>
      <c r="BU165" s="63">
        <v>106647</v>
      </c>
      <c r="BV165" s="63">
        <v>387392</v>
      </c>
      <c r="BW165" s="63">
        <v>87163</v>
      </c>
      <c r="BX165" s="63">
        <v>9685</v>
      </c>
      <c r="BY165" s="63">
        <v>484240</v>
      </c>
      <c r="BZ165" s="63">
        <v>795</v>
      </c>
      <c r="CA165" s="63">
        <v>179</v>
      </c>
      <c r="CB165" s="63">
        <v>20</v>
      </c>
      <c r="CC165" s="63">
        <v>994</v>
      </c>
      <c r="CD165" s="63">
        <v>0</v>
      </c>
      <c r="CE165" s="63">
        <v>0</v>
      </c>
      <c r="CF165" s="63">
        <v>0</v>
      </c>
      <c r="CG165" s="63">
        <v>0</v>
      </c>
      <c r="CH165" s="63">
        <v>0</v>
      </c>
      <c r="CI165" s="63">
        <v>0</v>
      </c>
      <c r="CJ165" s="63">
        <v>0</v>
      </c>
      <c r="CK165" s="63">
        <v>0</v>
      </c>
      <c r="CL165" s="63">
        <v>3293</v>
      </c>
      <c r="CM165" s="63">
        <v>741</v>
      </c>
      <c r="CN165" s="63">
        <v>82</v>
      </c>
      <c r="CO165" s="63">
        <v>4116</v>
      </c>
      <c r="CP165" s="63">
        <v>478199</v>
      </c>
      <c r="CQ165" s="63">
        <v>106018</v>
      </c>
      <c r="CR165" s="63">
        <v>11780</v>
      </c>
      <c r="CS165" s="63">
        <v>595997</v>
      </c>
      <c r="CU165" s="141" t="s">
        <v>184</v>
      </c>
      <c r="CV165" s="157" t="s">
        <v>943</v>
      </c>
      <c r="CW165" s="156" t="s">
        <v>944</v>
      </c>
      <c r="CX165" s="345"/>
      <c r="CY165" s="345"/>
      <c r="CZ165" s="345"/>
    </row>
    <row r="166" spans="1:104" ht="12.75" x14ac:dyDescent="0.2">
      <c r="A166" s="90">
        <v>159</v>
      </c>
      <c r="B166" s="129" t="s">
        <v>186</v>
      </c>
      <c r="C166" s="130" t="s">
        <v>742</v>
      </c>
      <c r="D166" s="131" t="s">
        <v>752</v>
      </c>
      <c r="E166" s="132" t="s">
        <v>766</v>
      </c>
      <c r="F166" s="63">
        <v>15376097</v>
      </c>
      <c r="G166" s="63">
        <v>0</v>
      </c>
      <c r="H166" s="63">
        <v>0</v>
      </c>
      <c r="I166" s="63">
        <v>107540</v>
      </c>
      <c r="J166" s="63">
        <v>0</v>
      </c>
      <c r="K166" s="63">
        <v>107540</v>
      </c>
      <c r="L166" s="63">
        <v>0</v>
      </c>
      <c r="M166" s="63">
        <v>0</v>
      </c>
      <c r="N166" s="63">
        <v>0</v>
      </c>
      <c r="O166" s="63">
        <v>0</v>
      </c>
      <c r="P166" s="63">
        <v>0</v>
      </c>
      <c r="Q166" s="63">
        <v>15268557</v>
      </c>
      <c r="R166" s="474">
        <v>0.5</v>
      </c>
      <c r="S166" s="474">
        <v>0.4</v>
      </c>
      <c r="T166" s="474">
        <v>0.09</v>
      </c>
      <c r="U166" s="474">
        <v>0.01</v>
      </c>
      <c r="V166" s="474">
        <v>1</v>
      </c>
      <c r="W166" s="63">
        <v>7634278</v>
      </c>
      <c r="X166" s="63">
        <v>6107423</v>
      </c>
      <c r="Y166" s="63">
        <v>1374170</v>
      </c>
      <c r="Z166" s="63">
        <v>152686</v>
      </c>
      <c r="AA166" s="63">
        <v>15268557</v>
      </c>
      <c r="AB166" s="63">
        <v>0</v>
      </c>
      <c r="AC166" s="63">
        <v>0</v>
      </c>
      <c r="AD166" s="63">
        <v>0</v>
      </c>
      <c r="AE166" s="63">
        <v>0</v>
      </c>
      <c r="AF166" s="63">
        <v>0</v>
      </c>
      <c r="AG166" s="63">
        <v>0</v>
      </c>
      <c r="AH166" s="63">
        <v>0</v>
      </c>
      <c r="AI166" s="63">
        <v>0</v>
      </c>
      <c r="AJ166" s="63">
        <v>0</v>
      </c>
      <c r="AK166" s="63">
        <v>0</v>
      </c>
      <c r="AL166" s="63">
        <v>7634278</v>
      </c>
      <c r="AM166" s="63">
        <v>6107423</v>
      </c>
      <c r="AN166" s="63">
        <v>1374170</v>
      </c>
      <c r="AO166" s="63">
        <v>152686</v>
      </c>
      <c r="AP166" s="63">
        <v>15268557</v>
      </c>
      <c r="AQ166" s="63">
        <v>107540</v>
      </c>
      <c r="AR166" s="63">
        <v>107540</v>
      </c>
      <c r="AS166" s="63">
        <v>0</v>
      </c>
      <c r="AT166" s="63">
        <v>0</v>
      </c>
      <c r="AU166" s="63">
        <v>0</v>
      </c>
      <c r="AV166" s="63">
        <v>0</v>
      </c>
      <c r="AW166" s="63">
        <v>0</v>
      </c>
      <c r="AX166" s="63">
        <v>0</v>
      </c>
      <c r="AY166" s="63">
        <v>0</v>
      </c>
      <c r="AZ166" s="63">
        <v>0</v>
      </c>
      <c r="BA166" s="63">
        <v>0</v>
      </c>
      <c r="BB166" s="63">
        <v>0</v>
      </c>
      <c r="BC166" s="63">
        <v>0</v>
      </c>
      <c r="BD166" s="63">
        <v>0</v>
      </c>
      <c r="BE166" s="63">
        <v>0</v>
      </c>
      <c r="BF166" s="63">
        <v>0</v>
      </c>
      <c r="BG166" s="63">
        <v>0</v>
      </c>
      <c r="BH166" s="63">
        <v>-3009206</v>
      </c>
      <c r="BI166" s="63">
        <v>-2407365</v>
      </c>
      <c r="BJ166" s="63">
        <v>-541657</v>
      </c>
      <c r="BK166" s="63">
        <v>-60184</v>
      </c>
      <c r="BL166" s="63">
        <v>-6018412</v>
      </c>
      <c r="BM166" s="63">
        <v>4625072</v>
      </c>
      <c r="BN166" s="63">
        <v>3807598</v>
      </c>
      <c r="BO166" s="63">
        <v>832513</v>
      </c>
      <c r="BP166" s="63">
        <v>92502</v>
      </c>
      <c r="BQ166" s="63">
        <v>9357685</v>
      </c>
      <c r="BR166" s="63">
        <v>88330</v>
      </c>
      <c r="BS166" s="63">
        <v>19874</v>
      </c>
      <c r="BT166" s="63">
        <v>2208</v>
      </c>
      <c r="BU166" s="63">
        <v>110412</v>
      </c>
      <c r="BV166" s="63">
        <v>434527</v>
      </c>
      <c r="BW166" s="63">
        <v>97769</v>
      </c>
      <c r="BX166" s="63">
        <v>10863</v>
      </c>
      <c r="BY166" s="63">
        <v>543159</v>
      </c>
      <c r="BZ166" s="63">
        <v>2881</v>
      </c>
      <c r="CA166" s="63">
        <v>648</v>
      </c>
      <c r="CB166" s="63">
        <v>72</v>
      </c>
      <c r="CC166" s="63">
        <v>3601</v>
      </c>
      <c r="CD166" s="63">
        <v>0</v>
      </c>
      <c r="CE166" s="63">
        <v>0</v>
      </c>
      <c r="CF166" s="63">
        <v>0</v>
      </c>
      <c r="CG166" s="63">
        <v>0</v>
      </c>
      <c r="CH166" s="63">
        <v>1689</v>
      </c>
      <c r="CI166" s="63">
        <v>380</v>
      </c>
      <c r="CJ166" s="63">
        <v>42</v>
      </c>
      <c r="CK166" s="63">
        <v>2111</v>
      </c>
      <c r="CL166" s="63">
        <v>1648</v>
      </c>
      <c r="CM166" s="63">
        <v>371</v>
      </c>
      <c r="CN166" s="63">
        <v>41</v>
      </c>
      <c r="CO166" s="63">
        <v>2060</v>
      </c>
      <c r="CP166" s="63">
        <v>529075</v>
      </c>
      <c r="CQ166" s="63">
        <v>119042</v>
      </c>
      <c r="CR166" s="63">
        <v>13226</v>
      </c>
      <c r="CS166" s="63">
        <v>661343</v>
      </c>
      <c r="CU166" s="141" t="s">
        <v>766</v>
      </c>
      <c r="CV166" s="157" t="s">
        <v>762</v>
      </c>
      <c r="CW166" s="156" t="s">
        <v>763</v>
      </c>
      <c r="CX166" s="345"/>
      <c r="CY166" s="345"/>
      <c r="CZ166" s="345"/>
    </row>
    <row r="167" spans="1:104" ht="12.75" x14ac:dyDescent="0.2">
      <c r="A167" s="90">
        <v>160</v>
      </c>
      <c r="B167" s="129" t="s">
        <v>188</v>
      </c>
      <c r="C167" s="130" t="s">
        <v>749</v>
      </c>
      <c r="D167" s="131" t="s">
        <v>744</v>
      </c>
      <c r="E167" s="132" t="s">
        <v>187</v>
      </c>
      <c r="F167" s="63">
        <v>310146983</v>
      </c>
      <c r="G167" s="63">
        <v>0</v>
      </c>
      <c r="H167" s="63">
        <v>0</v>
      </c>
      <c r="I167" s="63">
        <v>1129905</v>
      </c>
      <c r="J167" s="63">
        <v>0</v>
      </c>
      <c r="K167" s="63">
        <v>1129905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63">
        <v>309017078</v>
      </c>
      <c r="R167" s="474">
        <v>0.5</v>
      </c>
      <c r="S167" s="474">
        <v>0.49</v>
      </c>
      <c r="T167" s="474">
        <v>0</v>
      </c>
      <c r="U167" s="474">
        <v>0.01</v>
      </c>
      <c r="V167" s="474">
        <v>1</v>
      </c>
      <c r="W167" s="63">
        <v>154508539</v>
      </c>
      <c r="X167" s="63">
        <v>151418368</v>
      </c>
      <c r="Y167" s="63">
        <v>0</v>
      </c>
      <c r="Z167" s="63">
        <v>3090171</v>
      </c>
      <c r="AA167" s="63">
        <v>309017078</v>
      </c>
      <c r="AB167" s="63">
        <v>1533306</v>
      </c>
      <c r="AC167" s="63">
        <v>0</v>
      </c>
      <c r="AD167" s="63">
        <v>0</v>
      </c>
      <c r="AE167" s="63">
        <v>0</v>
      </c>
      <c r="AF167" s="63">
        <v>1533306</v>
      </c>
      <c r="AG167" s="63">
        <v>0</v>
      </c>
      <c r="AH167" s="63">
        <v>0</v>
      </c>
      <c r="AI167" s="63">
        <v>0</v>
      </c>
      <c r="AJ167" s="63">
        <v>0</v>
      </c>
      <c r="AK167" s="63">
        <v>0</v>
      </c>
      <c r="AL167" s="63">
        <v>152975233</v>
      </c>
      <c r="AM167" s="63">
        <v>151418368</v>
      </c>
      <c r="AN167" s="63">
        <v>0</v>
      </c>
      <c r="AO167" s="63">
        <v>3090171</v>
      </c>
      <c r="AP167" s="63">
        <v>307483772</v>
      </c>
      <c r="AQ167" s="63">
        <v>1129905</v>
      </c>
      <c r="AR167" s="63">
        <v>1129905</v>
      </c>
      <c r="AS167" s="63">
        <v>0</v>
      </c>
      <c r="AT167" s="63">
        <v>0</v>
      </c>
      <c r="AU167" s="63">
        <v>0</v>
      </c>
      <c r="AV167" s="63">
        <v>0</v>
      </c>
      <c r="AW167" s="63">
        <v>0</v>
      </c>
      <c r="AX167" s="63">
        <v>1533306</v>
      </c>
      <c r="AY167" s="63">
        <v>0</v>
      </c>
      <c r="AZ167" s="63">
        <v>0</v>
      </c>
      <c r="BA167" s="63">
        <v>1533306</v>
      </c>
      <c r="BB167" s="63">
        <v>0</v>
      </c>
      <c r="BC167" s="63">
        <v>0</v>
      </c>
      <c r="BD167" s="63">
        <v>0</v>
      </c>
      <c r="BE167" s="63">
        <v>0</v>
      </c>
      <c r="BF167" s="63">
        <v>0</v>
      </c>
      <c r="BG167" s="63">
        <v>0</v>
      </c>
      <c r="BH167" s="63">
        <v>-31681</v>
      </c>
      <c r="BI167" s="63">
        <v>-31048</v>
      </c>
      <c r="BJ167" s="63">
        <v>0</v>
      </c>
      <c r="BK167" s="63">
        <v>-634</v>
      </c>
      <c r="BL167" s="63">
        <v>-63363</v>
      </c>
      <c r="BM167" s="63">
        <v>152943552</v>
      </c>
      <c r="BN167" s="63">
        <v>154050531</v>
      </c>
      <c r="BO167" s="63">
        <v>0</v>
      </c>
      <c r="BP167" s="63">
        <v>3089537</v>
      </c>
      <c r="BQ167" s="63">
        <v>310083620</v>
      </c>
      <c r="BR167" s="63">
        <v>2212111</v>
      </c>
      <c r="BS167" s="63">
        <v>0</v>
      </c>
      <c r="BT167" s="63">
        <v>44693</v>
      </c>
      <c r="BU167" s="63">
        <v>2256804</v>
      </c>
      <c r="BV167" s="63">
        <v>2776702</v>
      </c>
      <c r="BW167" s="63">
        <v>0</v>
      </c>
      <c r="BX167" s="63">
        <v>55619</v>
      </c>
      <c r="BY167" s="63">
        <v>2832321</v>
      </c>
      <c r="BZ167" s="63">
        <v>0</v>
      </c>
      <c r="CA167" s="63">
        <v>0</v>
      </c>
      <c r="CB167" s="63">
        <v>0</v>
      </c>
      <c r="CC167" s="63">
        <v>0</v>
      </c>
      <c r="CD167" s="63">
        <v>0</v>
      </c>
      <c r="CE167" s="63">
        <v>0</v>
      </c>
      <c r="CF167" s="63">
        <v>0</v>
      </c>
      <c r="CG167" s="63">
        <v>0</v>
      </c>
      <c r="CH167" s="63">
        <v>87036</v>
      </c>
      <c r="CI167" s="63">
        <v>0</v>
      </c>
      <c r="CJ167" s="63">
        <v>1776</v>
      </c>
      <c r="CK167" s="63">
        <v>88812</v>
      </c>
      <c r="CL167" s="63">
        <v>0</v>
      </c>
      <c r="CM167" s="63">
        <v>0</v>
      </c>
      <c r="CN167" s="63">
        <v>0</v>
      </c>
      <c r="CO167" s="63">
        <v>0</v>
      </c>
      <c r="CP167" s="63">
        <v>5075849</v>
      </c>
      <c r="CQ167" s="63">
        <v>0</v>
      </c>
      <c r="CR167" s="63">
        <v>102088</v>
      </c>
      <c r="CS167" s="63">
        <v>5177937</v>
      </c>
      <c r="CU167" s="141" t="s">
        <v>187</v>
      </c>
      <c r="CV167" s="157" t="s">
        <v>941</v>
      </c>
      <c r="CW167" s="156" t="s">
        <v>953</v>
      </c>
      <c r="CX167" s="345"/>
      <c r="CY167" s="345"/>
      <c r="CZ167" s="345"/>
    </row>
    <row r="168" spans="1:104" ht="12.75" x14ac:dyDescent="0.2">
      <c r="A168" s="90">
        <v>161</v>
      </c>
      <c r="B168" s="129" t="s">
        <v>190</v>
      </c>
      <c r="C168" s="130" t="s">
        <v>742</v>
      </c>
      <c r="D168" s="131" t="s">
        <v>745</v>
      </c>
      <c r="E168" s="132" t="s">
        <v>189</v>
      </c>
      <c r="F168" s="63">
        <v>27749119</v>
      </c>
      <c r="G168" s="63">
        <v>0</v>
      </c>
      <c r="H168" s="63">
        <v>0</v>
      </c>
      <c r="I168" s="63">
        <v>128223</v>
      </c>
      <c r="J168" s="63">
        <v>0</v>
      </c>
      <c r="K168" s="63">
        <v>128223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63">
        <v>27620896</v>
      </c>
      <c r="R168" s="474">
        <v>0.5</v>
      </c>
      <c r="S168" s="474">
        <v>0.4</v>
      </c>
      <c r="T168" s="474">
        <v>0.09</v>
      </c>
      <c r="U168" s="474">
        <v>0.01</v>
      </c>
      <c r="V168" s="474">
        <v>1</v>
      </c>
      <c r="W168" s="63">
        <v>13810448</v>
      </c>
      <c r="X168" s="63">
        <v>11048358</v>
      </c>
      <c r="Y168" s="63">
        <v>2485881</v>
      </c>
      <c r="Z168" s="63">
        <v>276209</v>
      </c>
      <c r="AA168" s="63">
        <v>27620896</v>
      </c>
      <c r="AB168" s="63">
        <v>0</v>
      </c>
      <c r="AC168" s="63">
        <v>0</v>
      </c>
      <c r="AD168" s="63">
        <v>0</v>
      </c>
      <c r="AE168" s="63">
        <v>0</v>
      </c>
      <c r="AF168" s="63">
        <v>0</v>
      </c>
      <c r="AG168" s="63">
        <v>0</v>
      </c>
      <c r="AH168" s="63">
        <v>0</v>
      </c>
      <c r="AI168" s="63">
        <v>0</v>
      </c>
      <c r="AJ168" s="63">
        <v>0</v>
      </c>
      <c r="AK168" s="63">
        <v>0</v>
      </c>
      <c r="AL168" s="63">
        <v>13810448</v>
      </c>
      <c r="AM168" s="63">
        <v>11048358</v>
      </c>
      <c r="AN168" s="63">
        <v>2485881</v>
      </c>
      <c r="AO168" s="63">
        <v>276209</v>
      </c>
      <c r="AP168" s="63">
        <v>27620896</v>
      </c>
      <c r="AQ168" s="63">
        <v>128223</v>
      </c>
      <c r="AR168" s="63">
        <v>128223</v>
      </c>
      <c r="AS168" s="63">
        <v>0</v>
      </c>
      <c r="AT168" s="63">
        <v>0</v>
      </c>
      <c r="AU168" s="63">
        <v>0</v>
      </c>
      <c r="AV168" s="63">
        <v>0</v>
      </c>
      <c r="AW168" s="63">
        <v>0</v>
      </c>
      <c r="AX168" s="63">
        <v>0</v>
      </c>
      <c r="AY168" s="63">
        <v>0</v>
      </c>
      <c r="AZ168" s="63">
        <v>0</v>
      </c>
      <c r="BA168" s="63">
        <v>0</v>
      </c>
      <c r="BB168" s="63">
        <v>0</v>
      </c>
      <c r="BC168" s="63">
        <v>0</v>
      </c>
      <c r="BD168" s="63">
        <v>0</v>
      </c>
      <c r="BE168" s="63">
        <v>0</v>
      </c>
      <c r="BF168" s="63">
        <v>0</v>
      </c>
      <c r="BG168" s="63">
        <v>0</v>
      </c>
      <c r="BH168" s="63">
        <v>-1219791</v>
      </c>
      <c r="BI168" s="63">
        <v>-975834</v>
      </c>
      <c r="BJ168" s="63">
        <v>-219563</v>
      </c>
      <c r="BK168" s="63">
        <v>-24396</v>
      </c>
      <c r="BL168" s="63">
        <v>-2439584</v>
      </c>
      <c r="BM168" s="63">
        <v>12590657</v>
      </c>
      <c r="BN168" s="63">
        <v>10200747</v>
      </c>
      <c r="BO168" s="63">
        <v>2266318</v>
      </c>
      <c r="BP168" s="63">
        <v>251813</v>
      </c>
      <c r="BQ168" s="63">
        <v>25309535</v>
      </c>
      <c r="BR168" s="63">
        <v>159790</v>
      </c>
      <c r="BS168" s="63">
        <v>35953</v>
      </c>
      <c r="BT168" s="63">
        <v>3995</v>
      </c>
      <c r="BU168" s="63">
        <v>199738</v>
      </c>
      <c r="BV168" s="63">
        <v>378451</v>
      </c>
      <c r="BW168" s="63">
        <v>85151</v>
      </c>
      <c r="BX168" s="63">
        <v>9461</v>
      </c>
      <c r="BY168" s="63">
        <v>473063</v>
      </c>
      <c r="BZ168" s="63">
        <v>1163</v>
      </c>
      <c r="CA168" s="63">
        <v>261</v>
      </c>
      <c r="CB168" s="63">
        <v>29</v>
      </c>
      <c r="CC168" s="63">
        <v>1453</v>
      </c>
      <c r="CD168" s="63">
        <v>0</v>
      </c>
      <c r="CE168" s="63">
        <v>0</v>
      </c>
      <c r="CF168" s="63">
        <v>0</v>
      </c>
      <c r="CG168" s="63">
        <v>0</v>
      </c>
      <c r="CH168" s="63">
        <v>2118</v>
      </c>
      <c r="CI168" s="63">
        <v>476</v>
      </c>
      <c r="CJ168" s="63">
        <v>53</v>
      </c>
      <c r="CK168" s="63">
        <v>2647</v>
      </c>
      <c r="CL168" s="63">
        <v>0</v>
      </c>
      <c r="CM168" s="63">
        <v>0</v>
      </c>
      <c r="CN168" s="63">
        <v>0</v>
      </c>
      <c r="CO168" s="63">
        <v>0</v>
      </c>
      <c r="CP168" s="63">
        <v>541522</v>
      </c>
      <c r="CQ168" s="63">
        <v>121841</v>
      </c>
      <c r="CR168" s="63">
        <v>13538</v>
      </c>
      <c r="CS168" s="63">
        <v>676901</v>
      </c>
      <c r="CU168" s="141" t="s">
        <v>189</v>
      </c>
      <c r="CV168" s="157" t="s">
        <v>932</v>
      </c>
      <c r="CW168" s="156" t="s">
        <v>933</v>
      </c>
      <c r="CX168" s="345"/>
      <c r="CY168" s="345"/>
      <c r="CZ168" s="345"/>
    </row>
    <row r="169" spans="1:104" ht="12.75" x14ac:dyDescent="0.2">
      <c r="A169" s="90">
        <v>162</v>
      </c>
      <c r="B169" s="129" t="s">
        <v>191</v>
      </c>
      <c r="C169" s="130" t="s">
        <v>501</v>
      </c>
      <c r="D169" s="131" t="s">
        <v>743</v>
      </c>
      <c r="E169" s="132" t="s">
        <v>536</v>
      </c>
      <c r="F169" s="63">
        <v>91716143</v>
      </c>
      <c r="G169" s="63">
        <v>0</v>
      </c>
      <c r="H169" s="63">
        <v>0</v>
      </c>
      <c r="I169" s="63">
        <v>283640</v>
      </c>
      <c r="J169" s="63">
        <v>0</v>
      </c>
      <c r="K169" s="63">
        <v>283640</v>
      </c>
      <c r="L169" s="63">
        <v>0</v>
      </c>
      <c r="M169" s="63">
        <v>0</v>
      </c>
      <c r="N169" s="63">
        <v>0</v>
      </c>
      <c r="O169" s="63">
        <v>0</v>
      </c>
      <c r="P169" s="63">
        <v>0</v>
      </c>
      <c r="Q169" s="63">
        <v>91432503</v>
      </c>
      <c r="R169" s="474">
        <v>0.5</v>
      </c>
      <c r="S169" s="474">
        <v>0.49</v>
      </c>
      <c r="T169" s="474">
        <v>0</v>
      </c>
      <c r="U169" s="474">
        <v>0.01</v>
      </c>
      <c r="V169" s="474">
        <v>1</v>
      </c>
      <c r="W169" s="63">
        <v>45716252</v>
      </c>
      <c r="X169" s="63">
        <v>44801926</v>
      </c>
      <c r="Y169" s="63">
        <v>0</v>
      </c>
      <c r="Z169" s="63">
        <v>914325</v>
      </c>
      <c r="AA169" s="63">
        <v>91432503</v>
      </c>
      <c r="AB169" s="63">
        <v>0</v>
      </c>
      <c r="AC169" s="63">
        <v>0</v>
      </c>
      <c r="AD169" s="63">
        <v>0</v>
      </c>
      <c r="AE169" s="63">
        <v>0</v>
      </c>
      <c r="AF169" s="63">
        <v>0</v>
      </c>
      <c r="AG169" s="63">
        <v>0</v>
      </c>
      <c r="AH169" s="63">
        <v>0</v>
      </c>
      <c r="AI169" s="63">
        <v>0</v>
      </c>
      <c r="AJ169" s="63">
        <v>0</v>
      </c>
      <c r="AK169" s="63">
        <v>0</v>
      </c>
      <c r="AL169" s="63">
        <v>45716252</v>
      </c>
      <c r="AM169" s="63">
        <v>44801926</v>
      </c>
      <c r="AN169" s="63">
        <v>0</v>
      </c>
      <c r="AO169" s="63">
        <v>914325</v>
      </c>
      <c r="AP169" s="63">
        <v>91432503</v>
      </c>
      <c r="AQ169" s="63">
        <v>283640</v>
      </c>
      <c r="AR169" s="63">
        <v>283640</v>
      </c>
      <c r="AS169" s="63">
        <v>0</v>
      </c>
      <c r="AT169" s="63">
        <v>0</v>
      </c>
      <c r="AU169" s="63">
        <v>0</v>
      </c>
      <c r="AV169" s="63">
        <v>0</v>
      </c>
      <c r="AW169" s="63">
        <v>0</v>
      </c>
      <c r="AX169" s="63">
        <v>0</v>
      </c>
      <c r="AY169" s="63">
        <v>0</v>
      </c>
      <c r="AZ169" s="63">
        <v>0</v>
      </c>
      <c r="BA169" s="63">
        <v>0</v>
      </c>
      <c r="BB169" s="63">
        <v>0</v>
      </c>
      <c r="BC169" s="63">
        <v>0</v>
      </c>
      <c r="BD169" s="63">
        <v>0</v>
      </c>
      <c r="BE169" s="63">
        <v>0</v>
      </c>
      <c r="BF169" s="63">
        <v>0</v>
      </c>
      <c r="BG169" s="63">
        <v>0</v>
      </c>
      <c r="BH169" s="63">
        <v>-4418611</v>
      </c>
      <c r="BI169" s="63">
        <v>-4330238</v>
      </c>
      <c r="BJ169" s="63">
        <v>0</v>
      </c>
      <c r="BK169" s="63">
        <v>-88372</v>
      </c>
      <c r="BL169" s="63">
        <v>-8837221</v>
      </c>
      <c r="BM169" s="63">
        <v>41297641</v>
      </c>
      <c r="BN169" s="63">
        <v>40755328</v>
      </c>
      <c r="BO169" s="63">
        <v>0</v>
      </c>
      <c r="BP169" s="63">
        <v>825953</v>
      </c>
      <c r="BQ169" s="63">
        <v>82878922</v>
      </c>
      <c r="BR169" s="63">
        <v>647962</v>
      </c>
      <c r="BS169" s="63">
        <v>0</v>
      </c>
      <c r="BT169" s="63">
        <v>13224</v>
      </c>
      <c r="BU169" s="63">
        <v>661186</v>
      </c>
      <c r="BV169" s="63">
        <v>1033224</v>
      </c>
      <c r="BW169" s="63">
        <v>0</v>
      </c>
      <c r="BX169" s="63">
        <v>21086</v>
      </c>
      <c r="BY169" s="63">
        <v>1054310</v>
      </c>
      <c r="BZ169" s="63">
        <v>7130</v>
      </c>
      <c r="CA169" s="63">
        <v>0</v>
      </c>
      <c r="CB169" s="63">
        <v>146</v>
      </c>
      <c r="CC169" s="63">
        <v>7276</v>
      </c>
      <c r="CD169" s="63">
        <v>92534</v>
      </c>
      <c r="CE169" s="63">
        <v>0</v>
      </c>
      <c r="CF169" s="63">
        <v>1888</v>
      </c>
      <c r="CG169" s="63">
        <v>94422</v>
      </c>
      <c r="CH169" s="63">
        <v>14885</v>
      </c>
      <c r="CI169" s="63">
        <v>0</v>
      </c>
      <c r="CJ169" s="63">
        <v>304</v>
      </c>
      <c r="CK169" s="63">
        <v>15189</v>
      </c>
      <c r="CL169" s="63">
        <v>9088</v>
      </c>
      <c r="CM169" s="63">
        <v>0</v>
      </c>
      <c r="CN169" s="63">
        <v>185</v>
      </c>
      <c r="CO169" s="63">
        <v>9273</v>
      </c>
      <c r="CP169" s="63">
        <v>1804823</v>
      </c>
      <c r="CQ169" s="63">
        <v>0</v>
      </c>
      <c r="CR169" s="63">
        <v>36833</v>
      </c>
      <c r="CS169" s="63">
        <v>1841656</v>
      </c>
      <c r="CU169" s="141" t="s">
        <v>536</v>
      </c>
      <c r="CV169" s="157" t="s">
        <v>501</v>
      </c>
      <c r="CW169" s="156" t="s">
        <v>935</v>
      </c>
      <c r="CX169" s="345"/>
      <c r="CY169" s="345"/>
      <c r="CZ169" s="345"/>
    </row>
    <row r="170" spans="1:104" ht="12.75" x14ac:dyDescent="0.2">
      <c r="A170" s="90">
        <v>163</v>
      </c>
      <c r="B170" s="129" t="s">
        <v>193</v>
      </c>
      <c r="C170" s="130" t="s">
        <v>742</v>
      </c>
      <c r="D170" s="131" t="s">
        <v>745</v>
      </c>
      <c r="E170" s="132" t="s">
        <v>192</v>
      </c>
      <c r="F170" s="63">
        <v>13775125</v>
      </c>
      <c r="G170" s="63">
        <v>0</v>
      </c>
      <c r="H170" s="63">
        <v>0</v>
      </c>
      <c r="I170" s="63">
        <v>63199</v>
      </c>
      <c r="J170" s="63">
        <v>0</v>
      </c>
      <c r="K170" s="63">
        <v>63199</v>
      </c>
      <c r="L170" s="63">
        <v>0</v>
      </c>
      <c r="M170" s="63">
        <v>0</v>
      </c>
      <c r="N170" s="63">
        <v>90000</v>
      </c>
      <c r="O170" s="63">
        <v>90000</v>
      </c>
      <c r="P170" s="63">
        <v>0</v>
      </c>
      <c r="Q170" s="63">
        <v>13621926</v>
      </c>
      <c r="R170" s="474">
        <v>0.5</v>
      </c>
      <c r="S170" s="474">
        <v>0.4</v>
      </c>
      <c r="T170" s="474">
        <v>0.09</v>
      </c>
      <c r="U170" s="474">
        <v>0.01</v>
      </c>
      <c r="V170" s="474">
        <v>1</v>
      </c>
      <c r="W170" s="63">
        <v>6810964</v>
      </c>
      <c r="X170" s="63">
        <v>5448770</v>
      </c>
      <c r="Y170" s="63">
        <v>1225973</v>
      </c>
      <c r="Z170" s="63">
        <v>136219</v>
      </c>
      <c r="AA170" s="63">
        <v>13621926</v>
      </c>
      <c r="AB170" s="63">
        <v>0</v>
      </c>
      <c r="AC170" s="63">
        <v>0</v>
      </c>
      <c r="AD170" s="63">
        <v>0</v>
      </c>
      <c r="AE170" s="63">
        <v>0</v>
      </c>
      <c r="AF170" s="63">
        <v>0</v>
      </c>
      <c r="AG170" s="63">
        <v>0</v>
      </c>
      <c r="AH170" s="63">
        <v>0</v>
      </c>
      <c r="AI170" s="63">
        <v>0</v>
      </c>
      <c r="AJ170" s="63">
        <v>0</v>
      </c>
      <c r="AK170" s="63">
        <v>0</v>
      </c>
      <c r="AL170" s="63">
        <v>6810964</v>
      </c>
      <c r="AM170" s="63">
        <v>5448770</v>
      </c>
      <c r="AN170" s="63">
        <v>1225973</v>
      </c>
      <c r="AO170" s="63">
        <v>136219</v>
      </c>
      <c r="AP170" s="63">
        <v>13621926</v>
      </c>
      <c r="AQ170" s="63">
        <v>63199</v>
      </c>
      <c r="AR170" s="63">
        <v>63199</v>
      </c>
      <c r="AS170" s="63">
        <v>0</v>
      </c>
      <c r="AT170" s="63">
        <v>0</v>
      </c>
      <c r="AU170" s="63">
        <v>90000</v>
      </c>
      <c r="AV170" s="63">
        <v>0</v>
      </c>
      <c r="AW170" s="63">
        <v>90000</v>
      </c>
      <c r="AX170" s="63">
        <v>0</v>
      </c>
      <c r="AY170" s="63">
        <v>0</v>
      </c>
      <c r="AZ170" s="63">
        <v>0</v>
      </c>
      <c r="BA170" s="63">
        <v>0</v>
      </c>
      <c r="BB170" s="63">
        <v>0</v>
      </c>
      <c r="BC170" s="63">
        <v>0</v>
      </c>
      <c r="BD170" s="63">
        <v>0</v>
      </c>
      <c r="BE170" s="63">
        <v>0</v>
      </c>
      <c r="BF170" s="63">
        <v>0</v>
      </c>
      <c r="BG170" s="63">
        <v>0</v>
      </c>
      <c r="BH170" s="63">
        <v>-90482</v>
      </c>
      <c r="BI170" s="63">
        <v>-72386</v>
      </c>
      <c r="BJ170" s="63">
        <v>-16287</v>
      </c>
      <c r="BK170" s="63">
        <v>-1810</v>
      </c>
      <c r="BL170" s="63">
        <v>-180965</v>
      </c>
      <c r="BM170" s="63">
        <v>6720482</v>
      </c>
      <c r="BN170" s="63">
        <v>5529583</v>
      </c>
      <c r="BO170" s="63">
        <v>1209686</v>
      </c>
      <c r="BP170" s="63">
        <v>134409</v>
      </c>
      <c r="BQ170" s="63">
        <v>13594160</v>
      </c>
      <c r="BR170" s="63">
        <v>80106</v>
      </c>
      <c r="BS170" s="63">
        <v>17731</v>
      </c>
      <c r="BT170" s="63">
        <v>1970</v>
      </c>
      <c r="BU170" s="63">
        <v>99807</v>
      </c>
      <c r="BV170" s="63">
        <v>274036</v>
      </c>
      <c r="BW170" s="63">
        <v>61658</v>
      </c>
      <c r="BX170" s="63">
        <v>6851</v>
      </c>
      <c r="BY170" s="63">
        <v>342545</v>
      </c>
      <c r="BZ170" s="63">
        <v>713</v>
      </c>
      <c r="CA170" s="63">
        <v>160</v>
      </c>
      <c r="CB170" s="63">
        <v>18</v>
      </c>
      <c r="CC170" s="63">
        <v>891</v>
      </c>
      <c r="CD170" s="63">
        <v>0</v>
      </c>
      <c r="CE170" s="63">
        <v>0</v>
      </c>
      <c r="CF170" s="63">
        <v>0</v>
      </c>
      <c r="CG170" s="63">
        <v>0</v>
      </c>
      <c r="CH170" s="63">
        <v>0</v>
      </c>
      <c r="CI170" s="63">
        <v>0</v>
      </c>
      <c r="CJ170" s="63">
        <v>0</v>
      </c>
      <c r="CK170" s="63">
        <v>0</v>
      </c>
      <c r="CL170" s="63">
        <v>4869</v>
      </c>
      <c r="CM170" s="63">
        <v>1096</v>
      </c>
      <c r="CN170" s="63">
        <v>122</v>
      </c>
      <c r="CO170" s="63">
        <v>6087</v>
      </c>
      <c r="CP170" s="63">
        <v>359724</v>
      </c>
      <c r="CQ170" s="63">
        <v>80645</v>
      </c>
      <c r="CR170" s="63">
        <v>8961</v>
      </c>
      <c r="CS170" s="63">
        <v>449330</v>
      </c>
      <c r="CU170" s="141" t="s">
        <v>192</v>
      </c>
      <c r="CV170" s="157" t="s">
        <v>950</v>
      </c>
      <c r="CW170" s="156" t="s">
        <v>951</v>
      </c>
      <c r="CX170" s="345"/>
      <c r="CY170" s="345"/>
      <c r="CZ170" s="345"/>
    </row>
    <row r="171" spans="1:104" ht="12.75" x14ac:dyDescent="0.2">
      <c r="A171" s="90">
        <v>164</v>
      </c>
      <c r="B171" s="129" t="s">
        <v>195</v>
      </c>
      <c r="C171" s="130" t="s">
        <v>742</v>
      </c>
      <c r="D171" s="131" t="s">
        <v>751</v>
      </c>
      <c r="E171" s="132" t="s">
        <v>194</v>
      </c>
      <c r="F171" s="63">
        <v>33163941</v>
      </c>
      <c r="G171" s="63">
        <v>0</v>
      </c>
      <c r="H171" s="63">
        <v>0</v>
      </c>
      <c r="I171" s="63">
        <v>164724</v>
      </c>
      <c r="J171" s="63">
        <v>0</v>
      </c>
      <c r="K171" s="63">
        <v>164724</v>
      </c>
      <c r="L171" s="63">
        <v>0</v>
      </c>
      <c r="M171" s="63">
        <v>0</v>
      </c>
      <c r="N171" s="63">
        <v>150906</v>
      </c>
      <c r="O171" s="63">
        <v>150906</v>
      </c>
      <c r="P171" s="63">
        <v>0</v>
      </c>
      <c r="Q171" s="63">
        <v>32848311</v>
      </c>
      <c r="R171" s="474">
        <v>0.5</v>
      </c>
      <c r="S171" s="474">
        <v>0.4</v>
      </c>
      <c r="T171" s="474">
        <v>0.09</v>
      </c>
      <c r="U171" s="474">
        <v>0.01</v>
      </c>
      <c r="V171" s="474">
        <v>1</v>
      </c>
      <c r="W171" s="63">
        <v>16424156</v>
      </c>
      <c r="X171" s="63">
        <v>13139324</v>
      </c>
      <c r="Y171" s="63">
        <v>2956348</v>
      </c>
      <c r="Z171" s="63">
        <v>328483</v>
      </c>
      <c r="AA171" s="63">
        <v>32848311</v>
      </c>
      <c r="AB171" s="63">
        <v>0</v>
      </c>
      <c r="AC171" s="63">
        <v>0</v>
      </c>
      <c r="AD171" s="63">
        <v>0</v>
      </c>
      <c r="AE171" s="63">
        <v>0</v>
      </c>
      <c r="AF171" s="63">
        <v>0</v>
      </c>
      <c r="AG171" s="63">
        <v>0</v>
      </c>
      <c r="AH171" s="63">
        <v>0</v>
      </c>
      <c r="AI171" s="63">
        <v>0</v>
      </c>
      <c r="AJ171" s="63">
        <v>0</v>
      </c>
      <c r="AK171" s="63">
        <v>0</v>
      </c>
      <c r="AL171" s="63">
        <v>16424156</v>
      </c>
      <c r="AM171" s="63">
        <v>13139324</v>
      </c>
      <c r="AN171" s="63">
        <v>2956348</v>
      </c>
      <c r="AO171" s="63">
        <v>328483</v>
      </c>
      <c r="AP171" s="63">
        <v>32848311</v>
      </c>
      <c r="AQ171" s="63">
        <v>164724</v>
      </c>
      <c r="AR171" s="63">
        <v>164724</v>
      </c>
      <c r="AS171" s="63">
        <v>0</v>
      </c>
      <c r="AT171" s="63">
        <v>0</v>
      </c>
      <c r="AU171" s="63">
        <v>150906</v>
      </c>
      <c r="AV171" s="63">
        <v>0</v>
      </c>
      <c r="AW171" s="63">
        <v>150906</v>
      </c>
      <c r="AX171" s="63">
        <v>0</v>
      </c>
      <c r="AY171" s="63">
        <v>0</v>
      </c>
      <c r="AZ171" s="63">
        <v>0</v>
      </c>
      <c r="BA171" s="63">
        <v>0</v>
      </c>
      <c r="BB171" s="63">
        <v>0</v>
      </c>
      <c r="BC171" s="63">
        <v>0</v>
      </c>
      <c r="BD171" s="63">
        <v>0</v>
      </c>
      <c r="BE171" s="63">
        <v>0</v>
      </c>
      <c r="BF171" s="63">
        <v>0</v>
      </c>
      <c r="BG171" s="63">
        <v>0</v>
      </c>
      <c r="BH171" s="63">
        <v>-1172761</v>
      </c>
      <c r="BI171" s="63">
        <v>-938208</v>
      </c>
      <c r="BJ171" s="63">
        <v>-211097</v>
      </c>
      <c r="BK171" s="63">
        <v>-23455</v>
      </c>
      <c r="BL171" s="63">
        <v>-2345521</v>
      </c>
      <c r="BM171" s="63">
        <v>15251395</v>
      </c>
      <c r="BN171" s="63">
        <v>12516746</v>
      </c>
      <c r="BO171" s="63">
        <v>2745251</v>
      </c>
      <c r="BP171" s="63">
        <v>305028</v>
      </c>
      <c r="BQ171" s="63">
        <v>30818420</v>
      </c>
      <c r="BR171" s="63">
        <v>192214</v>
      </c>
      <c r="BS171" s="63">
        <v>42757</v>
      </c>
      <c r="BT171" s="63">
        <v>4751</v>
      </c>
      <c r="BU171" s="63">
        <v>239722</v>
      </c>
      <c r="BV171" s="63">
        <v>642546</v>
      </c>
      <c r="BW171" s="63">
        <v>144573</v>
      </c>
      <c r="BX171" s="63">
        <v>16064</v>
      </c>
      <c r="BY171" s="63">
        <v>803183</v>
      </c>
      <c r="BZ171" s="63">
        <v>0</v>
      </c>
      <c r="CA171" s="63">
        <v>0</v>
      </c>
      <c r="CB171" s="63">
        <v>0</v>
      </c>
      <c r="CC171" s="63">
        <v>0</v>
      </c>
      <c r="CD171" s="63">
        <v>0</v>
      </c>
      <c r="CE171" s="63">
        <v>0</v>
      </c>
      <c r="CF171" s="63">
        <v>0</v>
      </c>
      <c r="CG171" s="63">
        <v>0</v>
      </c>
      <c r="CH171" s="63">
        <v>587</v>
      </c>
      <c r="CI171" s="63">
        <v>132</v>
      </c>
      <c r="CJ171" s="63">
        <v>15</v>
      </c>
      <c r="CK171" s="63">
        <v>734</v>
      </c>
      <c r="CL171" s="63">
        <v>1781</v>
      </c>
      <c r="CM171" s="63">
        <v>400</v>
      </c>
      <c r="CN171" s="63">
        <v>44</v>
      </c>
      <c r="CO171" s="63">
        <v>2225</v>
      </c>
      <c r="CP171" s="63">
        <v>837128</v>
      </c>
      <c r="CQ171" s="63">
        <v>187862</v>
      </c>
      <c r="CR171" s="63">
        <v>20874</v>
      </c>
      <c r="CS171" s="63">
        <v>1045864</v>
      </c>
      <c r="CU171" s="141" t="s">
        <v>194</v>
      </c>
      <c r="CV171" s="157" t="s">
        <v>982</v>
      </c>
      <c r="CW171" s="156" t="s">
        <v>975</v>
      </c>
      <c r="CX171" s="345"/>
      <c r="CY171" s="345"/>
      <c r="CZ171" s="345"/>
    </row>
    <row r="172" spans="1:104" ht="12.75" x14ac:dyDescent="0.2">
      <c r="A172" s="90">
        <v>165</v>
      </c>
      <c r="B172" s="129" t="s">
        <v>197</v>
      </c>
      <c r="C172" s="130" t="s">
        <v>747</v>
      </c>
      <c r="D172" s="131" t="s">
        <v>748</v>
      </c>
      <c r="E172" s="132" t="s">
        <v>196</v>
      </c>
      <c r="F172" s="63">
        <v>88018196</v>
      </c>
      <c r="G172" s="63">
        <v>0</v>
      </c>
      <c r="H172" s="63">
        <v>0</v>
      </c>
      <c r="I172" s="63">
        <v>272612</v>
      </c>
      <c r="J172" s="63">
        <v>0</v>
      </c>
      <c r="K172" s="63">
        <v>272612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63">
        <v>87745584</v>
      </c>
      <c r="R172" s="474">
        <v>0.5</v>
      </c>
      <c r="S172" s="474">
        <v>0.3</v>
      </c>
      <c r="T172" s="474">
        <v>0.2</v>
      </c>
      <c r="U172" s="474">
        <v>0</v>
      </c>
      <c r="V172" s="474">
        <v>1</v>
      </c>
      <c r="W172" s="63">
        <v>43872792</v>
      </c>
      <c r="X172" s="63">
        <v>26323675</v>
      </c>
      <c r="Y172" s="63">
        <v>17549117</v>
      </c>
      <c r="Z172" s="63">
        <v>0</v>
      </c>
      <c r="AA172" s="63">
        <v>87745584</v>
      </c>
      <c r="AB172" s="63">
        <v>0</v>
      </c>
      <c r="AC172" s="63">
        <v>0</v>
      </c>
      <c r="AD172" s="63">
        <v>0</v>
      </c>
      <c r="AE172" s="63">
        <v>0</v>
      </c>
      <c r="AF172" s="63">
        <v>0</v>
      </c>
      <c r="AG172" s="63">
        <v>0</v>
      </c>
      <c r="AH172" s="63">
        <v>0</v>
      </c>
      <c r="AI172" s="63">
        <v>0</v>
      </c>
      <c r="AJ172" s="63">
        <v>0</v>
      </c>
      <c r="AK172" s="63">
        <v>0</v>
      </c>
      <c r="AL172" s="63">
        <v>43872792</v>
      </c>
      <c r="AM172" s="63">
        <v>26323675</v>
      </c>
      <c r="AN172" s="63">
        <v>17549117</v>
      </c>
      <c r="AO172" s="63">
        <v>0</v>
      </c>
      <c r="AP172" s="63">
        <v>87745584</v>
      </c>
      <c r="AQ172" s="63">
        <v>272612</v>
      </c>
      <c r="AR172" s="63">
        <v>272612</v>
      </c>
      <c r="AS172" s="63">
        <v>0</v>
      </c>
      <c r="AT172" s="63">
        <v>0</v>
      </c>
      <c r="AU172" s="63">
        <v>0</v>
      </c>
      <c r="AV172" s="63">
        <v>0</v>
      </c>
      <c r="AW172" s="63">
        <v>0</v>
      </c>
      <c r="AX172" s="63">
        <v>0</v>
      </c>
      <c r="AY172" s="63">
        <v>0</v>
      </c>
      <c r="AZ172" s="63">
        <v>0</v>
      </c>
      <c r="BA172" s="63">
        <v>0</v>
      </c>
      <c r="BB172" s="63">
        <v>0</v>
      </c>
      <c r="BC172" s="63">
        <v>0</v>
      </c>
      <c r="BD172" s="63">
        <v>0</v>
      </c>
      <c r="BE172" s="63">
        <v>0</v>
      </c>
      <c r="BF172" s="63">
        <v>0</v>
      </c>
      <c r="BG172" s="63">
        <v>0</v>
      </c>
      <c r="BH172" s="63">
        <v>-2867945</v>
      </c>
      <c r="BI172" s="63">
        <v>-1720767</v>
      </c>
      <c r="BJ172" s="63">
        <v>-1147178</v>
      </c>
      <c r="BK172" s="63">
        <v>0</v>
      </c>
      <c r="BL172" s="63">
        <v>-5735890</v>
      </c>
      <c r="BM172" s="63">
        <v>41004847</v>
      </c>
      <c r="BN172" s="63">
        <v>24875520</v>
      </c>
      <c r="BO172" s="63">
        <v>16401939</v>
      </c>
      <c r="BP172" s="63">
        <v>0</v>
      </c>
      <c r="BQ172" s="63">
        <v>82282306</v>
      </c>
      <c r="BR172" s="63">
        <v>380714</v>
      </c>
      <c r="BS172" s="63">
        <v>253810</v>
      </c>
      <c r="BT172" s="63">
        <v>0</v>
      </c>
      <c r="BU172" s="63">
        <v>634524</v>
      </c>
      <c r="BV172" s="63">
        <v>423064</v>
      </c>
      <c r="BW172" s="63">
        <v>282043</v>
      </c>
      <c r="BX172" s="63">
        <v>0</v>
      </c>
      <c r="BY172" s="63">
        <v>705107</v>
      </c>
      <c r="BZ172" s="63">
        <v>8547</v>
      </c>
      <c r="CA172" s="63">
        <v>5698</v>
      </c>
      <c r="CB172" s="63">
        <v>0</v>
      </c>
      <c r="CC172" s="63">
        <v>14245</v>
      </c>
      <c r="CD172" s="63">
        <v>0</v>
      </c>
      <c r="CE172" s="63">
        <v>0</v>
      </c>
      <c r="CF172" s="63">
        <v>0</v>
      </c>
      <c r="CG172" s="63">
        <v>0</v>
      </c>
      <c r="CH172" s="63">
        <v>7578</v>
      </c>
      <c r="CI172" s="63">
        <v>5052</v>
      </c>
      <c r="CJ172" s="63">
        <v>0</v>
      </c>
      <c r="CK172" s="63">
        <v>12630</v>
      </c>
      <c r="CL172" s="63">
        <v>1913</v>
      </c>
      <c r="CM172" s="63">
        <v>1275</v>
      </c>
      <c r="CN172" s="63">
        <v>0</v>
      </c>
      <c r="CO172" s="63">
        <v>3188</v>
      </c>
      <c r="CP172" s="63">
        <v>821816</v>
      </c>
      <c r="CQ172" s="63">
        <v>547878</v>
      </c>
      <c r="CR172" s="63">
        <v>0</v>
      </c>
      <c r="CS172" s="63">
        <v>1369694</v>
      </c>
      <c r="CU172" s="141" t="s">
        <v>196</v>
      </c>
      <c r="CV172" s="157" t="s">
        <v>939</v>
      </c>
      <c r="CW172" s="157" t="s">
        <v>940</v>
      </c>
      <c r="CX172" s="345"/>
      <c r="CY172" s="345"/>
      <c r="CZ172" s="345"/>
    </row>
    <row r="173" spans="1:104" ht="12.75" x14ac:dyDescent="0.2">
      <c r="A173" s="90">
        <v>166</v>
      </c>
      <c r="B173" s="129" t="s">
        <v>199</v>
      </c>
      <c r="C173" s="130" t="s">
        <v>742</v>
      </c>
      <c r="D173" s="131" t="s">
        <v>751</v>
      </c>
      <c r="E173" s="132" t="s">
        <v>198</v>
      </c>
      <c r="F173" s="63">
        <v>15502330</v>
      </c>
      <c r="G173" s="63">
        <v>0</v>
      </c>
      <c r="H173" s="63">
        <v>0</v>
      </c>
      <c r="I173" s="63">
        <v>108005</v>
      </c>
      <c r="J173" s="63">
        <v>0</v>
      </c>
      <c r="K173" s="63">
        <v>108005</v>
      </c>
      <c r="L173" s="63">
        <v>0</v>
      </c>
      <c r="M173" s="63">
        <v>0</v>
      </c>
      <c r="N173" s="63">
        <v>128045</v>
      </c>
      <c r="O173" s="63">
        <v>128045</v>
      </c>
      <c r="P173" s="63">
        <v>0</v>
      </c>
      <c r="Q173" s="63">
        <v>15266280</v>
      </c>
      <c r="R173" s="474">
        <v>0.5</v>
      </c>
      <c r="S173" s="474">
        <v>0.4</v>
      </c>
      <c r="T173" s="474">
        <v>0.09</v>
      </c>
      <c r="U173" s="474">
        <v>0.01</v>
      </c>
      <c r="V173" s="474">
        <v>1</v>
      </c>
      <c r="W173" s="63">
        <v>7633140</v>
      </c>
      <c r="X173" s="63">
        <v>6106512</v>
      </c>
      <c r="Y173" s="63">
        <v>1373965</v>
      </c>
      <c r="Z173" s="63">
        <v>152663</v>
      </c>
      <c r="AA173" s="63">
        <v>15266280</v>
      </c>
      <c r="AB173" s="63">
        <v>0</v>
      </c>
      <c r="AC173" s="63">
        <v>0</v>
      </c>
      <c r="AD173" s="63">
        <v>0</v>
      </c>
      <c r="AE173" s="63">
        <v>0</v>
      </c>
      <c r="AF173" s="63">
        <v>0</v>
      </c>
      <c r="AG173" s="63">
        <v>0</v>
      </c>
      <c r="AH173" s="63">
        <v>0</v>
      </c>
      <c r="AI173" s="63">
        <v>0</v>
      </c>
      <c r="AJ173" s="63">
        <v>0</v>
      </c>
      <c r="AK173" s="63">
        <v>0</v>
      </c>
      <c r="AL173" s="63">
        <v>7633140</v>
      </c>
      <c r="AM173" s="63">
        <v>6106512</v>
      </c>
      <c r="AN173" s="63">
        <v>1373965</v>
      </c>
      <c r="AO173" s="63">
        <v>152663</v>
      </c>
      <c r="AP173" s="63">
        <v>15266280</v>
      </c>
      <c r="AQ173" s="63">
        <v>108005</v>
      </c>
      <c r="AR173" s="63">
        <v>108005</v>
      </c>
      <c r="AS173" s="63">
        <v>0</v>
      </c>
      <c r="AT173" s="63">
        <v>0</v>
      </c>
      <c r="AU173" s="63">
        <v>128045</v>
      </c>
      <c r="AV173" s="63">
        <v>0</v>
      </c>
      <c r="AW173" s="63">
        <v>128045</v>
      </c>
      <c r="AX173" s="63">
        <v>0</v>
      </c>
      <c r="AY173" s="63">
        <v>0</v>
      </c>
      <c r="AZ173" s="63">
        <v>0</v>
      </c>
      <c r="BA173" s="63">
        <v>0</v>
      </c>
      <c r="BB173" s="63">
        <v>0</v>
      </c>
      <c r="BC173" s="63">
        <v>0</v>
      </c>
      <c r="BD173" s="63">
        <v>0</v>
      </c>
      <c r="BE173" s="63">
        <v>0</v>
      </c>
      <c r="BF173" s="63">
        <v>0</v>
      </c>
      <c r="BG173" s="63">
        <v>0</v>
      </c>
      <c r="BH173" s="63">
        <v>-670502</v>
      </c>
      <c r="BI173" s="63">
        <v>-536402</v>
      </c>
      <c r="BJ173" s="63">
        <v>-120690</v>
      </c>
      <c r="BK173" s="63">
        <v>-13410</v>
      </c>
      <c r="BL173" s="63">
        <v>-1341004</v>
      </c>
      <c r="BM173" s="63">
        <v>6962638</v>
      </c>
      <c r="BN173" s="63">
        <v>5806160</v>
      </c>
      <c r="BO173" s="63">
        <v>1253275</v>
      </c>
      <c r="BP173" s="63">
        <v>139253</v>
      </c>
      <c r="BQ173" s="63">
        <v>14161326</v>
      </c>
      <c r="BR173" s="63">
        <v>90169</v>
      </c>
      <c r="BS173" s="63">
        <v>19871</v>
      </c>
      <c r="BT173" s="63">
        <v>2208</v>
      </c>
      <c r="BU173" s="63">
        <v>112248</v>
      </c>
      <c r="BV173" s="63">
        <v>459143</v>
      </c>
      <c r="BW173" s="63">
        <v>103307</v>
      </c>
      <c r="BX173" s="63">
        <v>11479</v>
      </c>
      <c r="BY173" s="63">
        <v>573929</v>
      </c>
      <c r="BZ173" s="63">
        <v>2110</v>
      </c>
      <c r="CA173" s="63">
        <v>475</v>
      </c>
      <c r="CB173" s="63">
        <v>53</v>
      </c>
      <c r="CC173" s="63">
        <v>2638</v>
      </c>
      <c r="CD173" s="63">
        <v>12478</v>
      </c>
      <c r="CE173" s="63">
        <v>2807</v>
      </c>
      <c r="CF173" s="63">
        <v>312</v>
      </c>
      <c r="CG173" s="63">
        <v>15597</v>
      </c>
      <c r="CH173" s="63">
        <v>3856</v>
      </c>
      <c r="CI173" s="63">
        <v>867</v>
      </c>
      <c r="CJ173" s="63">
        <v>96</v>
      </c>
      <c r="CK173" s="63">
        <v>4819</v>
      </c>
      <c r="CL173" s="63">
        <v>0</v>
      </c>
      <c r="CM173" s="63">
        <v>0</v>
      </c>
      <c r="CN173" s="63">
        <v>0</v>
      </c>
      <c r="CO173" s="63">
        <v>0</v>
      </c>
      <c r="CP173" s="63">
        <v>567756</v>
      </c>
      <c r="CQ173" s="63">
        <v>127327</v>
      </c>
      <c r="CR173" s="63">
        <v>14148</v>
      </c>
      <c r="CS173" s="63">
        <v>709231</v>
      </c>
      <c r="CU173" s="141" t="s">
        <v>198</v>
      </c>
      <c r="CV173" s="157" t="s">
        <v>974</v>
      </c>
      <c r="CW173" s="156" t="s">
        <v>975</v>
      </c>
      <c r="CX173" s="345"/>
      <c r="CY173" s="345"/>
      <c r="CZ173" s="345"/>
    </row>
    <row r="174" spans="1:104" ht="12.75" x14ac:dyDescent="0.2">
      <c r="A174" s="90">
        <v>167</v>
      </c>
      <c r="B174" s="129" t="s">
        <v>201</v>
      </c>
      <c r="C174" s="130" t="s">
        <v>742</v>
      </c>
      <c r="D174" s="131" t="s">
        <v>746</v>
      </c>
      <c r="E174" s="132" t="s">
        <v>200</v>
      </c>
      <c r="F174" s="63">
        <v>22703517</v>
      </c>
      <c r="G174" s="63">
        <v>0</v>
      </c>
      <c r="H174" s="63">
        <v>0</v>
      </c>
      <c r="I174" s="63">
        <v>128394</v>
      </c>
      <c r="J174" s="63">
        <v>0</v>
      </c>
      <c r="K174" s="63">
        <v>128394</v>
      </c>
      <c r="L174" s="63">
        <v>0</v>
      </c>
      <c r="M174" s="63">
        <v>0</v>
      </c>
      <c r="N174" s="63">
        <v>299150</v>
      </c>
      <c r="O174" s="63">
        <v>112775</v>
      </c>
      <c r="P174" s="63">
        <v>186375</v>
      </c>
      <c r="Q174" s="63">
        <v>22275973</v>
      </c>
      <c r="R174" s="474">
        <v>0.5</v>
      </c>
      <c r="S174" s="474">
        <v>0.4</v>
      </c>
      <c r="T174" s="474">
        <v>0.1</v>
      </c>
      <c r="U174" s="474">
        <v>0</v>
      </c>
      <c r="V174" s="474">
        <v>1</v>
      </c>
      <c r="W174" s="63">
        <v>11137987</v>
      </c>
      <c r="X174" s="63">
        <v>8910389</v>
      </c>
      <c r="Y174" s="63">
        <v>2227597</v>
      </c>
      <c r="Z174" s="63">
        <v>0</v>
      </c>
      <c r="AA174" s="63">
        <v>22275973</v>
      </c>
      <c r="AB174" s="63">
        <v>0</v>
      </c>
      <c r="AC174" s="63">
        <v>0</v>
      </c>
      <c r="AD174" s="63">
        <v>0</v>
      </c>
      <c r="AE174" s="63">
        <v>0</v>
      </c>
      <c r="AF174" s="63">
        <v>0</v>
      </c>
      <c r="AG174" s="63">
        <v>0</v>
      </c>
      <c r="AH174" s="63">
        <v>0</v>
      </c>
      <c r="AI174" s="63">
        <v>0</v>
      </c>
      <c r="AJ174" s="63">
        <v>0</v>
      </c>
      <c r="AK174" s="63">
        <v>0</v>
      </c>
      <c r="AL174" s="63">
        <v>11137987</v>
      </c>
      <c r="AM174" s="63">
        <v>8910389</v>
      </c>
      <c r="AN174" s="63">
        <v>2227597</v>
      </c>
      <c r="AO174" s="63">
        <v>0</v>
      </c>
      <c r="AP174" s="63">
        <v>22275973</v>
      </c>
      <c r="AQ174" s="63">
        <v>128394</v>
      </c>
      <c r="AR174" s="63">
        <v>128394</v>
      </c>
      <c r="AS174" s="63">
        <v>0</v>
      </c>
      <c r="AT174" s="63">
        <v>0</v>
      </c>
      <c r="AU174" s="63">
        <v>112775</v>
      </c>
      <c r="AV174" s="63">
        <v>186375</v>
      </c>
      <c r="AW174" s="63">
        <v>299150</v>
      </c>
      <c r="AX174" s="63">
        <v>0</v>
      </c>
      <c r="AY174" s="63">
        <v>0</v>
      </c>
      <c r="AZ174" s="63">
        <v>0</v>
      </c>
      <c r="BA174" s="63">
        <v>0</v>
      </c>
      <c r="BB174" s="63">
        <v>0</v>
      </c>
      <c r="BC174" s="63">
        <v>0</v>
      </c>
      <c r="BD174" s="63">
        <v>0</v>
      </c>
      <c r="BE174" s="63">
        <v>0</v>
      </c>
      <c r="BF174" s="63">
        <v>0</v>
      </c>
      <c r="BG174" s="63">
        <v>0</v>
      </c>
      <c r="BH174" s="63">
        <v>-321714</v>
      </c>
      <c r="BI174" s="63">
        <v>-257372</v>
      </c>
      <c r="BJ174" s="63">
        <v>-64343</v>
      </c>
      <c r="BK174" s="63">
        <v>0</v>
      </c>
      <c r="BL174" s="63">
        <v>-643429</v>
      </c>
      <c r="BM174" s="63">
        <v>10816273</v>
      </c>
      <c r="BN174" s="63">
        <v>8894186</v>
      </c>
      <c r="BO174" s="63">
        <v>2349629</v>
      </c>
      <c r="BP174" s="63">
        <v>0</v>
      </c>
      <c r="BQ174" s="63">
        <v>22060088</v>
      </c>
      <c r="BR174" s="63">
        <v>130500</v>
      </c>
      <c r="BS174" s="63">
        <v>34913</v>
      </c>
      <c r="BT174" s="63">
        <v>0</v>
      </c>
      <c r="BU174" s="63">
        <v>165413</v>
      </c>
      <c r="BV174" s="63">
        <v>433500</v>
      </c>
      <c r="BW174" s="63">
        <v>108375</v>
      </c>
      <c r="BX174" s="63">
        <v>0</v>
      </c>
      <c r="BY174" s="63">
        <v>541875</v>
      </c>
      <c r="BZ174" s="63">
        <v>3385</v>
      </c>
      <c r="CA174" s="63">
        <v>846</v>
      </c>
      <c r="CB174" s="63">
        <v>0</v>
      </c>
      <c r="CC174" s="63">
        <v>4231</v>
      </c>
      <c r="CD174" s="63">
        <v>0</v>
      </c>
      <c r="CE174" s="63">
        <v>0</v>
      </c>
      <c r="CF174" s="63">
        <v>0</v>
      </c>
      <c r="CG174" s="63">
        <v>0</v>
      </c>
      <c r="CH174" s="63">
        <v>1386</v>
      </c>
      <c r="CI174" s="63">
        <v>347</v>
      </c>
      <c r="CJ174" s="63">
        <v>0</v>
      </c>
      <c r="CK174" s="63">
        <v>1733</v>
      </c>
      <c r="CL174" s="63">
        <v>69</v>
      </c>
      <c r="CM174" s="63">
        <v>17</v>
      </c>
      <c r="CN174" s="63">
        <v>0</v>
      </c>
      <c r="CO174" s="63">
        <v>86</v>
      </c>
      <c r="CP174" s="63">
        <v>568840</v>
      </c>
      <c r="CQ174" s="63">
        <v>144498</v>
      </c>
      <c r="CR174" s="63">
        <v>0</v>
      </c>
      <c r="CS174" s="63">
        <v>713338</v>
      </c>
      <c r="CU174" s="141" t="s">
        <v>200</v>
      </c>
      <c r="CV174" s="157" t="s">
        <v>938</v>
      </c>
      <c r="CW174" s="156" t="s">
        <v>928</v>
      </c>
      <c r="CX174" s="345"/>
      <c r="CY174" s="345"/>
      <c r="CZ174" s="345"/>
    </row>
    <row r="175" spans="1:104" ht="12.75" x14ac:dyDescent="0.2">
      <c r="A175" s="90">
        <v>168</v>
      </c>
      <c r="B175" s="129" t="s">
        <v>203</v>
      </c>
      <c r="C175" s="130" t="s">
        <v>742</v>
      </c>
      <c r="D175" s="131" t="s">
        <v>743</v>
      </c>
      <c r="E175" s="132" t="s">
        <v>202</v>
      </c>
      <c r="F175" s="63">
        <v>44258309</v>
      </c>
      <c r="G175" s="63">
        <v>0</v>
      </c>
      <c r="H175" s="63">
        <v>0</v>
      </c>
      <c r="I175" s="63">
        <v>175070</v>
      </c>
      <c r="J175" s="63">
        <v>0</v>
      </c>
      <c r="K175" s="63">
        <v>175070</v>
      </c>
      <c r="L175" s="63">
        <v>0</v>
      </c>
      <c r="M175" s="63">
        <v>0</v>
      </c>
      <c r="N175" s="63">
        <v>0</v>
      </c>
      <c r="O175" s="63">
        <v>0</v>
      </c>
      <c r="P175" s="63">
        <v>0</v>
      </c>
      <c r="Q175" s="63">
        <v>44083239</v>
      </c>
      <c r="R175" s="474">
        <v>0.5</v>
      </c>
      <c r="S175" s="474">
        <v>0.4</v>
      </c>
      <c r="T175" s="474">
        <v>0.1</v>
      </c>
      <c r="U175" s="474">
        <v>0</v>
      </c>
      <c r="V175" s="474">
        <v>1</v>
      </c>
      <c r="W175" s="63">
        <v>22041619</v>
      </c>
      <c r="X175" s="63">
        <v>17633296</v>
      </c>
      <c r="Y175" s="63">
        <v>4408324</v>
      </c>
      <c r="Z175" s="63">
        <v>0</v>
      </c>
      <c r="AA175" s="63">
        <v>44083239</v>
      </c>
      <c r="AB175" s="63">
        <v>0</v>
      </c>
      <c r="AC175" s="63">
        <v>0</v>
      </c>
      <c r="AD175" s="63">
        <v>0</v>
      </c>
      <c r="AE175" s="63">
        <v>0</v>
      </c>
      <c r="AF175" s="63">
        <v>0</v>
      </c>
      <c r="AG175" s="63">
        <v>0</v>
      </c>
      <c r="AH175" s="63">
        <v>0</v>
      </c>
      <c r="AI175" s="63">
        <v>0</v>
      </c>
      <c r="AJ175" s="63">
        <v>0</v>
      </c>
      <c r="AK175" s="63">
        <v>0</v>
      </c>
      <c r="AL175" s="63">
        <v>22041619</v>
      </c>
      <c r="AM175" s="63">
        <v>17633296</v>
      </c>
      <c r="AN175" s="63">
        <v>4408324</v>
      </c>
      <c r="AO175" s="63">
        <v>0</v>
      </c>
      <c r="AP175" s="63">
        <v>44083239</v>
      </c>
      <c r="AQ175" s="63">
        <v>175070</v>
      </c>
      <c r="AR175" s="63">
        <v>175070</v>
      </c>
      <c r="AS175" s="63">
        <v>0</v>
      </c>
      <c r="AT175" s="63">
        <v>0</v>
      </c>
      <c r="AU175" s="63">
        <v>0</v>
      </c>
      <c r="AV175" s="63">
        <v>0</v>
      </c>
      <c r="AW175" s="63">
        <v>0</v>
      </c>
      <c r="AX175" s="63">
        <v>0</v>
      </c>
      <c r="AY175" s="63">
        <v>0</v>
      </c>
      <c r="AZ175" s="63">
        <v>0</v>
      </c>
      <c r="BA175" s="63">
        <v>0</v>
      </c>
      <c r="BB175" s="63">
        <v>0</v>
      </c>
      <c r="BC175" s="63">
        <v>0</v>
      </c>
      <c r="BD175" s="63">
        <v>0</v>
      </c>
      <c r="BE175" s="63">
        <v>0</v>
      </c>
      <c r="BF175" s="63">
        <v>0</v>
      </c>
      <c r="BG175" s="63">
        <v>0</v>
      </c>
      <c r="BH175" s="63">
        <v>-871289</v>
      </c>
      <c r="BI175" s="63">
        <v>-697031</v>
      </c>
      <c r="BJ175" s="63">
        <v>-174258</v>
      </c>
      <c r="BK175" s="63">
        <v>0</v>
      </c>
      <c r="BL175" s="63">
        <v>-1742578</v>
      </c>
      <c r="BM175" s="63">
        <v>21170330</v>
      </c>
      <c r="BN175" s="63">
        <v>17111335</v>
      </c>
      <c r="BO175" s="63">
        <v>4234066</v>
      </c>
      <c r="BP175" s="63">
        <v>0</v>
      </c>
      <c r="BQ175" s="63">
        <v>42515731</v>
      </c>
      <c r="BR175" s="63">
        <v>255027</v>
      </c>
      <c r="BS175" s="63">
        <v>63757</v>
      </c>
      <c r="BT175" s="63">
        <v>0</v>
      </c>
      <c r="BU175" s="63">
        <v>318784</v>
      </c>
      <c r="BV175" s="63">
        <v>517694</v>
      </c>
      <c r="BW175" s="63">
        <v>129423</v>
      </c>
      <c r="BX175" s="63">
        <v>0</v>
      </c>
      <c r="BY175" s="63">
        <v>647117</v>
      </c>
      <c r="BZ175" s="63">
        <v>0</v>
      </c>
      <c r="CA175" s="63">
        <v>0</v>
      </c>
      <c r="CB175" s="63">
        <v>0</v>
      </c>
      <c r="CC175" s="63">
        <v>0</v>
      </c>
      <c r="CD175" s="63">
        <v>10003</v>
      </c>
      <c r="CE175" s="63">
        <v>2501</v>
      </c>
      <c r="CF175" s="63">
        <v>0</v>
      </c>
      <c r="CG175" s="63">
        <v>12504</v>
      </c>
      <c r="CH175" s="63">
        <v>1203</v>
      </c>
      <c r="CI175" s="63">
        <v>301</v>
      </c>
      <c r="CJ175" s="63">
        <v>0</v>
      </c>
      <c r="CK175" s="63">
        <v>1504</v>
      </c>
      <c r="CL175" s="63">
        <v>3306</v>
      </c>
      <c r="CM175" s="63">
        <v>827</v>
      </c>
      <c r="CN175" s="63">
        <v>0</v>
      </c>
      <c r="CO175" s="63">
        <v>4133</v>
      </c>
      <c r="CP175" s="63">
        <v>787233</v>
      </c>
      <c r="CQ175" s="63">
        <v>196809</v>
      </c>
      <c r="CR175" s="63">
        <v>0</v>
      </c>
      <c r="CS175" s="63">
        <v>984042</v>
      </c>
      <c r="CU175" s="141" t="s">
        <v>202</v>
      </c>
      <c r="CV175" s="157" t="s">
        <v>927</v>
      </c>
      <c r="CW175" s="156" t="s">
        <v>928</v>
      </c>
      <c r="CX175" s="345"/>
      <c r="CY175" s="345"/>
      <c r="CZ175" s="345"/>
    </row>
    <row r="176" spans="1:104" ht="12.75" x14ac:dyDescent="0.2">
      <c r="A176" s="90">
        <v>169</v>
      </c>
      <c r="B176" s="129" t="s">
        <v>204</v>
      </c>
      <c r="C176" s="130" t="s">
        <v>501</v>
      </c>
      <c r="D176" s="131" t="s">
        <v>755</v>
      </c>
      <c r="E176" s="132" t="s">
        <v>517</v>
      </c>
      <c r="F176" s="63">
        <v>40877156</v>
      </c>
      <c r="G176" s="63">
        <v>0</v>
      </c>
      <c r="H176" s="63">
        <v>0</v>
      </c>
      <c r="I176" s="63">
        <v>177304</v>
      </c>
      <c r="J176" s="63">
        <v>0</v>
      </c>
      <c r="K176" s="63">
        <v>177304</v>
      </c>
      <c r="L176" s="63">
        <v>0</v>
      </c>
      <c r="M176" s="63">
        <v>0</v>
      </c>
      <c r="N176" s="63">
        <v>0</v>
      </c>
      <c r="O176" s="63">
        <v>0</v>
      </c>
      <c r="P176" s="63">
        <v>0</v>
      </c>
      <c r="Q176" s="63">
        <v>40699852</v>
      </c>
      <c r="R176" s="474">
        <v>0.5</v>
      </c>
      <c r="S176" s="474">
        <v>0.49</v>
      </c>
      <c r="T176" s="474">
        <v>0</v>
      </c>
      <c r="U176" s="474">
        <v>0.01</v>
      </c>
      <c r="V176" s="474">
        <v>1</v>
      </c>
      <c r="W176" s="63">
        <v>20349926</v>
      </c>
      <c r="X176" s="63">
        <v>19942927</v>
      </c>
      <c r="Y176" s="63">
        <v>0</v>
      </c>
      <c r="Z176" s="63">
        <v>406999</v>
      </c>
      <c r="AA176" s="63">
        <v>40699852</v>
      </c>
      <c r="AB176" s="63">
        <v>0</v>
      </c>
      <c r="AC176" s="63">
        <v>0</v>
      </c>
      <c r="AD176" s="63">
        <v>0</v>
      </c>
      <c r="AE176" s="63">
        <v>0</v>
      </c>
      <c r="AF176" s="63">
        <v>0</v>
      </c>
      <c r="AG176" s="63">
        <v>0</v>
      </c>
      <c r="AH176" s="63">
        <v>0</v>
      </c>
      <c r="AI176" s="63">
        <v>0</v>
      </c>
      <c r="AJ176" s="63">
        <v>0</v>
      </c>
      <c r="AK176" s="63">
        <v>0</v>
      </c>
      <c r="AL176" s="63">
        <v>20349926</v>
      </c>
      <c r="AM176" s="63">
        <v>19942927</v>
      </c>
      <c r="AN176" s="63">
        <v>0</v>
      </c>
      <c r="AO176" s="63">
        <v>406999</v>
      </c>
      <c r="AP176" s="63">
        <v>40699852</v>
      </c>
      <c r="AQ176" s="63">
        <v>177304</v>
      </c>
      <c r="AR176" s="63">
        <v>177304</v>
      </c>
      <c r="AS176" s="63">
        <v>0</v>
      </c>
      <c r="AT176" s="63">
        <v>0</v>
      </c>
      <c r="AU176" s="63">
        <v>0</v>
      </c>
      <c r="AV176" s="63">
        <v>0</v>
      </c>
      <c r="AW176" s="63">
        <v>0</v>
      </c>
      <c r="AX176" s="63">
        <v>0</v>
      </c>
      <c r="AY176" s="63">
        <v>0</v>
      </c>
      <c r="AZ176" s="63">
        <v>0</v>
      </c>
      <c r="BA176" s="63">
        <v>0</v>
      </c>
      <c r="BB176" s="63">
        <v>0</v>
      </c>
      <c r="BC176" s="63">
        <v>0</v>
      </c>
      <c r="BD176" s="63">
        <v>0</v>
      </c>
      <c r="BE176" s="63">
        <v>0</v>
      </c>
      <c r="BF176" s="63">
        <v>0</v>
      </c>
      <c r="BG176" s="63">
        <v>0</v>
      </c>
      <c r="BH176" s="63">
        <v>-679947</v>
      </c>
      <c r="BI176" s="63">
        <v>-666349</v>
      </c>
      <c r="BJ176" s="63">
        <v>0</v>
      </c>
      <c r="BK176" s="63">
        <v>-13599</v>
      </c>
      <c r="BL176" s="63">
        <v>-1359895</v>
      </c>
      <c r="BM176" s="63">
        <v>19669979</v>
      </c>
      <c r="BN176" s="63">
        <v>19453882</v>
      </c>
      <c r="BO176" s="63">
        <v>0</v>
      </c>
      <c r="BP176" s="63">
        <v>393400</v>
      </c>
      <c r="BQ176" s="63">
        <v>39517261</v>
      </c>
      <c r="BR176" s="63">
        <v>288431</v>
      </c>
      <c r="BS176" s="63">
        <v>0</v>
      </c>
      <c r="BT176" s="63">
        <v>5886</v>
      </c>
      <c r="BU176" s="63">
        <v>294317</v>
      </c>
      <c r="BV176" s="63">
        <v>621637</v>
      </c>
      <c r="BW176" s="63">
        <v>0</v>
      </c>
      <c r="BX176" s="63">
        <v>12686</v>
      </c>
      <c r="BY176" s="63">
        <v>634323</v>
      </c>
      <c r="BZ176" s="63">
        <v>0</v>
      </c>
      <c r="CA176" s="63">
        <v>0</v>
      </c>
      <c r="CB176" s="63">
        <v>0</v>
      </c>
      <c r="CC176" s="63">
        <v>0</v>
      </c>
      <c r="CD176" s="63">
        <v>0</v>
      </c>
      <c r="CE176" s="63">
        <v>0</v>
      </c>
      <c r="CF176" s="63">
        <v>0</v>
      </c>
      <c r="CG176" s="63">
        <v>0</v>
      </c>
      <c r="CH176" s="63">
        <v>47717</v>
      </c>
      <c r="CI176" s="63">
        <v>0</v>
      </c>
      <c r="CJ176" s="63">
        <v>974</v>
      </c>
      <c r="CK176" s="63">
        <v>48691</v>
      </c>
      <c r="CL176" s="63">
        <v>0</v>
      </c>
      <c r="CM176" s="63">
        <v>0</v>
      </c>
      <c r="CN176" s="63">
        <v>0</v>
      </c>
      <c r="CO176" s="63">
        <v>0</v>
      </c>
      <c r="CP176" s="63">
        <v>957785</v>
      </c>
      <c r="CQ176" s="63">
        <v>0</v>
      </c>
      <c r="CR176" s="63">
        <v>19546</v>
      </c>
      <c r="CS176" s="63">
        <v>977331</v>
      </c>
      <c r="CU176" s="141" t="s">
        <v>517</v>
      </c>
      <c r="CV176" s="157" t="s">
        <v>501</v>
      </c>
      <c r="CW176" s="156" t="s">
        <v>980</v>
      </c>
      <c r="CX176" s="345"/>
      <c r="CY176" s="345"/>
      <c r="CZ176" s="345"/>
    </row>
    <row r="177" spans="1:104" ht="12.75" x14ac:dyDescent="0.2">
      <c r="A177" s="90">
        <v>170</v>
      </c>
      <c r="B177" s="129" t="s">
        <v>205</v>
      </c>
      <c r="C177" s="130" t="s">
        <v>501</v>
      </c>
      <c r="D177" s="131" t="s">
        <v>743</v>
      </c>
      <c r="E177" s="132" t="s">
        <v>511</v>
      </c>
      <c r="F177" s="63">
        <v>158480777</v>
      </c>
      <c r="G177" s="63">
        <v>0</v>
      </c>
      <c r="H177" s="63">
        <v>0</v>
      </c>
      <c r="I177" s="63">
        <v>384606</v>
      </c>
      <c r="J177" s="63">
        <v>103000</v>
      </c>
      <c r="K177" s="63">
        <v>487606</v>
      </c>
      <c r="L177" s="63">
        <v>0</v>
      </c>
      <c r="M177" s="63">
        <v>0</v>
      </c>
      <c r="N177" s="63">
        <v>182144</v>
      </c>
      <c r="O177" s="63">
        <v>182144</v>
      </c>
      <c r="P177" s="63">
        <v>0</v>
      </c>
      <c r="Q177" s="63">
        <v>157811027</v>
      </c>
      <c r="R177" s="474">
        <v>0.5</v>
      </c>
      <c r="S177" s="474">
        <v>0.49</v>
      </c>
      <c r="T177" s="474">
        <v>0</v>
      </c>
      <c r="U177" s="474">
        <v>0.01</v>
      </c>
      <c r="V177" s="474">
        <v>1</v>
      </c>
      <c r="W177" s="63">
        <v>78905514</v>
      </c>
      <c r="X177" s="63">
        <v>77327403</v>
      </c>
      <c r="Y177" s="63">
        <v>0</v>
      </c>
      <c r="Z177" s="63">
        <v>1578110</v>
      </c>
      <c r="AA177" s="63">
        <v>157811027</v>
      </c>
      <c r="AB177" s="63">
        <v>0</v>
      </c>
      <c r="AC177" s="63">
        <v>0</v>
      </c>
      <c r="AD177" s="63">
        <v>0</v>
      </c>
      <c r="AE177" s="63">
        <v>0</v>
      </c>
      <c r="AF177" s="63">
        <v>0</v>
      </c>
      <c r="AG177" s="63">
        <v>0</v>
      </c>
      <c r="AH177" s="63">
        <v>0</v>
      </c>
      <c r="AI177" s="63">
        <v>0</v>
      </c>
      <c r="AJ177" s="63">
        <v>0</v>
      </c>
      <c r="AK177" s="63">
        <v>0</v>
      </c>
      <c r="AL177" s="63">
        <v>78905514</v>
      </c>
      <c r="AM177" s="63">
        <v>77327403</v>
      </c>
      <c r="AN177" s="63">
        <v>0</v>
      </c>
      <c r="AO177" s="63">
        <v>1578110</v>
      </c>
      <c r="AP177" s="63">
        <v>157811027</v>
      </c>
      <c r="AQ177" s="63">
        <v>487606</v>
      </c>
      <c r="AR177" s="63">
        <v>487606</v>
      </c>
      <c r="AS177" s="63">
        <v>0</v>
      </c>
      <c r="AT177" s="63">
        <v>0</v>
      </c>
      <c r="AU177" s="63">
        <v>182144</v>
      </c>
      <c r="AV177" s="63">
        <v>0</v>
      </c>
      <c r="AW177" s="63">
        <v>182144</v>
      </c>
      <c r="AX177" s="63">
        <v>0</v>
      </c>
      <c r="AY177" s="63">
        <v>0</v>
      </c>
      <c r="AZ177" s="63">
        <v>0</v>
      </c>
      <c r="BA177" s="63">
        <v>0</v>
      </c>
      <c r="BB177" s="63">
        <v>0</v>
      </c>
      <c r="BC177" s="63">
        <v>0</v>
      </c>
      <c r="BD177" s="63">
        <v>0</v>
      </c>
      <c r="BE177" s="63">
        <v>0</v>
      </c>
      <c r="BF177" s="63">
        <v>0</v>
      </c>
      <c r="BG177" s="63">
        <v>0</v>
      </c>
      <c r="BH177" s="63">
        <v>-5777709</v>
      </c>
      <c r="BI177" s="63">
        <v>-5662155</v>
      </c>
      <c r="BJ177" s="63">
        <v>0</v>
      </c>
      <c r="BK177" s="63">
        <v>-115554</v>
      </c>
      <c r="BL177" s="63">
        <v>-11555418</v>
      </c>
      <c r="BM177" s="63">
        <v>73127805</v>
      </c>
      <c r="BN177" s="63">
        <v>72334998</v>
      </c>
      <c r="BO177" s="63">
        <v>0</v>
      </c>
      <c r="BP177" s="63">
        <v>1462556</v>
      </c>
      <c r="BQ177" s="63">
        <v>146925359</v>
      </c>
      <c r="BR177" s="63">
        <v>1121006</v>
      </c>
      <c r="BS177" s="63">
        <v>0</v>
      </c>
      <c r="BT177" s="63">
        <v>22824</v>
      </c>
      <c r="BU177" s="63">
        <v>1143830</v>
      </c>
      <c r="BV177" s="63">
        <v>897878</v>
      </c>
      <c r="BW177" s="63">
        <v>0</v>
      </c>
      <c r="BX177" s="63">
        <v>18324</v>
      </c>
      <c r="BY177" s="63">
        <v>916202</v>
      </c>
      <c r="BZ177" s="63">
        <v>0</v>
      </c>
      <c r="CA177" s="63">
        <v>0</v>
      </c>
      <c r="CB177" s="63">
        <v>0</v>
      </c>
      <c r="CC177" s="63">
        <v>0</v>
      </c>
      <c r="CD177" s="63">
        <v>19883</v>
      </c>
      <c r="CE177" s="63">
        <v>0</v>
      </c>
      <c r="CF177" s="63">
        <v>406</v>
      </c>
      <c r="CG177" s="63">
        <v>20289</v>
      </c>
      <c r="CH177" s="63">
        <v>9846</v>
      </c>
      <c r="CI177" s="63">
        <v>0</v>
      </c>
      <c r="CJ177" s="63">
        <v>201</v>
      </c>
      <c r="CK177" s="63">
        <v>10047</v>
      </c>
      <c r="CL177" s="63">
        <v>0</v>
      </c>
      <c r="CM177" s="63">
        <v>0</v>
      </c>
      <c r="CN177" s="63">
        <v>0</v>
      </c>
      <c r="CO177" s="63">
        <v>0</v>
      </c>
      <c r="CP177" s="63">
        <v>2048613</v>
      </c>
      <c r="CQ177" s="63">
        <v>0</v>
      </c>
      <c r="CR177" s="63">
        <v>41755</v>
      </c>
      <c r="CS177" s="63">
        <v>2090368</v>
      </c>
      <c r="CU177" s="141" t="s">
        <v>511</v>
      </c>
      <c r="CV177" s="157" t="s">
        <v>501</v>
      </c>
      <c r="CW177" s="156" t="s">
        <v>937</v>
      </c>
      <c r="CX177" s="345"/>
      <c r="CY177" s="345"/>
      <c r="CZ177" s="345"/>
    </row>
    <row r="178" spans="1:104" ht="12.75" x14ac:dyDescent="0.2">
      <c r="A178" s="90">
        <v>171</v>
      </c>
      <c r="B178" s="129" t="s">
        <v>207</v>
      </c>
      <c r="C178" s="130" t="s">
        <v>742</v>
      </c>
      <c r="D178" s="131" t="s">
        <v>743</v>
      </c>
      <c r="E178" s="132" t="s">
        <v>206</v>
      </c>
      <c r="F178" s="63">
        <v>39283711</v>
      </c>
      <c r="G178" s="63">
        <v>0</v>
      </c>
      <c r="H178" s="63">
        <v>0</v>
      </c>
      <c r="I178" s="63">
        <v>152082</v>
      </c>
      <c r="J178" s="63">
        <v>0</v>
      </c>
      <c r="K178" s="63">
        <v>152082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63">
        <v>39131629</v>
      </c>
      <c r="R178" s="474">
        <v>0.5</v>
      </c>
      <c r="S178" s="474">
        <v>0.4</v>
      </c>
      <c r="T178" s="474">
        <v>0.1</v>
      </c>
      <c r="U178" s="474">
        <v>0</v>
      </c>
      <c r="V178" s="474">
        <v>1</v>
      </c>
      <c r="W178" s="63">
        <v>19565814</v>
      </c>
      <c r="X178" s="63">
        <v>15652652</v>
      </c>
      <c r="Y178" s="63">
        <v>3913163</v>
      </c>
      <c r="Z178" s="63">
        <v>0</v>
      </c>
      <c r="AA178" s="63">
        <v>39131629</v>
      </c>
      <c r="AB178" s="63">
        <v>0</v>
      </c>
      <c r="AC178" s="63">
        <v>0</v>
      </c>
      <c r="AD178" s="63">
        <v>0</v>
      </c>
      <c r="AE178" s="63">
        <v>0</v>
      </c>
      <c r="AF178" s="63">
        <v>0</v>
      </c>
      <c r="AG178" s="63">
        <v>0</v>
      </c>
      <c r="AH178" s="63">
        <v>0</v>
      </c>
      <c r="AI178" s="63">
        <v>0</v>
      </c>
      <c r="AJ178" s="63">
        <v>0</v>
      </c>
      <c r="AK178" s="63">
        <v>0</v>
      </c>
      <c r="AL178" s="63">
        <v>19565814</v>
      </c>
      <c r="AM178" s="63">
        <v>15652652</v>
      </c>
      <c r="AN178" s="63">
        <v>3913163</v>
      </c>
      <c r="AO178" s="63">
        <v>0</v>
      </c>
      <c r="AP178" s="63">
        <v>39131629</v>
      </c>
      <c r="AQ178" s="63">
        <v>152082</v>
      </c>
      <c r="AR178" s="63">
        <v>152082</v>
      </c>
      <c r="AS178" s="63">
        <v>0</v>
      </c>
      <c r="AT178" s="63">
        <v>0</v>
      </c>
      <c r="AU178" s="63">
        <v>0</v>
      </c>
      <c r="AV178" s="63">
        <v>0</v>
      </c>
      <c r="AW178" s="63">
        <v>0</v>
      </c>
      <c r="AX178" s="63">
        <v>0</v>
      </c>
      <c r="AY178" s="63">
        <v>0</v>
      </c>
      <c r="AZ178" s="63">
        <v>0</v>
      </c>
      <c r="BA178" s="63">
        <v>0</v>
      </c>
      <c r="BB178" s="63">
        <v>0</v>
      </c>
      <c r="BC178" s="63">
        <v>0</v>
      </c>
      <c r="BD178" s="63">
        <v>0</v>
      </c>
      <c r="BE178" s="63">
        <v>0</v>
      </c>
      <c r="BF178" s="63">
        <v>0</v>
      </c>
      <c r="BG178" s="63">
        <v>0</v>
      </c>
      <c r="BH178" s="63">
        <v>-814947</v>
      </c>
      <c r="BI178" s="63">
        <v>-651958</v>
      </c>
      <c r="BJ178" s="63">
        <v>-162989</v>
      </c>
      <c r="BK178" s="63">
        <v>0</v>
      </c>
      <c r="BL178" s="63">
        <v>-1629894</v>
      </c>
      <c r="BM178" s="63">
        <v>18750867</v>
      </c>
      <c r="BN178" s="63">
        <v>15152776</v>
      </c>
      <c r="BO178" s="63">
        <v>3750174</v>
      </c>
      <c r="BP178" s="63">
        <v>0</v>
      </c>
      <c r="BQ178" s="63">
        <v>37653817</v>
      </c>
      <c r="BR178" s="63">
        <v>226381</v>
      </c>
      <c r="BS178" s="63">
        <v>56595</v>
      </c>
      <c r="BT178" s="63">
        <v>0</v>
      </c>
      <c r="BU178" s="63">
        <v>282976</v>
      </c>
      <c r="BV178" s="63">
        <v>374823</v>
      </c>
      <c r="BW178" s="63">
        <v>93706</v>
      </c>
      <c r="BX178" s="63">
        <v>0</v>
      </c>
      <c r="BY178" s="63">
        <v>468529</v>
      </c>
      <c r="BZ178" s="63">
        <v>7635</v>
      </c>
      <c r="CA178" s="63">
        <v>1909</v>
      </c>
      <c r="CB178" s="63">
        <v>0</v>
      </c>
      <c r="CC178" s="63">
        <v>9544</v>
      </c>
      <c r="CD178" s="63">
        <v>0</v>
      </c>
      <c r="CE178" s="63">
        <v>0</v>
      </c>
      <c r="CF178" s="63">
        <v>0</v>
      </c>
      <c r="CG178" s="63">
        <v>0</v>
      </c>
      <c r="CH178" s="63">
        <v>2725</v>
      </c>
      <c r="CI178" s="63">
        <v>681</v>
      </c>
      <c r="CJ178" s="63">
        <v>0</v>
      </c>
      <c r="CK178" s="63">
        <v>3406</v>
      </c>
      <c r="CL178" s="63">
        <v>694</v>
      </c>
      <c r="CM178" s="63">
        <v>174</v>
      </c>
      <c r="CN178" s="63">
        <v>0</v>
      </c>
      <c r="CO178" s="63">
        <v>868</v>
      </c>
      <c r="CP178" s="63">
        <v>612258</v>
      </c>
      <c r="CQ178" s="63">
        <v>153065</v>
      </c>
      <c r="CR178" s="63">
        <v>0</v>
      </c>
      <c r="CS178" s="63">
        <v>765323</v>
      </c>
      <c r="CU178" s="141" t="s">
        <v>206</v>
      </c>
      <c r="CV178" s="157" t="s">
        <v>978</v>
      </c>
      <c r="CW178" s="156" t="s">
        <v>928</v>
      </c>
      <c r="CX178" s="345"/>
      <c r="CY178" s="345"/>
      <c r="CZ178" s="345"/>
    </row>
    <row r="179" spans="1:104" ht="12.75" x14ac:dyDescent="0.2">
      <c r="A179" s="90">
        <v>172</v>
      </c>
      <c r="B179" s="129" t="s">
        <v>209</v>
      </c>
      <c r="C179" s="130" t="s">
        <v>742</v>
      </c>
      <c r="D179" s="131" t="s">
        <v>743</v>
      </c>
      <c r="E179" s="132" t="s">
        <v>208</v>
      </c>
      <c r="F179" s="63">
        <v>65916084</v>
      </c>
      <c r="G179" s="63">
        <v>0</v>
      </c>
      <c r="H179" s="63">
        <v>0</v>
      </c>
      <c r="I179" s="63">
        <v>281907</v>
      </c>
      <c r="J179" s="63">
        <v>0</v>
      </c>
      <c r="K179" s="63">
        <v>281907</v>
      </c>
      <c r="L179" s="63">
        <v>0</v>
      </c>
      <c r="M179" s="63">
        <v>0</v>
      </c>
      <c r="N179" s="63">
        <v>21868</v>
      </c>
      <c r="O179" s="63">
        <v>21868</v>
      </c>
      <c r="P179" s="63">
        <v>0</v>
      </c>
      <c r="Q179" s="63">
        <v>65612309</v>
      </c>
      <c r="R179" s="474">
        <v>0.5</v>
      </c>
      <c r="S179" s="474">
        <v>0.4</v>
      </c>
      <c r="T179" s="474">
        <v>0.09</v>
      </c>
      <c r="U179" s="474">
        <v>0.01</v>
      </c>
      <c r="V179" s="474">
        <v>1</v>
      </c>
      <c r="W179" s="63">
        <v>32806154</v>
      </c>
      <c r="X179" s="63">
        <v>26244924</v>
      </c>
      <c r="Y179" s="63">
        <v>5905108</v>
      </c>
      <c r="Z179" s="63">
        <v>656123</v>
      </c>
      <c r="AA179" s="63">
        <v>65612309</v>
      </c>
      <c r="AB179" s="63">
        <v>0</v>
      </c>
      <c r="AC179" s="63">
        <v>0</v>
      </c>
      <c r="AD179" s="63">
        <v>0</v>
      </c>
      <c r="AE179" s="63">
        <v>0</v>
      </c>
      <c r="AF179" s="63">
        <v>0</v>
      </c>
      <c r="AG179" s="63">
        <v>0</v>
      </c>
      <c r="AH179" s="63">
        <v>0</v>
      </c>
      <c r="AI179" s="63">
        <v>0</v>
      </c>
      <c r="AJ179" s="63">
        <v>0</v>
      </c>
      <c r="AK179" s="63">
        <v>0</v>
      </c>
      <c r="AL179" s="63">
        <v>32806154</v>
      </c>
      <c r="AM179" s="63">
        <v>26244924</v>
      </c>
      <c r="AN179" s="63">
        <v>5905108</v>
      </c>
      <c r="AO179" s="63">
        <v>656123</v>
      </c>
      <c r="AP179" s="63">
        <v>65612309</v>
      </c>
      <c r="AQ179" s="63">
        <v>281907</v>
      </c>
      <c r="AR179" s="63">
        <v>281907</v>
      </c>
      <c r="AS179" s="63">
        <v>0</v>
      </c>
      <c r="AT179" s="63">
        <v>0</v>
      </c>
      <c r="AU179" s="63">
        <v>21868</v>
      </c>
      <c r="AV179" s="63">
        <v>0</v>
      </c>
      <c r="AW179" s="63">
        <v>21868</v>
      </c>
      <c r="AX179" s="63">
        <v>0</v>
      </c>
      <c r="AY179" s="63">
        <v>0</v>
      </c>
      <c r="AZ179" s="63">
        <v>0</v>
      </c>
      <c r="BA179" s="63">
        <v>0</v>
      </c>
      <c r="BB179" s="63">
        <v>0</v>
      </c>
      <c r="BC179" s="63">
        <v>0</v>
      </c>
      <c r="BD179" s="63">
        <v>0</v>
      </c>
      <c r="BE179" s="63">
        <v>0</v>
      </c>
      <c r="BF179" s="63">
        <v>0</v>
      </c>
      <c r="BG179" s="63">
        <v>0</v>
      </c>
      <c r="BH179" s="63">
        <v>-463291</v>
      </c>
      <c r="BI179" s="63">
        <v>-370634</v>
      </c>
      <c r="BJ179" s="63">
        <v>-83393</v>
      </c>
      <c r="BK179" s="63">
        <v>-9266</v>
      </c>
      <c r="BL179" s="63">
        <v>-926584</v>
      </c>
      <c r="BM179" s="63">
        <v>32342863</v>
      </c>
      <c r="BN179" s="63">
        <v>26178065</v>
      </c>
      <c r="BO179" s="63">
        <v>5821715</v>
      </c>
      <c r="BP179" s="63">
        <v>646857</v>
      </c>
      <c r="BQ179" s="63">
        <v>64989500</v>
      </c>
      <c r="BR179" s="63">
        <v>379892</v>
      </c>
      <c r="BS179" s="63">
        <v>85404</v>
      </c>
      <c r="BT179" s="63">
        <v>9489</v>
      </c>
      <c r="BU179" s="63">
        <v>474785</v>
      </c>
      <c r="BV179" s="63">
        <v>879969</v>
      </c>
      <c r="BW179" s="63">
        <v>197993</v>
      </c>
      <c r="BX179" s="63">
        <v>21999</v>
      </c>
      <c r="BY179" s="63">
        <v>1099961</v>
      </c>
      <c r="BZ179" s="63">
        <v>4058</v>
      </c>
      <c r="CA179" s="63">
        <v>913</v>
      </c>
      <c r="CB179" s="63">
        <v>101</v>
      </c>
      <c r="CC179" s="63">
        <v>5072</v>
      </c>
      <c r="CD179" s="63">
        <v>10144</v>
      </c>
      <c r="CE179" s="63">
        <v>2283</v>
      </c>
      <c r="CF179" s="63">
        <v>254</v>
      </c>
      <c r="CG179" s="63">
        <v>12681</v>
      </c>
      <c r="CH179" s="63">
        <v>36521</v>
      </c>
      <c r="CI179" s="63">
        <v>8217</v>
      </c>
      <c r="CJ179" s="63">
        <v>913</v>
      </c>
      <c r="CK179" s="63">
        <v>45651</v>
      </c>
      <c r="CL179" s="63">
        <v>3687</v>
      </c>
      <c r="CM179" s="63">
        <v>829</v>
      </c>
      <c r="CN179" s="63">
        <v>92</v>
      </c>
      <c r="CO179" s="63">
        <v>4608</v>
      </c>
      <c r="CP179" s="63">
        <v>1314271</v>
      </c>
      <c r="CQ179" s="63">
        <v>295639</v>
      </c>
      <c r="CR179" s="63">
        <v>32848</v>
      </c>
      <c r="CS179" s="63">
        <v>1642758</v>
      </c>
      <c r="CU179" s="141" t="s">
        <v>208</v>
      </c>
      <c r="CV179" s="157" t="s">
        <v>945</v>
      </c>
      <c r="CW179" s="156" t="s">
        <v>946</v>
      </c>
      <c r="CX179" s="345"/>
      <c r="CY179" s="345"/>
      <c r="CZ179" s="345"/>
    </row>
    <row r="180" spans="1:104" ht="12.75" x14ac:dyDescent="0.2">
      <c r="A180" s="90">
        <v>173</v>
      </c>
      <c r="B180" s="129" t="s">
        <v>210</v>
      </c>
      <c r="C180" s="130" t="s">
        <v>742</v>
      </c>
      <c r="D180" s="131" t="s">
        <v>745</v>
      </c>
      <c r="E180" s="132" t="s">
        <v>546</v>
      </c>
      <c r="F180" s="63">
        <v>38794485</v>
      </c>
      <c r="G180" s="63">
        <v>0</v>
      </c>
      <c r="H180" s="63">
        <v>0</v>
      </c>
      <c r="I180" s="63">
        <v>164289</v>
      </c>
      <c r="J180" s="63">
        <v>0</v>
      </c>
      <c r="K180" s="63">
        <v>164289</v>
      </c>
      <c r="L180" s="63">
        <v>0</v>
      </c>
      <c r="M180" s="63">
        <v>0</v>
      </c>
      <c r="N180" s="63">
        <v>80000</v>
      </c>
      <c r="O180" s="63">
        <v>80000</v>
      </c>
      <c r="P180" s="63">
        <v>0</v>
      </c>
      <c r="Q180" s="63">
        <v>38550196</v>
      </c>
      <c r="R180" s="474">
        <v>0.5</v>
      </c>
      <c r="S180" s="474">
        <v>0.4</v>
      </c>
      <c r="T180" s="474">
        <v>0.09</v>
      </c>
      <c r="U180" s="474">
        <v>0.01</v>
      </c>
      <c r="V180" s="474">
        <v>1</v>
      </c>
      <c r="W180" s="63">
        <v>19275098</v>
      </c>
      <c r="X180" s="63">
        <v>15420078</v>
      </c>
      <c r="Y180" s="63">
        <v>3469518</v>
      </c>
      <c r="Z180" s="63">
        <v>385502</v>
      </c>
      <c r="AA180" s="63">
        <v>38550196</v>
      </c>
      <c r="AB180" s="63">
        <v>0</v>
      </c>
      <c r="AC180" s="63">
        <v>0</v>
      </c>
      <c r="AD180" s="63">
        <v>0</v>
      </c>
      <c r="AE180" s="63">
        <v>0</v>
      </c>
      <c r="AF180" s="63">
        <v>0</v>
      </c>
      <c r="AG180" s="63">
        <v>0</v>
      </c>
      <c r="AH180" s="63">
        <v>0</v>
      </c>
      <c r="AI180" s="63">
        <v>0</v>
      </c>
      <c r="AJ180" s="63">
        <v>0</v>
      </c>
      <c r="AK180" s="63">
        <v>0</v>
      </c>
      <c r="AL180" s="63">
        <v>19275098</v>
      </c>
      <c r="AM180" s="63">
        <v>15420078</v>
      </c>
      <c r="AN180" s="63">
        <v>3469518</v>
      </c>
      <c r="AO180" s="63">
        <v>385502</v>
      </c>
      <c r="AP180" s="63">
        <v>38550196</v>
      </c>
      <c r="AQ180" s="63">
        <v>164289</v>
      </c>
      <c r="AR180" s="63">
        <v>164289</v>
      </c>
      <c r="AS180" s="63">
        <v>0</v>
      </c>
      <c r="AT180" s="63">
        <v>0</v>
      </c>
      <c r="AU180" s="63">
        <v>80000</v>
      </c>
      <c r="AV180" s="63">
        <v>0</v>
      </c>
      <c r="AW180" s="63">
        <v>80000</v>
      </c>
      <c r="AX180" s="63">
        <v>0</v>
      </c>
      <c r="AY180" s="63">
        <v>0</v>
      </c>
      <c r="AZ180" s="63">
        <v>0</v>
      </c>
      <c r="BA180" s="63">
        <v>0</v>
      </c>
      <c r="BB180" s="63">
        <v>0</v>
      </c>
      <c r="BC180" s="63">
        <v>0</v>
      </c>
      <c r="BD180" s="63">
        <v>0</v>
      </c>
      <c r="BE180" s="63">
        <v>0</v>
      </c>
      <c r="BF180" s="63">
        <v>0</v>
      </c>
      <c r="BG180" s="63">
        <v>0</v>
      </c>
      <c r="BH180" s="63">
        <v>-2341867</v>
      </c>
      <c r="BI180" s="63">
        <v>-1873494</v>
      </c>
      <c r="BJ180" s="63">
        <v>-421536</v>
      </c>
      <c r="BK180" s="63">
        <v>-46837</v>
      </c>
      <c r="BL180" s="63">
        <v>-4683734</v>
      </c>
      <c r="BM180" s="63">
        <v>16933231</v>
      </c>
      <c r="BN180" s="63">
        <v>13790873</v>
      </c>
      <c r="BO180" s="63">
        <v>3047982</v>
      </c>
      <c r="BP180" s="63">
        <v>338665</v>
      </c>
      <c r="BQ180" s="63">
        <v>34110751</v>
      </c>
      <c r="BR180" s="63">
        <v>224175</v>
      </c>
      <c r="BS180" s="63">
        <v>50179</v>
      </c>
      <c r="BT180" s="63">
        <v>5575</v>
      </c>
      <c r="BU180" s="63">
        <v>279929</v>
      </c>
      <c r="BV180" s="63">
        <v>531360</v>
      </c>
      <c r="BW180" s="63">
        <v>119556</v>
      </c>
      <c r="BX180" s="63">
        <v>13284</v>
      </c>
      <c r="BY180" s="63">
        <v>664200</v>
      </c>
      <c r="BZ180" s="63">
        <v>0</v>
      </c>
      <c r="CA180" s="63">
        <v>0</v>
      </c>
      <c r="CB180" s="63">
        <v>0</v>
      </c>
      <c r="CC180" s="63">
        <v>0</v>
      </c>
      <c r="CD180" s="63">
        <v>0</v>
      </c>
      <c r="CE180" s="63">
        <v>0</v>
      </c>
      <c r="CF180" s="63">
        <v>0</v>
      </c>
      <c r="CG180" s="63">
        <v>0</v>
      </c>
      <c r="CH180" s="63">
        <v>0</v>
      </c>
      <c r="CI180" s="63">
        <v>0</v>
      </c>
      <c r="CJ180" s="63">
        <v>0</v>
      </c>
      <c r="CK180" s="63">
        <v>0</v>
      </c>
      <c r="CL180" s="63">
        <v>2028</v>
      </c>
      <c r="CM180" s="63">
        <v>457</v>
      </c>
      <c r="CN180" s="63">
        <v>51</v>
      </c>
      <c r="CO180" s="63">
        <v>2536</v>
      </c>
      <c r="CP180" s="63">
        <v>757563</v>
      </c>
      <c r="CQ180" s="63">
        <v>170192</v>
      </c>
      <c r="CR180" s="63">
        <v>18910</v>
      </c>
      <c r="CS180" s="63">
        <v>946665</v>
      </c>
      <c r="CU180" s="141" t="s">
        <v>546</v>
      </c>
      <c r="CV180" s="157" t="s">
        <v>932</v>
      </c>
      <c r="CW180" s="156" t="s">
        <v>933</v>
      </c>
      <c r="CX180" s="345"/>
      <c r="CY180" s="345"/>
      <c r="CZ180" s="345"/>
    </row>
    <row r="181" spans="1:104" ht="12.75" x14ac:dyDescent="0.2">
      <c r="A181" s="90">
        <v>174</v>
      </c>
      <c r="B181" s="129" t="s">
        <v>211</v>
      </c>
      <c r="C181" s="130" t="s">
        <v>749</v>
      </c>
      <c r="D181" s="131" t="s">
        <v>755</v>
      </c>
      <c r="E181" s="132" t="s">
        <v>760</v>
      </c>
      <c r="F181" s="63">
        <v>153991899</v>
      </c>
      <c r="G181" s="63">
        <v>0</v>
      </c>
      <c r="H181" s="63">
        <v>0</v>
      </c>
      <c r="I181" s="63">
        <v>472115</v>
      </c>
      <c r="J181" s="63">
        <v>0</v>
      </c>
      <c r="K181" s="63">
        <v>472115</v>
      </c>
      <c r="L181" s="63">
        <v>0</v>
      </c>
      <c r="M181" s="63">
        <v>375451</v>
      </c>
      <c r="N181" s="63">
        <v>0</v>
      </c>
      <c r="O181" s="63">
        <v>0</v>
      </c>
      <c r="P181" s="63">
        <v>0</v>
      </c>
      <c r="Q181" s="63">
        <v>153144333</v>
      </c>
      <c r="R181" s="474">
        <v>0.5</v>
      </c>
      <c r="S181" s="474">
        <v>0.4</v>
      </c>
      <c r="T181" s="474">
        <v>0.09</v>
      </c>
      <c r="U181" s="474">
        <v>0.01</v>
      </c>
      <c r="V181" s="474">
        <v>1</v>
      </c>
      <c r="W181" s="63">
        <v>76572167</v>
      </c>
      <c r="X181" s="63">
        <v>75040723</v>
      </c>
      <c r="Y181" s="63">
        <v>0</v>
      </c>
      <c r="Z181" s="63">
        <v>1531443</v>
      </c>
      <c r="AA181" s="63">
        <v>153144333</v>
      </c>
      <c r="AB181" s="63">
        <v>0</v>
      </c>
      <c r="AC181" s="63">
        <v>0</v>
      </c>
      <c r="AD181" s="63">
        <v>0</v>
      </c>
      <c r="AE181" s="63">
        <v>0</v>
      </c>
      <c r="AF181" s="63">
        <v>0</v>
      </c>
      <c r="AG181" s="63">
        <v>0</v>
      </c>
      <c r="AH181" s="63">
        <v>0</v>
      </c>
      <c r="AI181" s="63">
        <v>0</v>
      </c>
      <c r="AJ181" s="63">
        <v>0</v>
      </c>
      <c r="AK181" s="63">
        <v>0</v>
      </c>
      <c r="AL181" s="63">
        <v>76572167</v>
      </c>
      <c r="AM181" s="63">
        <v>75040723</v>
      </c>
      <c r="AN181" s="63">
        <v>0</v>
      </c>
      <c r="AO181" s="63">
        <v>1531443</v>
      </c>
      <c r="AP181" s="63">
        <v>153144333</v>
      </c>
      <c r="AQ181" s="63">
        <v>472115</v>
      </c>
      <c r="AR181" s="63">
        <v>472115</v>
      </c>
      <c r="AS181" s="63">
        <v>375451</v>
      </c>
      <c r="AT181" s="63">
        <v>375451</v>
      </c>
      <c r="AU181" s="63">
        <v>0</v>
      </c>
      <c r="AV181" s="63">
        <v>0</v>
      </c>
      <c r="AW181" s="63">
        <v>0</v>
      </c>
      <c r="AX181" s="63">
        <v>0</v>
      </c>
      <c r="AY181" s="63">
        <v>0</v>
      </c>
      <c r="AZ181" s="63">
        <v>0</v>
      </c>
      <c r="BA181" s="63">
        <v>0</v>
      </c>
      <c r="BB181" s="63">
        <v>0</v>
      </c>
      <c r="BC181" s="63">
        <v>0</v>
      </c>
      <c r="BD181" s="63">
        <v>0</v>
      </c>
      <c r="BE181" s="63">
        <v>0</v>
      </c>
      <c r="BF181" s="63">
        <v>0</v>
      </c>
      <c r="BG181" s="63">
        <v>0</v>
      </c>
      <c r="BH181" s="63">
        <v>-9405769</v>
      </c>
      <c r="BI181" s="63">
        <v>-9217654</v>
      </c>
      <c r="BJ181" s="63">
        <v>0</v>
      </c>
      <c r="BK181" s="63">
        <v>-188115</v>
      </c>
      <c r="BL181" s="63">
        <v>-18811538</v>
      </c>
      <c r="BM181" s="63">
        <v>67166398</v>
      </c>
      <c r="BN181" s="63">
        <v>66670635</v>
      </c>
      <c r="BO181" s="63">
        <v>0</v>
      </c>
      <c r="BP181" s="63">
        <v>1343328</v>
      </c>
      <c r="BQ181" s="63">
        <v>135180361</v>
      </c>
      <c r="BR181" s="63">
        <v>1090730</v>
      </c>
      <c r="BS181" s="63">
        <v>0</v>
      </c>
      <c r="BT181" s="63">
        <v>22149</v>
      </c>
      <c r="BU181" s="63">
        <v>1112879</v>
      </c>
      <c r="BV181" s="63">
        <v>1313821</v>
      </c>
      <c r="BW181" s="63">
        <v>0</v>
      </c>
      <c r="BX181" s="63">
        <v>26323</v>
      </c>
      <c r="BY181" s="63">
        <v>1340144</v>
      </c>
      <c r="BZ181" s="63">
        <v>11378</v>
      </c>
      <c r="CA181" s="63">
        <v>0</v>
      </c>
      <c r="CB181" s="63">
        <v>232</v>
      </c>
      <c r="CC181" s="63">
        <v>11610</v>
      </c>
      <c r="CD181" s="63">
        <v>318704</v>
      </c>
      <c r="CE181" s="63">
        <v>0</v>
      </c>
      <c r="CF181" s="63">
        <v>679</v>
      </c>
      <c r="CG181" s="63">
        <v>319383</v>
      </c>
      <c r="CH181" s="63">
        <v>60065</v>
      </c>
      <c r="CI181" s="63">
        <v>0</v>
      </c>
      <c r="CJ181" s="63">
        <v>1226</v>
      </c>
      <c r="CK181" s="63">
        <v>61291</v>
      </c>
      <c r="CL181" s="63">
        <v>0</v>
      </c>
      <c r="CM181" s="63">
        <v>0</v>
      </c>
      <c r="CN181" s="63">
        <v>0</v>
      </c>
      <c r="CO181" s="63">
        <v>0</v>
      </c>
      <c r="CP181" s="63">
        <v>2794698</v>
      </c>
      <c r="CQ181" s="63">
        <v>0</v>
      </c>
      <c r="CR181" s="63">
        <v>50609</v>
      </c>
      <c r="CS181" s="63">
        <v>2845307</v>
      </c>
      <c r="CU181" s="141" t="s">
        <v>760</v>
      </c>
      <c r="CV181" s="157" t="s">
        <v>941</v>
      </c>
      <c r="CW181" s="156" t="s">
        <v>979</v>
      </c>
      <c r="CX181" s="345"/>
      <c r="CY181" s="345"/>
      <c r="CZ181" s="345"/>
    </row>
    <row r="182" spans="1:104" ht="12.75" x14ac:dyDescent="0.2">
      <c r="A182" s="90">
        <v>175</v>
      </c>
      <c r="B182" s="129" t="s">
        <v>213</v>
      </c>
      <c r="C182" s="130" t="s">
        <v>742</v>
      </c>
      <c r="D182" s="131" t="s">
        <v>752</v>
      </c>
      <c r="E182" s="132" t="s">
        <v>212</v>
      </c>
      <c r="F182" s="63">
        <v>34068172</v>
      </c>
      <c r="G182" s="63">
        <v>0</v>
      </c>
      <c r="H182" s="63">
        <v>0</v>
      </c>
      <c r="I182" s="63">
        <v>139651</v>
      </c>
      <c r="J182" s="63">
        <v>0</v>
      </c>
      <c r="K182" s="63">
        <v>139651</v>
      </c>
      <c r="L182" s="63">
        <v>0</v>
      </c>
      <c r="M182" s="63">
        <v>0</v>
      </c>
      <c r="N182" s="63">
        <v>0</v>
      </c>
      <c r="O182" s="63">
        <v>0</v>
      </c>
      <c r="P182" s="63">
        <v>0</v>
      </c>
      <c r="Q182" s="63">
        <v>33928521</v>
      </c>
      <c r="R182" s="474">
        <v>0.5</v>
      </c>
      <c r="S182" s="474">
        <v>0.49</v>
      </c>
      <c r="T182" s="474">
        <v>0</v>
      </c>
      <c r="U182" s="474">
        <v>0.01</v>
      </c>
      <c r="V182" s="474">
        <v>1</v>
      </c>
      <c r="W182" s="63">
        <v>16964261</v>
      </c>
      <c r="X182" s="63">
        <v>13571408</v>
      </c>
      <c r="Y182" s="63">
        <v>3053567</v>
      </c>
      <c r="Z182" s="63">
        <v>339285</v>
      </c>
      <c r="AA182" s="63">
        <v>33928521</v>
      </c>
      <c r="AB182" s="63">
        <v>0</v>
      </c>
      <c r="AC182" s="63">
        <v>0</v>
      </c>
      <c r="AD182" s="63">
        <v>0</v>
      </c>
      <c r="AE182" s="63">
        <v>0</v>
      </c>
      <c r="AF182" s="63">
        <v>0</v>
      </c>
      <c r="AG182" s="63">
        <v>0</v>
      </c>
      <c r="AH182" s="63">
        <v>0</v>
      </c>
      <c r="AI182" s="63">
        <v>0</v>
      </c>
      <c r="AJ182" s="63">
        <v>0</v>
      </c>
      <c r="AK182" s="63">
        <v>0</v>
      </c>
      <c r="AL182" s="63">
        <v>16964261</v>
      </c>
      <c r="AM182" s="63">
        <v>13571408</v>
      </c>
      <c r="AN182" s="63">
        <v>3053567</v>
      </c>
      <c r="AO182" s="63">
        <v>339285</v>
      </c>
      <c r="AP182" s="63">
        <v>33928521</v>
      </c>
      <c r="AQ182" s="63">
        <v>139651</v>
      </c>
      <c r="AR182" s="63">
        <v>139651</v>
      </c>
      <c r="AS182" s="63">
        <v>0</v>
      </c>
      <c r="AT182" s="63">
        <v>0</v>
      </c>
      <c r="AU182" s="63">
        <v>0</v>
      </c>
      <c r="AV182" s="63">
        <v>0</v>
      </c>
      <c r="AW182" s="63">
        <v>0</v>
      </c>
      <c r="AX182" s="63">
        <v>0</v>
      </c>
      <c r="AY182" s="63">
        <v>0</v>
      </c>
      <c r="AZ182" s="63">
        <v>0</v>
      </c>
      <c r="BA182" s="63">
        <v>0</v>
      </c>
      <c r="BB182" s="63">
        <v>0</v>
      </c>
      <c r="BC182" s="63">
        <v>0</v>
      </c>
      <c r="BD182" s="63">
        <v>0</v>
      </c>
      <c r="BE182" s="63">
        <v>0</v>
      </c>
      <c r="BF182" s="63">
        <v>0</v>
      </c>
      <c r="BG182" s="63">
        <v>0</v>
      </c>
      <c r="BH182" s="63">
        <v>-345325</v>
      </c>
      <c r="BI182" s="63">
        <v>-276261</v>
      </c>
      <c r="BJ182" s="63">
        <v>-62159</v>
      </c>
      <c r="BK182" s="63">
        <v>-6907</v>
      </c>
      <c r="BL182" s="63">
        <v>-690652</v>
      </c>
      <c r="BM182" s="63">
        <v>16618936</v>
      </c>
      <c r="BN182" s="63">
        <v>13434798</v>
      </c>
      <c r="BO182" s="63">
        <v>2991408</v>
      </c>
      <c r="BP182" s="63">
        <v>332378</v>
      </c>
      <c r="BQ182" s="63">
        <v>33377520</v>
      </c>
      <c r="BR182" s="63">
        <v>196281</v>
      </c>
      <c r="BS182" s="63">
        <v>44163</v>
      </c>
      <c r="BT182" s="63">
        <v>4907</v>
      </c>
      <c r="BU182" s="63">
        <v>245351</v>
      </c>
      <c r="BV182" s="63">
        <v>445556</v>
      </c>
      <c r="BW182" s="63">
        <v>100250</v>
      </c>
      <c r="BX182" s="63">
        <v>11139</v>
      </c>
      <c r="BY182" s="63">
        <v>556945</v>
      </c>
      <c r="BZ182" s="63">
        <v>0</v>
      </c>
      <c r="CA182" s="63">
        <v>0</v>
      </c>
      <c r="CB182" s="63">
        <v>0</v>
      </c>
      <c r="CC182" s="63">
        <v>0</v>
      </c>
      <c r="CD182" s="63">
        <v>0</v>
      </c>
      <c r="CE182" s="63">
        <v>0</v>
      </c>
      <c r="CF182" s="63">
        <v>0</v>
      </c>
      <c r="CG182" s="63">
        <v>0</v>
      </c>
      <c r="CH182" s="63">
        <v>21046</v>
      </c>
      <c r="CI182" s="63">
        <v>4735</v>
      </c>
      <c r="CJ182" s="63">
        <v>526</v>
      </c>
      <c r="CK182" s="63">
        <v>26307</v>
      </c>
      <c r="CL182" s="63">
        <v>0</v>
      </c>
      <c r="CM182" s="63">
        <v>0</v>
      </c>
      <c r="CN182" s="63">
        <v>0</v>
      </c>
      <c r="CO182" s="63">
        <v>0</v>
      </c>
      <c r="CP182" s="63">
        <v>662883</v>
      </c>
      <c r="CQ182" s="63">
        <v>149148</v>
      </c>
      <c r="CR182" s="63">
        <v>16572</v>
      </c>
      <c r="CS182" s="63">
        <v>828603</v>
      </c>
      <c r="CU182" s="141" t="s">
        <v>212</v>
      </c>
      <c r="CV182" s="157" t="s">
        <v>964</v>
      </c>
      <c r="CW182" s="156" t="s">
        <v>965</v>
      </c>
      <c r="CX182" s="345"/>
      <c r="CY182" s="345"/>
      <c r="CZ182" s="345"/>
    </row>
    <row r="183" spans="1:104" ht="12.75" x14ac:dyDescent="0.2">
      <c r="A183" s="90">
        <v>176</v>
      </c>
      <c r="B183" s="129" t="s">
        <v>215</v>
      </c>
      <c r="C183" s="130" t="s">
        <v>747</v>
      </c>
      <c r="D183" s="131" t="s">
        <v>748</v>
      </c>
      <c r="E183" s="132" t="s">
        <v>214</v>
      </c>
      <c r="F183" s="63">
        <v>133191937</v>
      </c>
      <c r="G183" s="63">
        <v>0</v>
      </c>
      <c r="H183" s="63">
        <v>0</v>
      </c>
      <c r="I183" s="63">
        <v>373571</v>
      </c>
      <c r="J183" s="63">
        <v>0</v>
      </c>
      <c r="K183" s="63">
        <v>373571</v>
      </c>
      <c r="L183" s="63">
        <v>0</v>
      </c>
      <c r="M183" s="63">
        <v>218379</v>
      </c>
      <c r="N183" s="63">
        <v>0</v>
      </c>
      <c r="O183" s="63">
        <v>0</v>
      </c>
      <c r="P183" s="63">
        <v>0</v>
      </c>
      <c r="Q183" s="63">
        <v>132599987</v>
      </c>
      <c r="R183" s="474">
        <v>0.5</v>
      </c>
      <c r="S183" s="474">
        <v>0.3</v>
      </c>
      <c r="T183" s="474">
        <v>0.2</v>
      </c>
      <c r="U183" s="474">
        <v>0</v>
      </c>
      <c r="V183" s="474">
        <v>1</v>
      </c>
      <c r="W183" s="63">
        <v>66299994</v>
      </c>
      <c r="X183" s="63">
        <v>39779996</v>
      </c>
      <c r="Y183" s="63">
        <v>26519997</v>
      </c>
      <c r="Z183" s="63">
        <v>0</v>
      </c>
      <c r="AA183" s="63">
        <v>132599987</v>
      </c>
      <c r="AB183" s="63">
        <v>240048</v>
      </c>
      <c r="AC183" s="63">
        <v>0</v>
      </c>
      <c r="AD183" s="63">
        <v>0</v>
      </c>
      <c r="AE183" s="63">
        <v>0</v>
      </c>
      <c r="AF183" s="63">
        <v>240048</v>
      </c>
      <c r="AG183" s="63">
        <v>0</v>
      </c>
      <c r="AH183" s="63">
        <v>0</v>
      </c>
      <c r="AI183" s="63">
        <v>0</v>
      </c>
      <c r="AJ183" s="63">
        <v>0</v>
      </c>
      <c r="AK183" s="63">
        <v>0</v>
      </c>
      <c r="AL183" s="63">
        <v>66059946</v>
      </c>
      <c r="AM183" s="63">
        <v>39779996</v>
      </c>
      <c r="AN183" s="63">
        <v>26519997</v>
      </c>
      <c r="AO183" s="63">
        <v>0</v>
      </c>
      <c r="AP183" s="63">
        <v>132359939</v>
      </c>
      <c r="AQ183" s="63">
        <v>373571</v>
      </c>
      <c r="AR183" s="63">
        <v>373571</v>
      </c>
      <c r="AS183" s="63">
        <v>218379</v>
      </c>
      <c r="AT183" s="63">
        <v>218379</v>
      </c>
      <c r="AU183" s="63">
        <v>0</v>
      </c>
      <c r="AV183" s="63">
        <v>0</v>
      </c>
      <c r="AW183" s="63">
        <v>0</v>
      </c>
      <c r="AX183" s="63">
        <v>240048</v>
      </c>
      <c r="AY183" s="63">
        <v>0</v>
      </c>
      <c r="AZ183" s="63">
        <v>0</v>
      </c>
      <c r="BA183" s="63">
        <v>240048</v>
      </c>
      <c r="BB183" s="63">
        <v>0</v>
      </c>
      <c r="BC183" s="63">
        <v>0</v>
      </c>
      <c r="BD183" s="63">
        <v>0</v>
      </c>
      <c r="BE183" s="63">
        <v>0</v>
      </c>
      <c r="BF183" s="63">
        <v>0</v>
      </c>
      <c r="BG183" s="63">
        <v>0</v>
      </c>
      <c r="BH183" s="63">
        <v>-5079375</v>
      </c>
      <c r="BI183" s="63">
        <v>-3047625</v>
      </c>
      <c r="BJ183" s="63">
        <v>-2031750</v>
      </c>
      <c r="BK183" s="63">
        <v>0</v>
      </c>
      <c r="BL183" s="63">
        <v>-10158750</v>
      </c>
      <c r="BM183" s="63">
        <v>60980571</v>
      </c>
      <c r="BN183" s="63">
        <v>37564369</v>
      </c>
      <c r="BO183" s="63">
        <v>24488247</v>
      </c>
      <c r="BP183" s="63">
        <v>0</v>
      </c>
      <c r="BQ183" s="63">
        <v>123033187</v>
      </c>
      <c r="BR183" s="63">
        <v>581961</v>
      </c>
      <c r="BS183" s="63">
        <v>383554</v>
      </c>
      <c r="BT183" s="63">
        <v>0</v>
      </c>
      <c r="BU183" s="63">
        <v>965515</v>
      </c>
      <c r="BV183" s="63">
        <v>752667</v>
      </c>
      <c r="BW183" s="63">
        <v>500976</v>
      </c>
      <c r="BX183" s="63">
        <v>0</v>
      </c>
      <c r="BY183" s="63">
        <v>1253643</v>
      </c>
      <c r="BZ183" s="63">
        <v>0</v>
      </c>
      <c r="CA183" s="63">
        <v>0</v>
      </c>
      <c r="CB183" s="63">
        <v>0</v>
      </c>
      <c r="CC183" s="63">
        <v>0</v>
      </c>
      <c r="CD183" s="63">
        <v>0</v>
      </c>
      <c r="CE183" s="63">
        <v>0</v>
      </c>
      <c r="CF183" s="63">
        <v>0</v>
      </c>
      <c r="CG183" s="63">
        <v>0</v>
      </c>
      <c r="CH183" s="63">
        <v>0</v>
      </c>
      <c r="CI183" s="63">
        <v>0</v>
      </c>
      <c r="CJ183" s="63">
        <v>0</v>
      </c>
      <c r="CK183" s="63">
        <v>0</v>
      </c>
      <c r="CL183" s="63">
        <v>15400</v>
      </c>
      <c r="CM183" s="63">
        <v>10267</v>
      </c>
      <c r="CN183" s="63">
        <v>0</v>
      </c>
      <c r="CO183" s="63">
        <v>25667</v>
      </c>
      <c r="CP183" s="63">
        <v>1350028</v>
      </c>
      <c r="CQ183" s="63">
        <v>894797</v>
      </c>
      <c r="CR183" s="63">
        <v>0</v>
      </c>
      <c r="CS183" s="63">
        <v>2244825</v>
      </c>
      <c r="CU183" s="141" t="s">
        <v>214</v>
      </c>
      <c r="CV183" s="157" t="s">
        <v>939</v>
      </c>
      <c r="CW183" s="157" t="s">
        <v>940</v>
      </c>
      <c r="CX183" s="345"/>
      <c r="CY183" s="345"/>
      <c r="CZ183" s="345"/>
    </row>
    <row r="184" spans="1:104" ht="12.75" x14ac:dyDescent="0.2">
      <c r="A184" s="90">
        <v>177</v>
      </c>
      <c r="B184" s="129" t="s">
        <v>217</v>
      </c>
      <c r="C184" s="130" t="s">
        <v>742</v>
      </c>
      <c r="D184" s="131" t="s">
        <v>751</v>
      </c>
      <c r="E184" s="132" t="s">
        <v>216</v>
      </c>
      <c r="F184" s="63">
        <v>33958331</v>
      </c>
      <c r="G184" s="63">
        <v>0</v>
      </c>
      <c r="H184" s="63">
        <v>0</v>
      </c>
      <c r="I184" s="63">
        <v>204326</v>
      </c>
      <c r="J184" s="63">
        <v>0</v>
      </c>
      <c r="K184" s="63">
        <v>204326</v>
      </c>
      <c r="L184" s="63">
        <v>0</v>
      </c>
      <c r="M184" s="63">
        <v>0</v>
      </c>
      <c r="N184" s="63">
        <v>171000</v>
      </c>
      <c r="O184" s="63">
        <v>171000</v>
      </c>
      <c r="P184" s="63">
        <v>0</v>
      </c>
      <c r="Q184" s="63">
        <v>33583005</v>
      </c>
      <c r="R184" s="474">
        <v>0.5</v>
      </c>
      <c r="S184" s="474">
        <v>0.4</v>
      </c>
      <c r="T184" s="474">
        <v>0.09</v>
      </c>
      <c r="U184" s="474">
        <v>0.01</v>
      </c>
      <c r="V184" s="474">
        <v>1</v>
      </c>
      <c r="W184" s="63">
        <v>16791503</v>
      </c>
      <c r="X184" s="63">
        <v>13433202</v>
      </c>
      <c r="Y184" s="63">
        <v>3022470</v>
      </c>
      <c r="Z184" s="63">
        <v>335830</v>
      </c>
      <c r="AA184" s="63">
        <v>33583005</v>
      </c>
      <c r="AB184" s="63">
        <v>0</v>
      </c>
      <c r="AC184" s="63">
        <v>0</v>
      </c>
      <c r="AD184" s="63">
        <v>0</v>
      </c>
      <c r="AE184" s="63">
        <v>0</v>
      </c>
      <c r="AF184" s="63">
        <v>0</v>
      </c>
      <c r="AG184" s="63">
        <v>0</v>
      </c>
      <c r="AH184" s="63">
        <v>0</v>
      </c>
      <c r="AI184" s="63">
        <v>0</v>
      </c>
      <c r="AJ184" s="63">
        <v>0</v>
      </c>
      <c r="AK184" s="63">
        <v>0</v>
      </c>
      <c r="AL184" s="63">
        <v>16791503</v>
      </c>
      <c r="AM184" s="63">
        <v>13433202</v>
      </c>
      <c r="AN184" s="63">
        <v>3022470</v>
      </c>
      <c r="AO184" s="63">
        <v>335830</v>
      </c>
      <c r="AP184" s="63">
        <v>33583005</v>
      </c>
      <c r="AQ184" s="63">
        <v>204326</v>
      </c>
      <c r="AR184" s="63">
        <v>204326</v>
      </c>
      <c r="AS184" s="63">
        <v>0</v>
      </c>
      <c r="AT184" s="63">
        <v>0</v>
      </c>
      <c r="AU184" s="63">
        <v>171000</v>
      </c>
      <c r="AV184" s="63">
        <v>0</v>
      </c>
      <c r="AW184" s="63">
        <v>171000</v>
      </c>
      <c r="AX184" s="63">
        <v>0</v>
      </c>
      <c r="AY184" s="63">
        <v>0</v>
      </c>
      <c r="AZ184" s="63">
        <v>0</v>
      </c>
      <c r="BA184" s="63">
        <v>0</v>
      </c>
      <c r="BB184" s="63">
        <v>0</v>
      </c>
      <c r="BC184" s="63">
        <v>0</v>
      </c>
      <c r="BD184" s="63">
        <v>0</v>
      </c>
      <c r="BE184" s="63">
        <v>0</v>
      </c>
      <c r="BF184" s="63">
        <v>0</v>
      </c>
      <c r="BG184" s="63">
        <v>0</v>
      </c>
      <c r="BH184" s="63">
        <v>-908514</v>
      </c>
      <c r="BI184" s="63">
        <v>-726811</v>
      </c>
      <c r="BJ184" s="63">
        <v>-163532</v>
      </c>
      <c r="BK184" s="63">
        <v>-18170</v>
      </c>
      <c r="BL184" s="63">
        <v>-1817027</v>
      </c>
      <c r="BM184" s="63">
        <v>15882989</v>
      </c>
      <c r="BN184" s="63">
        <v>13081717</v>
      </c>
      <c r="BO184" s="63">
        <v>2858938</v>
      </c>
      <c r="BP184" s="63">
        <v>317660</v>
      </c>
      <c r="BQ184" s="63">
        <v>32141304</v>
      </c>
      <c r="BR184" s="63">
        <v>196755</v>
      </c>
      <c r="BS184" s="63">
        <v>43713</v>
      </c>
      <c r="BT184" s="63">
        <v>4857</v>
      </c>
      <c r="BU184" s="63">
        <v>245325</v>
      </c>
      <c r="BV184" s="63">
        <v>943309</v>
      </c>
      <c r="BW184" s="63">
        <v>212245</v>
      </c>
      <c r="BX184" s="63">
        <v>23583</v>
      </c>
      <c r="BY184" s="63">
        <v>1179137</v>
      </c>
      <c r="BZ184" s="63">
        <v>494</v>
      </c>
      <c r="CA184" s="63">
        <v>111</v>
      </c>
      <c r="CB184" s="63">
        <v>12</v>
      </c>
      <c r="CC184" s="63">
        <v>617</v>
      </c>
      <c r="CD184" s="63">
        <v>0</v>
      </c>
      <c r="CE184" s="63">
        <v>0</v>
      </c>
      <c r="CF184" s="63">
        <v>0</v>
      </c>
      <c r="CG184" s="63">
        <v>0</v>
      </c>
      <c r="CH184" s="63">
        <v>3933</v>
      </c>
      <c r="CI184" s="63">
        <v>885</v>
      </c>
      <c r="CJ184" s="63">
        <v>98</v>
      </c>
      <c r="CK184" s="63">
        <v>4916</v>
      </c>
      <c r="CL184" s="63">
        <v>5795</v>
      </c>
      <c r="CM184" s="63">
        <v>1304</v>
      </c>
      <c r="CN184" s="63">
        <v>145</v>
      </c>
      <c r="CO184" s="63">
        <v>7244</v>
      </c>
      <c r="CP184" s="63">
        <v>1150286</v>
      </c>
      <c r="CQ184" s="63">
        <v>258258</v>
      </c>
      <c r="CR184" s="63">
        <v>28695</v>
      </c>
      <c r="CS184" s="63">
        <v>1437239</v>
      </c>
      <c r="CU184" s="141" t="s">
        <v>216</v>
      </c>
      <c r="CV184" s="157" t="s">
        <v>974</v>
      </c>
      <c r="CW184" s="156" t="s">
        <v>975</v>
      </c>
      <c r="CX184" s="345"/>
      <c r="CY184" s="345"/>
      <c r="CZ184" s="345"/>
    </row>
    <row r="185" spans="1:104" ht="12.75" x14ac:dyDescent="0.2">
      <c r="A185" s="90">
        <v>178</v>
      </c>
      <c r="B185" s="129" t="s">
        <v>219</v>
      </c>
      <c r="C185" s="130" t="s">
        <v>742</v>
      </c>
      <c r="D185" s="131" t="s">
        <v>751</v>
      </c>
      <c r="E185" s="132" t="s">
        <v>218</v>
      </c>
      <c r="F185" s="63">
        <v>13044525</v>
      </c>
      <c r="G185" s="63">
        <v>0</v>
      </c>
      <c r="H185" s="63">
        <v>0</v>
      </c>
      <c r="I185" s="63">
        <v>92786</v>
      </c>
      <c r="J185" s="63">
        <v>0</v>
      </c>
      <c r="K185" s="63">
        <v>92786</v>
      </c>
      <c r="L185" s="63">
        <v>0</v>
      </c>
      <c r="M185" s="63">
        <v>0</v>
      </c>
      <c r="N185" s="63">
        <v>0</v>
      </c>
      <c r="O185" s="63">
        <v>0</v>
      </c>
      <c r="P185" s="63">
        <v>0</v>
      </c>
      <c r="Q185" s="63">
        <v>12951739</v>
      </c>
      <c r="R185" s="474">
        <v>0.5</v>
      </c>
      <c r="S185" s="474">
        <v>0.4</v>
      </c>
      <c r="T185" s="474">
        <v>0.09</v>
      </c>
      <c r="U185" s="474">
        <v>0.01</v>
      </c>
      <c r="V185" s="474">
        <v>1</v>
      </c>
      <c r="W185" s="63">
        <v>6475869</v>
      </c>
      <c r="X185" s="63">
        <v>5180696</v>
      </c>
      <c r="Y185" s="63">
        <v>1165657</v>
      </c>
      <c r="Z185" s="63">
        <v>129517</v>
      </c>
      <c r="AA185" s="63">
        <v>12951739</v>
      </c>
      <c r="AB185" s="63">
        <v>0</v>
      </c>
      <c r="AC185" s="63">
        <v>0</v>
      </c>
      <c r="AD185" s="63">
        <v>0</v>
      </c>
      <c r="AE185" s="63">
        <v>0</v>
      </c>
      <c r="AF185" s="63">
        <v>0</v>
      </c>
      <c r="AG185" s="63">
        <v>0</v>
      </c>
      <c r="AH185" s="63">
        <v>0</v>
      </c>
      <c r="AI185" s="63">
        <v>0</v>
      </c>
      <c r="AJ185" s="63">
        <v>0</v>
      </c>
      <c r="AK185" s="63">
        <v>0</v>
      </c>
      <c r="AL185" s="63">
        <v>6475869</v>
      </c>
      <c r="AM185" s="63">
        <v>5180696</v>
      </c>
      <c r="AN185" s="63">
        <v>1165657</v>
      </c>
      <c r="AO185" s="63">
        <v>129517</v>
      </c>
      <c r="AP185" s="63">
        <v>12951739</v>
      </c>
      <c r="AQ185" s="63">
        <v>92786</v>
      </c>
      <c r="AR185" s="63">
        <v>92786</v>
      </c>
      <c r="AS185" s="63">
        <v>0</v>
      </c>
      <c r="AT185" s="63">
        <v>0</v>
      </c>
      <c r="AU185" s="63">
        <v>0</v>
      </c>
      <c r="AV185" s="63">
        <v>0</v>
      </c>
      <c r="AW185" s="63">
        <v>0</v>
      </c>
      <c r="AX185" s="63">
        <v>0</v>
      </c>
      <c r="AY185" s="63">
        <v>0</v>
      </c>
      <c r="AZ185" s="63">
        <v>0</v>
      </c>
      <c r="BA185" s="63">
        <v>0</v>
      </c>
      <c r="BB185" s="63">
        <v>0</v>
      </c>
      <c r="BC185" s="63">
        <v>0</v>
      </c>
      <c r="BD185" s="63">
        <v>0</v>
      </c>
      <c r="BE185" s="63">
        <v>0</v>
      </c>
      <c r="BF185" s="63">
        <v>0</v>
      </c>
      <c r="BG185" s="63">
        <v>0</v>
      </c>
      <c r="BH185" s="63">
        <v>-305936</v>
      </c>
      <c r="BI185" s="63">
        <v>-244750</v>
      </c>
      <c r="BJ185" s="63">
        <v>-55069</v>
      </c>
      <c r="BK185" s="63">
        <v>-6119</v>
      </c>
      <c r="BL185" s="63">
        <v>-611874</v>
      </c>
      <c r="BM185" s="63">
        <v>6169933</v>
      </c>
      <c r="BN185" s="63">
        <v>5028732</v>
      </c>
      <c r="BO185" s="63">
        <v>1110588</v>
      </c>
      <c r="BP185" s="63">
        <v>123398</v>
      </c>
      <c r="BQ185" s="63">
        <v>12432651</v>
      </c>
      <c r="BR185" s="63">
        <v>74927</v>
      </c>
      <c r="BS185" s="63">
        <v>16859</v>
      </c>
      <c r="BT185" s="63">
        <v>1873</v>
      </c>
      <c r="BU185" s="63">
        <v>93659</v>
      </c>
      <c r="BV185" s="63">
        <v>377819</v>
      </c>
      <c r="BW185" s="63">
        <v>85010</v>
      </c>
      <c r="BX185" s="63">
        <v>9446</v>
      </c>
      <c r="BY185" s="63">
        <v>472275</v>
      </c>
      <c r="BZ185" s="63">
        <v>1075</v>
      </c>
      <c r="CA185" s="63">
        <v>242</v>
      </c>
      <c r="CB185" s="63">
        <v>27</v>
      </c>
      <c r="CC185" s="63">
        <v>1344</v>
      </c>
      <c r="CD185" s="63">
        <v>13562</v>
      </c>
      <c r="CE185" s="63">
        <v>3052</v>
      </c>
      <c r="CF185" s="63">
        <v>339</v>
      </c>
      <c r="CG185" s="63">
        <v>16953</v>
      </c>
      <c r="CH185" s="63">
        <v>1801</v>
      </c>
      <c r="CI185" s="63">
        <v>405</v>
      </c>
      <c r="CJ185" s="63">
        <v>45</v>
      </c>
      <c r="CK185" s="63">
        <v>2251</v>
      </c>
      <c r="CL185" s="63">
        <v>6558</v>
      </c>
      <c r="CM185" s="63">
        <v>1476</v>
      </c>
      <c r="CN185" s="63">
        <v>164</v>
      </c>
      <c r="CO185" s="63">
        <v>8198</v>
      </c>
      <c r="CP185" s="63">
        <v>475742</v>
      </c>
      <c r="CQ185" s="63">
        <v>107044</v>
      </c>
      <c r="CR185" s="63">
        <v>11894</v>
      </c>
      <c r="CS185" s="63">
        <v>594680</v>
      </c>
      <c r="CU185" s="141" t="s">
        <v>218</v>
      </c>
      <c r="CV185" s="157" t="s">
        <v>969</v>
      </c>
      <c r="CW185" s="156" t="s">
        <v>955</v>
      </c>
      <c r="CX185" s="345"/>
      <c r="CY185" s="345"/>
      <c r="CZ185" s="345"/>
    </row>
    <row r="186" spans="1:104" ht="12.75" x14ac:dyDescent="0.2">
      <c r="A186" s="90">
        <v>179</v>
      </c>
      <c r="B186" s="129" t="s">
        <v>221</v>
      </c>
      <c r="C186" s="130" t="s">
        <v>742</v>
      </c>
      <c r="D186" s="131" t="s">
        <v>745</v>
      </c>
      <c r="E186" s="132" t="s">
        <v>220</v>
      </c>
      <c r="F186" s="63">
        <v>16460632</v>
      </c>
      <c r="G186" s="63">
        <v>0</v>
      </c>
      <c r="H186" s="63">
        <v>0</v>
      </c>
      <c r="I186" s="63">
        <v>97755</v>
      </c>
      <c r="J186" s="63">
        <v>0</v>
      </c>
      <c r="K186" s="63">
        <v>97755</v>
      </c>
      <c r="L186" s="63">
        <v>0</v>
      </c>
      <c r="M186" s="63">
        <v>0</v>
      </c>
      <c r="N186" s="63">
        <v>0</v>
      </c>
      <c r="O186" s="63">
        <v>0</v>
      </c>
      <c r="P186" s="63">
        <v>0</v>
      </c>
      <c r="Q186" s="63">
        <v>16362877</v>
      </c>
      <c r="R186" s="474">
        <v>0.5</v>
      </c>
      <c r="S186" s="474">
        <v>0.4</v>
      </c>
      <c r="T186" s="474">
        <v>0.09</v>
      </c>
      <c r="U186" s="474">
        <v>0.01</v>
      </c>
      <c r="V186" s="474">
        <v>1</v>
      </c>
      <c r="W186" s="63">
        <v>8181438</v>
      </c>
      <c r="X186" s="63">
        <v>6545151</v>
      </c>
      <c r="Y186" s="63">
        <v>1472659</v>
      </c>
      <c r="Z186" s="63">
        <v>163629</v>
      </c>
      <c r="AA186" s="63">
        <v>16362877</v>
      </c>
      <c r="AB186" s="63">
        <v>0</v>
      </c>
      <c r="AC186" s="63">
        <v>0</v>
      </c>
      <c r="AD186" s="63">
        <v>0</v>
      </c>
      <c r="AE186" s="63">
        <v>0</v>
      </c>
      <c r="AF186" s="63">
        <v>0</v>
      </c>
      <c r="AG186" s="63">
        <v>0</v>
      </c>
      <c r="AH186" s="63">
        <v>0</v>
      </c>
      <c r="AI186" s="63">
        <v>0</v>
      </c>
      <c r="AJ186" s="63">
        <v>0</v>
      </c>
      <c r="AK186" s="63">
        <v>0</v>
      </c>
      <c r="AL186" s="63">
        <v>8181438</v>
      </c>
      <c r="AM186" s="63">
        <v>6545151</v>
      </c>
      <c r="AN186" s="63">
        <v>1472659</v>
      </c>
      <c r="AO186" s="63">
        <v>163629</v>
      </c>
      <c r="AP186" s="63">
        <v>16362877</v>
      </c>
      <c r="AQ186" s="63">
        <v>97755</v>
      </c>
      <c r="AR186" s="63">
        <v>97755</v>
      </c>
      <c r="AS186" s="63">
        <v>0</v>
      </c>
      <c r="AT186" s="63">
        <v>0</v>
      </c>
      <c r="AU186" s="63">
        <v>0</v>
      </c>
      <c r="AV186" s="63">
        <v>0</v>
      </c>
      <c r="AW186" s="63">
        <v>0</v>
      </c>
      <c r="AX186" s="63">
        <v>0</v>
      </c>
      <c r="AY186" s="63">
        <v>0</v>
      </c>
      <c r="AZ186" s="63">
        <v>0</v>
      </c>
      <c r="BA186" s="63">
        <v>0</v>
      </c>
      <c r="BB186" s="63">
        <v>0</v>
      </c>
      <c r="BC186" s="63">
        <v>0</v>
      </c>
      <c r="BD186" s="63">
        <v>0</v>
      </c>
      <c r="BE186" s="63">
        <v>0</v>
      </c>
      <c r="BF186" s="63">
        <v>0</v>
      </c>
      <c r="BG186" s="63">
        <v>0</v>
      </c>
      <c r="BH186" s="63">
        <v>-232682</v>
      </c>
      <c r="BI186" s="63">
        <v>-186146</v>
      </c>
      <c r="BJ186" s="63">
        <v>-41883</v>
      </c>
      <c r="BK186" s="63">
        <v>-4654</v>
      </c>
      <c r="BL186" s="63">
        <v>-465365</v>
      </c>
      <c r="BM186" s="63">
        <v>7948756</v>
      </c>
      <c r="BN186" s="63">
        <v>6456760</v>
      </c>
      <c r="BO186" s="63">
        <v>1430776</v>
      </c>
      <c r="BP186" s="63">
        <v>158975</v>
      </c>
      <c r="BQ186" s="63">
        <v>15995267</v>
      </c>
      <c r="BR186" s="63">
        <v>94661</v>
      </c>
      <c r="BS186" s="63">
        <v>21299</v>
      </c>
      <c r="BT186" s="63">
        <v>2367</v>
      </c>
      <c r="BU186" s="63">
        <v>118327</v>
      </c>
      <c r="BV186" s="63">
        <v>375477</v>
      </c>
      <c r="BW186" s="63">
        <v>84482</v>
      </c>
      <c r="BX186" s="63">
        <v>9387</v>
      </c>
      <c r="BY186" s="63">
        <v>469346</v>
      </c>
      <c r="BZ186" s="63">
        <v>0</v>
      </c>
      <c r="CA186" s="63">
        <v>0</v>
      </c>
      <c r="CB186" s="63">
        <v>0</v>
      </c>
      <c r="CC186" s="63">
        <v>0</v>
      </c>
      <c r="CD186" s="63">
        <v>0</v>
      </c>
      <c r="CE186" s="63">
        <v>0</v>
      </c>
      <c r="CF186" s="63">
        <v>0</v>
      </c>
      <c r="CG186" s="63">
        <v>0</v>
      </c>
      <c r="CH186" s="63">
        <v>0</v>
      </c>
      <c r="CI186" s="63">
        <v>0</v>
      </c>
      <c r="CJ186" s="63">
        <v>0</v>
      </c>
      <c r="CK186" s="63">
        <v>0</v>
      </c>
      <c r="CL186" s="63">
        <v>4320</v>
      </c>
      <c r="CM186" s="63">
        <v>972</v>
      </c>
      <c r="CN186" s="63">
        <v>108</v>
      </c>
      <c r="CO186" s="63">
        <v>5400</v>
      </c>
      <c r="CP186" s="63">
        <v>474458</v>
      </c>
      <c r="CQ186" s="63">
        <v>106753</v>
      </c>
      <c r="CR186" s="63">
        <v>11862</v>
      </c>
      <c r="CS186" s="63">
        <v>593073</v>
      </c>
      <c r="CU186" s="141" t="s">
        <v>220</v>
      </c>
      <c r="CV186" s="157" t="s">
        <v>930</v>
      </c>
      <c r="CW186" s="156" t="s">
        <v>931</v>
      </c>
      <c r="CX186" s="345"/>
      <c r="CY186" s="345"/>
      <c r="CZ186" s="345"/>
    </row>
    <row r="187" spans="1:104" ht="12.75" x14ac:dyDescent="0.2">
      <c r="A187" s="90">
        <v>180</v>
      </c>
      <c r="B187" s="129" t="s">
        <v>222</v>
      </c>
      <c r="C187" s="130" t="s">
        <v>501</v>
      </c>
      <c r="D187" s="131" t="s">
        <v>750</v>
      </c>
      <c r="E187" s="132" t="s">
        <v>534</v>
      </c>
      <c r="F187" s="63">
        <v>67543632</v>
      </c>
      <c r="G187" s="63">
        <v>0</v>
      </c>
      <c r="H187" s="63">
        <v>0</v>
      </c>
      <c r="I187" s="63">
        <v>235530</v>
      </c>
      <c r="J187" s="63">
        <v>0</v>
      </c>
      <c r="K187" s="63">
        <v>235530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63">
        <v>67308102</v>
      </c>
      <c r="R187" s="474">
        <v>0.5</v>
      </c>
      <c r="S187" s="474">
        <v>0.49</v>
      </c>
      <c r="T187" s="474">
        <v>0</v>
      </c>
      <c r="U187" s="474">
        <v>0.01</v>
      </c>
      <c r="V187" s="474">
        <v>1</v>
      </c>
      <c r="W187" s="63">
        <v>33654051</v>
      </c>
      <c r="X187" s="63">
        <v>32980970</v>
      </c>
      <c r="Y187" s="63">
        <v>0</v>
      </c>
      <c r="Z187" s="63">
        <v>673081</v>
      </c>
      <c r="AA187" s="63">
        <v>67308102</v>
      </c>
      <c r="AB187" s="63">
        <v>65728</v>
      </c>
      <c r="AC187" s="63">
        <v>0</v>
      </c>
      <c r="AD187" s="63">
        <v>0</v>
      </c>
      <c r="AE187" s="63">
        <v>0</v>
      </c>
      <c r="AF187" s="63">
        <v>65728</v>
      </c>
      <c r="AG187" s="63">
        <v>0</v>
      </c>
      <c r="AH187" s="63">
        <v>0</v>
      </c>
      <c r="AI187" s="63">
        <v>0</v>
      </c>
      <c r="AJ187" s="63">
        <v>0</v>
      </c>
      <c r="AK187" s="63">
        <v>0</v>
      </c>
      <c r="AL187" s="63">
        <v>33588323</v>
      </c>
      <c r="AM187" s="63">
        <v>32980970</v>
      </c>
      <c r="AN187" s="63">
        <v>0</v>
      </c>
      <c r="AO187" s="63">
        <v>673081</v>
      </c>
      <c r="AP187" s="63">
        <v>67242374</v>
      </c>
      <c r="AQ187" s="63">
        <v>235530</v>
      </c>
      <c r="AR187" s="63">
        <v>235530</v>
      </c>
      <c r="AS187" s="63">
        <v>0</v>
      </c>
      <c r="AT187" s="63">
        <v>0</v>
      </c>
      <c r="AU187" s="63">
        <v>0</v>
      </c>
      <c r="AV187" s="63">
        <v>0</v>
      </c>
      <c r="AW187" s="63">
        <v>0</v>
      </c>
      <c r="AX187" s="63">
        <v>65728</v>
      </c>
      <c r="AY187" s="63">
        <v>0</v>
      </c>
      <c r="AZ187" s="63">
        <v>0</v>
      </c>
      <c r="BA187" s="63">
        <v>65728</v>
      </c>
      <c r="BB187" s="63">
        <v>0</v>
      </c>
      <c r="BC187" s="63">
        <v>0</v>
      </c>
      <c r="BD187" s="63">
        <v>0</v>
      </c>
      <c r="BE187" s="63">
        <v>0</v>
      </c>
      <c r="BF187" s="63">
        <v>0</v>
      </c>
      <c r="BG187" s="63">
        <v>0</v>
      </c>
      <c r="BH187" s="63">
        <v>-1087573</v>
      </c>
      <c r="BI187" s="63">
        <v>-1065821</v>
      </c>
      <c r="BJ187" s="63">
        <v>0</v>
      </c>
      <c r="BK187" s="63">
        <v>-21751</v>
      </c>
      <c r="BL187" s="63">
        <v>-2175145</v>
      </c>
      <c r="BM187" s="63">
        <v>32500750</v>
      </c>
      <c r="BN187" s="63">
        <v>32216407</v>
      </c>
      <c r="BO187" s="63">
        <v>0</v>
      </c>
      <c r="BP187" s="63">
        <v>651330</v>
      </c>
      <c r="BQ187" s="63">
        <v>65368487</v>
      </c>
      <c r="BR187" s="63">
        <v>477948</v>
      </c>
      <c r="BS187" s="63">
        <v>0</v>
      </c>
      <c r="BT187" s="63">
        <v>9735</v>
      </c>
      <c r="BU187" s="63">
        <v>487683</v>
      </c>
      <c r="BV187" s="63">
        <v>854786</v>
      </c>
      <c r="BW187" s="63">
        <v>0</v>
      </c>
      <c r="BX187" s="63">
        <v>17445</v>
      </c>
      <c r="BY187" s="63">
        <v>872231</v>
      </c>
      <c r="BZ187" s="63">
        <v>15989</v>
      </c>
      <c r="CA187" s="63">
        <v>0</v>
      </c>
      <c r="CB187" s="63">
        <v>326</v>
      </c>
      <c r="CC187" s="63">
        <v>16315</v>
      </c>
      <c r="CD187" s="63">
        <v>0</v>
      </c>
      <c r="CE187" s="63">
        <v>0</v>
      </c>
      <c r="CF187" s="63">
        <v>0</v>
      </c>
      <c r="CG187" s="63">
        <v>0</v>
      </c>
      <c r="CH187" s="63">
        <v>10273</v>
      </c>
      <c r="CI187" s="63">
        <v>0</v>
      </c>
      <c r="CJ187" s="63">
        <v>210</v>
      </c>
      <c r="CK187" s="63">
        <v>10483</v>
      </c>
      <c r="CL187" s="63">
        <v>397</v>
      </c>
      <c r="CM187" s="63">
        <v>0</v>
      </c>
      <c r="CN187" s="63">
        <v>8</v>
      </c>
      <c r="CO187" s="63">
        <v>405</v>
      </c>
      <c r="CP187" s="63">
        <v>1359393</v>
      </c>
      <c r="CQ187" s="63">
        <v>0</v>
      </c>
      <c r="CR187" s="63">
        <v>27724</v>
      </c>
      <c r="CS187" s="63">
        <v>1387117</v>
      </c>
      <c r="CU187" s="141" t="s">
        <v>534</v>
      </c>
      <c r="CV187" s="157" t="s">
        <v>501</v>
      </c>
      <c r="CW187" s="156" t="s">
        <v>976</v>
      </c>
      <c r="CX187" s="345"/>
      <c r="CY187" s="345"/>
      <c r="CZ187" s="345"/>
    </row>
    <row r="188" spans="1:104" ht="12.75" x14ac:dyDescent="0.2">
      <c r="A188" s="90">
        <v>181</v>
      </c>
      <c r="B188" s="129" t="s">
        <v>224</v>
      </c>
      <c r="C188" s="130" t="s">
        <v>742</v>
      </c>
      <c r="D188" s="131" t="s">
        <v>746</v>
      </c>
      <c r="E188" s="132" t="s">
        <v>223</v>
      </c>
      <c r="F188" s="63">
        <v>39518123</v>
      </c>
      <c r="G188" s="63">
        <v>0</v>
      </c>
      <c r="H188" s="63">
        <v>0</v>
      </c>
      <c r="I188" s="63">
        <v>180409</v>
      </c>
      <c r="J188" s="63">
        <v>0</v>
      </c>
      <c r="K188" s="63">
        <v>180409</v>
      </c>
      <c r="L188" s="63">
        <v>0</v>
      </c>
      <c r="M188" s="63">
        <v>0</v>
      </c>
      <c r="N188" s="63">
        <v>37026</v>
      </c>
      <c r="O188" s="63">
        <v>37026</v>
      </c>
      <c r="P188" s="63">
        <v>0</v>
      </c>
      <c r="Q188" s="63">
        <v>39300688</v>
      </c>
      <c r="R188" s="474">
        <v>0.5</v>
      </c>
      <c r="S188" s="474">
        <v>0.4</v>
      </c>
      <c r="T188" s="474">
        <v>0.1</v>
      </c>
      <c r="U188" s="474">
        <v>0</v>
      </c>
      <c r="V188" s="474">
        <v>1</v>
      </c>
      <c r="W188" s="63">
        <v>19650344</v>
      </c>
      <c r="X188" s="63">
        <v>15720275</v>
      </c>
      <c r="Y188" s="63">
        <v>3930069</v>
      </c>
      <c r="Z188" s="63">
        <v>0</v>
      </c>
      <c r="AA188" s="63">
        <v>39300688</v>
      </c>
      <c r="AB188" s="63">
        <v>0</v>
      </c>
      <c r="AC188" s="63">
        <v>0</v>
      </c>
      <c r="AD188" s="63">
        <v>0</v>
      </c>
      <c r="AE188" s="63">
        <v>0</v>
      </c>
      <c r="AF188" s="63">
        <v>0</v>
      </c>
      <c r="AG188" s="63">
        <v>0</v>
      </c>
      <c r="AH188" s="63">
        <v>0</v>
      </c>
      <c r="AI188" s="63">
        <v>0</v>
      </c>
      <c r="AJ188" s="63">
        <v>0</v>
      </c>
      <c r="AK188" s="63">
        <v>0</v>
      </c>
      <c r="AL188" s="63">
        <v>19650344</v>
      </c>
      <c r="AM188" s="63">
        <v>15720275</v>
      </c>
      <c r="AN188" s="63">
        <v>3930069</v>
      </c>
      <c r="AO188" s="63">
        <v>0</v>
      </c>
      <c r="AP188" s="63">
        <v>39300688</v>
      </c>
      <c r="AQ188" s="63">
        <v>180409</v>
      </c>
      <c r="AR188" s="63">
        <v>180409</v>
      </c>
      <c r="AS188" s="63">
        <v>0</v>
      </c>
      <c r="AT188" s="63">
        <v>0</v>
      </c>
      <c r="AU188" s="63">
        <v>37026</v>
      </c>
      <c r="AV188" s="63">
        <v>0</v>
      </c>
      <c r="AW188" s="63">
        <v>37026</v>
      </c>
      <c r="AX188" s="63">
        <v>0</v>
      </c>
      <c r="AY188" s="63">
        <v>0</v>
      </c>
      <c r="AZ188" s="63">
        <v>0</v>
      </c>
      <c r="BA188" s="63">
        <v>0</v>
      </c>
      <c r="BB188" s="63">
        <v>0</v>
      </c>
      <c r="BC188" s="63">
        <v>0</v>
      </c>
      <c r="BD188" s="63">
        <v>0</v>
      </c>
      <c r="BE188" s="63">
        <v>0</v>
      </c>
      <c r="BF188" s="63">
        <v>0</v>
      </c>
      <c r="BG188" s="63">
        <v>0</v>
      </c>
      <c r="BH188" s="63">
        <v>-256702</v>
      </c>
      <c r="BI188" s="63">
        <v>-205362</v>
      </c>
      <c r="BJ188" s="63">
        <v>-51340</v>
      </c>
      <c r="BK188" s="63">
        <v>0</v>
      </c>
      <c r="BL188" s="63">
        <v>-513404</v>
      </c>
      <c r="BM188" s="63">
        <v>19393642</v>
      </c>
      <c r="BN188" s="63">
        <v>15732348</v>
      </c>
      <c r="BO188" s="63">
        <v>3878729</v>
      </c>
      <c r="BP188" s="63">
        <v>0</v>
      </c>
      <c r="BQ188" s="63">
        <v>39004719</v>
      </c>
      <c r="BR188" s="63">
        <v>227895</v>
      </c>
      <c r="BS188" s="63">
        <v>56840</v>
      </c>
      <c r="BT188" s="63">
        <v>0</v>
      </c>
      <c r="BU188" s="63">
        <v>284735</v>
      </c>
      <c r="BV188" s="63">
        <v>549503</v>
      </c>
      <c r="BW188" s="63">
        <v>137376</v>
      </c>
      <c r="BX188" s="63">
        <v>0</v>
      </c>
      <c r="BY188" s="63">
        <v>686879</v>
      </c>
      <c r="BZ188" s="63">
        <v>0</v>
      </c>
      <c r="CA188" s="63">
        <v>0</v>
      </c>
      <c r="CB188" s="63">
        <v>0</v>
      </c>
      <c r="CC188" s="63">
        <v>0</v>
      </c>
      <c r="CD188" s="63">
        <v>1014</v>
      </c>
      <c r="CE188" s="63">
        <v>254</v>
      </c>
      <c r="CF188" s="63">
        <v>0</v>
      </c>
      <c r="CG188" s="63">
        <v>1268</v>
      </c>
      <c r="CH188" s="63">
        <v>1014</v>
      </c>
      <c r="CI188" s="63">
        <v>254</v>
      </c>
      <c r="CJ188" s="63">
        <v>0</v>
      </c>
      <c r="CK188" s="63">
        <v>1268</v>
      </c>
      <c r="CL188" s="63">
        <v>1045</v>
      </c>
      <c r="CM188" s="63">
        <v>261</v>
      </c>
      <c r="CN188" s="63">
        <v>0</v>
      </c>
      <c r="CO188" s="63">
        <v>1306</v>
      </c>
      <c r="CP188" s="63">
        <v>780471</v>
      </c>
      <c r="CQ188" s="63">
        <v>194985</v>
      </c>
      <c r="CR188" s="63">
        <v>0</v>
      </c>
      <c r="CS188" s="63">
        <v>975456</v>
      </c>
      <c r="CU188" s="141" t="s">
        <v>223</v>
      </c>
      <c r="CV188" s="157" t="s">
        <v>960</v>
      </c>
      <c r="CW188" s="156" t="s">
        <v>928</v>
      </c>
      <c r="CX188" s="345"/>
      <c r="CY188" s="345"/>
      <c r="CZ188" s="345"/>
    </row>
    <row r="189" spans="1:104" ht="12.75" x14ac:dyDescent="0.2">
      <c r="A189" s="90">
        <v>182</v>
      </c>
      <c r="B189" s="129" t="s">
        <v>226</v>
      </c>
      <c r="C189" s="130" t="s">
        <v>742</v>
      </c>
      <c r="D189" s="131" t="s">
        <v>745</v>
      </c>
      <c r="E189" s="132" t="s">
        <v>225</v>
      </c>
      <c r="F189" s="63">
        <v>26163219</v>
      </c>
      <c r="G189" s="63">
        <v>0</v>
      </c>
      <c r="H189" s="63">
        <v>0</v>
      </c>
      <c r="I189" s="63">
        <v>124592</v>
      </c>
      <c r="J189" s="63">
        <v>0</v>
      </c>
      <c r="K189" s="63">
        <v>124592</v>
      </c>
      <c r="L189" s="63">
        <v>0</v>
      </c>
      <c r="M189" s="63">
        <v>0</v>
      </c>
      <c r="N189" s="63">
        <v>1767604</v>
      </c>
      <c r="O189" s="63">
        <v>1634504</v>
      </c>
      <c r="P189" s="63">
        <v>133100</v>
      </c>
      <c r="Q189" s="63">
        <v>24271023</v>
      </c>
      <c r="R189" s="474">
        <v>0.5</v>
      </c>
      <c r="S189" s="474">
        <v>0.4</v>
      </c>
      <c r="T189" s="474">
        <v>0.1</v>
      </c>
      <c r="U189" s="474">
        <v>0</v>
      </c>
      <c r="V189" s="474">
        <v>1</v>
      </c>
      <c r="W189" s="63">
        <v>12135512</v>
      </c>
      <c r="X189" s="63">
        <v>9708409</v>
      </c>
      <c r="Y189" s="63">
        <v>2427102</v>
      </c>
      <c r="Z189" s="63">
        <v>0</v>
      </c>
      <c r="AA189" s="63">
        <v>24271023</v>
      </c>
      <c r="AB189" s="63">
        <v>0</v>
      </c>
      <c r="AC189" s="63">
        <v>0</v>
      </c>
      <c r="AD189" s="63">
        <v>0</v>
      </c>
      <c r="AE189" s="63">
        <v>0</v>
      </c>
      <c r="AF189" s="63">
        <v>0</v>
      </c>
      <c r="AG189" s="63">
        <v>0</v>
      </c>
      <c r="AH189" s="63">
        <v>0</v>
      </c>
      <c r="AI189" s="63">
        <v>0</v>
      </c>
      <c r="AJ189" s="63">
        <v>0</v>
      </c>
      <c r="AK189" s="63">
        <v>0</v>
      </c>
      <c r="AL189" s="63">
        <v>12135512</v>
      </c>
      <c r="AM189" s="63">
        <v>9708409</v>
      </c>
      <c r="AN189" s="63">
        <v>2427102</v>
      </c>
      <c r="AO189" s="63">
        <v>0</v>
      </c>
      <c r="AP189" s="63">
        <v>24271023</v>
      </c>
      <c r="AQ189" s="63">
        <v>124592</v>
      </c>
      <c r="AR189" s="63">
        <v>124592</v>
      </c>
      <c r="AS189" s="63">
        <v>0</v>
      </c>
      <c r="AT189" s="63">
        <v>0</v>
      </c>
      <c r="AU189" s="63">
        <v>1634504</v>
      </c>
      <c r="AV189" s="63">
        <v>133100</v>
      </c>
      <c r="AW189" s="63">
        <v>1767604</v>
      </c>
      <c r="AX189" s="63">
        <v>0</v>
      </c>
      <c r="AY189" s="63">
        <v>0</v>
      </c>
      <c r="AZ189" s="63">
        <v>0</v>
      </c>
      <c r="BA189" s="63">
        <v>0</v>
      </c>
      <c r="BB189" s="63">
        <v>0</v>
      </c>
      <c r="BC189" s="63">
        <v>0</v>
      </c>
      <c r="BD189" s="63">
        <v>0</v>
      </c>
      <c r="BE189" s="63">
        <v>0</v>
      </c>
      <c r="BF189" s="63">
        <v>0</v>
      </c>
      <c r="BG189" s="63">
        <v>0</v>
      </c>
      <c r="BH189" s="63">
        <v>-2241681</v>
      </c>
      <c r="BI189" s="63">
        <v>-1793345</v>
      </c>
      <c r="BJ189" s="63">
        <v>-448336</v>
      </c>
      <c r="BK189" s="63">
        <v>0</v>
      </c>
      <c r="BL189" s="63">
        <v>-4483362</v>
      </c>
      <c r="BM189" s="63">
        <v>9893831</v>
      </c>
      <c r="BN189" s="63">
        <v>9674160</v>
      </c>
      <c r="BO189" s="63">
        <v>2111866</v>
      </c>
      <c r="BP189" s="63">
        <v>0</v>
      </c>
      <c r="BQ189" s="63">
        <v>21679857</v>
      </c>
      <c r="BR189" s="63">
        <v>164050</v>
      </c>
      <c r="BS189" s="63">
        <v>37028</v>
      </c>
      <c r="BT189" s="63">
        <v>0</v>
      </c>
      <c r="BU189" s="63">
        <v>201078</v>
      </c>
      <c r="BV189" s="63">
        <v>469833</v>
      </c>
      <c r="BW189" s="63">
        <v>117458</v>
      </c>
      <c r="BX189" s="63">
        <v>0</v>
      </c>
      <c r="BY189" s="63">
        <v>587291</v>
      </c>
      <c r="BZ189" s="63">
        <v>5809</v>
      </c>
      <c r="CA189" s="63">
        <v>1452</v>
      </c>
      <c r="CB189" s="63">
        <v>0</v>
      </c>
      <c r="CC189" s="63">
        <v>7261</v>
      </c>
      <c r="CD189" s="63">
        <v>7774</v>
      </c>
      <c r="CE189" s="63">
        <v>1944</v>
      </c>
      <c r="CF189" s="63">
        <v>0</v>
      </c>
      <c r="CG189" s="63">
        <v>9718</v>
      </c>
      <c r="CH189" s="63">
        <v>28699</v>
      </c>
      <c r="CI189" s="63">
        <v>7175</v>
      </c>
      <c r="CJ189" s="63">
        <v>0</v>
      </c>
      <c r="CK189" s="63">
        <v>35874</v>
      </c>
      <c r="CL189" s="63">
        <v>0</v>
      </c>
      <c r="CM189" s="63">
        <v>0</v>
      </c>
      <c r="CN189" s="63">
        <v>0</v>
      </c>
      <c r="CO189" s="63">
        <v>0</v>
      </c>
      <c r="CP189" s="63">
        <v>676165</v>
      </c>
      <c r="CQ189" s="63">
        <v>165057</v>
      </c>
      <c r="CR189" s="63">
        <v>0</v>
      </c>
      <c r="CS189" s="63">
        <v>841222</v>
      </c>
      <c r="CU189" s="141" t="s">
        <v>225</v>
      </c>
      <c r="CV189" s="157" t="s">
        <v>954</v>
      </c>
      <c r="CW189" s="156" t="s">
        <v>928</v>
      </c>
      <c r="CX189" s="345"/>
      <c r="CY189" s="345"/>
      <c r="CZ189" s="345"/>
    </row>
    <row r="190" spans="1:104" ht="12.75" x14ac:dyDescent="0.2">
      <c r="A190" s="90">
        <v>183</v>
      </c>
      <c r="B190" s="129" t="s">
        <v>227</v>
      </c>
      <c r="C190" s="130" t="s">
        <v>501</v>
      </c>
      <c r="D190" s="131" t="s">
        <v>750</v>
      </c>
      <c r="E190" s="132" t="s">
        <v>535</v>
      </c>
      <c r="F190" s="63">
        <v>91918405</v>
      </c>
      <c r="G190" s="63">
        <v>0</v>
      </c>
      <c r="H190" s="63">
        <v>0</v>
      </c>
      <c r="I190" s="63">
        <v>253641</v>
      </c>
      <c r="J190" s="63">
        <v>0</v>
      </c>
      <c r="K190" s="63">
        <v>253641</v>
      </c>
      <c r="L190" s="63">
        <v>0</v>
      </c>
      <c r="M190" s="63">
        <v>157156</v>
      </c>
      <c r="N190" s="63">
        <v>2283360</v>
      </c>
      <c r="O190" s="63">
        <v>2283360</v>
      </c>
      <c r="P190" s="63">
        <v>0</v>
      </c>
      <c r="Q190" s="63">
        <v>89224248</v>
      </c>
      <c r="R190" s="474">
        <v>0.5</v>
      </c>
      <c r="S190" s="474">
        <v>0.49</v>
      </c>
      <c r="T190" s="474">
        <v>0</v>
      </c>
      <c r="U190" s="474">
        <v>0.01</v>
      </c>
      <c r="V190" s="474">
        <v>1</v>
      </c>
      <c r="W190" s="63">
        <v>44612124</v>
      </c>
      <c r="X190" s="63">
        <v>43719882</v>
      </c>
      <c r="Y190" s="63">
        <v>0</v>
      </c>
      <c r="Z190" s="63">
        <v>892242</v>
      </c>
      <c r="AA190" s="63">
        <v>89224248</v>
      </c>
      <c r="AB190" s="63">
        <v>0</v>
      </c>
      <c r="AC190" s="63">
        <v>0</v>
      </c>
      <c r="AD190" s="63">
        <v>0</v>
      </c>
      <c r="AE190" s="63">
        <v>0</v>
      </c>
      <c r="AF190" s="63">
        <v>0</v>
      </c>
      <c r="AG190" s="63">
        <v>0</v>
      </c>
      <c r="AH190" s="63">
        <v>0</v>
      </c>
      <c r="AI190" s="63">
        <v>0</v>
      </c>
      <c r="AJ190" s="63">
        <v>0</v>
      </c>
      <c r="AK190" s="63">
        <v>0</v>
      </c>
      <c r="AL190" s="63">
        <v>44612124</v>
      </c>
      <c r="AM190" s="63">
        <v>43719882</v>
      </c>
      <c r="AN190" s="63">
        <v>0</v>
      </c>
      <c r="AO190" s="63">
        <v>892242</v>
      </c>
      <c r="AP190" s="63">
        <v>89224248</v>
      </c>
      <c r="AQ190" s="63">
        <v>253641</v>
      </c>
      <c r="AR190" s="63">
        <v>253641</v>
      </c>
      <c r="AS190" s="63">
        <v>157156</v>
      </c>
      <c r="AT190" s="63">
        <v>157156</v>
      </c>
      <c r="AU190" s="63">
        <v>2283360</v>
      </c>
      <c r="AV190" s="63">
        <v>0</v>
      </c>
      <c r="AW190" s="63">
        <v>2283360</v>
      </c>
      <c r="AX190" s="63">
        <v>0</v>
      </c>
      <c r="AY190" s="63">
        <v>0</v>
      </c>
      <c r="AZ190" s="63">
        <v>0</v>
      </c>
      <c r="BA190" s="63">
        <v>0</v>
      </c>
      <c r="BB190" s="63">
        <v>0</v>
      </c>
      <c r="BC190" s="63">
        <v>0</v>
      </c>
      <c r="BD190" s="63">
        <v>0</v>
      </c>
      <c r="BE190" s="63">
        <v>0</v>
      </c>
      <c r="BF190" s="63">
        <v>0</v>
      </c>
      <c r="BG190" s="63">
        <v>0</v>
      </c>
      <c r="BH190" s="63">
        <v>-1655574</v>
      </c>
      <c r="BI190" s="63">
        <v>-1622462</v>
      </c>
      <c r="BJ190" s="63">
        <v>0</v>
      </c>
      <c r="BK190" s="63">
        <v>-33111</v>
      </c>
      <c r="BL190" s="63">
        <v>-3311147</v>
      </c>
      <c r="BM190" s="63">
        <v>42956550</v>
      </c>
      <c r="BN190" s="63">
        <v>44791577</v>
      </c>
      <c r="BO190" s="63">
        <v>0</v>
      </c>
      <c r="BP190" s="63">
        <v>859131</v>
      </c>
      <c r="BQ190" s="63">
        <v>88607258</v>
      </c>
      <c r="BR190" s="63">
        <v>667609</v>
      </c>
      <c r="BS190" s="63">
        <v>0</v>
      </c>
      <c r="BT190" s="63">
        <v>12904</v>
      </c>
      <c r="BU190" s="63">
        <v>680513</v>
      </c>
      <c r="BV190" s="63">
        <v>919735</v>
      </c>
      <c r="BW190" s="63">
        <v>0</v>
      </c>
      <c r="BX190" s="63">
        <v>18717</v>
      </c>
      <c r="BY190" s="63">
        <v>938452</v>
      </c>
      <c r="BZ190" s="63">
        <v>11696</v>
      </c>
      <c r="CA190" s="63">
        <v>0</v>
      </c>
      <c r="CB190" s="63">
        <v>239</v>
      </c>
      <c r="CC190" s="63">
        <v>11935</v>
      </c>
      <c r="CD190" s="63">
        <v>6189</v>
      </c>
      <c r="CE190" s="63">
        <v>0</v>
      </c>
      <c r="CF190" s="63">
        <v>126</v>
      </c>
      <c r="CG190" s="63">
        <v>6315</v>
      </c>
      <c r="CH190" s="63">
        <v>43199</v>
      </c>
      <c r="CI190" s="63">
        <v>0</v>
      </c>
      <c r="CJ190" s="63">
        <v>882</v>
      </c>
      <c r="CK190" s="63">
        <v>44081</v>
      </c>
      <c r="CL190" s="63">
        <v>2754</v>
      </c>
      <c r="CM190" s="63">
        <v>0</v>
      </c>
      <c r="CN190" s="63">
        <v>56</v>
      </c>
      <c r="CO190" s="63">
        <v>2810</v>
      </c>
      <c r="CP190" s="63">
        <v>1651182</v>
      </c>
      <c r="CQ190" s="63">
        <v>0</v>
      </c>
      <c r="CR190" s="63">
        <v>32924</v>
      </c>
      <c r="CS190" s="63">
        <v>1684106</v>
      </c>
      <c r="CU190" s="141" t="s">
        <v>535</v>
      </c>
      <c r="CV190" s="157" t="s">
        <v>501</v>
      </c>
      <c r="CW190" s="156" t="s">
        <v>976</v>
      </c>
      <c r="CX190" s="345"/>
      <c r="CY190" s="345"/>
      <c r="CZ190" s="345"/>
    </row>
    <row r="191" spans="1:104" ht="12.75" x14ac:dyDescent="0.2">
      <c r="A191" s="90">
        <v>184</v>
      </c>
      <c r="B191" s="129" t="s">
        <v>229</v>
      </c>
      <c r="C191" s="130" t="s">
        <v>742</v>
      </c>
      <c r="D191" s="131" t="s">
        <v>746</v>
      </c>
      <c r="E191" s="132" t="s">
        <v>228</v>
      </c>
      <c r="F191" s="63">
        <v>25791696</v>
      </c>
      <c r="G191" s="63">
        <v>0</v>
      </c>
      <c r="H191" s="63">
        <v>0</v>
      </c>
      <c r="I191" s="63">
        <v>242025</v>
      </c>
      <c r="J191" s="63">
        <v>0</v>
      </c>
      <c r="K191" s="63">
        <v>242025</v>
      </c>
      <c r="L191" s="63">
        <v>0</v>
      </c>
      <c r="M191" s="63">
        <v>0</v>
      </c>
      <c r="N191" s="63">
        <v>584188</v>
      </c>
      <c r="O191" s="63">
        <v>584188</v>
      </c>
      <c r="P191" s="63">
        <v>0</v>
      </c>
      <c r="Q191" s="63">
        <v>24965483</v>
      </c>
      <c r="R191" s="474">
        <v>0.5</v>
      </c>
      <c r="S191" s="474">
        <v>0.4</v>
      </c>
      <c r="T191" s="474">
        <v>0.1</v>
      </c>
      <c r="U191" s="474">
        <v>0</v>
      </c>
      <c r="V191" s="474">
        <v>1</v>
      </c>
      <c r="W191" s="63">
        <v>12482742</v>
      </c>
      <c r="X191" s="63">
        <v>9986193</v>
      </c>
      <c r="Y191" s="63">
        <v>2496548</v>
      </c>
      <c r="Z191" s="63">
        <v>0</v>
      </c>
      <c r="AA191" s="63">
        <v>24965483</v>
      </c>
      <c r="AB191" s="63">
        <v>0</v>
      </c>
      <c r="AC191" s="63">
        <v>0</v>
      </c>
      <c r="AD191" s="63">
        <v>0</v>
      </c>
      <c r="AE191" s="63">
        <v>0</v>
      </c>
      <c r="AF191" s="63">
        <v>0</v>
      </c>
      <c r="AG191" s="63">
        <v>0</v>
      </c>
      <c r="AH191" s="63">
        <v>0</v>
      </c>
      <c r="AI191" s="63">
        <v>0</v>
      </c>
      <c r="AJ191" s="63">
        <v>0</v>
      </c>
      <c r="AK191" s="63">
        <v>0</v>
      </c>
      <c r="AL191" s="63">
        <v>12482742</v>
      </c>
      <c r="AM191" s="63">
        <v>9986193</v>
      </c>
      <c r="AN191" s="63">
        <v>2496548</v>
      </c>
      <c r="AO191" s="63">
        <v>0</v>
      </c>
      <c r="AP191" s="63">
        <v>24965483</v>
      </c>
      <c r="AQ191" s="63">
        <v>242025</v>
      </c>
      <c r="AR191" s="63">
        <v>242025</v>
      </c>
      <c r="AS191" s="63">
        <v>0</v>
      </c>
      <c r="AT191" s="63">
        <v>0</v>
      </c>
      <c r="AU191" s="63">
        <v>584188</v>
      </c>
      <c r="AV191" s="63">
        <v>0</v>
      </c>
      <c r="AW191" s="63">
        <v>584188</v>
      </c>
      <c r="AX191" s="63">
        <v>0</v>
      </c>
      <c r="AY191" s="63">
        <v>0</v>
      </c>
      <c r="AZ191" s="63">
        <v>0</v>
      </c>
      <c r="BA191" s="63">
        <v>0</v>
      </c>
      <c r="BB191" s="63">
        <v>0</v>
      </c>
      <c r="BC191" s="63">
        <v>0</v>
      </c>
      <c r="BD191" s="63">
        <v>0</v>
      </c>
      <c r="BE191" s="63">
        <v>0</v>
      </c>
      <c r="BF191" s="63">
        <v>0</v>
      </c>
      <c r="BG191" s="63">
        <v>0</v>
      </c>
      <c r="BH191" s="63">
        <v>-944676</v>
      </c>
      <c r="BI191" s="63">
        <v>-755741</v>
      </c>
      <c r="BJ191" s="63">
        <v>-188935</v>
      </c>
      <c r="BK191" s="63">
        <v>0</v>
      </c>
      <c r="BL191" s="63">
        <v>-1889352</v>
      </c>
      <c r="BM191" s="63">
        <v>11538066</v>
      </c>
      <c r="BN191" s="63">
        <v>10056665</v>
      </c>
      <c r="BO191" s="63">
        <v>2307613</v>
      </c>
      <c r="BP191" s="63">
        <v>0</v>
      </c>
      <c r="BQ191" s="63">
        <v>23902344</v>
      </c>
      <c r="BR191" s="63">
        <v>152877</v>
      </c>
      <c r="BS191" s="63">
        <v>36107</v>
      </c>
      <c r="BT191" s="63">
        <v>0</v>
      </c>
      <c r="BU191" s="63">
        <v>188984</v>
      </c>
      <c r="BV191" s="63">
        <v>886826</v>
      </c>
      <c r="BW191" s="63">
        <v>221706</v>
      </c>
      <c r="BX191" s="63">
        <v>0</v>
      </c>
      <c r="BY191" s="63">
        <v>1108532</v>
      </c>
      <c r="BZ191" s="63">
        <v>1342</v>
      </c>
      <c r="CA191" s="63">
        <v>335</v>
      </c>
      <c r="CB191" s="63">
        <v>0</v>
      </c>
      <c r="CC191" s="63">
        <v>1677</v>
      </c>
      <c r="CD191" s="63">
        <v>375</v>
      </c>
      <c r="CE191" s="63">
        <v>94</v>
      </c>
      <c r="CF191" s="63">
        <v>0</v>
      </c>
      <c r="CG191" s="63">
        <v>469</v>
      </c>
      <c r="CH191" s="63">
        <v>897</v>
      </c>
      <c r="CI191" s="63">
        <v>224</v>
      </c>
      <c r="CJ191" s="63">
        <v>0</v>
      </c>
      <c r="CK191" s="63">
        <v>1121</v>
      </c>
      <c r="CL191" s="63">
        <v>11574</v>
      </c>
      <c r="CM191" s="63">
        <v>2894</v>
      </c>
      <c r="CN191" s="63">
        <v>0</v>
      </c>
      <c r="CO191" s="63">
        <v>14468</v>
      </c>
      <c r="CP191" s="63">
        <v>1053891</v>
      </c>
      <c r="CQ191" s="63">
        <v>261360</v>
      </c>
      <c r="CR191" s="63">
        <v>0</v>
      </c>
      <c r="CS191" s="63">
        <v>1315251</v>
      </c>
      <c r="CU191" s="141" t="s">
        <v>228</v>
      </c>
      <c r="CV191" s="157" t="s">
        <v>958</v>
      </c>
      <c r="CW191" s="156" t="s">
        <v>928</v>
      </c>
      <c r="CX191" s="345"/>
      <c r="CY191" s="345"/>
      <c r="CZ191" s="345"/>
    </row>
    <row r="192" spans="1:104" ht="12.75" x14ac:dyDescent="0.2">
      <c r="A192" s="90">
        <v>185</v>
      </c>
      <c r="B192" s="129" t="s">
        <v>230</v>
      </c>
      <c r="C192" s="130" t="s">
        <v>501</v>
      </c>
      <c r="D192" s="131" t="s">
        <v>751</v>
      </c>
      <c r="E192" s="132" t="s">
        <v>503</v>
      </c>
      <c r="F192" s="63">
        <v>62561292</v>
      </c>
      <c r="G192" s="63">
        <v>0</v>
      </c>
      <c r="H192" s="63">
        <v>0</v>
      </c>
      <c r="I192" s="63">
        <v>262705</v>
      </c>
      <c r="J192" s="63">
        <v>0</v>
      </c>
      <c r="K192" s="63">
        <v>262705</v>
      </c>
      <c r="L192" s="63">
        <v>0</v>
      </c>
      <c r="M192" s="63">
        <v>453209</v>
      </c>
      <c r="N192" s="63">
        <v>63398</v>
      </c>
      <c r="O192" s="63">
        <v>63398</v>
      </c>
      <c r="P192" s="63">
        <v>0</v>
      </c>
      <c r="Q192" s="63">
        <v>61781980</v>
      </c>
      <c r="R192" s="474">
        <v>0.5</v>
      </c>
      <c r="S192" s="474">
        <v>0.49</v>
      </c>
      <c r="T192" s="474">
        <v>0</v>
      </c>
      <c r="U192" s="474">
        <v>0.01</v>
      </c>
      <c r="V192" s="474">
        <v>1</v>
      </c>
      <c r="W192" s="63">
        <v>30890990</v>
      </c>
      <c r="X192" s="63">
        <v>30273170</v>
      </c>
      <c r="Y192" s="63">
        <v>0</v>
      </c>
      <c r="Z192" s="63">
        <v>617820</v>
      </c>
      <c r="AA192" s="63">
        <v>61781980</v>
      </c>
      <c r="AB192" s="63">
        <v>0</v>
      </c>
      <c r="AC192" s="63">
        <v>0</v>
      </c>
      <c r="AD192" s="63">
        <v>0</v>
      </c>
      <c r="AE192" s="63">
        <v>0</v>
      </c>
      <c r="AF192" s="63">
        <v>0</v>
      </c>
      <c r="AG192" s="63">
        <v>0</v>
      </c>
      <c r="AH192" s="63">
        <v>0</v>
      </c>
      <c r="AI192" s="63">
        <v>0</v>
      </c>
      <c r="AJ192" s="63">
        <v>0</v>
      </c>
      <c r="AK192" s="63">
        <v>0</v>
      </c>
      <c r="AL192" s="63">
        <v>30890990</v>
      </c>
      <c r="AM192" s="63">
        <v>30273170</v>
      </c>
      <c r="AN192" s="63">
        <v>0</v>
      </c>
      <c r="AO192" s="63">
        <v>617820</v>
      </c>
      <c r="AP192" s="63">
        <v>61781980</v>
      </c>
      <c r="AQ192" s="63">
        <v>262705</v>
      </c>
      <c r="AR192" s="63">
        <v>262705</v>
      </c>
      <c r="AS192" s="63">
        <v>453209</v>
      </c>
      <c r="AT192" s="63">
        <v>453209</v>
      </c>
      <c r="AU192" s="63">
        <v>63398</v>
      </c>
      <c r="AV192" s="63">
        <v>0</v>
      </c>
      <c r="AW192" s="63">
        <v>63398</v>
      </c>
      <c r="AX192" s="63">
        <v>0</v>
      </c>
      <c r="AY192" s="63">
        <v>0</v>
      </c>
      <c r="AZ192" s="63">
        <v>0</v>
      </c>
      <c r="BA192" s="63">
        <v>0</v>
      </c>
      <c r="BB192" s="63">
        <v>0</v>
      </c>
      <c r="BC192" s="63">
        <v>0</v>
      </c>
      <c r="BD192" s="63">
        <v>0</v>
      </c>
      <c r="BE192" s="63">
        <v>0</v>
      </c>
      <c r="BF192" s="63">
        <v>0</v>
      </c>
      <c r="BG192" s="63">
        <v>0</v>
      </c>
      <c r="BH192" s="63">
        <v>4749962</v>
      </c>
      <c r="BI192" s="63">
        <v>4654963</v>
      </c>
      <c r="BJ192" s="63">
        <v>0</v>
      </c>
      <c r="BK192" s="63">
        <v>94999</v>
      </c>
      <c r="BL192" s="63">
        <v>9499924</v>
      </c>
      <c r="BM192" s="63">
        <v>35640952</v>
      </c>
      <c r="BN192" s="63">
        <v>35707445</v>
      </c>
      <c r="BO192" s="63">
        <v>0</v>
      </c>
      <c r="BP192" s="63">
        <v>712819</v>
      </c>
      <c r="BQ192" s="63">
        <v>72061216</v>
      </c>
      <c r="BR192" s="63">
        <v>445307</v>
      </c>
      <c r="BS192" s="63">
        <v>0</v>
      </c>
      <c r="BT192" s="63">
        <v>8935</v>
      </c>
      <c r="BU192" s="63">
        <v>454242</v>
      </c>
      <c r="BV192" s="63">
        <v>1044243</v>
      </c>
      <c r="BW192" s="63">
        <v>0</v>
      </c>
      <c r="BX192" s="63">
        <v>20829</v>
      </c>
      <c r="BY192" s="63">
        <v>1065072</v>
      </c>
      <c r="BZ192" s="63">
        <v>0</v>
      </c>
      <c r="CA192" s="63">
        <v>0</v>
      </c>
      <c r="CB192" s="63">
        <v>0</v>
      </c>
      <c r="CC192" s="63">
        <v>0</v>
      </c>
      <c r="CD192" s="63">
        <v>18252</v>
      </c>
      <c r="CE192" s="63">
        <v>0</v>
      </c>
      <c r="CF192" s="63">
        <v>0</v>
      </c>
      <c r="CG192" s="63">
        <v>18252</v>
      </c>
      <c r="CH192" s="63">
        <v>2895</v>
      </c>
      <c r="CI192" s="63">
        <v>0</v>
      </c>
      <c r="CJ192" s="63">
        <v>59</v>
      </c>
      <c r="CK192" s="63">
        <v>2954</v>
      </c>
      <c r="CL192" s="63">
        <v>0</v>
      </c>
      <c r="CM192" s="63">
        <v>0</v>
      </c>
      <c r="CN192" s="63">
        <v>0</v>
      </c>
      <c r="CO192" s="63">
        <v>0</v>
      </c>
      <c r="CP192" s="63">
        <v>1510697</v>
      </c>
      <c r="CQ192" s="63">
        <v>0</v>
      </c>
      <c r="CR192" s="63">
        <v>29823</v>
      </c>
      <c r="CS192" s="63">
        <v>1540520</v>
      </c>
      <c r="CU192" s="141" t="s">
        <v>503</v>
      </c>
      <c r="CV192" s="157" t="s">
        <v>501</v>
      </c>
      <c r="CW192" s="156" t="s">
        <v>947</v>
      </c>
      <c r="CX192" s="345"/>
      <c r="CY192" s="345"/>
      <c r="CZ192" s="345"/>
    </row>
    <row r="193" spans="1:104" ht="12.75" x14ac:dyDescent="0.2">
      <c r="A193" s="90">
        <v>186</v>
      </c>
      <c r="B193" s="129" t="s">
        <v>232</v>
      </c>
      <c r="C193" s="130" t="s">
        <v>749</v>
      </c>
      <c r="D193" s="131" t="s">
        <v>755</v>
      </c>
      <c r="E193" s="132" t="s">
        <v>231</v>
      </c>
      <c r="F193" s="63">
        <v>60654297</v>
      </c>
      <c r="G193" s="63">
        <v>0</v>
      </c>
      <c r="H193" s="63">
        <v>0</v>
      </c>
      <c r="I193" s="63">
        <v>230884</v>
      </c>
      <c r="J193" s="63">
        <v>0</v>
      </c>
      <c r="K193" s="63">
        <v>230884</v>
      </c>
      <c r="L193" s="63">
        <v>0</v>
      </c>
      <c r="M193" s="63">
        <v>59658</v>
      </c>
      <c r="N193" s="63">
        <v>0</v>
      </c>
      <c r="O193" s="63">
        <v>0</v>
      </c>
      <c r="P193" s="63">
        <v>0</v>
      </c>
      <c r="Q193" s="63">
        <v>60363755</v>
      </c>
      <c r="R193" s="474">
        <v>0.5</v>
      </c>
      <c r="S193" s="474">
        <v>0.49</v>
      </c>
      <c r="T193" s="474">
        <v>0</v>
      </c>
      <c r="U193" s="474">
        <v>0.01</v>
      </c>
      <c r="V193" s="474">
        <v>1</v>
      </c>
      <c r="W193" s="63">
        <v>30181877</v>
      </c>
      <c r="X193" s="63">
        <v>29578240</v>
      </c>
      <c r="Y193" s="63">
        <v>0</v>
      </c>
      <c r="Z193" s="63">
        <v>603638</v>
      </c>
      <c r="AA193" s="63">
        <v>60363755</v>
      </c>
      <c r="AB193" s="63">
        <v>68483</v>
      </c>
      <c r="AC193" s="63">
        <v>0</v>
      </c>
      <c r="AD193" s="63">
        <v>0</v>
      </c>
      <c r="AE193" s="63">
        <v>0</v>
      </c>
      <c r="AF193" s="63">
        <v>68483</v>
      </c>
      <c r="AG193" s="63">
        <v>0</v>
      </c>
      <c r="AH193" s="63">
        <v>0</v>
      </c>
      <c r="AI193" s="63">
        <v>0</v>
      </c>
      <c r="AJ193" s="63">
        <v>0</v>
      </c>
      <c r="AK193" s="63">
        <v>0</v>
      </c>
      <c r="AL193" s="63">
        <v>30113394</v>
      </c>
      <c r="AM193" s="63">
        <v>29578240</v>
      </c>
      <c r="AN193" s="63">
        <v>0</v>
      </c>
      <c r="AO193" s="63">
        <v>603638</v>
      </c>
      <c r="AP193" s="63">
        <v>60295272</v>
      </c>
      <c r="AQ193" s="63">
        <v>230884</v>
      </c>
      <c r="AR193" s="63">
        <v>230884</v>
      </c>
      <c r="AS193" s="63">
        <v>59658</v>
      </c>
      <c r="AT193" s="63">
        <v>59658</v>
      </c>
      <c r="AU193" s="63">
        <v>0</v>
      </c>
      <c r="AV193" s="63">
        <v>0</v>
      </c>
      <c r="AW193" s="63">
        <v>0</v>
      </c>
      <c r="AX193" s="63">
        <v>68483</v>
      </c>
      <c r="AY193" s="63">
        <v>0</v>
      </c>
      <c r="AZ193" s="63">
        <v>0</v>
      </c>
      <c r="BA193" s="63">
        <v>68483</v>
      </c>
      <c r="BB193" s="63">
        <v>0</v>
      </c>
      <c r="BC193" s="63">
        <v>0</v>
      </c>
      <c r="BD193" s="63">
        <v>0</v>
      </c>
      <c r="BE193" s="63">
        <v>0</v>
      </c>
      <c r="BF193" s="63">
        <v>0</v>
      </c>
      <c r="BG193" s="63">
        <v>0</v>
      </c>
      <c r="BH193" s="63">
        <v>-1192423</v>
      </c>
      <c r="BI193" s="63">
        <v>-1168574</v>
      </c>
      <c r="BJ193" s="63">
        <v>0</v>
      </c>
      <c r="BK193" s="63">
        <v>-23848</v>
      </c>
      <c r="BL193" s="63">
        <v>-2384845</v>
      </c>
      <c r="BM193" s="63">
        <v>28920971</v>
      </c>
      <c r="BN193" s="63">
        <v>28768691</v>
      </c>
      <c r="BO193" s="63">
        <v>0</v>
      </c>
      <c r="BP193" s="63">
        <v>579790</v>
      </c>
      <c r="BQ193" s="63">
        <v>58269452</v>
      </c>
      <c r="BR193" s="63">
        <v>429638</v>
      </c>
      <c r="BS193" s="63">
        <v>0</v>
      </c>
      <c r="BT193" s="63">
        <v>8730</v>
      </c>
      <c r="BU193" s="63">
        <v>438368</v>
      </c>
      <c r="BV193" s="63">
        <v>888313</v>
      </c>
      <c r="BW193" s="63">
        <v>0</v>
      </c>
      <c r="BX193" s="63">
        <v>18100</v>
      </c>
      <c r="BY193" s="63">
        <v>906413</v>
      </c>
      <c r="BZ193" s="63">
        <v>9167</v>
      </c>
      <c r="CA193" s="63">
        <v>0</v>
      </c>
      <c r="CB193" s="63">
        <v>187</v>
      </c>
      <c r="CC193" s="63">
        <v>9354</v>
      </c>
      <c r="CD193" s="63">
        <v>0</v>
      </c>
      <c r="CE193" s="63">
        <v>0</v>
      </c>
      <c r="CF193" s="63">
        <v>0</v>
      </c>
      <c r="CG193" s="63">
        <v>0</v>
      </c>
      <c r="CH193" s="63">
        <v>39767</v>
      </c>
      <c r="CI193" s="63">
        <v>0</v>
      </c>
      <c r="CJ193" s="63">
        <v>812</v>
      </c>
      <c r="CK193" s="63">
        <v>40579</v>
      </c>
      <c r="CL193" s="63">
        <v>2485</v>
      </c>
      <c r="CM193" s="63">
        <v>0</v>
      </c>
      <c r="CN193" s="63">
        <v>51</v>
      </c>
      <c r="CO193" s="63">
        <v>2536</v>
      </c>
      <c r="CP193" s="63">
        <v>1369370</v>
      </c>
      <c r="CQ193" s="63">
        <v>0</v>
      </c>
      <c r="CR193" s="63">
        <v>27880</v>
      </c>
      <c r="CS193" s="63">
        <v>1397250</v>
      </c>
      <c r="CU193" s="141" t="s">
        <v>231</v>
      </c>
      <c r="CV193" s="157" t="s">
        <v>941</v>
      </c>
      <c r="CW193" s="156" t="s">
        <v>979</v>
      </c>
      <c r="CX193" s="345"/>
      <c r="CY193" s="345"/>
      <c r="CZ193" s="345"/>
    </row>
    <row r="194" spans="1:104" ht="12.75" x14ac:dyDescent="0.2">
      <c r="A194" s="90">
        <v>187</v>
      </c>
      <c r="B194" s="129" t="s">
        <v>234</v>
      </c>
      <c r="C194" s="130" t="s">
        <v>742</v>
      </c>
      <c r="D194" s="131" t="s">
        <v>752</v>
      </c>
      <c r="E194" s="132" t="s">
        <v>233</v>
      </c>
      <c r="F194" s="63">
        <v>43571354</v>
      </c>
      <c r="G194" s="63">
        <v>0</v>
      </c>
      <c r="H194" s="63">
        <v>0</v>
      </c>
      <c r="I194" s="63">
        <v>109891</v>
      </c>
      <c r="J194" s="63">
        <v>0</v>
      </c>
      <c r="K194" s="63">
        <v>109891</v>
      </c>
      <c r="L194" s="63">
        <v>0</v>
      </c>
      <c r="M194" s="63">
        <v>0</v>
      </c>
      <c r="N194" s="63">
        <v>0</v>
      </c>
      <c r="O194" s="63">
        <v>0</v>
      </c>
      <c r="P194" s="63">
        <v>0</v>
      </c>
      <c r="Q194" s="63">
        <v>43461463</v>
      </c>
      <c r="R194" s="474">
        <v>0.5</v>
      </c>
      <c r="S194" s="474">
        <v>0.4</v>
      </c>
      <c r="T194" s="474">
        <v>0.1</v>
      </c>
      <c r="U194" s="474">
        <v>0</v>
      </c>
      <c r="V194" s="474">
        <v>1</v>
      </c>
      <c r="W194" s="63">
        <v>21730732</v>
      </c>
      <c r="X194" s="63">
        <v>17384585</v>
      </c>
      <c r="Y194" s="63">
        <v>4346146</v>
      </c>
      <c r="Z194" s="63">
        <v>0</v>
      </c>
      <c r="AA194" s="63">
        <v>43461463</v>
      </c>
      <c r="AB194" s="63">
        <v>0</v>
      </c>
      <c r="AC194" s="63">
        <v>0</v>
      </c>
      <c r="AD194" s="63">
        <v>0</v>
      </c>
      <c r="AE194" s="63">
        <v>0</v>
      </c>
      <c r="AF194" s="63">
        <v>0</v>
      </c>
      <c r="AG194" s="63">
        <v>0</v>
      </c>
      <c r="AH194" s="63">
        <v>0</v>
      </c>
      <c r="AI194" s="63">
        <v>0</v>
      </c>
      <c r="AJ194" s="63">
        <v>0</v>
      </c>
      <c r="AK194" s="63">
        <v>0</v>
      </c>
      <c r="AL194" s="63">
        <v>21730732</v>
      </c>
      <c r="AM194" s="63">
        <v>17384585</v>
      </c>
      <c r="AN194" s="63">
        <v>4346146</v>
      </c>
      <c r="AO194" s="63">
        <v>0</v>
      </c>
      <c r="AP194" s="63">
        <v>43461463</v>
      </c>
      <c r="AQ194" s="63">
        <v>109891</v>
      </c>
      <c r="AR194" s="63">
        <v>109891</v>
      </c>
      <c r="AS194" s="63">
        <v>0</v>
      </c>
      <c r="AT194" s="63">
        <v>0</v>
      </c>
      <c r="AU194" s="63">
        <v>0</v>
      </c>
      <c r="AV194" s="63">
        <v>0</v>
      </c>
      <c r="AW194" s="63">
        <v>0</v>
      </c>
      <c r="AX194" s="63">
        <v>0</v>
      </c>
      <c r="AY194" s="63">
        <v>0</v>
      </c>
      <c r="AZ194" s="63">
        <v>0</v>
      </c>
      <c r="BA194" s="63">
        <v>0</v>
      </c>
      <c r="BB194" s="63">
        <v>0</v>
      </c>
      <c r="BC194" s="63">
        <v>0</v>
      </c>
      <c r="BD194" s="63">
        <v>0</v>
      </c>
      <c r="BE194" s="63">
        <v>0</v>
      </c>
      <c r="BF194" s="63">
        <v>0</v>
      </c>
      <c r="BG194" s="63">
        <v>0</v>
      </c>
      <c r="BH194" s="63">
        <v>-1692357</v>
      </c>
      <c r="BI194" s="63">
        <v>-1353886</v>
      </c>
      <c r="BJ194" s="63">
        <v>-338472</v>
      </c>
      <c r="BK194" s="63">
        <v>0</v>
      </c>
      <c r="BL194" s="63">
        <v>-3384715</v>
      </c>
      <c r="BM194" s="63">
        <v>20038375</v>
      </c>
      <c r="BN194" s="63">
        <v>16140590</v>
      </c>
      <c r="BO194" s="63">
        <v>4007674</v>
      </c>
      <c r="BP194" s="63">
        <v>0</v>
      </c>
      <c r="BQ194" s="63">
        <v>40186639</v>
      </c>
      <c r="BR194" s="63">
        <v>251430</v>
      </c>
      <c r="BS194" s="63">
        <v>62857</v>
      </c>
      <c r="BT194" s="63">
        <v>0</v>
      </c>
      <c r="BU194" s="63">
        <v>314287</v>
      </c>
      <c r="BV194" s="63">
        <v>289375</v>
      </c>
      <c r="BW194" s="63">
        <v>72344</v>
      </c>
      <c r="BX194" s="63">
        <v>0</v>
      </c>
      <c r="BY194" s="63">
        <v>361719</v>
      </c>
      <c r="BZ194" s="63">
        <v>2919</v>
      </c>
      <c r="CA194" s="63">
        <v>730</v>
      </c>
      <c r="CB194" s="63">
        <v>0</v>
      </c>
      <c r="CC194" s="63">
        <v>3649</v>
      </c>
      <c r="CD194" s="63">
        <v>0</v>
      </c>
      <c r="CE194" s="63">
        <v>0</v>
      </c>
      <c r="CF194" s="63">
        <v>0</v>
      </c>
      <c r="CG194" s="63">
        <v>0</v>
      </c>
      <c r="CH194" s="63">
        <v>2719</v>
      </c>
      <c r="CI194" s="63">
        <v>680</v>
      </c>
      <c r="CJ194" s="63">
        <v>0</v>
      </c>
      <c r="CK194" s="63">
        <v>3399</v>
      </c>
      <c r="CL194" s="63">
        <v>2230</v>
      </c>
      <c r="CM194" s="63">
        <v>557</v>
      </c>
      <c r="CN194" s="63">
        <v>0</v>
      </c>
      <c r="CO194" s="63">
        <v>2787</v>
      </c>
      <c r="CP194" s="63">
        <v>548673</v>
      </c>
      <c r="CQ194" s="63">
        <v>137168</v>
      </c>
      <c r="CR194" s="63">
        <v>0</v>
      </c>
      <c r="CS194" s="63">
        <v>685841</v>
      </c>
      <c r="CU194" s="141" t="s">
        <v>233</v>
      </c>
      <c r="CV194" s="157" t="s">
        <v>983</v>
      </c>
      <c r="CW194" s="156" t="s">
        <v>928</v>
      </c>
      <c r="CX194" s="345"/>
      <c r="CY194" s="345"/>
      <c r="CZ194" s="345"/>
    </row>
    <row r="195" spans="1:104" ht="12.75" x14ac:dyDescent="0.2">
      <c r="A195" s="90">
        <v>188</v>
      </c>
      <c r="B195" s="129" t="s">
        <v>245</v>
      </c>
      <c r="C195" s="130" t="s">
        <v>742</v>
      </c>
      <c r="D195" s="131" t="s">
        <v>745</v>
      </c>
      <c r="E195" s="132" t="s">
        <v>244</v>
      </c>
      <c r="F195" s="63">
        <v>51205562</v>
      </c>
      <c r="G195" s="63">
        <v>0</v>
      </c>
      <c r="H195" s="63">
        <v>0</v>
      </c>
      <c r="I195" s="63">
        <v>145731</v>
      </c>
      <c r="J195" s="63">
        <v>0</v>
      </c>
      <c r="K195" s="63">
        <v>145731</v>
      </c>
      <c r="L195" s="63">
        <v>0</v>
      </c>
      <c r="M195" s="63">
        <v>0</v>
      </c>
      <c r="N195" s="63">
        <v>80000</v>
      </c>
      <c r="O195" s="63">
        <v>80000</v>
      </c>
      <c r="P195" s="63">
        <v>0</v>
      </c>
      <c r="Q195" s="63">
        <v>50979831</v>
      </c>
      <c r="R195" s="474">
        <v>0.5</v>
      </c>
      <c r="S195" s="474">
        <v>0.4</v>
      </c>
      <c r="T195" s="474">
        <v>0.09</v>
      </c>
      <c r="U195" s="474">
        <v>0.01</v>
      </c>
      <c r="V195" s="474">
        <v>1</v>
      </c>
      <c r="W195" s="63">
        <v>25489916</v>
      </c>
      <c r="X195" s="63">
        <v>20391932</v>
      </c>
      <c r="Y195" s="63">
        <v>4588185</v>
      </c>
      <c r="Z195" s="63">
        <v>509798</v>
      </c>
      <c r="AA195" s="63">
        <v>50979831</v>
      </c>
      <c r="AB195" s="63">
        <v>0</v>
      </c>
      <c r="AC195" s="63">
        <v>0</v>
      </c>
      <c r="AD195" s="63">
        <v>0</v>
      </c>
      <c r="AE195" s="63">
        <v>0</v>
      </c>
      <c r="AF195" s="63">
        <v>0</v>
      </c>
      <c r="AG195" s="63">
        <v>0</v>
      </c>
      <c r="AH195" s="63">
        <v>0</v>
      </c>
      <c r="AI195" s="63">
        <v>0</v>
      </c>
      <c r="AJ195" s="63">
        <v>0</v>
      </c>
      <c r="AK195" s="63">
        <v>0</v>
      </c>
      <c r="AL195" s="63">
        <v>25489916</v>
      </c>
      <c r="AM195" s="63">
        <v>20391932</v>
      </c>
      <c r="AN195" s="63">
        <v>4588185</v>
      </c>
      <c r="AO195" s="63">
        <v>509798</v>
      </c>
      <c r="AP195" s="63">
        <v>50979831</v>
      </c>
      <c r="AQ195" s="63">
        <v>145731</v>
      </c>
      <c r="AR195" s="63">
        <v>145731</v>
      </c>
      <c r="AS195" s="63">
        <v>0</v>
      </c>
      <c r="AT195" s="63">
        <v>0</v>
      </c>
      <c r="AU195" s="63">
        <v>80000</v>
      </c>
      <c r="AV195" s="63">
        <v>0</v>
      </c>
      <c r="AW195" s="63">
        <v>80000</v>
      </c>
      <c r="AX195" s="63">
        <v>0</v>
      </c>
      <c r="AY195" s="63">
        <v>0</v>
      </c>
      <c r="AZ195" s="63">
        <v>0</v>
      </c>
      <c r="BA195" s="63">
        <v>0</v>
      </c>
      <c r="BB195" s="63">
        <v>0</v>
      </c>
      <c r="BC195" s="63">
        <v>0</v>
      </c>
      <c r="BD195" s="63">
        <v>0</v>
      </c>
      <c r="BE195" s="63">
        <v>0</v>
      </c>
      <c r="BF195" s="63">
        <v>0</v>
      </c>
      <c r="BG195" s="63">
        <v>0</v>
      </c>
      <c r="BH195" s="63">
        <v>-613780</v>
      </c>
      <c r="BI195" s="63">
        <v>-491024</v>
      </c>
      <c r="BJ195" s="63">
        <v>-110480</v>
      </c>
      <c r="BK195" s="63">
        <v>-12276</v>
      </c>
      <c r="BL195" s="63">
        <v>-1227560</v>
      </c>
      <c r="BM195" s="63">
        <v>24876136</v>
      </c>
      <c r="BN195" s="63">
        <v>20126639</v>
      </c>
      <c r="BO195" s="63">
        <v>4477705</v>
      </c>
      <c r="BP195" s="63">
        <v>497522</v>
      </c>
      <c r="BQ195" s="63">
        <v>49978002</v>
      </c>
      <c r="BR195" s="63">
        <v>296082</v>
      </c>
      <c r="BS195" s="63">
        <v>66358</v>
      </c>
      <c r="BT195" s="63">
        <v>7373</v>
      </c>
      <c r="BU195" s="63">
        <v>369813</v>
      </c>
      <c r="BV195" s="63">
        <v>400265</v>
      </c>
      <c r="BW195" s="63">
        <v>90060</v>
      </c>
      <c r="BX195" s="63">
        <v>10007</v>
      </c>
      <c r="BY195" s="63">
        <v>500332</v>
      </c>
      <c r="BZ195" s="63">
        <v>3421</v>
      </c>
      <c r="CA195" s="63">
        <v>770</v>
      </c>
      <c r="CB195" s="63">
        <v>86</v>
      </c>
      <c r="CC195" s="63">
        <v>4277</v>
      </c>
      <c r="CD195" s="63">
        <v>2191</v>
      </c>
      <c r="CE195" s="63">
        <v>493</v>
      </c>
      <c r="CF195" s="63">
        <v>55</v>
      </c>
      <c r="CG195" s="63">
        <v>2739</v>
      </c>
      <c r="CH195" s="63">
        <v>0</v>
      </c>
      <c r="CI195" s="63">
        <v>0</v>
      </c>
      <c r="CJ195" s="63">
        <v>0</v>
      </c>
      <c r="CK195" s="63">
        <v>0</v>
      </c>
      <c r="CL195" s="63">
        <v>1476</v>
      </c>
      <c r="CM195" s="63">
        <v>332</v>
      </c>
      <c r="CN195" s="63">
        <v>37</v>
      </c>
      <c r="CO195" s="63">
        <v>1845</v>
      </c>
      <c r="CP195" s="63">
        <v>703435</v>
      </c>
      <c r="CQ195" s="63">
        <v>158013</v>
      </c>
      <c r="CR195" s="63">
        <v>17558</v>
      </c>
      <c r="CS195" s="63">
        <v>879006</v>
      </c>
      <c r="CU195" s="141" t="s">
        <v>244</v>
      </c>
      <c r="CV195" s="157" t="s">
        <v>950</v>
      </c>
      <c r="CW195" s="156" t="s">
        <v>951</v>
      </c>
      <c r="CX195" s="345"/>
      <c r="CY195" s="345"/>
      <c r="CZ195" s="345"/>
    </row>
    <row r="196" spans="1:104" ht="12.75" x14ac:dyDescent="0.2">
      <c r="A196" s="90">
        <v>189</v>
      </c>
      <c r="B196" s="129" t="s">
        <v>247</v>
      </c>
      <c r="C196" s="130" t="s">
        <v>742</v>
      </c>
      <c r="D196" s="131" t="s">
        <v>745</v>
      </c>
      <c r="E196" s="132" t="s">
        <v>246</v>
      </c>
      <c r="F196" s="63">
        <v>101477079</v>
      </c>
      <c r="G196" s="63">
        <v>0</v>
      </c>
      <c r="H196" s="63">
        <v>0</v>
      </c>
      <c r="I196" s="63">
        <v>295579</v>
      </c>
      <c r="J196" s="63">
        <v>0</v>
      </c>
      <c r="K196" s="63">
        <v>295579</v>
      </c>
      <c r="L196" s="63">
        <v>0</v>
      </c>
      <c r="M196" s="63">
        <v>0</v>
      </c>
      <c r="N196" s="63">
        <v>0</v>
      </c>
      <c r="O196" s="63">
        <v>0</v>
      </c>
      <c r="P196" s="63">
        <v>0</v>
      </c>
      <c r="Q196" s="63">
        <v>101181500</v>
      </c>
      <c r="R196" s="474">
        <v>0.5</v>
      </c>
      <c r="S196" s="474">
        <v>0.4</v>
      </c>
      <c r="T196" s="474">
        <v>0.1</v>
      </c>
      <c r="U196" s="474">
        <v>0</v>
      </c>
      <c r="V196" s="474">
        <v>1</v>
      </c>
      <c r="W196" s="63">
        <v>50590750</v>
      </c>
      <c r="X196" s="63">
        <v>40472600</v>
      </c>
      <c r="Y196" s="63">
        <v>10118150</v>
      </c>
      <c r="Z196" s="63">
        <v>0</v>
      </c>
      <c r="AA196" s="63">
        <v>101181500</v>
      </c>
      <c r="AB196" s="63">
        <v>2050864</v>
      </c>
      <c r="AC196" s="63">
        <v>0</v>
      </c>
      <c r="AD196" s="63">
        <v>0</v>
      </c>
      <c r="AE196" s="63">
        <v>0</v>
      </c>
      <c r="AF196" s="63">
        <v>2050864</v>
      </c>
      <c r="AG196" s="63">
        <v>0</v>
      </c>
      <c r="AH196" s="63">
        <v>0</v>
      </c>
      <c r="AI196" s="63">
        <v>0</v>
      </c>
      <c r="AJ196" s="63">
        <v>0</v>
      </c>
      <c r="AK196" s="63">
        <v>0</v>
      </c>
      <c r="AL196" s="63">
        <v>48539886</v>
      </c>
      <c r="AM196" s="63">
        <v>40472600</v>
      </c>
      <c r="AN196" s="63">
        <v>10118150</v>
      </c>
      <c r="AO196" s="63">
        <v>0</v>
      </c>
      <c r="AP196" s="63">
        <v>99130636</v>
      </c>
      <c r="AQ196" s="63">
        <v>295579</v>
      </c>
      <c r="AR196" s="63">
        <v>295579</v>
      </c>
      <c r="AS196" s="63">
        <v>0</v>
      </c>
      <c r="AT196" s="63">
        <v>0</v>
      </c>
      <c r="AU196" s="63">
        <v>0</v>
      </c>
      <c r="AV196" s="63">
        <v>0</v>
      </c>
      <c r="AW196" s="63">
        <v>0</v>
      </c>
      <c r="AX196" s="63">
        <v>2050864</v>
      </c>
      <c r="AY196" s="63">
        <v>0</v>
      </c>
      <c r="AZ196" s="63">
        <v>0</v>
      </c>
      <c r="BA196" s="63">
        <v>2050864</v>
      </c>
      <c r="BB196" s="63">
        <v>0</v>
      </c>
      <c r="BC196" s="63">
        <v>0</v>
      </c>
      <c r="BD196" s="63">
        <v>0</v>
      </c>
      <c r="BE196" s="63">
        <v>0</v>
      </c>
      <c r="BF196" s="63">
        <v>0</v>
      </c>
      <c r="BG196" s="63">
        <v>0</v>
      </c>
      <c r="BH196" s="63">
        <v>205861</v>
      </c>
      <c r="BI196" s="63">
        <v>164688</v>
      </c>
      <c r="BJ196" s="63">
        <v>41172</v>
      </c>
      <c r="BK196" s="63">
        <v>0</v>
      </c>
      <c r="BL196" s="63">
        <v>411721</v>
      </c>
      <c r="BM196" s="63">
        <v>48745747</v>
      </c>
      <c r="BN196" s="63">
        <v>42983731</v>
      </c>
      <c r="BO196" s="63">
        <v>10159322</v>
      </c>
      <c r="BP196" s="63">
        <v>0</v>
      </c>
      <c r="BQ196" s="63">
        <v>101888800</v>
      </c>
      <c r="BR196" s="63">
        <v>615009</v>
      </c>
      <c r="BS196" s="63">
        <v>146337</v>
      </c>
      <c r="BT196" s="63">
        <v>0</v>
      </c>
      <c r="BU196" s="63">
        <v>761346</v>
      </c>
      <c r="BV196" s="63">
        <v>798871</v>
      </c>
      <c r="BW196" s="63">
        <v>191122</v>
      </c>
      <c r="BX196" s="63">
        <v>0</v>
      </c>
      <c r="BY196" s="63">
        <v>989993</v>
      </c>
      <c r="BZ196" s="63">
        <v>0</v>
      </c>
      <c r="CA196" s="63">
        <v>0</v>
      </c>
      <c r="CB196" s="63">
        <v>0</v>
      </c>
      <c r="CC196" s="63">
        <v>0</v>
      </c>
      <c r="CD196" s="63">
        <v>0</v>
      </c>
      <c r="CE196" s="63">
        <v>0</v>
      </c>
      <c r="CF196" s="63">
        <v>0</v>
      </c>
      <c r="CG196" s="63">
        <v>0</v>
      </c>
      <c r="CH196" s="63">
        <v>101728</v>
      </c>
      <c r="CI196" s="63">
        <v>25432</v>
      </c>
      <c r="CJ196" s="63">
        <v>0</v>
      </c>
      <c r="CK196" s="63">
        <v>127160</v>
      </c>
      <c r="CL196" s="63">
        <v>0</v>
      </c>
      <c r="CM196" s="63">
        <v>0</v>
      </c>
      <c r="CN196" s="63">
        <v>0</v>
      </c>
      <c r="CO196" s="63">
        <v>0</v>
      </c>
      <c r="CP196" s="63">
        <v>1515608</v>
      </c>
      <c r="CQ196" s="63">
        <v>362891</v>
      </c>
      <c r="CR196" s="63">
        <v>0</v>
      </c>
      <c r="CS196" s="63">
        <v>1878499</v>
      </c>
      <c r="CU196" s="141" t="s">
        <v>246</v>
      </c>
      <c r="CV196" s="157" t="s">
        <v>971</v>
      </c>
      <c r="CW196" s="156" t="s">
        <v>928</v>
      </c>
      <c r="CX196" s="345"/>
      <c r="CY196" s="345"/>
      <c r="CZ196" s="345"/>
    </row>
    <row r="197" spans="1:104" ht="12.75" x14ac:dyDescent="0.2">
      <c r="A197" s="90">
        <v>190</v>
      </c>
      <c r="B197" s="129" t="s">
        <v>249</v>
      </c>
      <c r="C197" s="130" t="s">
        <v>501</v>
      </c>
      <c r="D197" s="131" t="s">
        <v>755</v>
      </c>
      <c r="E197" s="132" t="s">
        <v>248</v>
      </c>
      <c r="F197" s="63">
        <v>79005094</v>
      </c>
      <c r="G197" s="63">
        <v>0</v>
      </c>
      <c r="H197" s="63">
        <v>0</v>
      </c>
      <c r="I197" s="63">
        <v>478025</v>
      </c>
      <c r="J197" s="63">
        <v>0</v>
      </c>
      <c r="K197" s="63">
        <v>478025</v>
      </c>
      <c r="L197" s="63">
        <v>0</v>
      </c>
      <c r="M197" s="63">
        <v>30829</v>
      </c>
      <c r="N197" s="63">
        <v>1376308</v>
      </c>
      <c r="O197" s="63">
        <v>1376308</v>
      </c>
      <c r="P197" s="63">
        <v>0</v>
      </c>
      <c r="Q197" s="63">
        <v>77119932</v>
      </c>
      <c r="R197" s="474">
        <v>0.5</v>
      </c>
      <c r="S197" s="474">
        <v>0.5</v>
      </c>
      <c r="T197" s="474">
        <v>0</v>
      </c>
      <c r="U197" s="474">
        <v>0</v>
      </c>
      <c r="V197" s="474">
        <v>1</v>
      </c>
      <c r="W197" s="63">
        <v>38559966</v>
      </c>
      <c r="X197" s="63">
        <v>38559966</v>
      </c>
      <c r="Y197" s="63">
        <v>0</v>
      </c>
      <c r="Z197" s="63">
        <v>0</v>
      </c>
      <c r="AA197" s="63">
        <v>77119932</v>
      </c>
      <c r="AB197" s="63">
        <v>78096</v>
      </c>
      <c r="AC197" s="63">
        <v>0</v>
      </c>
      <c r="AD197" s="63">
        <v>0</v>
      </c>
      <c r="AE197" s="63">
        <v>0</v>
      </c>
      <c r="AF197" s="63">
        <v>78096</v>
      </c>
      <c r="AG197" s="63">
        <v>0</v>
      </c>
      <c r="AH197" s="63">
        <v>0</v>
      </c>
      <c r="AI197" s="63">
        <v>0</v>
      </c>
      <c r="AJ197" s="63">
        <v>0</v>
      </c>
      <c r="AK197" s="63">
        <v>0</v>
      </c>
      <c r="AL197" s="63">
        <v>38481870</v>
      </c>
      <c r="AM197" s="63">
        <v>38559966</v>
      </c>
      <c r="AN197" s="63">
        <v>0</v>
      </c>
      <c r="AO197" s="63">
        <v>0</v>
      </c>
      <c r="AP197" s="63">
        <v>77041836</v>
      </c>
      <c r="AQ197" s="63">
        <v>478025</v>
      </c>
      <c r="AR197" s="63">
        <v>478025</v>
      </c>
      <c r="AS197" s="63">
        <v>30829</v>
      </c>
      <c r="AT197" s="63">
        <v>30829</v>
      </c>
      <c r="AU197" s="63">
        <v>1376308</v>
      </c>
      <c r="AV197" s="63">
        <v>0</v>
      </c>
      <c r="AW197" s="63">
        <v>1376308</v>
      </c>
      <c r="AX197" s="63">
        <v>78096</v>
      </c>
      <c r="AY197" s="63">
        <v>0</v>
      </c>
      <c r="AZ197" s="63">
        <v>0</v>
      </c>
      <c r="BA197" s="63">
        <v>78096</v>
      </c>
      <c r="BB197" s="63">
        <v>0</v>
      </c>
      <c r="BC197" s="63">
        <v>0</v>
      </c>
      <c r="BD197" s="63">
        <v>0</v>
      </c>
      <c r="BE197" s="63">
        <v>0</v>
      </c>
      <c r="BF197" s="63">
        <v>0</v>
      </c>
      <c r="BG197" s="63">
        <v>0</v>
      </c>
      <c r="BH197" s="63">
        <v>-1552411</v>
      </c>
      <c r="BI197" s="63">
        <v>-1552412</v>
      </c>
      <c r="BJ197" s="63">
        <v>0</v>
      </c>
      <c r="BK197" s="63">
        <v>0</v>
      </c>
      <c r="BL197" s="63">
        <v>-3104823</v>
      </c>
      <c r="BM197" s="63">
        <v>36929459</v>
      </c>
      <c r="BN197" s="63">
        <v>38970812</v>
      </c>
      <c r="BO197" s="63">
        <v>0</v>
      </c>
      <c r="BP197" s="63">
        <v>0</v>
      </c>
      <c r="BQ197" s="63">
        <v>75900271</v>
      </c>
      <c r="BR197" s="63">
        <v>579166</v>
      </c>
      <c r="BS197" s="63">
        <v>0</v>
      </c>
      <c r="BT197" s="63">
        <v>0</v>
      </c>
      <c r="BU197" s="63">
        <v>579166</v>
      </c>
      <c r="BV197" s="63">
        <v>2130820</v>
      </c>
      <c r="BW197" s="63">
        <v>0</v>
      </c>
      <c r="BX197" s="63">
        <v>0</v>
      </c>
      <c r="BY197" s="63">
        <v>2130820</v>
      </c>
      <c r="BZ197" s="63">
        <v>10067</v>
      </c>
      <c r="CA197" s="63">
        <v>0</v>
      </c>
      <c r="CB197" s="63">
        <v>0</v>
      </c>
      <c r="CC197" s="63">
        <v>10067</v>
      </c>
      <c r="CD197" s="63">
        <v>12681</v>
      </c>
      <c r="CE197" s="63">
        <v>0</v>
      </c>
      <c r="CF197" s="63">
        <v>0</v>
      </c>
      <c r="CG197" s="63">
        <v>12681</v>
      </c>
      <c r="CH197" s="63">
        <v>18209</v>
      </c>
      <c r="CI197" s="63">
        <v>0</v>
      </c>
      <c r="CJ197" s="63">
        <v>0</v>
      </c>
      <c r="CK197" s="63">
        <v>18209</v>
      </c>
      <c r="CL197" s="63">
        <v>14609</v>
      </c>
      <c r="CM197" s="63">
        <v>0</v>
      </c>
      <c r="CN197" s="63">
        <v>0</v>
      </c>
      <c r="CO197" s="63">
        <v>14609</v>
      </c>
      <c r="CP197" s="63">
        <v>2765552</v>
      </c>
      <c r="CQ197" s="63">
        <v>0</v>
      </c>
      <c r="CR197" s="63">
        <v>0</v>
      </c>
      <c r="CS197" s="63">
        <v>2765552</v>
      </c>
      <c r="CU197" s="141" t="s">
        <v>248</v>
      </c>
      <c r="CV197" s="157" t="s">
        <v>501</v>
      </c>
      <c r="CW197" s="156" t="s">
        <v>928</v>
      </c>
      <c r="CX197" s="345"/>
      <c r="CY197" s="345"/>
      <c r="CZ197" s="345"/>
    </row>
    <row r="198" spans="1:104" ht="12.75" x14ac:dyDescent="0.2">
      <c r="A198" s="90">
        <v>191</v>
      </c>
      <c r="B198" s="129" t="s">
        <v>251</v>
      </c>
      <c r="C198" s="130" t="s">
        <v>742</v>
      </c>
      <c r="D198" s="131" t="s">
        <v>746</v>
      </c>
      <c r="E198" s="132" t="s">
        <v>250</v>
      </c>
      <c r="F198" s="63">
        <v>78133316</v>
      </c>
      <c r="G198" s="63">
        <v>0</v>
      </c>
      <c r="H198" s="63">
        <v>0</v>
      </c>
      <c r="I198" s="63">
        <v>271241</v>
      </c>
      <c r="J198" s="63">
        <v>0</v>
      </c>
      <c r="K198" s="63">
        <v>271241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63">
        <v>77862075</v>
      </c>
      <c r="R198" s="474">
        <v>0.5</v>
      </c>
      <c r="S198" s="474">
        <v>0.4</v>
      </c>
      <c r="T198" s="474">
        <v>0.1</v>
      </c>
      <c r="U198" s="474">
        <v>0</v>
      </c>
      <c r="V198" s="474">
        <v>1</v>
      </c>
      <c r="W198" s="63">
        <v>38931037</v>
      </c>
      <c r="X198" s="63">
        <v>31144830</v>
      </c>
      <c r="Y198" s="63">
        <v>7786208</v>
      </c>
      <c r="Z198" s="63">
        <v>0</v>
      </c>
      <c r="AA198" s="63">
        <v>77862075</v>
      </c>
      <c r="AB198" s="63">
        <v>0</v>
      </c>
      <c r="AC198" s="63">
        <v>0</v>
      </c>
      <c r="AD198" s="63">
        <v>0</v>
      </c>
      <c r="AE198" s="63">
        <v>0</v>
      </c>
      <c r="AF198" s="63">
        <v>0</v>
      </c>
      <c r="AG198" s="63">
        <v>0</v>
      </c>
      <c r="AH198" s="63">
        <v>0</v>
      </c>
      <c r="AI198" s="63">
        <v>0</v>
      </c>
      <c r="AJ198" s="63">
        <v>0</v>
      </c>
      <c r="AK198" s="63">
        <v>0</v>
      </c>
      <c r="AL198" s="63">
        <v>38931037</v>
      </c>
      <c r="AM198" s="63">
        <v>31144830</v>
      </c>
      <c r="AN198" s="63">
        <v>7786208</v>
      </c>
      <c r="AO198" s="63">
        <v>0</v>
      </c>
      <c r="AP198" s="63">
        <v>77862075</v>
      </c>
      <c r="AQ198" s="63">
        <v>271241</v>
      </c>
      <c r="AR198" s="63">
        <v>271241</v>
      </c>
      <c r="AS198" s="63">
        <v>0</v>
      </c>
      <c r="AT198" s="63">
        <v>0</v>
      </c>
      <c r="AU198" s="63">
        <v>0</v>
      </c>
      <c r="AV198" s="63">
        <v>0</v>
      </c>
      <c r="AW198" s="63">
        <v>0</v>
      </c>
      <c r="AX198" s="63">
        <v>0</v>
      </c>
      <c r="AY198" s="63">
        <v>0</v>
      </c>
      <c r="AZ198" s="63">
        <v>0</v>
      </c>
      <c r="BA198" s="63">
        <v>0</v>
      </c>
      <c r="BB198" s="63">
        <v>0</v>
      </c>
      <c r="BC198" s="63">
        <v>0</v>
      </c>
      <c r="BD198" s="63">
        <v>0</v>
      </c>
      <c r="BE198" s="63">
        <v>0</v>
      </c>
      <c r="BF198" s="63">
        <v>0</v>
      </c>
      <c r="BG198" s="63">
        <v>0</v>
      </c>
      <c r="BH198" s="63">
        <v>-1437342</v>
      </c>
      <c r="BI198" s="63">
        <v>-1149873</v>
      </c>
      <c r="BJ198" s="63">
        <v>-287468</v>
      </c>
      <c r="BK198" s="63">
        <v>0</v>
      </c>
      <c r="BL198" s="63">
        <v>-2874683</v>
      </c>
      <c r="BM198" s="63">
        <v>37493695</v>
      </c>
      <c r="BN198" s="63">
        <v>30266198</v>
      </c>
      <c r="BO198" s="63">
        <v>7498740</v>
      </c>
      <c r="BP198" s="63">
        <v>0</v>
      </c>
      <c r="BQ198" s="63">
        <v>75258633</v>
      </c>
      <c r="BR198" s="63">
        <v>450442</v>
      </c>
      <c r="BS198" s="63">
        <v>112610</v>
      </c>
      <c r="BT198" s="63">
        <v>0</v>
      </c>
      <c r="BU198" s="63">
        <v>563052</v>
      </c>
      <c r="BV198" s="63">
        <v>774467</v>
      </c>
      <c r="BW198" s="63">
        <v>193617</v>
      </c>
      <c r="BX198" s="63">
        <v>0</v>
      </c>
      <c r="BY198" s="63">
        <v>968084</v>
      </c>
      <c r="BZ198" s="63">
        <v>3965</v>
      </c>
      <c r="CA198" s="63">
        <v>991</v>
      </c>
      <c r="CB198" s="63">
        <v>0</v>
      </c>
      <c r="CC198" s="63">
        <v>4956</v>
      </c>
      <c r="CD198" s="63">
        <v>0</v>
      </c>
      <c r="CE198" s="63">
        <v>0</v>
      </c>
      <c r="CF198" s="63">
        <v>0</v>
      </c>
      <c r="CG198" s="63">
        <v>0</v>
      </c>
      <c r="CH198" s="63">
        <v>11820</v>
      </c>
      <c r="CI198" s="63">
        <v>2955</v>
      </c>
      <c r="CJ198" s="63">
        <v>0</v>
      </c>
      <c r="CK198" s="63">
        <v>14775</v>
      </c>
      <c r="CL198" s="63">
        <v>4434</v>
      </c>
      <c r="CM198" s="63">
        <v>1109</v>
      </c>
      <c r="CN198" s="63">
        <v>0</v>
      </c>
      <c r="CO198" s="63">
        <v>5543</v>
      </c>
      <c r="CP198" s="63">
        <v>1245128</v>
      </c>
      <c r="CQ198" s="63">
        <v>311282</v>
      </c>
      <c r="CR198" s="63">
        <v>0</v>
      </c>
      <c r="CS198" s="63">
        <v>1556410</v>
      </c>
      <c r="CU198" s="141" t="s">
        <v>250</v>
      </c>
      <c r="CV198" s="157" t="s">
        <v>958</v>
      </c>
      <c r="CW198" s="156" t="s">
        <v>928</v>
      </c>
      <c r="CX198" s="345"/>
      <c r="CY198" s="345"/>
      <c r="CZ198" s="345"/>
    </row>
    <row r="199" spans="1:104" ht="12.75" x14ac:dyDescent="0.2">
      <c r="A199" s="90">
        <v>192</v>
      </c>
      <c r="B199" s="129" t="s">
        <v>252</v>
      </c>
      <c r="C199" s="130" t="s">
        <v>501</v>
      </c>
      <c r="D199" s="131" t="s">
        <v>745</v>
      </c>
      <c r="E199" s="132" t="s">
        <v>545</v>
      </c>
      <c r="F199" s="63">
        <v>126589174</v>
      </c>
      <c r="G199" s="63">
        <v>0</v>
      </c>
      <c r="H199" s="63">
        <v>0</v>
      </c>
      <c r="I199" s="63">
        <v>488769</v>
      </c>
      <c r="J199" s="63">
        <v>5000</v>
      </c>
      <c r="K199" s="63">
        <v>493769</v>
      </c>
      <c r="L199" s="63">
        <v>0</v>
      </c>
      <c r="M199" s="63">
        <v>10107</v>
      </c>
      <c r="N199" s="63">
        <v>0</v>
      </c>
      <c r="O199" s="63">
        <v>0</v>
      </c>
      <c r="P199" s="63">
        <v>0</v>
      </c>
      <c r="Q199" s="63">
        <v>126085298</v>
      </c>
      <c r="R199" s="474">
        <v>0.5</v>
      </c>
      <c r="S199" s="474">
        <v>0.49</v>
      </c>
      <c r="T199" s="474">
        <v>0</v>
      </c>
      <c r="U199" s="474">
        <v>0.01</v>
      </c>
      <c r="V199" s="474">
        <v>1</v>
      </c>
      <c r="W199" s="63">
        <v>63042649</v>
      </c>
      <c r="X199" s="63">
        <v>61781796</v>
      </c>
      <c r="Y199" s="63">
        <v>0</v>
      </c>
      <c r="Z199" s="63">
        <v>1260853</v>
      </c>
      <c r="AA199" s="63">
        <v>126085298</v>
      </c>
      <c r="AB199" s="63">
        <v>0</v>
      </c>
      <c r="AC199" s="63">
        <v>0</v>
      </c>
      <c r="AD199" s="63">
        <v>0</v>
      </c>
      <c r="AE199" s="63">
        <v>0</v>
      </c>
      <c r="AF199" s="63">
        <v>0</v>
      </c>
      <c r="AG199" s="63">
        <v>0</v>
      </c>
      <c r="AH199" s="63">
        <v>0</v>
      </c>
      <c r="AI199" s="63">
        <v>0</v>
      </c>
      <c r="AJ199" s="63">
        <v>0</v>
      </c>
      <c r="AK199" s="63">
        <v>0</v>
      </c>
      <c r="AL199" s="63">
        <v>63042649</v>
      </c>
      <c r="AM199" s="63">
        <v>61781796</v>
      </c>
      <c r="AN199" s="63">
        <v>0</v>
      </c>
      <c r="AO199" s="63">
        <v>1260853</v>
      </c>
      <c r="AP199" s="63">
        <v>126085298</v>
      </c>
      <c r="AQ199" s="63">
        <v>493769</v>
      </c>
      <c r="AR199" s="63">
        <v>493769</v>
      </c>
      <c r="AS199" s="63">
        <v>10107</v>
      </c>
      <c r="AT199" s="63">
        <v>10107</v>
      </c>
      <c r="AU199" s="63">
        <v>0</v>
      </c>
      <c r="AV199" s="63">
        <v>0</v>
      </c>
      <c r="AW199" s="63">
        <v>0</v>
      </c>
      <c r="AX199" s="63">
        <v>0</v>
      </c>
      <c r="AY199" s="63">
        <v>0</v>
      </c>
      <c r="AZ199" s="63">
        <v>0</v>
      </c>
      <c r="BA199" s="63">
        <v>0</v>
      </c>
      <c r="BB199" s="63">
        <v>0</v>
      </c>
      <c r="BC199" s="63">
        <v>0</v>
      </c>
      <c r="BD199" s="63">
        <v>0</v>
      </c>
      <c r="BE199" s="63">
        <v>0</v>
      </c>
      <c r="BF199" s="63">
        <v>0</v>
      </c>
      <c r="BG199" s="63">
        <v>0</v>
      </c>
      <c r="BH199" s="63">
        <v>-2058675</v>
      </c>
      <c r="BI199" s="63">
        <v>-2017502</v>
      </c>
      <c r="BJ199" s="63">
        <v>0</v>
      </c>
      <c r="BK199" s="63">
        <v>-41174</v>
      </c>
      <c r="BL199" s="63">
        <v>-4117351</v>
      </c>
      <c r="BM199" s="63">
        <v>60983974</v>
      </c>
      <c r="BN199" s="63">
        <v>60268170</v>
      </c>
      <c r="BO199" s="63">
        <v>0</v>
      </c>
      <c r="BP199" s="63">
        <v>1219679</v>
      </c>
      <c r="BQ199" s="63">
        <v>122471823</v>
      </c>
      <c r="BR199" s="63">
        <v>893685</v>
      </c>
      <c r="BS199" s="63">
        <v>0</v>
      </c>
      <c r="BT199" s="63">
        <v>18235</v>
      </c>
      <c r="BU199" s="63">
        <v>911920</v>
      </c>
      <c r="BV199" s="63">
        <v>1524328</v>
      </c>
      <c r="BW199" s="63">
        <v>0</v>
      </c>
      <c r="BX199" s="63">
        <v>27070</v>
      </c>
      <c r="BY199" s="63">
        <v>1551398</v>
      </c>
      <c r="BZ199" s="63">
        <v>9942</v>
      </c>
      <c r="CA199" s="63">
        <v>0</v>
      </c>
      <c r="CB199" s="63">
        <v>203</v>
      </c>
      <c r="CC199" s="63">
        <v>10145</v>
      </c>
      <c r="CD199" s="63">
        <v>0</v>
      </c>
      <c r="CE199" s="63">
        <v>0</v>
      </c>
      <c r="CF199" s="63">
        <v>0</v>
      </c>
      <c r="CG199" s="63">
        <v>0</v>
      </c>
      <c r="CH199" s="63">
        <v>27440</v>
      </c>
      <c r="CI199" s="63">
        <v>0</v>
      </c>
      <c r="CJ199" s="63">
        <v>457</v>
      </c>
      <c r="CK199" s="63">
        <v>27897</v>
      </c>
      <c r="CL199" s="63">
        <v>0</v>
      </c>
      <c r="CM199" s="63">
        <v>0</v>
      </c>
      <c r="CN199" s="63">
        <v>0</v>
      </c>
      <c r="CO199" s="63">
        <v>0</v>
      </c>
      <c r="CP199" s="63">
        <v>2455395</v>
      </c>
      <c r="CQ199" s="63">
        <v>0</v>
      </c>
      <c r="CR199" s="63">
        <v>45965</v>
      </c>
      <c r="CS199" s="63">
        <v>2501360</v>
      </c>
      <c r="CU199" s="141" t="s">
        <v>545</v>
      </c>
      <c r="CV199" s="157" t="s">
        <v>501</v>
      </c>
      <c r="CW199" s="156" t="s">
        <v>933</v>
      </c>
      <c r="CX199" s="345"/>
      <c r="CY199" s="345"/>
      <c r="CZ199" s="345"/>
    </row>
    <row r="200" spans="1:104" ht="12.75" x14ac:dyDescent="0.2">
      <c r="A200" s="90">
        <v>193</v>
      </c>
      <c r="B200" s="129" t="s">
        <v>253</v>
      </c>
      <c r="C200" s="130" t="s">
        <v>742</v>
      </c>
      <c r="D200" s="131" t="s">
        <v>752</v>
      </c>
      <c r="E200" s="132" t="s">
        <v>550</v>
      </c>
      <c r="F200" s="63">
        <v>35578980</v>
      </c>
      <c r="G200" s="63">
        <v>0</v>
      </c>
      <c r="H200" s="63">
        <v>0</v>
      </c>
      <c r="I200" s="63">
        <v>133244</v>
      </c>
      <c r="J200" s="63">
        <v>0</v>
      </c>
      <c r="K200" s="63">
        <v>133244</v>
      </c>
      <c r="L200" s="63">
        <v>0</v>
      </c>
      <c r="M200" s="63">
        <v>0</v>
      </c>
      <c r="N200" s="63">
        <v>0</v>
      </c>
      <c r="O200" s="63">
        <v>0</v>
      </c>
      <c r="P200" s="63">
        <v>0</v>
      </c>
      <c r="Q200" s="63">
        <v>35445736</v>
      </c>
      <c r="R200" s="474">
        <v>0.5</v>
      </c>
      <c r="S200" s="474">
        <v>0.4</v>
      </c>
      <c r="T200" s="474">
        <v>0.1</v>
      </c>
      <c r="U200" s="474">
        <v>0</v>
      </c>
      <c r="V200" s="474">
        <v>1</v>
      </c>
      <c r="W200" s="63">
        <v>17722868</v>
      </c>
      <c r="X200" s="63">
        <v>14178294</v>
      </c>
      <c r="Y200" s="63">
        <v>3544574</v>
      </c>
      <c r="Z200" s="63">
        <v>0</v>
      </c>
      <c r="AA200" s="63">
        <v>35445736</v>
      </c>
      <c r="AB200" s="63">
        <v>0</v>
      </c>
      <c r="AC200" s="63">
        <v>0</v>
      </c>
      <c r="AD200" s="63">
        <v>0</v>
      </c>
      <c r="AE200" s="63">
        <v>0</v>
      </c>
      <c r="AF200" s="63">
        <v>0</v>
      </c>
      <c r="AG200" s="63">
        <v>0</v>
      </c>
      <c r="AH200" s="63">
        <v>0</v>
      </c>
      <c r="AI200" s="63">
        <v>0</v>
      </c>
      <c r="AJ200" s="63">
        <v>0</v>
      </c>
      <c r="AK200" s="63">
        <v>0</v>
      </c>
      <c r="AL200" s="63">
        <v>17722868</v>
      </c>
      <c r="AM200" s="63">
        <v>14178294</v>
      </c>
      <c r="AN200" s="63">
        <v>3544574</v>
      </c>
      <c r="AO200" s="63">
        <v>0</v>
      </c>
      <c r="AP200" s="63">
        <v>35445736</v>
      </c>
      <c r="AQ200" s="63">
        <v>133244</v>
      </c>
      <c r="AR200" s="63">
        <v>133244</v>
      </c>
      <c r="AS200" s="63">
        <v>0</v>
      </c>
      <c r="AT200" s="63">
        <v>0</v>
      </c>
      <c r="AU200" s="63">
        <v>0</v>
      </c>
      <c r="AV200" s="63">
        <v>0</v>
      </c>
      <c r="AW200" s="63">
        <v>0</v>
      </c>
      <c r="AX200" s="63">
        <v>0</v>
      </c>
      <c r="AY200" s="63">
        <v>0</v>
      </c>
      <c r="AZ200" s="63">
        <v>0</v>
      </c>
      <c r="BA200" s="63">
        <v>0</v>
      </c>
      <c r="BB200" s="63">
        <v>0</v>
      </c>
      <c r="BC200" s="63">
        <v>0</v>
      </c>
      <c r="BD200" s="63">
        <v>0</v>
      </c>
      <c r="BE200" s="63">
        <v>0</v>
      </c>
      <c r="BF200" s="63">
        <v>0</v>
      </c>
      <c r="BG200" s="63">
        <v>0</v>
      </c>
      <c r="BH200" s="63">
        <v>-1452053</v>
      </c>
      <c r="BI200" s="63">
        <v>-1161642</v>
      </c>
      <c r="BJ200" s="63">
        <v>-290411</v>
      </c>
      <c r="BK200" s="63">
        <v>0</v>
      </c>
      <c r="BL200" s="63">
        <v>-2904106</v>
      </c>
      <c r="BM200" s="63">
        <v>16270815</v>
      </c>
      <c r="BN200" s="63">
        <v>13149896</v>
      </c>
      <c r="BO200" s="63">
        <v>3254163</v>
      </c>
      <c r="BP200" s="63">
        <v>0</v>
      </c>
      <c r="BQ200" s="63">
        <v>32674874</v>
      </c>
      <c r="BR200" s="63">
        <v>205058</v>
      </c>
      <c r="BS200" s="63">
        <v>51265</v>
      </c>
      <c r="BT200" s="63">
        <v>0</v>
      </c>
      <c r="BU200" s="63">
        <v>256323</v>
      </c>
      <c r="BV200" s="63">
        <v>406228</v>
      </c>
      <c r="BW200" s="63">
        <v>101557</v>
      </c>
      <c r="BX200" s="63">
        <v>0</v>
      </c>
      <c r="BY200" s="63">
        <v>507785</v>
      </c>
      <c r="BZ200" s="63">
        <v>0</v>
      </c>
      <c r="CA200" s="63">
        <v>0</v>
      </c>
      <c r="CB200" s="63">
        <v>0</v>
      </c>
      <c r="CC200" s="63">
        <v>0</v>
      </c>
      <c r="CD200" s="63">
        <v>24347</v>
      </c>
      <c r="CE200" s="63">
        <v>6087</v>
      </c>
      <c r="CF200" s="63">
        <v>0</v>
      </c>
      <c r="CG200" s="63">
        <v>30434</v>
      </c>
      <c r="CH200" s="63">
        <v>0</v>
      </c>
      <c r="CI200" s="63">
        <v>0</v>
      </c>
      <c r="CJ200" s="63">
        <v>0</v>
      </c>
      <c r="CK200" s="63">
        <v>0</v>
      </c>
      <c r="CL200" s="63">
        <v>1623</v>
      </c>
      <c r="CM200" s="63">
        <v>406</v>
      </c>
      <c r="CN200" s="63">
        <v>0</v>
      </c>
      <c r="CO200" s="63">
        <v>2029</v>
      </c>
      <c r="CP200" s="63">
        <v>637256</v>
      </c>
      <c r="CQ200" s="63">
        <v>159315</v>
      </c>
      <c r="CR200" s="63">
        <v>0</v>
      </c>
      <c r="CS200" s="63">
        <v>796571</v>
      </c>
      <c r="CU200" s="141" t="s">
        <v>550</v>
      </c>
      <c r="CV200" s="157" t="s">
        <v>983</v>
      </c>
      <c r="CW200" s="156" t="s">
        <v>928</v>
      </c>
      <c r="CX200" s="345"/>
      <c r="CY200" s="345"/>
      <c r="CZ200" s="345"/>
    </row>
    <row r="201" spans="1:104" ht="12.75" x14ac:dyDescent="0.2">
      <c r="A201" s="90">
        <v>194</v>
      </c>
      <c r="B201" s="129" t="s">
        <v>254</v>
      </c>
      <c r="C201" s="130" t="s">
        <v>742</v>
      </c>
      <c r="D201" s="131" t="s">
        <v>745</v>
      </c>
      <c r="E201" s="132" t="s">
        <v>543</v>
      </c>
      <c r="F201" s="63">
        <v>12305260</v>
      </c>
      <c r="G201" s="63">
        <v>0</v>
      </c>
      <c r="H201" s="63">
        <v>0</v>
      </c>
      <c r="I201" s="63">
        <v>56547</v>
      </c>
      <c r="J201" s="63">
        <v>0</v>
      </c>
      <c r="K201" s="63">
        <v>56547</v>
      </c>
      <c r="L201" s="63">
        <v>0</v>
      </c>
      <c r="M201" s="63">
        <v>0</v>
      </c>
      <c r="N201" s="63">
        <v>0</v>
      </c>
      <c r="O201" s="63">
        <v>0</v>
      </c>
      <c r="P201" s="63">
        <v>0</v>
      </c>
      <c r="Q201" s="63">
        <v>12248713</v>
      </c>
      <c r="R201" s="474">
        <v>0.5</v>
      </c>
      <c r="S201" s="474">
        <v>0.4</v>
      </c>
      <c r="T201" s="474">
        <v>0.09</v>
      </c>
      <c r="U201" s="474">
        <v>0.01</v>
      </c>
      <c r="V201" s="474">
        <v>1</v>
      </c>
      <c r="W201" s="63">
        <v>6124357</v>
      </c>
      <c r="X201" s="63">
        <v>4899485</v>
      </c>
      <c r="Y201" s="63">
        <v>1102384</v>
      </c>
      <c r="Z201" s="63">
        <v>122487</v>
      </c>
      <c r="AA201" s="63">
        <v>12248713</v>
      </c>
      <c r="AB201" s="63">
        <v>0</v>
      </c>
      <c r="AC201" s="63">
        <v>0</v>
      </c>
      <c r="AD201" s="63">
        <v>0</v>
      </c>
      <c r="AE201" s="63">
        <v>0</v>
      </c>
      <c r="AF201" s="63">
        <v>0</v>
      </c>
      <c r="AG201" s="63">
        <v>0</v>
      </c>
      <c r="AH201" s="63">
        <v>0</v>
      </c>
      <c r="AI201" s="63">
        <v>0</v>
      </c>
      <c r="AJ201" s="63">
        <v>0</v>
      </c>
      <c r="AK201" s="63">
        <v>0</v>
      </c>
      <c r="AL201" s="63">
        <v>6124357</v>
      </c>
      <c r="AM201" s="63">
        <v>4899485</v>
      </c>
      <c r="AN201" s="63">
        <v>1102384</v>
      </c>
      <c r="AO201" s="63">
        <v>122487</v>
      </c>
      <c r="AP201" s="63">
        <v>12248713</v>
      </c>
      <c r="AQ201" s="63">
        <v>56547</v>
      </c>
      <c r="AR201" s="63">
        <v>56547</v>
      </c>
      <c r="AS201" s="63">
        <v>0</v>
      </c>
      <c r="AT201" s="63">
        <v>0</v>
      </c>
      <c r="AU201" s="63">
        <v>0</v>
      </c>
      <c r="AV201" s="63">
        <v>0</v>
      </c>
      <c r="AW201" s="63">
        <v>0</v>
      </c>
      <c r="AX201" s="63">
        <v>0</v>
      </c>
      <c r="AY201" s="63">
        <v>0</v>
      </c>
      <c r="AZ201" s="63">
        <v>0</v>
      </c>
      <c r="BA201" s="63">
        <v>0</v>
      </c>
      <c r="BB201" s="63">
        <v>0</v>
      </c>
      <c r="BC201" s="63">
        <v>0</v>
      </c>
      <c r="BD201" s="63">
        <v>0</v>
      </c>
      <c r="BE201" s="63">
        <v>0</v>
      </c>
      <c r="BF201" s="63">
        <v>0</v>
      </c>
      <c r="BG201" s="63">
        <v>0</v>
      </c>
      <c r="BH201" s="63">
        <v>-350692</v>
      </c>
      <c r="BI201" s="63">
        <v>-280554</v>
      </c>
      <c r="BJ201" s="63">
        <v>-63125</v>
      </c>
      <c r="BK201" s="63">
        <v>-7014</v>
      </c>
      <c r="BL201" s="63">
        <v>-701385</v>
      </c>
      <c r="BM201" s="63">
        <v>5773665</v>
      </c>
      <c r="BN201" s="63">
        <v>4675478</v>
      </c>
      <c r="BO201" s="63">
        <v>1039259</v>
      </c>
      <c r="BP201" s="63">
        <v>115473</v>
      </c>
      <c r="BQ201" s="63">
        <v>11603875</v>
      </c>
      <c r="BR201" s="63">
        <v>70860</v>
      </c>
      <c r="BS201" s="63">
        <v>15944</v>
      </c>
      <c r="BT201" s="63">
        <v>1772</v>
      </c>
      <c r="BU201" s="63">
        <v>88576</v>
      </c>
      <c r="BV201" s="63">
        <v>205861</v>
      </c>
      <c r="BW201" s="63">
        <v>46319</v>
      </c>
      <c r="BX201" s="63">
        <v>5147</v>
      </c>
      <c r="BY201" s="63">
        <v>257327</v>
      </c>
      <c r="BZ201" s="63">
        <v>4058</v>
      </c>
      <c r="CA201" s="63">
        <v>913</v>
      </c>
      <c r="CB201" s="63">
        <v>101</v>
      </c>
      <c r="CC201" s="63">
        <v>5072</v>
      </c>
      <c r="CD201" s="63">
        <v>0</v>
      </c>
      <c r="CE201" s="63">
        <v>0</v>
      </c>
      <c r="CF201" s="63">
        <v>0</v>
      </c>
      <c r="CG201" s="63">
        <v>0</v>
      </c>
      <c r="CH201" s="63">
        <v>4058</v>
      </c>
      <c r="CI201" s="63">
        <v>913</v>
      </c>
      <c r="CJ201" s="63">
        <v>101</v>
      </c>
      <c r="CK201" s="63">
        <v>5072</v>
      </c>
      <c r="CL201" s="63">
        <v>0</v>
      </c>
      <c r="CM201" s="63">
        <v>0</v>
      </c>
      <c r="CN201" s="63">
        <v>0</v>
      </c>
      <c r="CO201" s="63">
        <v>0</v>
      </c>
      <c r="CP201" s="63">
        <v>284837</v>
      </c>
      <c r="CQ201" s="63">
        <v>64089</v>
      </c>
      <c r="CR201" s="63">
        <v>7121</v>
      </c>
      <c r="CS201" s="63">
        <v>356047</v>
      </c>
      <c r="CU201" s="141" t="s">
        <v>543</v>
      </c>
      <c r="CV201" s="157" t="s">
        <v>950</v>
      </c>
      <c r="CW201" s="156" t="s">
        <v>951</v>
      </c>
      <c r="CX201" s="345"/>
      <c r="CY201" s="345"/>
      <c r="CZ201" s="345"/>
    </row>
    <row r="202" spans="1:104" ht="12.75" x14ac:dyDescent="0.2">
      <c r="A202" s="90">
        <v>195</v>
      </c>
      <c r="B202" s="129" t="s">
        <v>256</v>
      </c>
      <c r="C202" s="130" t="s">
        <v>749</v>
      </c>
      <c r="D202" s="131" t="s">
        <v>744</v>
      </c>
      <c r="E202" s="132" t="s">
        <v>255</v>
      </c>
      <c r="F202" s="63">
        <v>59594941</v>
      </c>
      <c r="G202" s="63">
        <v>0</v>
      </c>
      <c r="H202" s="63">
        <v>0</v>
      </c>
      <c r="I202" s="63">
        <v>311406</v>
      </c>
      <c r="J202" s="63">
        <v>0</v>
      </c>
      <c r="K202" s="63">
        <v>311406</v>
      </c>
      <c r="L202" s="63">
        <v>0</v>
      </c>
      <c r="M202" s="63">
        <v>0</v>
      </c>
      <c r="N202" s="63">
        <v>1912</v>
      </c>
      <c r="O202" s="63">
        <v>1912</v>
      </c>
      <c r="P202" s="63">
        <v>0</v>
      </c>
      <c r="Q202" s="63">
        <v>59281623</v>
      </c>
      <c r="R202" s="474">
        <v>0.5</v>
      </c>
      <c r="S202" s="474">
        <v>0.49</v>
      </c>
      <c r="T202" s="474">
        <v>0</v>
      </c>
      <c r="U202" s="474">
        <v>0.01</v>
      </c>
      <c r="V202" s="474">
        <v>1</v>
      </c>
      <c r="W202" s="63">
        <v>29640812</v>
      </c>
      <c r="X202" s="63">
        <v>29047995</v>
      </c>
      <c r="Y202" s="63">
        <v>0</v>
      </c>
      <c r="Z202" s="63">
        <v>592816</v>
      </c>
      <c r="AA202" s="63">
        <v>59281623</v>
      </c>
      <c r="AB202" s="63">
        <v>0</v>
      </c>
      <c r="AC202" s="63">
        <v>0</v>
      </c>
      <c r="AD202" s="63">
        <v>0</v>
      </c>
      <c r="AE202" s="63">
        <v>0</v>
      </c>
      <c r="AF202" s="63">
        <v>0</v>
      </c>
      <c r="AG202" s="63">
        <v>0</v>
      </c>
      <c r="AH202" s="63">
        <v>0</v>
      </c>
      <c r="AI202" s="63">
        <v>0</v>
      </c>
      <c r="AJ202" s="63">
        <v>0</v>
      </c>
      <c r="AK202" s="63">
        <v>0</v>
      </c>
      <c r="AL202" s="63">
        <v>29640812</v>
      </c>
      <c r="AM202" s="63">
        <v>29047995</v>
      </c>
      <c r="AN202" s="63">
        <v>0</v>
      </c>
      <c r="AO202" s="63">
        <v>592816</v>
      </c>
      <c r="AP202" s="63">
        <v>59281623</v>
      </c>
      <c r="AQ202" s="63">
        <v>311406</v>
      </c>
      <c r="AR202" s="63">
        <v>311406</v>
      </c>
      <c r="AS202" s="63">
        <v>0</v>
      </c>
      <c r="AT202" s="63">
        <v>0</v>
      </c>
      <c r="AU202" s="63">
        <v>1912</v>
      </c>
      <c r="AV202" s="63">
        <v>0</v>
      </c>
      <c r="AW202" s="63">
        <v>1912</v>
      </c>
      <c r="AX202" s="63">
        <v>0</v>
      </c>
      <c r="AY202" s="63">
        <v>0</v>
      </c>
      <c r="AZ202" s="63">
        <v>0</v>
      </c>
      <c r="BA202" s="63">
        <v>0</v>
      </c>
      <c r="BB202" s="63">
        <v>0</v>
      </c>
      <c r="BC202" s="63">
        <v>0</v>
      </c>
      <c r="BD202" s="63">
        <v>0</v>
      </c>
      <c r="BE202" s="63">
        <v>0</v>
      </c>
      <c r="BF202" s="63">
        <v>0</v>
      </c>
      <c r="BG202" s="63">
        <v>0</v>
      </c>
      <c r="BH202" s="63">
        <v>-2816286</v>
      </c>
      <c r="BI202" s="63">
        <v>-2759960</v>
      </c>
      <c r="BJ202" s="63">
        <v>0</v>
      </c>
      <c r="BK202" s="63">
        <v>-56326</v>
      </c>
      <c r="BL202" s="63">
        <v>-5632572</v>
      </c>
      <c r="BM202" s="63">
        <v>26824526</v>
      </c>
      <c r="BN202" s="63">
        <v>26601353</v>
      </c>
      <c r="BO202" s="63">
        <v>0</v>
      </c>
      <c r="BP202" s="63">
        <v>536490</v>
      </c>
      <c r="BQ202" s="63">
        <v>53962369</v>
      </c>
      <c r="BR202" s="63">
        <v>420143</v>
      </c>
      <c r="BS202" s="63">
        <v>0</v>
      </c>
      <c r="BT202" s="63">
        <v>8574</v>
      </c>
      <c r="BU202" s="63">
        <v>428717</v>
      </c>
      <c r="BV202" s="63">
        <v>1492885</v>
      </c>
      <c r="BW202" s="63">
        <v>0</v>
      </c>
      <c r="BX202" s="63">
        <v>30467</v>
      </c>
      <c r="BY202" s="63">
        <v>1523352</v>
      </c>
      <c r="BZ202" s="63">
        <v>1129</v>
      </c>
      <c r="CA202" s="63">
        <v>0</v>
      </c>
      <c r="CB202" s="63">
        <v>23</v>
      </c>
      <c r="CC202" s="63">
        <v>1152</v>
      </c>
      <c r="CD202" s="63">
        <v>0</v>
      </c>
      <c r="CE202" s="63">
        <v>0</v>
      </c>
      <c r="CF202" s="63">
        <v>0</v>
      </c>
      <c r="CG202" s="63">
        <v>0</v>
      </c>
      <c r="CH202" s="63">
        <v>44769</v>
      </c>
      <c r="CI202" s="63">
        <v>0</v>
      </c>
      <c r="CJ202" s="63">
        <v>914</v>
      </c>
      <c r="CK202" s="63">
        <v>45683</v>
      </c>
      <c r="CL202" s="63">
        <v>3656</v>
      </c>
      <c r="CM202" s="63">
        <v>0</v>
      </c>
      <c r="CN202" s="63">
        <v>75</v>
      </c>
      <c r="CO202" s="63">
        <v>3731</v>
      </c>
      <c r="CP202" s="63">
        <v>1962582</v>
      </c>
      <c r="CQ202" s="63">
        <v>0</v>
      </c>
      <c r="CR202" s="63">
        <v>40053</v>
      </c>
      <c r="CS202" s="63">
        <v>2002635</v>
      </c>
      <c r="CU202" s="141" t="s">
        <v>255</v>
      </c>
      <c r="CV202" s="157" t="s">
        <v>941</v>
      </c>
      <c r="CW202" s="156" t="s">
        <v>953</v>
      </c>
      <c r="CX202" s="345"/>
      <c r="CY202" s="345"/>
      <c r="CZ202" s="345"/>
    </row>
    <row r="203" spans="1:104" ht="12.75" x14ac:dyDescent="0.2">
      <c r="A203" s="90">
        <v>196</v>
      </c>
      <c r="B203" s="129" t="s">
        <v>258</v>
      </c>
      <c r="C203" s="130" t="s">
        <v>742</v>
      </c>
      <c r="D203" s="131" t="s">
        <v>743</v>
      </c>
      <c r="E203" s="132" t="s">
        <v>257</v>
      </c>
      <c r="F203" s="63">
        <v>84946462</v>
      </c>
      <c r="G203" s="63">
        <v>0</v>
      </c>
      <c r="H203" s="63">
        <v>0</v>
      </c>
      <c r="I203" s="63">
        <v>220410</v>
      </c>
      <c r="J203" s="63">
        <v>0</v>
      </c>
      <c r="K203" s="63">
        <v>220410</v>
      </c>
      <c r="L203" s="63">
        <v>0</v>
      </c>
      <c r="M203" s="63">
        <v>0</v>
      </c>
      <c r="N203" s="63">
        <v>12052</v>
      </c>
      <c r="O203" s="63">
        <v>12052</v>
      </c>
      <c r="P203" s="63">
        <v>0</v>
      </c>
      <c r="Q203" s="63">
        <v>84714000</v>
      </c>
      <c r="R203" s="474">
        <v>0.5</v>
      </c>
      <c r="S203" s="474">
        <v>0.4</v>
      </c>
      <c r="T203" s="474">
        <v>0.1</v>
      </c>
      <c r="U203" s="474">
        <v>0</v>
      </c>
      <c r="V203" s="474">
        <v>1</v>
      </c>
      <c r="W203" s="63">
        <v>42357000</v>
      </c>
      <c r="X203" s="63">
        <v>33885600</v>
      </c>
      <c r="Y203" s="63">
        <v>8471400</v>
      </c>
      <c r="Z203" s="63">
        <v>0</v>
      </c>
      <c r="AA203" s="63">
        <v>84714000</v>
      </c>
      <c r="AB203" s="63">
        <v>0</v>
      </c>
      <c r="AC203" s="63">
        <v>0</v>
      </c>
      <c r="AD203" s="63">
        <v>0</v>
      </c>
      <c r="AE203" s="63">
        <v>0</v>
      </c>
      <c r="AF203" s="63">
        <v>0</v>
      </c>
      <c r="AG203" s="63">
        <v>0</v>
      </c>
      <c r="AH203" s="63">
        <v>0</v>
      </c>
      <c r="AI203" s="63">
        <v>0</v>
      </c>
      <c r="AJ203" s="63">
        <v>0</v>
      </c>
      <c r="AK203" s="63">
        <v>0</v>
      </c>
      <c r="AL203" s="63">
        <v>42357000</v>
      </c>
      <c r="AM203" s="63">
        <v>33885600</v>
      </c>
      <c r="AN203" s="63">
        <v>8471400</v>
      </c>
      <c r="AO203" s="63">
        <v>0</v>
      </c>
      <c r="AP203" s="63">
        <v>84714000</v>
      </c>
      <c r="AQ203" s="63">
        <v>220410</v>
      </c>
      <c r="AR203" s="63">
        <v>220410</v>
      </c>
      <c r="AS203" s="63">
        <v>0</v>
      </c>
      <c r="AT203" s="63">
        <v>0</v>
      </c>
      <c r="AU203" s="63">
        <v>12052</v>
      </c>
      <c r="AV203" s="63">
        <v>0</v>
      </c>
      <c r="AW203" s="63">
        <v>12052</v>
      </c>
      <c r="AX203" s="63">
        <v>0</v>
      </c>
      <c r="AY203" s="63">
        <v>0</v>
      </c>
      <c r="AZ203" s="63">
        <v>0</v>
      </c>
      <c r="BA203" s="63">
        <v>0</v>
      </c>
      <c r="BB203" s="63">
        <v>0</v>
      </c>
      <c r="BC203" s="63">
        <v>0</v>
      </c>
      <c r="BD203" s="63">
        <v>0</v>
      </c>
      <c r="BE203" s="63">
        <v>0</v>
      </c>
      <c r="BF203" s="63">
        <v>0</v>
      </c>
      <c r="BG203" s="63">
        <v>0</v>
      </c>
      <c r="BH203" s="63">
        <v>-3946293</v>
      </c>
      <c r="BI203" s="63">
        <v>-3157034</v>
      </c>
      <c r="BJ203" s="63">
        <v>-789259</v>
      </c>
      <c r="BK203" s="63">
        <v>0</v>
      </c>
      <c r="BL203" s="63">
        <v>-7892586</v>
      </c>
      <c r="BM203" s="63">
        <v>38410707</v>
      </c>
      <c r="BN203" s="63">
        <v>30961028</v>
      </c>
      <c r="BO203" s="63">
        <v>7682141</v>
      </c>
      <c r="BP203" s="63">
        <v>0</v>
      </c>
      <c r="BQ203" s="63">
        <v>77053876</v>
      </c>
      <c r="BR203" s="63">
        <v>490255</v>
      </c>
      <c r="BS203" s="63">
        <v>122520</v>
      </c>
      <c r="BT203" s="63">
        <v>0</v>
      </c>
      <c r="BU203" s="63">
        <v>612775</v>
      </c>
      <c r="BV203" s="63">
        <v>246834</v>
      </c>
      <c r="BW203" s="63">
        <v>61709</v>
      </c>
      <c r="BX203" s="63">
        <v>0</v>
      </c>
      <c r="BY203" s="63">
        <v>308543</v>
      </c>
      <c r="BZ203" s="63">
        <v>26</v>
      </c>
      <c r="CA203" s="63">
        <v>7</v>
      </c>
      <c r="CB203" s="63">
        <v>0</v>
      </c>
      <c r="CC203" s="63">
        <v>33</v>
      </c>
      <c r="CD203" s="63">
        <v>7785</v>
      </c>
      <c r="CE203" s="63">
        <v>1946</v>
      </c>
      <c r="CF203" s="63">
        <v>0</v>
      </c>
      <c r="CG203" s="63">
        <v>9731</v>
      </c>
      <c r="CH203" s="63">
        <v>19905</v>
      </c>
      <c r="CI203" s="63">
        <v>4976</v>
      </c>
      <c r="CJ203" s="63">
        <v>0</v>
      </c>
      <c r="CK203" s="63">
        <v>24881</v>
      </c>
      <c r="CL203" s="63">
        <v>4870</v>
      </c>
      <c r="CM203" s="63">
        <v>1217</v>
      </c>
      <c r="CN203" s="63">
        <v>0</v>
      </c>
      <c r="CO203" s="63">
        <v>6087</v>
      </c>
      <c r="CP203" s="63">
        <v>769675</v>
      </c>
      <c r="CQ203" s="63">
        <v>192375</v>
      </c>
      <c r="CR203" s="63">
        <v>0</v>
      </c>
      <c r="CS203" s="63">
        <v>962050</v>
      </c>
      <c r="CU203" s="141" t="s">
        <v>257</v>
      </c>
      <c r="CV203" s="157" t="s">
        <v>967</v>
      </c>
      <c r="CW203" s="156" t="s">
        <v>928</v>
      </c>
      <c r="CX203" s="345"/>
      <c r="CY203" s="345"/>
      <c r="CZ203" s="345"/>
    </row>
    <row r="204" spans="1:104" ht="12.75" x14ac:dyDescent="0.2">
      <c r="A204" s="90">
        <v>197</v>
      </c>
      <c r="B204" s="129" t="s">
        <v>260</v>
      </c>
      <c r="C204" s="130" t="s">
        <v>742</v>
      </c>
      <c r="D204" s="131" t="s">
        <v>744</v>
      </c>
      <c r="E204" s="132" t="s">
        <v>259</v>
      </c>
      <c r="F204" s="63">
        <v>19359389</v>
      </c>
      <c r="G204" s="63">
        <v>0</v>
      </c>
      <c r="H204" s="63">
        <v>0</v>
      </c>
      <c r="I204" s="63">
        <v>136498</v>
      </c>
      <c r="J204" s="63">
        <v>0</v>
      </c>
      <c r="K204" s="63">
        <v>136498</v>
      </c>
      <c r="L204" s="63">
        <v>0</v>
      </c>
      <c r="M204" s="63">
        <v>0</v>
      </c>
      <c r="N204" s="63">
        <v>0</v>
      </c>
      <c r="O204" s="63">
        <v>0</v>
      </c>
      <c r="P204" s="63">
        <v>0</v>
      </c>
      <c r="Q204" s="63">
        <v>19222891</v>
      </c>
      <c r="R204" s="474">
        <v>0.5</v>
      </c>
      <c r="S204" s="474">
        <v>0.4</v>
      </c>
      <c r="T204" s="474">
        <v>0.09</v>
      </c>
      <c r="U204" s="474">
        <v>0.01</v>
      </c>
      <c r="V204" s="474">
        <v>1</v>
      </c>
      <c r="W204" s="63">
        <v>9611446</v>
      </c>
      <c r="X204" s="63">
        <v>7689156</v>
      </c>
      <c r="Y204" s="63">
        <v>1730060</v>
      </c>
      <c r="Z204" s="63">
        <v>192229</v>
      </c>
      <c r="AA204" s="63">
        <v>19222891</v>
      </c>
      <c r="AB204" s="63">
        <v>0</v>
      </c>
      <c r="AC204" s="63">
        <v>0</v>
      </c>
      <c r="AD204" s="63">
        <v>0</v>
      </c>
      <c r="AE204" s="63">
        <v>0</v>
      </c>
      <c r="AF204" s="63">
        <v>0</v>
      </c>
      <c r="AG204" s="63">
        <v>0</v>
      </c>
      <c r="AH204" s="63">
        <v>0</v>
      </c>
      <c r="AI204" s="63">
        <v>0</v>
      </c>
      <c r="AJ204" s="63">
        <v>0</v>
      </c>
      <c r="AK204" s="63">
        <v>0</v>
      </c>
      <c r="AL204" s="63">
        <v>9611446</v>
      </c>
      <c r="AM204" s="63">
        <v>7689156</v>
      </c>
      <c r="AN204" s="63">
        <v>1730060</v>
      </c>
      <c r="AO204" s="63">
        <v>192229</v>
      </c>
      <c r="AP204" s="63">
        <v>19222891</v>
      </c>
      <c r="AQ204" s="63">
        <v>136498</v>
      </c>
      <c r="AR204" s="63">
        <v>136498</v>
      </c>
      <c r="AS204" s="63">
        <v>0</v>
      </c>
      <c r="AT204" s="63">
        <v>0</v>
      </c>
      <c r="AU204" s="63">
        <v>0</v>
      </c>
      <c r="AV204" s="63">
        <v>0</v>
      </c>
      <c r="AW204" s="63">
        <v>0</v>
      </c>
      <c r="AX204" s="63">
        <v>0</v>
      </c>
      <c r="AY204" s="63">
        <v>0</v>
      </c>
      <c r="AZ204" s="63">
        <v>0</v>
      </c>
      <c r="BA204" s="63">
        <v>0</v>
      </c>
      <c r="BB204" s="63">
        <v>0</v>
      </c>
      <c r="BC204" s="63">
        <v>0</v>
      </c>
      <c r="BD204" s="63">
        <v>0</v>
      </c>
      <c r="BE204" s="63">
        <v>0</v>
      </c>
      <c r="BF204" s="63">
        <v>0</v>
      </c>
      <c r="BG204" s="63">
        <v>0</v>
      </c>
      <c r="BH204" s="63">
        <v>-646493</v>
      </c>
      <c r="BI204" s="63">
        <v>-517195</v>
      </c>
      <c r="BJ204" s="63">
        <v>-116369</v>
      </c>
      <c r="BK204" s="63">
        <v>-12930</v>
      </c>
      <c r="BL204" s="63">
        <v>-1292987</v>
      </c>
      <c r="BM204" s="63">
        <v>8964953</v>
      </c>
      <c r="BN204" s="63">
        <v>7308459</v>
      </c>
      <c r="BO204" s="63">
        <v>1613691</v>
      </c>
      <c r="BP204" s="63">
        <v>179299</v>
      </c>
      <c r="BQ204" s="63">
        <v>18066402</v>
      </c>
      <c r="BR204" s="63">
        <v>111207</v>
      </c>
      <c r="BS204" s="63">
        <v>25022</v>
      </c>
      <c r="BT204" s="63">
        <v>2780</v>
      </c>
      <c r="BU204" s="63">
        <v>139009</v>
      </c>
      <c r="BV204" s="63">
        <v>574699</v>
      </c>
      <c r="BW204" s="63">
        <v>129307</v>
      </c>
      <c r="BX204" s="63">
        <v>14367</v>
      </c>
      <c r="BY204" s="63">
        <v>718373</v>
      </c>
      <c r="BZ204" s="63">
        <v>0</v>
      </c>
      <c r="CA204" s="63">
        <v>0</v>
      </c>
      <c r="CB204" s="63">
        <v>0</v>
      </c>
      <c r="CC204" s="63">
        <v>0</v>
      </c>
      <c r="CD204" s="63">
        <v>0</v>
      </c>
      <c r="CE204" s="63">
        <v>0</v>
      </c>
      <c r="CF204" s="63">
        <v>0</v>
      </c>
      <c r="CG204" s="63">
        <v>0</v>
      </c>
      <c r="CH204" s="63">
        <v>0</v>
      </c>
      <c r="CI204" s="63">
        <v>0</v>
      </c>
      <c r="CJ204" s="63">
        <v>0</v>
      </c>
      <c r="CK204" s="63">
        <v>0</v>
      </c>
      <c r="CL204" s="63">
        <v>0</v>
      </c>
      <c r="CM204" s="63">
        <v>0</v>
      </c>
      <c r="CN204" s="63">
        <v>0</v>
      </c>
      <c r="CO204" s="63">
        <v>0</v>
      </c>
      <c r="CP204" s="63">
        <v>685906</v>
      </c>
      <c r="CQ204" s="63">
        <v>154329</v>
      </c>
      <c r="CR204" s="63">
        <v>17147</v>
      </c>
      <c r="CS204" s="63">
        <v>857382</v>
      </c>
      <c r="CU204" s="141" t="s">
        <v>259</v>
      </c>
      <c r="CV204" s="157" t="s">
        <v>961</v>
      </c>
      <c r="CW204" s="156" t="s">
        <v>952</v>
      </c>
      <c r="CX204" s="345"/>
      <c r="CY204" s="345"/>
      <c r="CZ204" s="345"/>
    </row>
    <row r="205" spans="1:104" ht="12.75" x14ac:dyDescent="0.2">
      <c r="A205" s="90">
        <v>198</v>
      </c>
      <c r="B205" s="129" t="s">
        <v>261</v>
      </c>
      <c r="C205" s="130" t="s">
        <v>501</v>
      </c>
      <c r="D205" s="131" t="s">
        <v>746</v>
      </c>
      <c r="E205" s="132" t="s">
        <v>512</v>
      </c>
      <c r="F205" s="63">
        <v>99097384</v>
      </c>
      <c r="G205" s="63">
        <v>0</v>
      </c>
      <c r="H205" s="63">
        <v>0</v>
      </c>
      <c r="I205" s="63">
        <v>274686</v>
      </c>
      <c r="J205" s="63">
        <v>0</v>
      </c>
      <c r="K205" s="63">
        <v>274686</v>
      </c>
      <c r="L205" s="63">
        <v>0</v>
      </c>
      <c r="M205" s="63">
        <v>0</v>
      </c>
      <c r="N205" s="63">
        <v>340000</v>
      </c>
      <c r="O205" s="63">
        <v>340000</v>
      </c>
      <c r="P205" s="63">
        <v>0</v>
      </c>
      <c r="Q205" s="63">
        <v>98482698</v>
      </c>
      <c r="R205" s="474">
        <v>0.5</v>
      </c>
      <c r="S205" s="474">
        <v>0.49</v>
      </c>
      <c r="T205" s="474">
        <v>0</v>
      </c>
      <c r="U205" s="474">
        <v>0.01</v>
      </c>
      <c r="V205" s="474">
        <v>1</v>
      </c>
      <c r="W205" s="63">
        <v>49241349</v>
      </c>
      <c r="X205" s="63">
        <v>48256522</v>
      </c>
      <c r="Y205" s="63">
        <v>0</v>
      </c>
      <c r="Z205" s="63">
        <v>984827</v>
      </c>
      <c r="AA205" s="63">
        <v>98482698</v>
      </c>
      <c r="AB205" s="63">
        <v>0</v>
      </c>
      <c r="AC205" s="63">
        <v>0</v>
      </c>
      <c r="AD205" s="63">
        <v>0</v>
      </c>
      <c r="AE205" s="63">
        <v>0</v>
      </c>
      <c r="AF205" s="63">
        <v>0</v>
      </c>
      <c r="AG205" s="63">
        <v>0</v>
      </c>
      <c r="AH205" s="63">
        <v>0</v>
      </c>
      <c r="AI205" s="63">
        <v>0</v>
      </c>
      <c r="AJ205" s="63">
        <v>0</v>
      </c>
      <c r="AK205" s="63">
        <v>0</v>
      </c>
      <c r="AL205" s="63">
        <v>49241349</v>
      </c>
      <c r="AM205" s="63">
        <v>48256522</v>
      </c>
      <c r="AN205" s="63">
        <v>0</v>
      </c>
      <c r="AO205" s="63">
        <v>984827</v>
      </c>
      <c r="AP205" s="63">
        <v>98482698</v>
      </c>
      <c r="AQ205" s="63">
        <v>274686</v>
      </c>
      <c r="AR205" s="63">
        <v>274686</v>
      </c>
      <c r="AS205" s="63">
        <v>0</v>
      </c>
      <c r="AT205" s="63">
        <v>0</v>
      </c>
      <c r="AU205" s="63">
        <v>340000</v>
      </c>
      <c r="AV205" s="63">
        <v>0</v>
      </c>
      <c r="AW205" s="63">
        <v>340000</v>
      </c>
      <c r="AX205" s="63">
        <v>0</v>
      </c>
      <c r="AY205" s="63">
        <v>0</v>
      </c>
      <c r="AZ205" s="63">
        <v>0</v>
      </c>
      <c r="BA205" s="63">
        <v>0</v>
      </c>
      <c r="BB205" s="63">
        <v>0</v>
      </c>
      <c r="BC205" s="63">
        <v>0</v>
      </c>
      <c r="BD205" s="63">
        <v>0</v>
      </c>
      <c r="BE205" s="63">
        <v>0</v>
      </c>
      <c r="BF205" s="63">
        <v>0</v>
      </c>
      <c r="BG205" s="63">
        <v>0</v>
      </c>
      <c r="BH205" s="63">
        <v>-858424</v>
      </c>
      <c r="BI205" s="63">
        <v>-841256</v>
      </c>
      <c r="BJ205" s="63">
        <v>0</v>
      </c>
      <c r="BK205" s="63">
        <v>-17168</v>
      </c>
      <c r="BL205" s="63">
        <v>-1716848</v>
      </c>
      <c r="BM205" s="63">
        <v>48382925</v>
      </c>
      <c r="BN205" s="63">
        <v>48029952</v>
      </c>
      <c r="BO205" s="63">
        <v>0</v>
      </c>
      <c r="BP205" s="63">
        <v>967659</v>
      </c>
      <c r="BQ205" s="63">
        <v>97380536</v>
      </c>
      <c r="BR205" s="63">
        <v>702842</v>
      </c>
      <c r="BS205" s="63">
        <v>0</v>
      </c>
      <c r="BT205" s="63">
        <v>14243</v>
      </c>
      <c r="BU205" s="63">
        <v>717085</v>
      </c>
      <c r="BV205" s="63">
        <v>785847</v>
      </c>
      <c r="BW205" s="63">
        <v>0</v>
      </c>
      <c r="BX205" s="63">
        <v>16038</v>
      </c>
      <c r="BY205" s="63">
        <v>801885</v>
      </c>
      <c r="BZ205" s="63">
        <v>2116</v>
      </c>
      <c r="CA205" s="63">
        <v>0</v>
      </c>
      <c r="CB205" s="63">
        <v>43</v>
      </c>
      <c r="CC205" s="63">
        <v>2159</v>
      </c>
      <c r="CD205" s="63">
        <v>0</v>
      </c>
      <c r="CE205" s="63">
        <v>0</v>
      </c>
      <c r="CF205" s="63">
        <v>0</v>
      </c>
      <c r="CG205" s="63">
        <v>0</v>
      </c>
      <c r="CH205" s="63">
        <v>11441</v>
      </c>
      <c r="CI205" s="63">
        <v>0</v>
      </c>
      <c r="CJ205" s="63">
        <v>233</v>
      </c>
      <c r="CK205" s="63">
        <v>11674</v>
      </c>
      <c r="CL205" s="63">
        <v>0</v>
      </c>
      <c r="CM205" s="63">
        <v>0</v>
      </c>
      <c r="CN205" s="63">
        <v>0</v>
      </c>
      <c r="CO205" s="63">
        <v>0</v>
      </c>
      <c r="CP205" s="63">
        <v>1502246</v>
      </c>
      <c r="CQ205" s="63">
        <v>0</v>
      </c>
      <c r="CR205" s="63">
        <v>30557</v>
      </c>
      <c r="CS205" s="63">
        <v>1532803</v>
      </c>
      <c r="CU205" s="141" t="s">
        <v>512</v>
      </c>
      <c r="CV205" s="157" t="s">
        <v>501</v>
      </c>
      <c r="CW205" s="156" t="s">
        <v>963</v>
      </c>
      <c r="CX205" s="345"/>
      <c r="CY205" s="345"/>
      <c r="CZ205" s="345"/>
    </row>
    <row r="206" spans="1:104" ht="12.75" x14ac:dyDescent="0.2">
      <c r="A206" s="90">
        <v>199</v>
      </c>
      <c r="B206" s="129" t="s">
        <v>262</v>
      </c>
      <c r="C206" s="130" t="s">
        <v>501</v>
      </c>
      <c r="D206" s="131" t="s">
        <v>751</v>
      </c>
      <c r="E206" s="132" t="s">
        <v>522</v>
      </c>
      <c r="F206" s="63">
        <v>94596657</v>
      </c>
      <c r="G206" s="63">
        <v>0</v>
      </c>
      <c r="H206" s="63">
        <v>0</v>
      </c>
      <c r="I206" s="63">
        <v>315039</v>
      </c>
      <c r="J206" s="63">
        <v>0</v>
      </c>
      <c r="K206" s="63">
        <v>315039</v>
      </c>
      <c r="L206" s="63">
        <v>0</v>
      </c>
      <c r="M206" s="63">
        <v>0</v>
      </c>
      <c r="N206" s="63">
        <v>267138</v>
      </c>
      <c r="O206" s="63">
        <v>267138</v>
      </c>
      <c r="P206" s="63">
        <v>0</v>
      </c>
      <c r="Q206" s="63">
        <v>94014480</v>
      </c>
      <c r="R206" s="474">
        <v>0.5</v>
      </c>
      <c r="S206" s="474">
        <v>0.49</v>
      </c>
      <c r="T206" s="474">
        <v>0</v>
      </c>
      <c r="U206" s="474">
        <v>0.01</v>
      </c>
      <c r="V206" s="474">
        <v>1</v>
      </c>
      <c r="W206" s="63">
        <v>47007240</v>
      </c>
      <c r="X206" s="63">
        <v>46067095</v>
      </c>
      <c r="Y206" s="63">
        <v>0</v>
      </c>
      <c r="Z206" s="63">
        <v>940145</v>
      </c>
      <c r="AA206" s="63">
        <v>94014480</v>
      </c>
      <c r="AB206" s="63">
        <v>0</v>
      </c>
      <c r="AC206" s="63">
        <v>0</v>
      </c>
      <c r="AD206" s="63">
        <v>0</v>
      </c>
      <c r="AE206" s="63">
        <v>0</v>
      </c>
      <c r="AF206" s="63">
        <v>0</v>
      </c>
      <c r="AG206" s="63">
        <v>0</v>
      </c>
      <c r="AH206" s="63">
        <v>0</v>
      </c>
      <c r="AI206" s="63">
        <v>0</v>
      </c>
      <c r="AJ206" s="63">
        <v>0</v>
      </c>
      <c r="AK206" s="63">
        <v>0</v>
      </c>
      <c r="AL206" s="63">
        <v>47007240</v>
      </c>
      <c r="AM206" s="63">
        <v>46067095</v>
      </c>
      <c r="AN206" s="63">
        <v>0</v>
      </c>
      <c r="AO206" s="63">
        <v>940145</v>
      </c>
      <c r="AP206" s="63">
        <v>94014480</v>
      </c>
      <c r="AQ206" s="63">
        <v>315039</v>
      </c>
      <c r="AR206" s="63">
        <v>315039</v>
      </c>
      <c r="AS206" s="63">
        <v>0</v>
      </c>
      <c r="AT206" s="63">
        <v>0</v>
      </c>
      <c r="AU206" s="63">
        <v>267138</v>
      </c>
      <c r="AV206" s="63">
        <v>0</v>
      </c>
      <c r="AW206" s="63">
        <v>267138</v>
      </c>
      <c r="AX206" s="63">
        <v>0</v>
      </c>
      <c r="AY206" s="63">
        <v>0</v>
      </c>
      <c r="AZ206" s="63">
        <v>0</v>
      </c>
      <c r="BA206" s="63">
        <v>0</v>
      </c>
      <c r="BB206" s="63">
        <v>0</v>
      </c>
      <c r="BC206" s="63">
        <v>0</v>
      </c>
      <c r="BD206" s="63">
        <v>0</v>
      </c>
      <c r="BE206" s="63">
        <v>0</v>
      </c>
      <c r="BF206" s="63">
        <v>0</v>
      </c>
      <c r="BG206" s="63">
        <v>0</v>
      </c>
      <c r="BH206" s="63">
        <v>84674</v>
      </c>
      <c r="BI206" s="63">
        <v>82982</v>
      </c>
      <c r="BJ206" s="63">
        <v>0</v>
      </c>
      <c r="BK206" s="63">
        <v>1694</v>
      </c>
      <c r="BL206" s="63">
        <v>169350</v>
      </c>
      <c r="BM206" s="63">
        <v>47091914</v>
      </c>
      <c r="BN206" s="63">
        <v>46732254</v>
      </c>
      <c r="BO206" s="63">
        <v>0</v>
      </c>
      <c r="BP206" s="63">
        <v>941839</v>
      </c>
      <c r="BQ206" s="63">
        <v>94766007</v>
      </c>
      <c r="BR206" s="63">
        <v>670123</v>
      </c>
      <c r="BS206" s="63">
        <v>0</v>
      </c>
      <c r="BT206" s="63">
        <v>13597</v>
      </c>
      <c r="BU206" s="63">
        <v>683720</v>
      </c>
      <c r="BV206" s="63">
        <v>1142829</v>
      </c>
      <c r="BW206" s="63">
        <v>0</v>
      </c>
      <c r="BX206" s="63">
        <v>23323</v>
      </c>
      <c r="BY206" s="63">
        <v>1166152</v>
      </c>
      <c r="BZ206" s="63">
        <v>9855</v>
      </c>
      <c r="CA206" s="63">
        <v>0</v>
      </c>
      <c r="CB206" s="63">
        <v>201</v>
      </c>
      <c r="CC206" s="63">
        <v>10056</v>
      </c>
      <c r="CD206" s="63">
        <v>59934</v>
      </c>
      <c r="CE206" s="63">
        <v>0</v>
      </c>
      <c r="CF206" s="63">
        <v>1223</v>
      </c>
      <c r="CG206" s="63">
        <v>61157</v>
      </c>
      <c r="CH206" s="63">
        <v>98942</v>
      </c>
      <c r="CI206" s="63">
        <v>0</v>
      </c>
      <c r="CJ206" s="63">
        <v>2019</v>
      </c>
      <c r="CK206" s="63">
        <v>100961</v>
      </c>
      <c r="CL206" s="63">
        <v>5921</v>
      </c>
      <c r="CM206" s="63">
        <v>0</v>
      </c>
      <c r="CN206" s="63">
        <v>121</v>
      </c>
      <c r="CO206" s="63">
        <v>6042</v>
      </c>
      <c r="CP206" s="63">
        <v>1987604</v>
      </c>
      <c r="CQ206" s="63">
        <v>0</v>
      </c>
      <c r="CR206" s="63">
        <v>40484</v>
      </c>
      <c r="CS206" s="63">
        <v>2028088</v>
      </c>
      <c r="CU206" s="141" t="s">
        <v>522</v>
      </c>
      <c r="CV206" s="157" t="s">
        <v>501</v>
      </c>
      <c r="CW206" s="156" t="s">
        <v>975</v>
      </c>
      <c r="CX206" s="345"/>
      <c r="CY206" s="345"/>
      <c r="CZ206" s="345"/>
    </row>
    <row r="207" spans="1:104" ht="12.75" x14ac:dyDescent="0.2">
      <c r="A207" s="90">
        <v>200</v>
      </c>
      <c r="B207" s="129" t="s">
        <v>263</v>
      </c>
      <c r="C207" s="130" t="s">
        <v>501</v>
      </c>
      <c r="D207" s="131" t="s">
        <v>751</v>
      </c>
      <c r="E207" s="132" t="s">
        <v>524</v>
      </c>
      <c r="F207" s="63">
        <v>60500603</v>
      </c>
      <c r="G207" s="63">
        <v>0</v>
      </c>
      <c r="H207" s="63">
        <v>0</v>
      </c>
      <c r="I207" s="63">
        <v>235170</v>
      </c>
      <c r="J207" s="63">
        <v>0</v>
      </c>
      <c r="K207" s="63">
        <v>235170</v>
      </c>
      <c r="L207" s="63">
        <v>0</v>
      </c>
      <c r="M207" s="63">
        <v>0</v>
      </c>
      <c r="N207" s="63">
        <v>0</v>
      </c>
      <c r="O207" s="63">
        <v>0</v>
      </c>
      <c r="P207" s="63">
        <v>0</v>
      </c>
      <c r="Q207" s="63">
        <v>60265433</v>
      </c>
      <c r="R207" s="474">
        <v>0.5</v>
      </c>
      <c r="S207" s="474">
        <v>0.49</v>
      </c>
      <c r="T207" s="474">
        <v>0</v>
      </c>
      <c r="U207" s="474">
        <v>0.01</v>
      </c>
      <c r="V207" s="474">
        <v>1</v>
      </c>
      <c r="W207" s="63">
        <v>30132717</v>
      </c>
      <c r="X207" s="63">
        <v>29530062</v>
      </c>
      <c r="Y207" s="63">
        <v>0</v>
      </c>
      <c r="Z207" s="63">
        <v>602654</v>
      </c>
      <c r="AA207" s="63">
        <v>60265433</v>
      </c>
      <c r="AB207" s="63">
        <v>0</v>
      </c>
      <c r="AC207" s="63">
        <v>0</v>
      </c>
      <c r="AD207" s="63">
        <v>0</v>
      </c>
      <c r="AE207" s="63">
        <v>0</v>
      </c>
      <c r="AF207" s="63">
        <v>0</v>
      </c>
      <c r="AG207" s="63">
        <v>0</v>
      </c>
      <c r="AH207" s="63">
        <v>0</v>
      </c>
      <c r="AI207" s="63">
        <v>0</v>
      </c>
      <c r="AJ207" s="63">
        <v>0</v>
      </c>
      <c r="AK207" s="63">
        <v>0</v>
      </c>
      <c r="AL207" s="63">
        <v>30132717</v>
      </c>
      <c r="AM207" s="63">
        <v>29530062</v>
      </c>
      <c r="AN207" s="63">
        <v>0</v>
      </c>
      <c r="AO207" s="63">
        <v>602654</v>
      </c>
      <c r="AP207" s="63">
        <v>60265433</v>
      </c>
      <c r="AQ207" s="63">
        <v>235170</v>
      </c>
      <c r="AR207" s="63">
        <v>235170</v>
      </c>
      <c r="AS207" s="63">
        <v>0</v>
      </c>
      <c r="AT207" s="63">
        <v>0</v>
      </c>
      <c r="AU207" s="63">
        <v>0</v>
      </c>
      <c r="AV207" s="63">
        <v>0</v>
      </c>
      <c r="AW207" s="63">
        <v>0</v>
      </c>
      <c r="AX207" s="63">
        <v>0</v>
      </c>
      <c r="AY207" s="63">
        <v>0</v>
      </c>
      <c r="AZ207" s="63">
        <v>0</v>
      </c>
      <c r="BA207" s="63">
        <v>0</v>
      </c>
      <c r="BB207" s="63">
        <v>0</v>
      </c>
      <c r="BC207" s="63">
        <v>0</v>
      </c>
      <c r="BD207" s="63">
        <v>0</v>
      </c>
      <c r="BE207" s="63">
        <v>0</v>
      </c>
      <c r="BF207" s="63">
        <v>0</v>
      </c>
      <c r="BG207" s="63">
        <v>0</v>
      </c>
      <c r="BH207" s="63">
        <v>0</v>
      </c>
      <c r="BI207" s="63">
        <v>0</v>
      </c>
      <c r="BJ207" s="63">
        <v>0</v>
      </c>
      <c r="BK207" s="63">
        <v>0</v>
      </c>
      <c r="BL207" s="63">
        <v>0</v>
      </c>
      <c r="BM207" s="63">
        <v>30132717</v>
      </c>
      <c r="BN207" s="63">
        <v>29765232</v>
      </c>
      <c r="BO207" s="63">
        <v>0</v>
      </c>
      <c r="BP207" s="63">
        <v>602654</v>
      </c>
      <c r="BQ207" s="63">
        <v>60500603</v>
      </c>
      <c r="BR207" s="63">
        <v>427088</v>
      </c>
      <c r="BS207" s="63">
        <v>0</v>
      </c>
      <c r="BT207" s="63">
        <v>8716</v>
      </c>
      <c r="BU207" s="63">
        <v>435804</v>
      </c>
      <c r="BV207" s="63">
        <v>770709</v>
      </c>
      <c r="BW207" s="63">
        <v>0</v>
      </c>
      <c r="BX207" s="63">
        <v>15729</v>
      </c>
      <c r="BY207" s="63">
        <v>786438</v>
      </c>
      <c r="BZ207" s="63">
        <v>2091</v>
      </c>
      <c r="CA207" s="63">
        <v>0</v>
      </c>
      <c r="CB207" s="63">
        <v>43</v>
      </c>
      <c r="CC207" s="63">
        <v>2134</v>
      </c>
      <c r="CD207" s="63">
        <v>0</v>
      </c>
      <c r="CE207" s="63">
        <v>0</v>
      </c>
      <c r="CF207" s="63">
        <v>0</v>
      </c>
      <c r="CG207" s="63">
        <v>0</v>
      </c>
      <c r="CH207" s="63">
        <v>4803</v>
      </c>
      <c r="CI207" s="63">
        <v>0</v>
      </c>
      <c r="CJ207" s="63">
        <v>98</v>
      </c>
      <c r="CK207" s="63">
        <v>4901</v>
      </c>
      <c r="CL207" s="63">
        <v>5229</v>
      </c>
      <c r="CM207" s="63">
        <v>0</v>
      </c>
      <c r="CN207" s="63">
        <v>107</v>
      </c>
      <c r="CO207" s="63">
        <v>5336</v>
      </c>
      <c r="CP207" s="63">
        <v>1209920</v>
      </c>
      <c r="CQ207" s="63">
        <v>0</v>
      </c>
      <c r="CR207" s="63">
        <v>24693</v>
      </c>
      <c r="CS207" s="63">
        <v>1234613</v>
      </c>
      <c r="CU207" s="141" t="s">
        <v>524</v>
      </c>
      <c r="CV207" s="157" t="s">
        <v>501</v>
      </c>
      <c r="CW207" s="156" t="s">
        <v>955</v>
      </c>
      <c r="CX207" s="345"/>
      <c r="CY207" s="345"/>
      <c r="CZ207" s="345"/>
    </row>
    <row r="208" spans="1:104" ht="12.75" x14ac:dyDescent="0.2">
      <c r="A208" s="90">
        <v>201</v>
      </c>
      <c r="B208" s="129" t="s">
        <v>264</v>
      </c>
      <c r="C208" s="130" t="s">
        <v>501</v>
      </c>
      <c r="D208" s="131" t="s">
        <v>743</v>
      </c>
      <c r="E208" s="132" t="s">
        <v>530</v>
      </c>
      <c r="F208" s="63">
        <v>81690718</v>
      </c>
      <c r="G208" s="63">
        <v>0</v>
      </c>
      <c r="H208" s="63">
        <v>0</v>
      </c>
      <c r="I208" s="63">
        <v>276989</v>
      </c>
      <c r="J208" s="63">
        <v>0</v>
      </c>
      <c r="K208" s="63">
        <v>276989</v>
      </c>
      <c r="L208" s="63">
        <v>0</v>
      </c>
      <c r="M208" s="63">
        <v>0</v>
      </c>
      <c r="N208" s="63">
        <v>0</v>
      </c>
      <c r="O208" s="63">
        <v>0</v>
      </c>
      <c r="P208" s="63">
        <v>0</v>
      </c>
      <c r="Q208" s="63">
        <v>81413729</v>
      </c>
      <c r="R208" s="474">
        <v>0.5</v>
      </c>
      <c r="S208" s="474">
        <v>0.49</v>
      </c>
      <c r="T208" s="474">
        <v>0</v>
      </c>
      <c r="U208" s="474">
        <v>0.01</v>
      </c>
      <c r="V208" s="474">
        <v>1</v>
      </c>
      <c r="W208" s="63">
        <v>40706865</v>
      </c>
      <c r="X208" s="63">
        <v>39892727</v>
      </c>
      <c r="Y208" s="63">
        <v>0</v>
      </c>
      <c r="Z208" s="63">
        <v>814137</v>
      </c>
      <c r="AA208" s="63">
        <v>81413729</v>
      </c>
      <c r="AB208" s="63">
        <v>0</v>
      </c>
      <c r="AC208" s="63">
        <v>0</v>
      </c>
      <c r="AD208" s="63">
        <v>0</v>
      </c>
      <c r="AE208" s="63">
        <v>0</v>
      </c>
      <c r="AF208" s="63">
        <v>0</v>
      </c>
      <c r="AG208" s="63">
        <v>0</v>
      </c>
      <c r="AH208" s="63">
        <v>0</v>
      </c>
      <c r="AI208" s="63">
        <v>0</v>
      </c>
      <c r="AJ208" s="63">
        <v>0</v>
      </c>
      <c r="AK208" s="63">
        <v>0</v>
      </c>
      <c r="AL208" s="63">
        <v>40706865</v>
      </c>
      <c r="AM208" s="63">
        <v>39892727</v>
      </c>
      <c r="AN208" s="63">
        <v>0</v>
      </c>
      <c r="AO208" s="63">
        <v>814137</v>
      </c>
      <c r="AP208" s="63">
        <v>81413729</v>
      </c>
      <c r="AQ208" s="63">
        <v>276989</v>
      </c>
      <c r="AR208" s="63">
        <v>276989</v>
      </c>
      <c r="AS208" s="63">
        <v>0</v>
      </c>
      <c r="AT208" s="63">
        <v>0</v>
      </c>
      <c r="AU208" s="63">
        <v>0</v>
      </c>
      <c r="AV208" s="63">
        <v>0</v>
      </c>
      <c r="AW208" s="63">
        <v>0</v>
      </c>
      <c r="AX208" s="63">
        <v>0</v>
      </c>
      <c r="AY208" s="63">
        <v>0</v>
      </c>
      <c r="AZ208" s="63">
        <v>0</v>
      </c>
      <c r="BA208" s="63">
        <v>0</v>
      </c>
      <c r="BB208" s="63">
        <v>0</v>
      </c>
      <c r="BC208" s="63">
        <v>0</v>
      </c>
      <c r="BD208" s="63">
        <v>0</v>
      </c>
      <c r="BE208" s="63">
        <v>0</v>
      </c>
      <c r="BF208" s="63">
        <v>0</v>
      </c>
      <c r="BG208" s="63">
        <v>0</v>
      </c>
      <c r="BH208" s="63">
        <v>-317915</v>
      </c>
      <c r="BI208" s="63">
        <v>-311556</v>
      </c>
      <c r="BJ208" s="63">
        <v>0</v>
      </c>
      <c r="BK208" s="63">
        <v>-6358</v>
      </c>
      <c r="BL208" s="63">
        <v>-635829</v>
      </c>
      <c r="BM208" s="63">
        <v>40388950</v>
      </c>
      <c r="BN208" s="63">
        <v>39858160</v>
      </c>
      <c r="BO208" s="63">
        <v>0</v>
      </c>
      <c r="BP208" s="63">
        <v>807779</v>
      </c>
      <c r="BQ208" s="63">
        <v>81054889</v>
      </c>
      <c r="BR208" s="63">
        <v>576961</v>
      </c>
      <c r="BS208" s="63">
        <v>0</v>
      </c>
      <c r="BT208" s="63">
        <v>11775</v>
      </c>
      <c r="BU208" s="63">
        <v>588736</v>
      </c>
      <c r="BV208" s="63">
        <v>940997</v>
      </c>
      <c r="BW208" s="63">
        <v>0</v>
      </c>
      <c r="BX208" s="63">
        <v>19204</v>
      </c>
      <c r="BY208" s="63">
        <v>960201</v>
      </c>
      <c r="BZ208" s="63">
        <v>0</v>
      </c>
      <c r="CA208" s="63">
        <v>0</v>
      </c>
      <c r="CB208" s="63">
        <v>0</v>
      </c>
      <c r="CC208" s="63">
        <v>0</v>
      </c>
      <c r="CD208" s="63">
        <v>0</v>
      </c>
      <c r="CE208" s="63">
        <v>0</v>
      </c>
      <c r="CF208" s="63">
        <v>0</v>
      </c>
      <c r="CG208" s="63">
        <v>0</v>
      </c>
      <c r="CH208" s="63">
        <v>18393</v>
      </c>
      <c r="CI208" s="63">
        <v>0</v>
      </c>
      <c r="CJ208" s="63">
        <v>375</v>
      </c>
      <c r="CK208" s="63">
        <v>18768</v>
      </c>
      <c r="CL208" s="63">
        <v>0</v>
      </c>
      <c r="CM208" s="63">
        <v>0</v>
      </c>
      <c r="CN208" s="63">
        <v>0</v>
      </c>
      <c r="CO208" s="63">
        <v>0</v>
      </c>
      <c r="CP208" s="63">
        <v>1536351</v>
      </c>
      <c r="CQ208" s="63">
        <v>0</v>
      </c>
      <c r="CR208" s="63">
        <v>31354</v>
      </c>
      <c r="CS208" s="63">
        <v>1567705</v>
      </c>
      <c r="CU208" s="141" t="s">
        <v>530</v>
      </c>
      <c r="CV208" s="157" t="s">
        <v>501</v>
      </c>
      <c r="CW208" s="156" t="s">
        <v>946</v>
      </c>
      <c r="CX208" s="345"/>
      <c r="CY208" s="345"/>
      <c r="CZ208" s="345"/>
    </row>
    <row r="209" spans="1:104" ht="12.75" x14ac:dyDescent="0.2">
      <c r="A209" s="90">
        <v>202</v>
      </c>
      <c r="B209" s="129" t="s">
        <v>266</v>
      </c>
      <c r="C209" s="130" t="s">
        <v>742</v>
      </c>
      <c r="D209" s="131" t="s">
        <v>744</v>
      </c>
      <c r="E209" s="132" t="s">
        <v>265</v>
      </c>
      <c r="F209" s="63">
        <v>68984524</v>
      </c>
      <c r="G209" s="63">
        <v>0</v>
      </c>
      <c r="H209" s="63">
        <v>0</v>
      </c>
      <c r="I209" s="63">
        <v>238529</v>
      </c>
      <c r="J209" s="63">
        <v>0</v>
      </c>
      <c r="K209" s="63">
        <v>238529</v>
      </c>
      <c r="L209" s="63">
        <v>0</v>
      </c>
      <c r="M209" s="63">
        <v>0</v>
      </c>
      <c r="N209" s="63">
        <v>2024</v>
      </c>
      <c r="O209" s="63">
        <v>2024</v>
      </c>
      <c r="P209" s="63">
        <v>0</v>
      </c>
      <c r="Q209" s="63">
        <v>68743971</v>
      </c>
      <c r="R209" s="474">
        <v>0.5</v>
      </c>
      <c r="S209" s="474">
        <v>0.4</v>
      </c>
      <c r="T209" s="474">
        <v>0.09</v>
      </c>
      <c r="U209" s="474">
        <v>0.01</v>
      </c>
      <c r="V209" s="474">
        <v>1</v>
      </c>
      <c r="W209" s="63">
        <v>34371986</v>
      </c>
      <c r="X209" s="63">
        <v>27497588</v>
      </c>
      <c r="Y209" s="63">
        <v>6186957</v>
      </c>
      <c r="Z209" s="63">
        <v>687440</v>
      </c>
      <c r="AA209" s="63">
        <v>68743971</v>
      </c>
      <c r="AB209" s="63">
        <v>0</v>
      </c>
      <c r="AC209" s="63">
        <v>0</v>
      </c>
      <c r="AD209" s="63">
        <v>0</v>
      </c>
      <c r="AE209" s="63">
        <v>0</v>
      </c>
      <c r="AF209" s="63">
        <v>0</v>
      </c>
      <c r="AG209" s="63">
        <v>0</v>
      </c>
      <c r="AH209" s="63">
        <v>0</v>
      </c>
      <c r="AI209" s="63">
        <v>0</v>
      </c>
      <c r="AJ209" s="63">
        <v>0</v>
      </c>
      <c r="AK209" s="63">
        <v>0</v>
      </c>
      <c r="AL209" s="63">
        <v>34371986</v>
      </c>
      <c r="AM209" s="63">
        <v>27497588</v>
      </c>
      <c r="AN209" s="63">
        <v>6186957</v>
      </c>
      <c r="AO209" s="63">
        <v>687440</v>
      </c>
      <c r="AP209" s="63">
        <v>68743971</v>
      </c>
      <c r="AQ209" s="63">
        <v>238529</v>
      </c>
      <c r="AR209" s="63">
        <v>238529</v>
      </c>
      <c r="AS209" s="63">
        <v>0</v>
      </c>
      <c r="AT209" s="63">
        <v>0</v>
      </c>
      <c r="AU209" s="63">
        <v>2024</v>
      </c>
      <c r="AV209" s="63">
        <v>0</v>
      </c>
      <c r="AW209" s="63">
        <v>2024</v>
      </c>
      <c r="AX209" s="63">
        <v>0</v>
      </c>
      <c r="AY209" s="63">
        <v>0</v>
      </c>
      <c r="AZ209" s="63">
        <v>0</v>
      </c>
      <c r="BA209" s="63">
        <v>0</v>
      </c>
      <c r="BB209" s="63">
        <v>0</v>
      </c>
      <c r="BC209" s="63">
        <v>0</v>
      </c>
      <c r="BD209" s="63">
        <v>0</v>
      </c>
      <c r="BE209" s="63">
        <v>0</v>
      </c>
      <c r="BF209" s="63">
        <v>0</v>
      </c>
      <c r="BG209" s="63">
        <v>0</v>
      </c>
      <c r="BH209" s="63">
        <v>718383</v>
      </c>
      <c r="BI209" s="63">
        <v>574707</v>
      </c>
      <c r="BJ209" s="63">
        <v>129309</v>
      </c>
      <c r="BK209" s="63">
        <v>14368</v>
      </c>
      <c r="BL209" s="63">
        <v>1436767</v>
      </c>
      <c r="BM209" s="63">
        <v>35090369</v>
      </c>
      <c r="BN209" s="63">
        <v>28312848</v>
      </c>
      <c r="BO209" s="63">
        <v>6316266</v>
      </c>
      <c r="BP209" s="63">
        <v>701808</v>
      </c>
      <c r="BQ209" s="63">
        <v>70421291</v>
      </c>
      <c r="BR209" s="63">
        <v>397722</v>
      </c>
      <c r="BS209" s="63">
        <v>89481</v>
      </c>
      <c r="BT209" s="63">
        <v>9942</v>
      </c>
      <c r="BU209" s="63">
        <v>497145</v>
      </c>
      <c r="BV209" s="63">
        <v>702020</v>
      </c>
      <c r="BW209" s="63">
        <v>157955</v>
      </c>
      <c r="BX209" s="63">
        <v>17551</v>
      </c>
      <c r="BY209" s="63">
        <v>877526</v>
      </c>
      <c r="BZ209" s="63">
        <v>6402</v>
      </c>
      <c r="CA209" s="63">
        <v>1440</v>
      </c>
      <c r="CB209" s="63">
        <v>160</v>
      </c>
      <c r="CC209" s="63">
        <v>8002</v>
      </c>
      <c r="CD209" s="63">
        <v>6232</v>
      </c>
      <c r="CE209" s="63">
        <v>1402</v>
      </c>
      <c r="CF209" s="63">
        <v>156</v>
      </c>
      <c r="CG209" s="63">
        <v>7790</v>
      </c>
      <c r="CH209" s="63">
        <v>80567</v>
      </c>
      <c r="CI209" s="63">
        <v>18127</v>
      </c>
      <c r="CJ209" s="63">
        <v>2014</v>
      </c>
      <c r="CK209" s="63">
        <v>100708</v>
      </c>
      <c r="CL209" s="63">
        <v>3482</v>
      </c>
      <c r="CM209" s="63">
        <v>783</v>
      </c>
      <c r="CN209" s="63">
        <v>87</v>
      </c>
      <c r="CO209" s="63">
        <v>4352</v>
      </c>
      <c r="CP209" s="63">
        <v>1196425</v>
      </c>
      <c r="CQ209" s="63">
        <v>269188</v>
      </c>
      <c r="CR209" s="63">
        <v>29910</v>
      </c>
      <c r="CS209" s="63">
        <v>1495523</v>
      </c>
      <c r="CU209" s="141" t="s">
        <v>265</v>
      </c>
      <c r="CV209" s="157" t="s">
        <v>961</v>
      </c>
      <c r="CW209" s="156" t="s">
        <v>952</v>
      </c>
      <c r="CX209" s="345"/>
      <c r="CY209" s="345"/>
      <c r="CZ209" s="345"/>
    </row>
    <row r="210" spans="1:104" ht="12.75" x14ac:dyDescent="0.2">
      <c r="A210" s="90">
        <v>203</v>
      </c>
      <c r="B210" s="129" t="s">
        <v>268</v>
      </c>
      <c r="C210" s="130" t="s">
        <v>742</v>
      </c>
      <c r="D210" s="131" t="s">
        <v>751</v>
      </c>
      <c r="E210" s="132" t="s">
        <v>267</v>
      </c>
      <c r="F210" s="63">
        <v>16668889</v>
      </c>
      <c r="G210" s="63">
        <v>0</v>
      </c>
      <c r="H210" s="63">
        <v>0</v>
      </c>
      <c r="I210" s="63">
        <v>97816</v>
      </c>
      <c r="J210" s="63">
        <v>0</v>
      </c>
      <c r="K210" s="63">
        <v>97816</v>
      </c>
      <c r="L210" s="63">
        <v>0</v>
      </c>
      <c r="M210" s="63">
        <v>0</v>
      </c>
      <c r="N210" s="63">
        <v>145994</v>
      </c>
      <c r="O210" s="63">
        <v>145994</v>
      </c>
      <c r="P210" s="63">
        <v>0</v>
      </c>
      <c r="Q210" s="63">
        <v>16425079</v>
      </c>
      <c r="R210" s="474">
        <v>0.5</v>
      </c>
      <c r="S210" s="474">
        <v>0.4</v>
      </c>
      <c r="T210" s="474">
        <v>0.09</v>
      </c>
      <c r="U210" s="474">
        <v>0.01</v>
      </c>
      <c r="V210" s="474">
        <v>1</v>
      </c>
      <c r="W210" s="63">
        <v>8212539</v>
      </c>
      <c r="X210" s="63">
        <v>6570032</v>
      </c>
      <c r="Y210" s="63">
        <v>1478257</v>
      </c>
      <c r="Z210" s="63">
        <v>164251</v>
      </c>
      <c r="AA210" s="63">
        <v>16425079</v>
      </c>
      <c r="AB210" s="63">
        <v>0</v>
      </c>
      <c r="AC210" s="63">
        <v>0</v>
      </c>
      <c r="AD210" s="63">
        <v>0</v>
      </c>
      <c r="AE210" s="63">
        <v>0</v>
      </c>
      <c r="AF210" s="63">
        <v>0</v>
      </c>
      <c r="AG210" s="63">
        <v>0</v>
      </c>
      <c r="AH210" s="63">
        <v>0</v>
      </c>
      <c r="AI210" s="63">
        <v>0</v>
      </c>
      <c r="AJ210" s="63">
        <v>0</v>
      </c>
      <c r="AK210" s="63">
        <v>0</v>
      </c>
      <c r="AL210" s="63">
        <v>8212539</v>
      </c>
      <c r="AM210" s="63">
        <v>6570032</v>
      </c>
      <c r="AN210" s="63">
        <v>1478257</v>
      </c>
      <c r="AO210" s="63">
        <v>164251</v>
      </c>
      <c r="AP210" s="63">
        <v>16425079</v>
      </c>
      <c r="AQ210" s="63">
        <v>97816</v>
      </c>
      <c r="AR210" s="63">
        <v>97816</v>
      </c>
      <c r="AS210" s="63">
        <v>0</v>
      </c>
      <c r="AT210" s="63">
        <v>0</v>
      </c>
      <c r="AU210" s="63">
        <v>145994</v>
      </c>
      <c r="AV210" s="63">
        <v>0</v>
      </c>
      <c r="AW210" s="63">
        <v>145994</v>
      </c>
      <c r="AX210" s="63">
        <v>0</v>
      </c>
      <c r="AY210" s="63">
        <v>0</v>
      </c>
      <c r="AZ210" s="63">
        <v>0</v>
      </c>
      <c r="BA210" s="63">
        <v>0</v>
      </c>
      <c r="BB210" s="63">
        <v>0</v>
      </c>
      <c r="BC210" s="63">
        <v>0</v>
      </c>
      <c r="BD210" s="63">
        <v>0</v>
      </c>
      <c r="BE210" s="63">
        <v>0</v>
      </c>
      <c r="BF210" s="63">
        <v>0</v>
      </c>
      <c r="BG210" s="63">
        <v>0</v>
      </c>
      <c r="BH210" s="63">
        <v>-3180191</v>
      </c>
      <c r="BI210" s="63">
        <v>-2544154</v>
      </c>
      <c r="BJ210" s="63">
        <v>-572435</v>
      </c>
      <c r="BK210" s="63">
        <v>-63604</v>
      </c>
      <c r="BL210" s="63">
        <v>-6360384</v>
      </c>
      <c r="BM210" s="63">
        <v>5032348</v>
      </c>
      <c r="BN210" s="63">
        <v>4269688</v>
      </c>
      <c r="BO210" s="63">
        <v>905822</v>
      </c>
      <c r="BP210" s="63">
        <v>100647</v>
      </c>
      <c r="BQ210" s="63">
        <v>10308505</v>
      </c>
      <c r="BR210" s="63">
        <v>97133</v>
      </c>
      <c r="BS210" s="63">
        <v>21380</v>
      </c>
      <c r="BT210" s="63">
        <v>2376</v>
      </c>
      <c r="BU210" s="63">
        <v>120889</v>
      </c>
      <c r="BV210" s="63">
        <v>378374</v>
      </c>
      <c r="BW210" s="63">
        <v>85134</v>
      </c>
      <c r="BX210" s="63">
        <v>9459</v>
      </c>
      <c r="BY210" s="63">
        <v>472967</v>
      </c>
      <c r="BZ210" s="63">
        <v>0</v>
      </c>
      <c r="CA210" s="63">
        <v>0</v>
      </c>
      <c r="CB210" s="63">
        <v>0</v>
      </c>
      <c r="CC210" s="63">
        <v>0</v>
      </c>
      <c r="CD210" s="63">
        <v>5898</v>
      </c>
      <c r="CE210" s="63">
        <v>1327</v>
      </c>
      <c r="CF210" s="63">
        <v>147</v>
      </c>
      <c r="CG210" s="63">
        <v>7372</v>
      </c>
      <c r="CH210" s="63">
        <v>1203</v>
      </c>
      <c r="CI210" s="63">
        <v>271</v>
      </c>
      <c r="CJ210" s="63">
        <v>30</v>
      </c>
      <c r="CK210" s="63">
        <v>1504</v>
      </c>
      <c r="CL210" s="63">
        <v>619</v>
      </c>
      <c r="CM210" s="63">
        <v>140</v>
      </c>
      <c r="CN210" s="63">
        <v>16</v>
      </c>
      <c r="CO210" s="63">
        <v>775</v>
      </c>
      <c r="CP210" s="63">
        <v>483227</v>
      </c>
      <c r="CQ210" s="63">
        <v>108252</v>
      </c>
      <c r="CR210" s="63">
        <v>12028</v>
      </c>
      <c r="CS210" s="63">
        <v>603507</v>
      </c>
      <c r="CU210" s="141" t="s">
        <v>267</v>
      </c>
      <c r="CV210" s="157" t="s">
        <v>969</v>
      </c>
      <c r="CW210" s="156" t="s">
        <v>955</v>
      </c>
      <c r="CX210" s="345"/>
      <c r="CY210" s="345"/>
      <c r="CZ210" s="345"/>
    </row>
    <row r="211" spans="1:104" ht="12.75" x14ac:dyDescent="0.2">
      <c r="A211" s="90">
        <v>204</v>
      </c>
      <c r="B211" s="129" t="s">
        <v>269</v>
      </c>
      <c r="C211" s="130" t="s">
        <v>501</v>
      </c>
      <c r="D211" s="131" t="s">
        <v>743</v>
      </c>
      <c r="E211" s="132" t="s">
        <v>507</v>
      </c>
      <c r="F211" s="63">
        <v>107572050</v>
      </c>
      <c r="G211" s="63">
        <v>0</v>
      </c>
      <c r="H211" s="63">
        <v>0</v>
      </c>
      <c r="I211" s="63">
        <v>272050</v>
      </c>
      <c r="J211" s="63">
        <v>0</v>
      </c>
      <c r="K211" s="63">
        <v>272050</v>
      </c>
      <c r="L211" s="63">
        <v>0</v>
      </c>
      <c r="M211" s="63">
        <v>0</v>
      </c>
      <c r="N211" s="63">
        <v>0</v>
      </c>
      <c r="O211" s="63">
        <v>0</v>
      </c>
      <c r="P211" s="63">
        <v>0</v>
      </c>
      <c r="Q211" s="63">
        <v>107300000</v>
      </c>
      <c r="R211" s="474">
        <v>0.5</v>
      </c>
      <c r="S211" s="474">
        <v>0.49</v>
      </c>
      <c r="T211" s="474">
        <v>0</v>
      </c>
      <c r="U211" s="474">
        <v>0.01</v>
      </c>
      <c r="V211" s="474">
        <v>1</v>
      </c>
      <c r="W211" s="63">
        <v>53650000</v>
      </c>
      <c r="X211" s="63">
        <v>52577000</v>
      </c>
      <c r="Y211" s="63">
        <v>0</v>
      </c>
      <c r="Z211" s="63">
        <v>1073000</v>
      </c>
      <c r="AA211" s="63">
        <v>107300000</v>
      </c>
      <c r="AB211" s="63">
        <v>0</v>
      </c>
      <c r="AC211" s="63">
        <v>0</v>
      </c>
      <c r="AD211" s="63">
        <v>0</v>
      </c>
      <c r="AE211" s="63">
        <v>0</v>
      </c>
      <c r="AF211" s="63">
        <v>0</v>
      </c>
      <c r="AG211" s="63">
        <v>0</v>
      </c>
      <c r="AH211" s="63">
        <v>0</v>
      </c>
      <c r="AI211" s="63">
        <v>0</v>
      </c>
      <c r="AJ211" s="63">
        <v>0</v>
      </c>
      <c r="AK211" s="63">
        <v>0</v>
      </c>
      <c r="AL211" s="63">
        <v>53650000</v>
      </c>
      <c r="AM211" s="63">
        <v>52577000</v>
      </c>
      <c r="AN211" s="63">
        <v>0</v>
      </c>
      <c r="AO211" s="63">
        <v>1073000</v>
      </c>
      <c r="AP211" s="63">
        <v>107300000</v>
      </c>
      <c r="AQ211" s="63">
        <v>272050</v>
      </c>
      <c r="AR211" s="63">
        <v>272050</v>
      </c>
      <c r="AS211" s="63">
        <v>0</v>
      </c>
      <c r="AT211" s="63">
        <v>0</v>
      </c>
      <c r="AU211" s="63">
        <v>0</v>
      </c>
      <c r="AV211" s="63">
        <v>0</v>
      </c>
      <c r="AW211" s="63">
        <v>0</v>
      </c>
      <c r="AX211" s="63">
        <v>0</v>
      </c>
      <c r="AY211" s="63">
        <v>0</v>
      </c>
      <c r="AZ211" s="63">
        <v>0</v>
      </c>
      <c r="BA211" s="63">
        <v>0</v>
      </c>
      <c r="BB211" s="63">
        <v>0</v>
      </c>
      <c r="BC211" s="63">
        <v>0</v>
      </c>
      <c r="BD211" s="63">
        <v>0</v>
      </c>
      <c r="BE211" s="63">
        <v>0</v>
      </c>
      <c r="BF211" s="63">
        <v>0</v>
      </c>
      <c r="BG211" s="63">
        <v>0</v>
      </c>
      <c r="BH211" s="63">
        <v>500000</v>
      </c>
      <c r="BI211" s="63">
        <v>490000</v>
      </c>
      <c r="BJ211" s="63">
        <v>0</v>
      </c>
      <c r="BK211" s="63">
        <v>10000</v>
      </c>
      <c r="BL211" s="63">
        <v>1000000</v>
      </c>
      <c r="BM211" s="63">
        <v>54150000</v>
      </c>
      <c r="BN211" s="63">
        <v>53339050</v>
      </c>
      <c r="BO211" s="63">
        <v>0</v>
      </c>
      <c r="BP211" s="63">
        <v>1083000</v>
      </c>
      <c r="BQ211" s="63">
        <v>108572050</v>
      </c>
      <c r="BR211" s="63">
        <v>760411</v>
      </c>
      <c r="BS211" s="63">
        <v>0</v>
      </c>
      <c r="BT211" s="63">
        <v>15519</v>
      </c>
      <c r="BU211" s="63">
        <v>775930</v>
      </c>
      <c r="BV211" s="63">
        <v>476390</v>
      </c>
      <c r="BW211" s="63">
        <v>0</v>
      </c>
      <c r="BX211" s="63">
        <v>9722</v>
      </c>
      <c r="BY211" s="63">
        <v>486112</v>
      </c>
      <c r="BZ211" s="63">
        <v>1193</v>
      </c>
      <c r="CA211" s="63">
        <v>0</v>
      </c>
      <c r="CB211" s="63">
        <v>24</v>
      </c>
      <c r="CC211" s="63">
        <v>1217</v>
      </c>
      <c r="CD211" s="63">
        <v>0</v>
      </c>
      <c r="CE211" s="63">
        <v>0</v>
      </c>
      <c r="CF211" s="63">
        <v>0</v>
      </c>
      <c r="CG211" s="63">
        <v>0</v>
      </c>
      <c r="CH211" s="63">
        <v>44037</v>
      </c>
      <c r="CI211" s="63">
        <v>0</v>
      </c>
      <c r="CJ211" s="63">
        <v>899</v>
      </c>
      <c r="CK211" s="63">
        <v>44936</v>
      </c>
      <c r="CL211" s="63">
        <v>13466</v>
      </c>
      <c r="CM211" s="63">
        <v>0</v>
      </c>
      <c r="CN211" s="63">
        <v>275</v>
      </c>
      <c r="CO211" s="63">
        <v>13741</v>
      </c>
      <c r="CP211" s="63">
        <v>1295497</v>
      </c>
      <c r="CQ211" s="63">
        <v>0</v>
      </c>
      <c r="CR211" s="63">
        <v>26439</v>
      </c>
      <c r="CS211" s="63">
        <v>1321936</v>
      </c>
      <c r="CU211" s="141" t="s">
        <v>507</v>
      </c>
      <c r="CV211" s="157" t="s">
        <v>501</v>
      </c>
      <c r="CW211" s="156" t="s">
        <v>956</v>
      </c>
      <c r="CX211" s="345"/>
      <c r="CY211" s="345"/>
      <c r="CZ211" s="345"/>
    </row>
    <row r="212" spans="1:104" ht="12.75" x14ac:dyDescent="0.2">
      <c r="A212" s="90">
        <v>205</v>
      </c>
      <c r="B212" s="129" t="s">
        <v>271</v>
      </c>
      <c r="C212" s="130" t="s">
        <v>747</v>
      </c>
      <c r="D212" s="131" t="s">
        <v>748</v>
      </c>
      <c r="E212" s="132" t="s">
        <v>270</v>
      </c>
      <c r="F212" s="63">
        <v>56054058</v>
      </c>
      <c r="G212" s="63">
        <v>0</v>
      </c>
      <c r="H212" s="63">
        <v>0</v>
      </c>
      <c r="I212" s="63">
        <v>282286</v>
      </c>
      <c r="J212" s="63">
        <v>0</v>
      </c>
      <c r="K212" s="63">
        <v>282286</v>
      </c>
      <c r="L212" s="63">
        <v>0</v>
      </c>
      <c r="M212" s="63">
        <v>0</v>
      </c>
      <c r="N212" s="63">
        <v>0</v>
      </c>
      <c r="O212" s="63">
        <v>0</v>
      </c>
      <c r="P212" s="63">
        <v>0</v>
      </c>
      <c r="Q212" s="63">
        <v>55771772</v>
      </c>
      <c r="R212" s="474">
        <v>0.5</v>
      </c>
      <c r="S212" s="474">
        <v>0.3</v>
      </c>
      <c r="T212" s="474">
        <v>0.2</v>
      </c>
      <c r="U212" s="474">
        <v>0</v>
      </c>
      <c r="V212" s="474">
        <v>1</v>
      </c>
      <c r="W212" s="63">
        <v>27885886</v>
      </c>
      <c r="X212" s="63">
        <v>16731532</v>
      </c>
      <c r="Y212" s="63">
        <v>11154354</v>
      </c>
      <c r="Z212" s="63">
        <v>0</v>
      </c>
      <c r="AA212" s="63">
        <v>55771772</v>
      </c>
      <c r="AB212" s="63">
        <v>0</v>
      </c>
      <c r="AC212" s="63">
        <v>0</v>
      </c>
      <c r="AD212" s="63">
        <v>0</v>
      </c>
      <c r="AE212" s="63">
        <v>0</v>
      </c>
      <c r="AF212" s="63">
        <v>0</v>
      </c>
      <c r="AG212" s="63">
        <v>0</v>
      </c>
      <c r="AH212" s="63">
        <v>0</v>
      </c>
      <c r="AI212" s="63">
        <v>0</v>
      </c>
      <c r="AJ212" s="63">
        <v>0</v>
      </c>
      <c r="AK212" s="63">
        <v>0</v>
      </c>
      <c r="AL212" s="63">
        <v>27885886</v>
      </c>
      <c r="AM212" s="63">
        <v>16731532</v>
      </c>
      <c r="AN212" s="63">
        <v>11154354</v>
      </c>
      <c r="AO212" s="63">
        <v>0</v>
      </c>
      <c r="AP212" s="63">
        <v>55771772</v>
      </c>
      <c r="AQ212" s="63">
        <v>282286</v>
      </c>
      <c r="AR212" s="63">
        <v>282286</v>
      </c>
      <c r="AS212" s="63">
        <v>0</v>
      </c>
      <c r="AT212" s="63">
        <v>0</v>
      </c>
      <c r="AU212" s="63">
        <v>0</v>
      </c>
      <c r="AV212" s="63">
        <v>0</v>
      </c>
      <c r="AW212" s="63">
        <v>0</v>
      </c>
      <c r="AX212" s="63">
        <v>0</v>
      </c>
      <c r="AY212" s="63">
        <v>0</v>
      </c>
      <c r="AZ212" s="63">
        <v>0</v>
      </c>
      <c r="BA212" s="63">
        <v>0</v>
      </c>
      <c r="BB212" s="63">
        <v>0</v>
      </c>
      <c r="BC212" s="63">
        <v>0</v>
      </c>
      <c r="BD212" s="63">
        <v>0</v>
      </c>
      <c r="BE212" s="63">
        <v>0</v>
      </c>
      <c r="BF212" s="63">
        <v>0</v>
      </c>
      <c r="BG212" s="63">
        <v>0</v>
      </c>
      <c r="BH212" s="63">
        <v>-285000</v>
      </c>
      <c r="BI212" s="63">
        <v>-171000</v>
      </c>
      <c r="BJ212" s="63">
        <v>-114000</v>
      </c>
      <c r="BK212" s="63">
        <v>0</v>
      </c>
      <c r="BL212" s="63">
        <v>-570000</v>
      </c>
      <c r="BM212" s="63">
        <v>27600886</v>
      </c>
      <c r="BN212" s="63">
        <v>16842818</v>
      </c>
      <c r="BO212" s="63">
        <v>11040354</v>
      </c>
      <c r="BP212" s="63">
        <v>0</v>
      </c>
      <c r="BQ212" s="63">
        <v>55484058</v>
      </c>
      <c r="BR212" s="63">
        <v>241985</v>
      </c>
      <c r="BS212" s="63">
        <v>161323</v>
      </c>
      <c r="BT212" s="63">
        <v>0</v>
      </c>
      <c r="BU212" s="63">
        <v>403308</v>
      </c>
      <c r="BV212" s="63">
        <v>601836</v>
      </c>
      <c r="BW212" s="63">
        <v>401224</v>
      </c>
      <c r="BX212" s="63">
        <v>0</v>
      </c>
      <c r="BY212" s="63">
        <v>1003060</v>
      </c>
      <c r="BZ212" s="63">
        <v>4563</v>
      </c>
      <c r="CA212" s="63">
        <v>3042</v>
      </c>
      <c r="CB212" s="63">
        <v>0</v>
      </c>
      <c r="CC212" s="63">
        <v>7605</v>
      </c>
      <c r="CD212" s="63">
        <v>3131</v>
      </c>
      <c r="CE212" s="63">
        <v>2087</v>
      </c>
      <c r="CF212" s="63">
        <v>0</v>
      </c>
      <c r="CG212" s="63">
        <v>5218</v>
      </c>
      <c r="CH212" s="63">
        <v>11235</v>
      </c>
      <c r="CI212" s="63">
        <v>7490</v>
      </c>
      <c r="CJ212" s="63">
        <v>0</v>
      </c>
      <c r="CK212" s="63">
        <v>18725</v>
      </c>
      <c r="CL212" s="63">
        <v>0</v>
      </c>
      <c r="CM212" s="63">
        <v>0</v>
      </c>
      <c r="CN212" s="63">
        <v>0</v>
      </c>
      <c r="CO212" s="63">
        <v>0</v>
      </c>
      <c r="CP212" s="63">
        <v>862750</v>
      </c>
      <c r="CQ212" s="63">
        <v>575166</v>
      </c>
      <c r="CR212" s="63">
        <v>0</v>
      </c>
      <c r="CS212" s="63">
        <v>1437916</v>
      </c>
      <c r="CU212" s="141" t="s">
        <v>270</v>
      </c>
      <c r="CV212" s="157" t="s">
        <v>939</v>
      </c>
      <c r="CW212" s="157" t="s">
        <v>940</v>
      </c>
      <c r="CX212" s="345"/>
      <c r="CY212" s="345"/>
      <c r="CZ212" s="345"/>
    </row>
    <row r="213" spans="1:104" ht="12.75" x14ac:dyDescent="0.2">
      <c r="A213" s="90">
        <v>206</v>
      </c>
      <c r="B213" s="129" t="s">
        <v>272</v>
      </c>
      <c r="C213" s="130" t="s">
        <v>501</v>
      </c>
      <c r="D213" s="131" t="s">
        <v>755</v>
      </c>
      <c r="E213" s="132" t="s">
        <v>518</v>
      </c>
      <c r="F213" s="63">
        <v>36165457</v>
      </c>
      <c r="G213" s="63">
        <v>0</v>
      </c>
      <c r="H213" s="63">
        <v>0</v>
      </c>
      <c r="I213" s="63">
        <v>168457</v>
      </c>
      <c r="J213" s="63">
        <v>0</v>
      </c>
      <c r="K213" s="63">
        <v>168457</v>
      </c>
      <c r="L213" s="63">
        <v>0</v>
      </c>
      <c r="M213" s="63">
        <v>0</v>
      </c>
      <c r="N213" s="63">
        <v>0</v>
      </c>
      <c r="O213" s="63">
        <v>0</v>
      </c>
      <c r="P213" s="63">
        <v>0</v>
      </c>
      <c r="Q213" s="63">
        <v>35997000</v>
      </c>
      <c r="R213" s="474">
        <v>0.5</v>
      </c>
      <c r="S213" s="474">
        <v>0.49</v>
      </c>
      <c r="T213" s="474">
        <v>0</v>
      </c>
      <c r="U213" s="474">
        <v>0.01</v>
      </c>
      <c r="V213" s="474">
        <v>1</v>
      </c>
      <c r="W213" s="63">
        <v>17998500</v>
      </c>
      <c r="X213" s="63">
        <v>17638530</v>
      </c>
      <c r="Y213" s="63">
        <v>0</v>
      </c>
      <c r="Z213" s="63">
        <v>359970</v>
      </c>
      <c r="AA213" s="63">
        <v>35997000</v>
      </c>
      <c r="AB213" s="63">
        <v>0</v>
      </c>
      <c r="AC213" s="63">
        <v>0</v>
      </c>
      <c r="AD213" s="63">
        <v>0</v>
      </c>
      <c r="AE213" s="63">
        <v>0</v>
      </c>
      <c r="AF213" s="63">
        <v>0</v>
      </c>
      <c r="AG213" s="63">
        <v>0</v>
      </c>
      <c r="AH213" s="63">
        <v>0</v>
      </c>
      <c r="AI213" s="63">
        <v>0</v>
      </c>
      <c r="AJ213" s="63">
        <v>0</v>
      </c>
      <c r="AK213" s="63">
        <v>0</v>
      </c>
      <c r="AL213" s="63">
        <v>17998500</v>
      </c>
      <c r="AM213" s="63">
        <v>17638530</v>
      </c>
      <c r="AN213" s="63">
        <v>0</v>
      </c>
      <c r="AO213" s="63">
        <v>359970</v>
      </c>
      <c r="AP213" s="63">
        <v>35997000</v>
      </c>
      <c r="AQ213" s="63">
        <v>168457</v>
      </c>
      <c r="AR213" s="63">
        <v>168457</v>
      </c>
      <c r="AS213" s="63">
        <v>0</v>
      </c>
      <c r="AT213" s="63">
        <v>0</v>
      </c>
      <c r="AU213" s="63">
        <v>0</v>
      </c>
      <c r="AV213" s="63">
        <v>0</v>
      </c>
      <c r="AW213" s="63">
        <v>0</v>
      </c>
      <c r="AX213" s="63">
        <v>0</v>
      </c>
      <c r="AY213" s="63">
        <v>0</v>
      </c>
      <c r="AZ213" s="63">
        <v>0</v>
      </c>
      <c r="BA213" s="63">
        <v>0</v>
      </c>
      <c r="BB213" s="63">
        <v>0</v>
      </c>
      <c r="BC213" s="63">
        <v>0</v>
      </c>
      <c r="BD213" s="63">
        <v>0</v>
      </c>
      <c r="BE213" s="63">
        <v>0</v>
      </c>
      <c r="BF213" s="63">
        <v>0</v>
      </c>
      <c r="BG213" s="63">
        <v>0</v>
      </c>
      <c r="BH213" s="63">
        <v>-4760796</v>
      </c>
      <c r="BI213" s="63">
        <v>-4665581</v>
      </c>
      <c r="BJ213" s="63">
        <v>0</v>
      </c>
      <c r="BK213" s="63">
        <v>-95216</v>
      </c>
      <c r="BL213" s="63">
        <v>-9521593</v>
      </c>
      <c r="BM213" s="63">
        <v>13237704</v>
      </c>
      <c r="BN213" s="63">
        <v>13141406</v>
      </c>
      <c r="BO213" s="63">
        <v>0</v>
      </c>
      <c r="BP213" s="63">
        <v>264754</v>
      </c>
      <c r="BQ213" s="63">
        <v>26643864</v>
      </c>
      <c r="BR213" s="63">
        <v>255103</v>
      </c>
      <c r="BS213" s="63">
        <v>0</v>
      </c>
      <c r="BT213" s="63">
        <v>5206</v>
      </c>
      <c r="BU213" s="63">
        <v>260309</v>
      </c>
      <c r="BV213" s="63">
        <v>662514</v>
      </c>
      <c r="BW213" s="63">
        <v>0</v>
      </c>
      <c r="BX213" s="63">
        <v>13521</v>
      </c>
      <c r="BY213" s="63">
        <v>676035</v>
      </c>
      <c r="BZ213" s="63">
        <v>0</v>
      </c>
      <c r="CA213" s="63">
        <v>0</v>
      </c>
      <c r="CB213" s="63">
        <v>0</v>
      </c>
      <c r="CC213" s="63">
        <v>0</v>
      </c>
      <c r="CD213" s="63">
        <v>0</v>
      </c>
      <c r="CE213" s="63">
        <v>0</v>
      </c>
      <c r="CF213" s="63">
        <v>0</v>
      </c>
      <c r="CG213" s="63">
        <v>0</v>
      </c>
      <c r="CH213" s="63">
        <v>1639</v>
      </c>
      <c r="CI213" s="63">
        <v>0</v>
      </c>
      <c r="CJ213" s="63">
        <v>33</v>
      </c>
      <c r="CK213" s="63">
        <v>1672</v>
      </c>
      <c r="CL213" s="63">
        <v>0</v>
      </c>
      <c r="CM213" s="63">
        <v>0</v>
      </c>
      <c r="CN213" s="63">
        <v>0</v>
      </c>
      <c r="CO213" s="63">
        <v>0</v>
      </c>
      <c r="CP213" s="63">
        <v>919256</v>
      </c>
      <c r="CQ213" s="63">
        <v>0</v>
      </c>
      <c r="CR213" s="63">
        <v>18760</v>
      </c>
      <c r="CS213" s="63">
        <v>938016</v>
      </c>
      <c r="CU213" s="141" t="s">
        <v>518</v>
      </c>
      <c r="CV213" s="157" t="s">
        <v>501</v>
      </c>
      <c r="CW213" s="156" t="s">
        <v>980</v>
      </c>
      <c r="CX213" s="345"/>
      <c r="CY213" s="345"/>
      <c r="CZ213" s="345"/>
    </row>
    <row r="214" spans="1:104" ht="12.75" x14ac:dyDescent="0.2">
      <c r="A214" s="90">
        <v>207</v>
      </c>
      <c r="B214" s="129" t="s">
        <v>274</v>
      </c>
      <c r="C214" s="130" t="s">
        <v>742</v>
      </c>
      <c r="D214" s="131" t="s">
        <v>752</v>
      </c>
      <c r="E214" s="132" t="s">
        <v>273</v>
      </c>
      <c r="F214" s="63">
        <v>37856715.43</v>
      </c>
      <c r="G214" s="63">
        <v>0</v>
      </c>
      <c r="H214" s="63">
        <v>0</v>
      </c>
      <c r="I214" s="63">
        <v>110398</v>
      </c>
      <c r="J214" s="63">
        <v>0</v>
      </c>
      <c r="K214" s="63">
        <v>110398</v>
      </c>
      <c r="L214" s="63">
        <v>0</v>
      </c>
      <c r="M214" s="63">
        <v>0</v>
      </c>
      <c r="N214" s="63">
        <v>0</v>
      </c>
      <c r="O214" s="63">
        <v>0</v>
      </c>
      <c r="P214" s="63">
        <v>0</v>
      </c>
      <c r="Q214" s="63">
        <v>37746317</v>
      </c>
      <c r="R214" s="474">
        <v>0.5</v>
      </c>
      <c r="S214" s="474">
        <v>0.4</v>
      </c>
      <c r="T214" s="474">
        <v>0.09</v>
      </c>
      <c r="U214" s="474">
        <v>0.01</v>
      </c>
      <c r="V214" s="474">
        <v>1</v>
      </c>
      <c r="W214" s="63">
        <v>18873158</v>
      </c>
      <c r="X214" s="63">
        <v>15098527</v>
      </c>
      <c r="Y214" s="63">
        <v>3397169</v>
      </c>
      <c r="Z214" s="63">
        <v>377463</v>
      </c>
      <c r="AA214" s="63">
        <v>37746317</v>
      </c>
      <c r="AB214" s="63">
        <v>0</v>
      </c>
      <c r="AC214" s="63">
        <v>0</v>
      </c>
      <c r="AD214" s="63">
        <v>0</v>
      </c>
      <c r="AE214" s="63">
        <v>0</v>
      </c>
      <c r="AF214" s="63">
        <v>0</v>
      </c>
      <c r="AG214" s="63">
        <v>0</v>
      </c>
      <c r="AH214" s="63">
        <v>0</v>
      </c>
      <c r="AI214" s="63">
        <v>0</v>
      </c>
      <c r="AJ214" s="63">
        <v>0</v>
      </c>
      <c r="AK214" s="63">
        <v>0</v>
      </c>
      <c r="AL214" s="63">
        <v>18873158</v>
      </c>
      <c r="AM214" s="63">
        <v>15098527</v>
      </c>
      <c r="AN214" s="63">
        <v>3397169</v>
      </c>
      <c r="AO214" s="63">
        <v>377463</v>
      </c>
      <c r="AP214" s="63">
        <v>37746317</v>
      </c>
      <c r="AQ214" s="63">
        <v>110398</v>
      </c>
      <c r="AR214" s="63">
        <v>110398</v>
      </c>
      <c r="AS214" s="63">
        <v>0</v>
      </c>
      <c r="AT214" s="63">
        <v>0</v>
      </c>
      <c r="AU214" s="63">
        <v>0</v>
      </c>
      <c r="AV214" s="63">
        <v>0</v>
      </c>
      <c r="AW214" s="63">
        <v>0</v>
      </c>
      <c r="AX214" s="63">
        <v>0</v>
      </c>
      <c r="AY214" s="63">
        <v>0</v>
      </c>
      <c r="AZ214" s="63">
        <v>0</v>
      </c>
      <c r="BA214" s="63">
        <v>0</v>
      </c>
      <c r="BB214" s="63">
        <v>0</v>
      </c>
      <c r="BC214" s="63">
        <v>0</v>
      </c>
      <c r="BD214" s="63">
        <v>0</v>
      </c>
      <c r="BE214" s="63">
        <v>0</v>
      </c>
      <c r="BF214" s="63">
        <v>0</v>
      </c>
      <c r="BG214" s="63">
        <v>0</v>
      </c>
      <c r="BH214" s="63">
        <v>-1204031</v>
      </c>
      <c r="BI214" s="63">
        <v>-963225</v>
      </c>
      <c r="BJ214" s="63">
        <v>-216726</v>
      </c>
      <c r="BK214" s="63">
        <v>-24081</v>
      </c>
      <c r="BL214" s="63">
        <v>-2408063</v>
      </c>
      <c r="BM214" s="63">
        <v>17669127</v>
      </c>
      <c r="BN214" s="63">
        <v>14245700</v>
      </c>
      <c r="BO214" s="63">
        <v>3180443</v>
      </c>
      <c r="BP214" s="63">
        <v>353382</v>
      </c>
      <c r="BQ214" s="63">
        <v>35448652</v>
      </c>
      <c r="BR214" s="63">
        <v>218367</v>
      </c>
      <c r="BS214" s="63">
        <v>49133</v>
      </c>
      <c r="BT214" s="63">
        <v>5459</v>
      </c>
      <c r="BU214" s="63">
        <v>272959</v>
      </c>
      <c r="BV214" s="63">
        <v>291513</v>
      </c>
      <c r="BW214" s="63">
        <v>65590</v>
      </c>
      <c r="BX214" s="63">
        <v>7288</v>
      </c>
      <c r="BY214" s="63">
        <v>364391</v>
      </c>
      <c r="BZ214" s="63">
        <v>0</v>
      </c>
      <c r="CA214" s="63">
        <v>0</v>
      </c>
      <c r="CB214" s="63">
        <v>0</v>
      </c>
      <c r="CC214" s="63">
        <v>0</v>
      </c>
      <c r="CD214" s="63">
        <v>0</v>
      </c>
      <c r="CE214" s="63">
        <v>0</v>
      </c>
      <c r="CF214" s="63">
        <v>0</v>
      </c>
      <c r="CG214" s="63">
        <v>0</v>
      </c>
      <c r="CH214" s="63">
        <v>1669</v>
      </c>
      <c r="CI214" s="63">
        <v>376</v>
      </c>
      <c r="CJ214" s="63">
        <v>42</v>
      </c>
      <c r="CK214" s="63">
        <v>2087</v>
      </c>
      <c r="CL214" s="63">
        <v>0</v>
      </c>
      <c r="CM214" s="63">
        <v>0</v>
      </c>
      <c r="CN214" s="63">
        <v>0</v>
      </c>
      <c r="CO214" s="63">
        <v>0</v>
      </c>
      <c r="CP214" s="63">
        <v>511549</v>
      </c>
      <c r="CQ214" s="63">
        <v>115099</v>
      </c>
      <c r="CR214" s="63">
        <v>12789</v>
      </c>
      <c r="CS214" s="63">
        <v>639437</v>
      </c>
      <c r="CU214" s="141" t="s">
        <v>273</v>
      </c>
      <c r="CV214" s="157" t="s">
        <v>762</v>
      </c>
      <c r="CW214" s="156" t="s">
        <v>763</v>
      </c>
      <c r="CX214" s="345"/>
      <c r="CY214" s="345"/>
      <c r="CZ214" s="345"/>
    </row>
    <row r="215" spans="1:104" ht="12.75" x14ac:dyDescent="0.2">
      <c r="A215" s="90">
        <v>208</v>
      </c>
      <c r="B215" s="129" t="s">
        <v>275</v>
      </c>
      <c r="C215" s="130" t="s">
        <v>742</v>
      </c>
      <c r="D215" s="131" t="s">
        <v>743</v>
      </c>
      <c r="E215" s="132" t="s">
        <v>549</v>
      </c>
      <c r="F215" s="63">
        <v>48993933</v>
      </c>
      <c r="G215" s="63">
        <v>0</v>
      </c>
      <c r="H215" s="63">
        <v>0</v>
      </c>
      <c r="I215" s="63">
        <v>172098</v>
      </c>
      <c r="J215" s="63">
        <v>0</v>
      </c>
      <c r="K215" s="63">
        <v>172098</v>
      </c>
      <c r="L215" s="63">
        <v>0</v>
      </c>
      <c r="M215" s="63">
        <v>0</v>
      </c>
      <c r="N215" s="63">
        <v>0</v>
      </c>
      <c r="O215" s="63">
        <v>0</v>
      </c>
      <c r="P215" s="63">
        <v>0</v>
      </c>
      <c r="Q215" s="63">
        <v>48821835</v>
      </c>
      <c r="R215" s="474">
        <v>0.5</v>
      </c>
      <c r="S215" s="474">
        <v>0.4</v>
      </c>
      <c r="T215" s="474">
        <v>0.1</v>
      </c>
      <c r="U215" s="474">
        <v>0</v>
      </c>
      <c r="V215" s="474">
        <v>1</v>
      </c>
      <c r="W215" s="63">
        <v>24410917</v>
      </c>
      <c r="X215" s="63">
        <v>19528734</v>
      </c>
      <c r="Y215" s="63">
        <v>4882184</v>
      </c>
      <c r="Z215" s="63">
        <v>0</v>
      </c>
      <c r="AA215" s="63">
        <v>48821835</v>
      </c>
      <c r="AB215" s="63">
        <v>0</v>
      </c>
      <c r="AC215" s="63">
        <v>0</v>
      </c>
      <c r="AD215" s="63">
        <v>0</v>
      </c>
      <c r="AE215" s="63">
        <v>0</v>
      </c>
      <c r="AF215" s="63">
        <v>0</v>
      </c>
      <c r="AG215" s="63">
        <v>0</v>
      </c>
      <c r="AH215" s="63">
        <v>0</v>
      </c>
      <c r="AI215" s="63">
        <v>0</v>
      </c>
      <c r="AJ215" s="63">
        <v>0</v>
      </c>
      <c r="AK215" s="63">
        <v>0</v>
      </c>
      <c r="AL215" s="63">
        <v>24410917</v>
      </c>
      <c r="AM215" s="63">
        <v>19528734</v>
      </c>
      <c r="AN215" s="63">
        <v>4882184</v>
      </c>
      <c r="AO215" s="63">
        <v>0</v>
      </c>
      <c r="AP215" s="63">
        <v>48821835</v>
      </c>
      <c r="AQ215" s="63">
        <v>172098</v>
      </c>
      <c r="AR215" s="63">
        <v>172098</v>
      </c>
      <c r="AS215" s="63">
        <v>0</v>
      </c>
      <c r="AT215" s="63">
        <v>0</v>
      </c>
      <c r="AU215" s="63">
        <v>0</v>
      </c>
      <c r="AV215" s="63">
        <v>0</v>
      </c>
      <c r="AW215" s="63">
        <v>0</v>
      </c>
      <c r="AX215" s="63">
        <v>0</v>
      </c>
      <c r="AY215" s="63">
        <v>0</v>
      </c>
      <c r="AZ215" s="63">
        <v>0</v>
      </c>
      <c r="BA215" s="63">
        <v>0</v>
      </c>
      <c r="BB215" s="63">
        <v>0</v>
      </c>
      <c r="BC215" s="63">
        <v>0</v>
      </c>
      <c r="BD215" s="63">
        <v>0</v>
      </c>
      <c r="BE215" s="63">
        <v>0</v>
      </c>
      <c r="BF215" s="63">
        <v>0</v>
      </c>
      <c r="BG215" s="63">
        <v>0</v>
      </c>
      <c r="BH215" s="63">
        <v>-2117191</v>
      </c>
      <c r="BI215" s="63">
        <v>-1693752</v>
      </c>
      <c r="BJ215" s="63">
        <v>-423438</v>
      </c>
      <c r="BK215" s="63">
        <v>0</v>
      </c>
      <c r="BL215" s="63">
        <v>-4234381</v>
      </c>
      <c r="BM215" s="63">
        <v>22293726</v>
      </c>
      <c r="BN215" s="63">
        <v>18007080</v>
      </c>
      <c r="BO215" s="63">
        <v>4458746</v>
      </c>
      <c r="BP215" s="63">
        <v>0</v>
      </c>
      <c r="BQ215" s="63">
        <v>44759552</v>
      </c>
      <c r="BR215" s="63">
        <v>282440</v>
      </c>
      <c r="BS215" s="63">
        <v>70610</v>
      </c>
      <c r="BT215" s="63">
        <v>0</v>
      </c>
      <c r="BU215" s="63">
        <v>353050</v>
      </c>
      <c r="BV215" s="63">
        <v>404950</v>
      </c>
      <c r="BW215" s="63">
        <v>101238</v>
      </c>
      <c r="BX215" s="63">
        <v>0</v>
      </c>
      <c r="BY215" s="63">
        <v>506188</v>
      </c>
      <c r="BZ215" s="63">
        <v>0</v>
      </c>
      <c r="CA215" s="63">
        <v>0</v>
      </c>
      <c r="CB215" s="63">
        <v>0</v>
      </c>
      <c r="CC215" s="63">
        <v>0</v>
      </c>
      <c r="CD215" s="63">
        <v>811</v>
      </c>
      <c r="CE215" s="63">
        <v>203</v>
      </c>
      <c r="CF215" s="63">
        <v>0</v>
      </c>
      <c r="CG215" s="63">
        <v>1014</v>
      </c>
      <c r="CH215" s="63">
        <v>2029</v>
      </c>
      <c r="CI215" s="63">
        <v>507</v>
      </c>
      <c r="CJ215" s="63">
        <v>0</v>
      </c>
      <c r="CK215" s="63">
        <v>2536</v>
      </c>
      <c r="CL215" s="63">
        <v>6086</v>
      </c>
      <c r="CM215" s="63">
        <v>1522</v>
      </c>
      <c r="CN215" s="63">
        <v>0</v>
      </c>
      <c r="CO215" s="63">
        <v>7608</v>
      </c>
      <c r="CP215" s="63">
        <v>696316</v>
      </c>
      <c r="CQ215" s="63">
        <v>174080</v>
      </c>
      <c r="CR215" s="63">
        <v>0</v>
      </c>
      <c r="CS215" s="63">
        <v>870396</v>
      </c>
      <c r="CU215" s="141" t="s">
        <v>549</v>
      </c>
      <c r="CV215" s="157" t="s">
        <v>978</v>
      </c>
      <c r="CW215" s="156" t="s">
        <v>928</v>
      </c>
      <c r="CX215" s="345"/>
      <c r="CY215" s="345"/>
      <c r="CZ215" s="345"/>
    </row>
    <row r="216" spans="1:104" ht="12.75" x14ac:dyDescent="0.2">
      <c r="A216" s="90">
        <v>209</v>
      </c>
      <c r="B216" s="129" t="s">
        <v>277</v>
      </c>
      <c r="C216" s="130" t="s">
        <v>742</v>
      </c>
      <c r="D216" s="131" t="s">
        <v>744</v>
      </c>
      <c r="E216" s="132" t="s">
        <v>276</v>
      </c>
      <c r="F216" s="63">
        <v>14972009</v>
      </c>
      <c r="G216" s="63">
        <v>0</v>
      </c>
      <c r="H216" s="63">
        <v>0</v>
      </c>
      <c r="I216" s="63">
        <v>89974</v>
      </c>
      <c r="J216" s="63">
        <v>0</v>
      </c>
      <c r="K216" s="63">
        <v>89974</v>
      </c>
      <c r="L216" s="63">
        <v>0</v>
      </c>
      <c r="M216" s="63">
        <v>16747</v>
      </c>
      <c r="N216" s="63">
        <v>14974</v>
      </c>
      <c r="O216" s="63">
        <v>14974</v>
      </c>
      <c r="P216" s="63">
        <v>0</v>
      </c>
      <c r="Q216" s="63">
        <v>14850314</v>
      </c>
      <c r="R216" s="474">
        <v>0.5</v>
      </c>
      <c r="S216" s="474">
        <v>0.4</v>
      </c>
      <c r="T216" s="474">
        <v>0.09</v>
      </c>
      <c r="U216" s="474">
        <v>0.01</v>
      </c>
      <c r="V216" s="474">
        <v>1</v>
      </c>
      <c r="W216" s="63">
        <v>7425157</v>
      </c>
      <c r="X216" s="63">
        <v>5940126</v>
      </c>
      <c r="Y216" s="63">
        <v>1336528</v>
      </c>
      <c r="Z216" s="63">
        <v>148503</v>
      </c>
      <c r="AA216" s="63">
        <v>14850314</v>
      </c>
      <c r="AB216" s="63">
        <v>0</v>
      </c>
      <c r="AC216" s="63">
        <v>0</v>
      </c>
      <c r="AD216" s="63">
        <v>0</v>
      </c>
      <c r="AE216" s="63">
        <v>0</v>
      </c>
      <c r="AF216" s="63">
        <v>0</v>
      </c>
      <c r="AG216" s="63">
        <v>0</v>
      </c>
      <c r="AH216" s="63">
        <v>0</v>
      </c>
      <c r="AI216" s="63">
        <v>0</v>
      </c>
      <c r="AJ216" s="63">
        <v>0</v>
      </c>
      <c r="AK216" s="63">
        <v>0</v>
      </c>
      <c r="AL216" s="63">
        <v>7425157</v>
      </c>
      <c r="AM216" s="63">
        <v>5940126</v>
      </c>
      <c r="AN216" s="63">
        <v>1336528</v>
      </c>
      <c r="AO216" s="63">
        <v>148503</v>
      </c>
      <c r="AP216" s="63">
        <v>14850314</v>
      </c>
      <c r="AQ216" s="63">
        <v>89974</v>
      </c>
      <c r="AR216" s="63">
        <v>89974</v>
      </c>
      <c r="AS216" s="63">
        <v>16747</v>
      </c>
      <c r="AT216" s="63">
        <v>16747</v>
      </c>
      <c r="AU216" s="63">
        <v>14974</v>
      </c>
      <c r="AV216" s="63">
        <v>0</v>
      </c>
      <c r="AW216" s="63">
        <v>14974</v>
      </c>
      <c r="AX216" s="63">
        <v>0</v>
      </c>
      <c r="AY216" s="63">
        <v>0</v>
      </c>
      <c r="AZ216" s="63">
        <v>0</v>
      </c>
      <c r="BA216" s="63">
        <v>0</v>
      </c>
      <c r="BB216" s="63">
        <v>0</v>
      </c>
      <c r="BC216" s="63">
        <v>0</v>
      </c>
      <c r="BD216" s="63">
        <v>0</v>
      </c>
      <c r="BE216" s="63">
        <v>0</v>
      </c>
      <c r="BF216" s="63">
        <v>0</v>
      </c>
      <c r="BG216" s="63">
        <v>0</v>
      </c>
      <c r="BH216" s="63">
        <v>-525866</v>
      </c>
      <c r="BI216" s="63">
        <v>-420692</v>
      </c>
      <c r="BJ216" s="63">
        <v>-94656</v>
      </c>
      <c r="BK216" s="63">
        <v>-10517</v>
      </c>
      <c r="BL216" s="63">
        <v>-1051731</v>
      </c>
      <c r="BM216" s="63">
        <v>6899291</v>
      </c>
      <c r="BN216" s="63">
        <v>5641129</v>
      </c>
      <c r="BO216" s="63">
        <v>1241872</v>
      </c>
      <c r="BP216" s="63">
        <v>137986</v>
      </c>
      <c r="BQ216" s="63">
        <v>13920278</v>
      </c>
      <c r="BR216" s="63">
        <v>86370</v>
      </c>
      <c r="BS216" s="63">
        <v>19330</v>
      </c>
      <c r="BT216" s="63">
        <v>2148</v>
      </c>
      <c r="BU216" s="63">
        <v>107848</v>
      </c>
      <c r="BV216" s="63">
        <v>413449</v>
      </c>
      <c r="BW216" s="63">
        <v>93026</v>
      </c>
      <c r="BX216" s="63">
        <v>10336</v>
      </c>
      <c r="BY216" s="63">
        <v>516811</v>
      </c>
      <c r="BZ216" s="63">
        <v>4510</v>
      </c>
      <c r="CA216" s="63">
        <v>1015</v>
      </c>
      <c r="CB216" s="63">
        <v>113</v>
      </c>
      <c r="CC216" s="63">
        <v>5638</v>
      </c>
      <c r="CD216" s="63">
        <v>1990</v>
      </c>
      <c r="CE216" s="63">
        <v>448</v>
      </c>
      <c r="CF216" s="63">
        <v>50</v>
      </c>
      <c r="CG216" s="63">
        <v>2488</v>
      </c>
      <c r="CH216" s="63">
        <v>11207</v>
      </c>
      <c r="CI216" s="63">
        <v>2521</v>
      </c>
      <c r="CJ216" s="63">
        <v>280</v>
      </c>
      <c r="CK216" s="63">
        <v>14008</v>
      </c>
      <c r="CL216" s="63">
        <v>11535</v>
      </c>
      <c r="CM216" s="63">
        <v>2595</v>
      </c>
      <c r="CN216" s="63">
        <v>288</v>
      </c>
      <c r="CO216" s="63">
        <v>14418</v>
      </c>
      <c r="CP216" s="63">
        <v>529061</v>
      </c>
      <c r="CQ216" s="63">
        <v>118935</v>
      </c>
      <c r="CR216" s="63">
        <v>13215</v>
      </c>
      <c r="CS216" s="63">
        <v>661211</v>
      </c>
      <c r="CU216" s="141" t="s">
        <v>276</v>
      </c>
      <c r="CV216" s="157" t="s">
        <v>961</v>
      </c>
      <c r="CW216" s="156" t="s">
        <v>952</v>
      </c>
      <c r="CX216" s="345"/>
      <c r="CY216" s="345"/>
      <c r="CZ216" s="345"/>
    </row>
    <row r="217" spans="1:104" ht="12.75" x14ac:dyDescent="0.2">
      <c r="A217" s="90">
        <v>210</v>
      </c>
      <c r="B217" s="129" t="s">
        <v>279</v>
      </c>
      <c r="C217" s="130" t="s">
        <v>747</v>
      </c>
      <c r="D217" s="131" t="s">
        <v>748</v>
      </c>
      <c r="E217" s="132" t="s">
        <v>278</v>
      </c>
      <c r="F217" s="63">
        <v>84783370</v>
      </c>
      <c r="G217" s="63">
        <v>0</v>
      </c>
      <c r="H217" s="63">
        <v>0</v>
      </c>
      <c r="I217" s="63">
        <v>292908</v>
      </c>
      <c r="J217" s="63">
        <v>0</v>
      </c>
      <c r="K217" s="63">
        <v>292908</v>
      </c>
      <c r="L217" s="63">
        <v>0</v>
      </c>
      <c r="M217" s="63">
        <v>0</v>
      </c>
      <c r="N217" s="63">
        <v>0</v>
      </c>
      <c r="O217" s="63">
        <v>0</v>
      </c>
      <c r="P217" s="63">
        <v>0</v>
      </c>
      <c r="Q217" s="63">
        <v>84490462</v>
      </c>
      <c r="R217" s="474">
        <v>0.5</v>
      </c>
      <c r="S217" s="474">
        <v>0.4</v>
      </c>
      <c r="T217" s="474">
        <v>0.09</v>
      </c>
      <c r="U217" s="474">
        <v>0.01</v>
      </c>
      <c r="V217" s="474">
        <v>1</v>
      </c>
      <c r="W217" s="63">
        <v>42245231</v>
      </c>
      <c r="X217" s="63">
        <v>25347139</v>
      </c>
      <c r="Y217" s="63">
        <v>16898092</v>
      </c>
      <c r="Z217" s="63">
        <v>0</v>
      </c>
      <c r="AA217" s="63">
        <v>84490462</v>
      </c>
      <c r="AB217" s="63">
        <v>0</v>
      </c>
      <c r="AC217" s="63">
        <v>0</v>
      </c>
      <c r="AD217" s="63">
        <v>0</v>
      </c>
      <c r="AE217" s="63">
        <v>0</v>
      </c>
      <c r="AF217" s="63">
        <v>0</v>
      </c>
      <c r="AG217" s="63">
        <v>0</v>
      </c>
      <c r="AH217" s="63">
        <v>0</v>
      </c>
      <c r="AI217" s="63">
        <v>0</v>
      </c>
      <c r="AJ217" s="63">
        <v>0</v>
      </c>
      <c r="AK217" s="63">
        <v>0</v>
      </c>
      <c r="AL217" s="63">
        <v>42245231</v>
      </c>
      <c r="AM217" s="63">
        <v>25347139</v>
      </c>
      <c r="AN217" s="63">
        <v>16898092</v>
      </c>
      <c r="AO217" s="63">
        <v>0</v>
      </c>
      <c r="AP217" s="63">
        <v>84490462</v>
      </c>
      <c r="AQ217" s="63">
        <v>292908</v>
      </c>
      <c r="AR217" s="63">
        <v>292908</v>
      </c>
      <c r="AS217" s="63">
        <v>0</v>
      </c>
      <c r="AT217" s="63">
        <v>0</v>
      </c>
      <c r="AU217" s="63">
        <v>0</v>
      </c>
      <c r="AV217" s="63">
        <v>0</v>
      </c>
      <c r="AW217" s="63">
        <v>0</v>
      </c>
      <c r="AX217" s="63">
        <v>0</v>
      </c>
      <c r="AY217" s="63">
        <v>0</v>
      </c>
      <c r="AZ217" s="63">
        <v>0</v>
      </c>
      <c r="BA217" s="63">
        <v>0</v>
      </c>
      <c r="BB217" s="63">
        <v>0</v>
      </c>
      <c r="BC217" s="63">
        <v>0</v>
      </c>
      <c r="BD217" s="63">
        <v>0</v>
      </c>
      <c r="BE217" s="63">
        <v>0</v>
      </c>
      <c r="BF217" s="63">
        <v>0</v>
      </c>
      <c r="BG217" s="63">
        <v>0</v>
      </c>
      <c r="BH217" s="63">
        <v>-1583000</v>
      </c>
      <c r="BI217" s="63">
        <v>-949800</v>
      </c>
      <c r="BJ217" s="63">
        <v>-633200</v>
      </c>
      <c r="BK217" s="63">
        <v>0</v>
      </c>
      <c r="BL217" s="63">
        <v>-3166000</v>
      </c>
      <c r="BM217" s="63">
        <v>40662231</v>
      </c>
      <c r="BN217" s="63">
        <v>24690247</v>
      </c>
      <c r="BO217" s="63">
        <v>16264892</v>
      </c>
      <c r="BP217" s="63">
        <v>0</v>
      </c>
      <c r="BQ217" s="63">
        <v>81617370</v>
      </c>
      <c r="BR217" s="63">
        <v>366591</v>
      </c>
      <c r="BS217" s="63">
        <v>244394</v>
      </c>
      <c r="BT217" s="63">
        <v>0</v>
      </c>
      <c r="BU217" s="63">
        <v>610985</v>
      </c>
      <c r="BV217" s="63">
        <v>349342</v>
      </c>
      <c r="BW217" s="63">
        <v>232894</v>
      </c>
      <c r="BX217" s="63">
        <v>0</v>
      </c>
      <c r="BY217" s="63">
        <v>582236</v>
      </c>
      <c r="BZ217" s="63">
        <v>0</v>
      </c>
      <c r="CA217" s="63">
        <v>0</v>
      </c>
      <c r="CB217" s="63">
        <v>0</v>
      </c>
      <c r="CC217" s="63">
        <v>0</v>
      </c>
      <c r="CD217" s="63">
        <v>0</v>
      </c>
      <c r="CE217" s="63">
        <v>0</v>
      </c>
      <c r="CF217" s="63">
        <v>0</v>
      </c>
      <c r="CG217" s="63">
        <v>0</v>
      </c>
      <c r="CH217" s="63">
        <v>23049</v>
      </c>
      <c r="CI217" s="63">
        <v>15366</v>
      </c>
      <c r="CJ217" s="63">
        <v>0</v>
      </c>
      <c r="CK217" s="63">
        <v>38415</v>
      </c>
      <c r="CL217" s="63">
        <v>1829</v>
      </c>
      <c r="CM217" s="63">
        <v>1219</v>
      </c>
      <c r="CN217" s="63">
        <v>0</v>
      </c>
      <c r="CO217" s="63">
        <v>3048</v>
      </c>
      <c r="CP217" s="63">
        <v>740811</v>
      </c>
      <c r="CQ217" s="63">
        <v>493873</v>
      </c>
      <c r="CR217" s="63">
        <v>0</v>
      </c>
      <c r="CS217" s="63">
        <v>1234684</v>
      </c>
      <c r="CU217" s="141" t="s">
        <v>278</v>
      </c>
      <c r="CV217" s="157" t="s">
        <v>939</v>
      </c>
      <c r="CW217" s="157" t="s">
        <v>940</v>
      </c>
      <c r="CX217" s="345"/>
      <c r="CY217" s="345"/>
      <c r="CZ217" s="345"/>
    </row>
    <row r="218" spans="1:104" ht="12.75" x14ac:dyDescent="0.2">
      <c r="A218" s="90">
        <v>211</v>
      </c>
      <c r="B218" s="129" t="s">
        <v>281</v>
      </c>
      <c r="C218" s="130" t="s">
        <v>742</v>
      </c>
      <c r="D218" s="131" t="s">
        <v>750</v>
      </c>
      <c r="E218" s="132" t="s">
        <v>280</v>
      </c>
      <c r="F218" s="63">
        <v>13366889</v>
      </c>
      <c r="G218" s="63">
        <v>0</v>
      </c>
      <c r="H218" s="63">
        <v>0</v>
      </c>
      <c r="I218" s="63">
        <v>97217</v>
      </c>
      <c r="J218" s="63">
        <v>0</v>
      </c>
      <c r="K218" s="63">
        <v>97217</v>
      </c>
      <c r="L218" s="63">
        <v>0</v>
      </c>
      <c r="M218" s="63">
        <v>0</v>
      </c>
      <c r="N218" s="63">
        <v>0</v>
      </c>
      <c r="O218" s="63">
        <v>0</v>
      </c>
      <c r="P218" s="63">
        <v>0</v>
      </c>
      <c r="Q218" s="63">
        <v>13269672</v>
      </c>
      <c r="R218" s="474">
        <v>0.5</v>
      </c>
      <c r="S218" s="474">
        <v>0.3</v>
      </c>
      <c r="T218" s="474">
        <v>0.2</v>
      </c>
      <c r="U218" s="474">
        <v>0</v>
      </c>
      <c r="V218" s="474">
        <v>1</v>
      </c>
      <c r="W218" s="63">
        <v>6634836</v>
      </c>
      <c r="X218" s="63">
        <v>5307869</v>
      </c>
      <c r="Y218" s="63">
        <v>1194270</v>
      </c>
      <c r="Z218" s="63">
        <v>132697</v>
      </c>
      <c r="AA218" s="63">
        <v>13269672</v>
      </c>
      <c r="AB218" s="63">
        <v>0</v>
      </c>
      <c r="AC218" s="63">
        <v>0</v>
      </c>
      <c r="AD218" s="63">
        <v>0</v>
      </c>
      <c r="AE218" s="63">
        <v>0</v>
      </c>
      <c r="AF218" s="63">
        <v>0</v>
      </c>
      <c r="AG218" s="63">
        <v>0</v>
      </c>
      <c r="AH218" s="63">
        <v>0</v>
      </c>
      <c r="AI218" s="63">
        <v>0</v>
      </c>
      <c r="AJ218" s="63">
        <v>0</v>
      </c>
      <c r="AK218" s="63">
        <v>0</v>
      </c>
      <c r="AL218" s="63">
        <v>6634836</v>
      </c>
      <c r="AM218" s="63">
        <v>5307869</v>
      </c>
      <c r="AN218" s="63">
        <v>1194270</v>
      </c>
      <c r="AO218" s="63">
        <v>132697</v>
      </c>
      <c r="AP218" s="63">
        <v>13269672</v>
      </c>
      <c r="AQ218" s="63">
        <v>97217</v>
      </c>
      <c r="AR218" s="63">
        <v>97217</v>
      </c>
      <c r="AS218" s="63">
        <v>0</v>
      </c>
      <c r="AT218" s="63">
        <v>0</v>
      </c>
      <c r="AU218" s="63">
        <v>0</v>
      </c>
      <c r="AV218" s="63">
        <v>0</v>
      </c>
      <c r="AW218" s="63">
        <v>0</v>
      </c>
      <c r="AX218" s="63">
        <v>0</v>
      </c>
      <c r="AY218" s="63">
        <v>0</v>
      </c>
      <c r="AZ218" s="63">
        <v>0</v>
      </c>
      <c r="BA218" s="63">
        <v>0</v>
      </c>
      <c r="BB218" s="63">
        <v>0</v>
      </c>
      <c r="BC218" s="63">
        <v>0</v>
      </c>
      <c r="BD218" s="63">
        <v>0</v>
      </c>
      <c r="BE218" s="63">
        <v>0</v>
      </c>
      <c r="BF218" s="63">
        <v>0</v>
      </c>
      <c r="BG218" s="63">
        <v>0</v>
      </c>
      <c r="BH218" s="63">
        <v>-829475</v>
      </c>
      <c r="BI218" s="63">
        <v>-663580</v>
      </c>
      <c r="BJ218" s="63">
        <v>-149305</v>
      </c>
      <c r="BK218" s="63">
        <v>-16589</v>
      </c>
      <c r="BL218" s="63">
        <v>-1658949</v>
      </c>
      <c r="BM218" s="63">
        <v>5805361</v>
      </c>
      <c r="BN218" s="63">
        <v>4741506</v>
      </c>
      <c r="BO218" s="63">
        <v>1044965</v>
      </c>
      <c r="BP218" s="63">
        <v>116108</v>
      </c>
      <c r="BQ218" s="63">
        <v>11707940</v>
      </c>
      <c r="BR218" s="63">
        <v>76767</v>
      </c>
      <c r="BS218" s="63">
        <v>17273</v>
      </c>
      <c r="BT218" s="63">
        <v>1919</v>
      </c>
      <c r="BU218" s="63">
        <v>95959</v>
      </c>
      <c r="BV218" s="63">
        <v>386878</v>
      </c>
      <c r="BW218" s="63">
        <v>87047</v>
      </c>
      <c r="BX218" s="63">
        <v>9672</v>
      </c>
      <c r="BY218" s="63">
        <v>483597</v>
      </c>
      <c r="BZ218" s="63">
        <v>0</v>
      </c>
      <c r="CA218" s="63">
        <v>0</v>
      </c>
      <c r="CB218" s="63">
        <v>0</v>
      </c>
      <c r="CC218" s="63">
        <v>0</v>
      </c>
      <c r="CD218" s="63">
        <v>2621</v>
      </c>
      <c r="CE218" s="63">
        <v>590</v>
      </c>
      <c r="CF218" s="63">
        <v>66</v>
      </c>
      <c r="CG218" s="63">
        <v>3277</v>
      </c>
      <c r="CH218" s="63">
        <v>0</v>
      </c>
      <c r="CI218" s="63">
        <v>0</v>
      </c>
      <c r="CJ218" s="63">
        <v>0</v>
      </c>
      <c r="CK218" s="63">
        <v>0</v>
      </c>
      <c r="CL218" s="63">
        <v>0</v>
      </c>
      <c r="CM218" s="63">
        <v>0</v>
      </c>
      <c r="CN218" s="63">
        <v>0</v>
      </c>
      <c r="CO218" s="63">
        <v>0</v>
      </c>
      <c r="CP218" s="63">
        <v>466266</v>
      </c>
      <c r="CQ218" s="63">
        <v>104910</v>
      </c>
      <c r="CR218" s="63">
        <v>11657</v>
      </c>
      <c r="CS218" s="63">
        <v>582833</v>
      </c>
      <c r="CU218" s="141" t="s">
        <v>280</v>
      </c>
      <c r="CV218" s="157" t="s">
        <v>972</v>
      </c>
      <c r="CW218" s="156" t="s">
        <v>764</v>
      </c>
      <c r="CX218" s="345"/>
      <c r="CY218" s="345"/>
      <c r="CZ218" s="345"/>
    </row>
    <row r="219" spans="1:104" ht="12.75" x14ac:dyDescent="0.2">
      <c r="A219" s="90">
        <v>212</v>
      </c>
      <c r="B219" s="129" t="s">
        <v>283</v>
      </c>
      <c r="C219" s="130" t="s">
        <v>749</v>
      </c>
      <c r="D219" s="131" t="s">
        <v>744</v>
      </c>
      <c r="E219" s="132" t="s">
        <v>282</v>
      </c>
      <c r="F219" s="63">
        <v>63385346</v>
      </c>
      <c r="G219" s="63">
        <v>0</v>
      </c>
      <c r="H219" s="63">
        <v>0</v>
      </c>
      <c r="I219" s="63">
        <v>287386</v>
      </c>
      <c r="J219" s="63">
        <v>0</v>
      </c>
      <c r="K219" s="63">
        <v>287386</v>
      </c>
      <c r="L219" s="63">
        <v>0</v>
      </c>
      <c r="M219" s="63">
        <v>0</v>
      </c>
      <c r="N219" s="63">
        <v>0</v>
      </c>
      <c r="O219" s="63">
        <v>0</v>
      </c>
      <c r="P219" s="63">
        <v>0</v>
      </c>
      <c r="Q219" s="63">
        <v>63097960</v>
      </c>
      <c r="R219" s="474">
        <v>0.5</v>
      </c>
      <c r="S219" s="474">
        <v>0.49</v>
      </c>
      <c r="T219" s="474">
        <v>0</v>
      </c>
      <c r="U219" s="474">
        <v>0.01</v>
      </c>
      <c r="V219" s="474">
        <v>1</v>
      </c>
      <c r="W219" s="63">
        <v>31548980</v>
      </c>
      <c r="X219" s="63">
        <v>30918000</v>
      </c>
      <c r="Y219" s="63">
        <v>0</v>
      </c>
      <c r="Z219" s="63">
        <v>630980</v>
      </c>
      <c r="AA219" s="63">
        <v>63097960</v>
      </c>
      <c r="AB219" s="63">
        <v>0</v>
      </c>
      <c r="AC219" s="63">
        <v>0</v>
      </c>
      <c r="AD219" s="63">
        <v>0</v>
      </c>
      <c r="AE219" s="63">
        <v>0</v>
      </c>
      <c r="AF219" s="63">
        <v>0</v>
      </c>
      <c r="AG219" s="63">
        <v>0</v>
      </c>
      <c r="AH219" s="63">
        <v>0</v>
      </c>
      <c r="AI219" s="63">
        <v>0</v>
      </c>
      <c r="AJ219" s="63">
        <v>0</v>
      </c>
      <c r="AK219" s="63">
        <v>0</v>
      </c>
      <c r="AL219" s="63">
        <v>31548980</v>
      </c>
      <c r="AM219" s="63">
        <v>30918000</v>
      </c>
      <c r="AN219" s="63">
        <v>0</v>
      </c>
      <c r="AO219" s="63">
        <v>630980</v>
      </c>
      <c r="AP219" s="63">
        <v>63097960</v>
      </c>
      <c r="AQ219" s="63">
        <v>287386</v>
      </c>
      <c r="AR219" s="63">
        <v>287386</v>
      </c>
      <c r="AS219" s="63">
        <v>0</v>
      </c>
      <c r="AT219" s="63">
        <v>0</v>
      </c>
      <c r="AU219" s="63">
        <v>0</v>
      </c>
      <c r="AV219" s="63">
        <v>0</v>
      </c>
      <c r="AW219" s="63">
        <v>0</v>
      </c>
      <c r="AX219" s="63">
        <v>0</v>
      </c>
      <c r="AY219" s="63">
        <v>0</v>
      </c>
      <c r="AZ219" s="63">
        <v>0</v>
      </c>
      <c r="BA219" s="63">
        <v>0</v>
      </c>
      <c r="BB219" s="63">
        <v>0</v>
      </c>
      <c r="BC219" s="63">
        <v>0</v>
      </c>
      <c r="BD219" s="63">
        <v>0</v>
      </c>
      <c r="BE219" s="63">
        <v>0</v>
      </c>
      <c r="BF219" s="63">
        <v>0</v>
      </c>
      <c r="BG219" s="63">
        <v>0</v>
      </c>
      <c r="BH219" s="63">
        <v>-1184500</v>
      </c>
      <c r="BI219" s="63">
        <v>-1160810</v>
      </c>
      <c r="BJ219" s="63">
        <v>0</v>
      </c>
      <c r="BK219" s="63">
        <v>-23690</v>
      </c>
      <c r="BL219" s="63">
        <v>-2369000</v>
      </c>
      <c r="BM219" s="63">
        <v>30364480</v>
      </c>
      <c r="BN219" s="63">
        <v>30044576</v>
      </c>
      <c r="BO219" s="63">
        <v>0</v>
      </c>
      <c r="BP219" s="63">
        <v>607290</v>
      </c>
      <c r="BQ219" s="63">
        <v>61016346</v>
      </c>
      <c r="BR219" s="63">
        <v>447161</v>
      </c>
      <c r="BS219" s="63">
        <v>0</v>
      </c>
      <c r="BT219" s="63">
        <v>9126</v>
      </c>
      <c r="BU219" s="63">
        <v>456287</v>
      </c>
      <c r="BV219" s="63">
        <v>1326079</v>
      </c>
      <c r="BW219" s="63">
        <v>0</v>
      </c>
      <c r="BX219" s="63">
        <v>27063</v>
      </c>
      <c r="BY219" s="63">
        <v>1353142</v>
      </c>
      <c r="BZ219" s="63">
        <v>13645</v>
      </c>
      <c r="CA219" s="63">
        <v>0</v>
      </c>
      <c r="CB219" s="63">
        <v>278</v>
      </c>
      <c r="CC219" s="63">
        <v>13923</v>
      </c>
      <c r="CD219" s="63">
        <v>2653</v>
      </c>
      <c r="CE219" s="63">
        <v>0</v>
      </c>
      <c r="CF219" s="63">
        <v>54</v>
      </c>
      <c r="CG219" s="63">
        <v>2707</v>
      </c>
      <c r="CH219" s="63">
        <v>64121</v>
      </c>
      <c r="CI219" s="63">
        <v>0</v>
      </c>
      <c r="CJ219" s="63">
        <v>1309</v>
      </c>
      <c r="CK219" s="63">
        <v>65430</v>
      </c>
      <c r="CL219" s="63">
        <v>8531</v>
      </c>
      <c r="CM219" s="63">
        <v>0</v>
      </c>
      <c r="CN219" s="63">
        <v>174</v>
      </c>
      <c r="CO219" s="63">
        <v>8705</v>
      </c>
      <c r="CP219" s="63">
        <v>1862190</v>
      </c>
      <c r="CQ219" s="63">
        <v>0</v>
      </c>
      <c r="CR219" s="63">
        <v>38004</v>
      </c>
      <c r="CS219" s="63">
        <v>1900194</v>
      </c>
      <c r="CU219" s="141" t="s">
        <v>282</v>
      </c>
      <c r="CV219" s="157" t="s">
        <v>941</v>
      </c>
      <c r="CW219" s="156" t="s">
        <v>953</v>
      </c>
      <c r="CX219" s="345"/>
      <c r="CY219" s="345"/>
      <c r="CZ219" s="345"/>
    </row>
    <row r="220" spans="1:104" ht="12.75" x14ac:dyDescent="0.2">
      <c r="A220" s="90">
        <v>213</v>
      </c>
      <c r="B220" s="129" t="s">
        <v>285</v>
      </c>
      <c r="C220" s="130" t="s">
        <v>742</v>
      </c>
      <c r="D220" s="131" t="s">
        <v>746</v>
      </c>
      <c r="E220" s="132" t="s">
        <v>284</v>
      </c>
      <c r="F220" s="63">
        <v>16228704</v>
      </c>
      <c r="G220" s="63">
        <v>0</v>
      </c>
      <c r="H220" s="63">
        <v>0</v>
      </c>
      <c r="I220" s="63">
        <v>85715</v>
      </c>
      <c r="J220" s="63">
        <v>0</v>
      </c>
      <c r="K220" s="63">
        <v>85715</v>
      </c>
      <c r="L220" s="63">
        <v>0</v>
      </c>
      <c r="M220" s="63">
        <v>0</v>
      </c>
      <c r="N220" s="63">
        <v>19880</v>
      </c>
      <c r="O220" s="63">
        <v>19880</v>
      </c>
      <c r="P220" s="63">
        <v>0</v>
      </c>
      <c r="Q220" s="63">
        <v>16123109</v>
      </c>
      <c r="R220" s="474">
        <v>0.5</v>
      </c>
      <c r="S220" s="474">
        <v>0.4</v>
      </c>
      <c r="T220" s="474">
        <v>0.09</v>
      </c>
      <c r="U220" s="474">
        <v>0.01</v>
      </c>
      <c r="V220" s="474">
        <v>1</v>
      </c>
      <c r="W220" s="63">
        <v>8061554</v>
      </c>
      <c r="X220" s="63">
        <v>6449244</v>
      </c>
      <c r="Y220" s="63">
        <v>1451080</v>
      </c>
      <c r="Z220" s="63">
        <v>161231</v>
      </c>
      <c r="AA220" s="63">
        <v>16123109</v>
      </c>
      <c r="AB220" s="63">
        <v>0</v>
      </c>
      <c r="AC220" s="63">
        <v>0</v>
      </c>
      <c r="AD220" s="63">
        <v>0</v>
      </c>
      <c r="AE220" s="63">
        <v>0</v>
      </c>
      <c r="AF220" s="63">
        <v>0</v>
      </c>
      <c r="AG220" s="63">
        <v>0</v>
      </c>
      <c r="AH220" s="63">
        <v>0</v>
      </c>
      <c r="AI220" s="63">
        <v>0</v>
      </c>
      <c r="AJ220" s="63">
        <v>0</v>
      </c>
      <c r="AK220" s="63">
        <v>0</v>
      </c>
      <c r="AL220" s="63">
        <v>8061554</v>
      </c>
      <c r="AM220" s="63">
        <v>6449244</v>
      </c>
      <c r="AN220" s="63">
        <v>1451080</v>
      </c>
      <c r="AO220" s="63">
        <v>161231</v>
      </c>
      <c r="AP220" s="63">
        <v>16123109</v>
      </c>
      <c r="AQ220" s="63">
        <v>85715</v>
      </c>
      <c r="AR220" s="63">
        <v>85715</v>
      </c>
      <c r="AS220" s="63">
        <v>0</v>
      </c>
      <c r="AT220" s="63">
        <v>0</v>
      </c>
      <c r="AU220" s="63">
        <v>19880</v>
      </c>
      <c r="AV220" s="63">
        <v>0</v>
      </c>
      <c r="AW220" s="63">
        <v>19880</v>
      </c>
      <c r="AX220" s="63">
        <v>0</v>
      </c>
      <c r="AY220" s="63">
        <v>0</v>
      </c>
      <c r="AZ220" s="63">
        <v>0</v>
      </c>
      <c r="BA220" s="63">
        <v>0</v>
      </c>
      <c r="BB220" s="63">
        <v>0</v>
      </c>
      <c r="BC220" s="63">
        <v>0</v>
      </c>
      <c r="BD220" s="63">
        <v>0</v>
      </c>
      <c r="BE220" s="63">
        <v>0</v>
      </c>
      <c r="BF220" s="63">
        <v>0</v>
      </c>
      <c r="BG220" s="63">
        <v>0</v>
      </c>
      <c r="BH220" s="63">
        <v>-826693</v>
      </c>
      <c r="BI220" s="63">
        <v>-661354</v>
      </c>
      <c r="BJ220" s="63">
        <v>-148805</v>
      </c>
      <c r="BK220" s="63">
        <v>-16534</v>
      </c>
      <c r="BL220" s="63">
        <v>-1653386</v>
      </c>
      <c r="BM220" s="63">
        <v>7234861</v>
      </c>
      <c r="BN220" s="63">
        <v>5893485</v>
      </c>
      <c r="BO220" s="63">
        <v>1302275</v>
      </c>
      <c r="BP220" s="63">
        <v>144697</v>
      </c>
      <c r="BQ220" s="63">
        <v>14575318</v>
      </c>
      <c r="BR220" s="63">
        <v>93562</v>
      </c>
      <c r="BS220" s="63">
        <v>20987</v>
      </c>
      <c r="BT220" s="63">
        <v>2332</v>
      </c>
      <c r="BU220" s="63">
        <v>116881</v>
      </c>
      <c r="BV220" s="63">
        <v>351737</v>
      </c>
      <c r="BW220" s="63">
        <v>79141</v>
      </c>
      <c r="BX220" s="63">
        <v>8793</v>
      </c>
      <c r="BY220" s="63">
        <v>439671</v>
      </c>
      <c r="BZ220" s="63">
        <v>0</v>
      </c>
      <c r="CA220" s="63">
        <v>0</v>
      </c>
      <c r="CB220" s="63">
        <v>0</v>
      </c>
      <c r="CC220" s="63">
        <v>0</v>
      </c>
      <c r="CD220" s="63">
        <v>0</v>
      </c>
      <c r="CE220" s="63">
        <v>0</v>
      </c>
      <c r="CF220" s="63">
        <v>0</v>
      </c>
      <c r="CG220" s="63">
        <v>0</v>
      </c>
      <c r="CH220" s="63">
        <v>0</v>
      </c>
      <c r="CI220" s="63">
        <v>0</v>
      </c>
      <c r="CJ220" s="63">
        <v>0</v>
      </c>
      <c r="CK220" s="63">
        <v>0</v>
      </c>
      <c r="CL220" s="63">
        <v>2833</v>
      </c>
      <c r="CM220" s="63">
        <v>637</v>
      </c>
      <c r="CN220" s="63">
        <v>71</v>
      </c>
      <c r="CO220" s="63">
        <v>3541</v>
      </c>
      <c r="CP220" s="63">
        <v>448132</v>
      </c>
      <c r="CQ220" s="63">
        <v>100765</v>
      </c>
      <c r="CR220" s="63">
        <v>11196</v>
      </c>
      <c r="CS220" s="63">
        <v>560093</v>
      </c>
      <c r="CU220" s="141" t="s">
        <v>284</v>
      </c>
      <c r="CV220" s="157" t="s">
        <v>943</v>
      </c>
      <c r="CW220" s="156" t="s">
        <v>944</v>
      </c>
      <c r="CX220" s="345"/>
      <c r="CY220" s="345"/>
      <c r="CZ220" s="345"/>
    </row>
    <row r="221" spans="1:104" ht="12.75" x14ac:dyDescent="0.2">
      <c r="A221" s="90">
        <v>214</v>
      </c>
      <c r="B221" s="129" t="s">
        <v>287</v>
      </c>
      <c r="C221" s="130" t="s">
        <v>742</v>
      </c>
      <c r="D221" s="131" t="s">
        <v>744</v>
      </c>
      <c r="E221" s="132" t="s">
        <v>286</v>
      </c>
      <c r="F221" s="63">
        <v>14092114</v>
      </c>
      <c r="G221" s="63">
        <v>0</v>
      </c>
      <c r="H221" s="63">
        <v>0</v>
      </c>
      <c r="I221" s="63">
        <v>99066</v>
      </c>
      <c r="J221" s="63">
        <v>0</v>
      </c>
      <c r="K221" s="63">
        <v>99066</v>
      </c>
      <c r="L221" s="63">
        <v>0</v>
      </c>
      <c r="M221" s="63">
        <v>0</v>
      </c>
      <c r="N221" s="63">
        <v>0</v>
      </c>
      <c r="O221" s="63">
        <v>0</v>
      </c>
      <c r="P221" s="63">
        <v>0</v>
      </c>
      <c r="Q221" s="63">
        <v>13993048</v>
      </c>
      <c r="R221" s="474">
        <v>0.5</v>
      </c>
      <c r="S221" s="474">
        <v>0.4</v>
      </c>
      <c r="T221" s="474">
        <v>0.09</v>
      </c>
      <c r="U221" s="474">
        <v>0.01</v>
      </c>
      <c r="V221" s="474">
        <v>1</v>
      </c>
      <c r="W221" s="63">
        <v>6996525</v>
      </c>
      <c r="X221" s="63">
        <v>5597219</v>
      </c>
      <c r="Y221" s="63">
        <v>1259374</v>
      </c>
      <c r="Z221" s="63">
        <v>139930</v>
      </c>
      <c r="AA221" s="63">
        <v>13993048</v>
      </c>
      <c r="AB221" s="63">
        <v>0</v>
      </c>
      <c r="AC221" s="63">
        <v>0</v>
      </c>
      <c r="AD221" s="63">
        <v>0</v>
      </c>
      <c r="AE221" s="63">
        <v>0</v>
      </c>
      <c r="AF221" s="63">
        <v>0</v>
      </c>
      <c r="AG221" s="63">
        <v>0</v>
      </c>
      <c r="AH221" s="63">
        <v>0</v>
      </c>
      <c r="AI221" s="63">
        <v>0</v>
      </c>
      <c r="AJ221" s="63">
        <v>0</v>
      </c>
      <c r="AK221" s="63">
        <v>0</v>
      </c>
      <c r="AL221" s="63">
        <v>6996525</v>
      </c>
      <c r="AM221" s="63">
        <v>5597219</v>
      </c>
      <c r="AN221" s="63">
        <v>1259374</v>
      </c>
      <c r="AO221" s="63">
        <v>139930</v>
      </c>
      <c r="AP221" s="63">
        <v>13993048</v>
      </c>
      <c r="AQ221" s="63">
        <v>99066</v>
      </c>
      <c r="AR221" s="63">
        <v>99066</v>
      </c>
      <c r="AS221" s="63">
        <v>0</v>
      </c>
      <c r="AT221" s="63">
        <v>0</v>
      </c>
      <c r="AU221" s="63">
        <v>0</v>
      </c>
      <c r="AV221" s="63">
        <v>0</v>
      </c>
      <c r="AW221" s="63">
        <v>0</v>
      </c>
      <c r="AX221" s="63">
        <v>0</v>
      </c>
      <c r="AY221" s="63">
        <v>0</v>
      </c>
      <c r="AZ221" s="63">
        <v>0</v>
      </c>
      <c r="BA221" s="63">
        <v>0</v>
      </c>
      <c r="BB221" s="63">
        <v>0</v>
      </c>
      <c r="BC221" s="63">
        <v>0</v>
      </c>
      <c r="BD221" s="63">
        <v>0</v>
      </c>
      <c r="BE221" s="63">
        <v>0</v>
      </c>
      <c r="BF221" s="63">
        <v>0</v>
      </c>
      <c r="BG221" s="63">
        <v>0</v>
      </c>
      <c r="BH221" s="63">
        <v>-782647</v>
      </c>
      <c r="BI221" s="63">
        <v>-626118</v>
      </c>
      <c r="BJ221" s="63">
        <v>-140877</v>
      </c>
      <c r="BK221" s="63">
        <v>-15653</v>
      </c>
      <c r="BL221" s="63">
        <v>-1565295</v>
      </c>
      <c r="BM221" s="63">
        <v>6213878</v>
      </c>
      <c r="BN221" s="63">
        <v>5070167</v>
      </c>
      <c r="BO221" s="63">
        <v>1118497</v>
      </c>
      <c r="BP221" s="63">
        <v>124277</v>
      </c>
      <c r="BQ221" s="63">
        <v>12526819</v>
      </c>
      <c r="BR221" s="63">
        <v>80952</v>
      </c>
      <c r="BS221" s="63">
        <v>18214</v>
      </c>
      <c r="BT221" s="63">
        <v>2024</v>
      </c>
      <c r="BU221" s="63">
        <v>101190</v>
      </c>
      <c r="BV221" s="63">
        <v>418846</v>
      </c>
      <c r="BW221" s="63">
        <v>94241</v>
      </c>
      <c r="BX221" s="63">
        <v>10471</v>
      </c>
      <c r="BY221" s="63">
        <v>523558</v>
      </c>
      <c r="BZ221" s="63">
        <v>1623</v>
      </c>
      <c r="CA221" s="63">
        <v>365</v>
      </c>
      <c r="CB221" s="63">
        <v>41</v>
      </c>
      <c r="CC221" s="63">
        <v>2029</v>
      </c>
      <c r="CD221" s="63">
        <v>0</v>
      </c>
      <c r="CE221" s="63">
        <v>0</v>
      </c>
      <c r="CF221" s="63">
        <v>0</v>
      </c>
      <c r="CG221" s="63">
        <v>0</v>
      </c>
      <c r="CH221" s="63">
        <v>1218</v>
      </c>
      <c r="CI221" s="63">
        <v>274</v>
      </c>
      <c r="CJ221" s="63">
        <v>30</v>
      </c>
      <c r="CK221" s="63">
        <v>1522</v>
      </c>
      <c r="CL221" s="63">
        <v>1907</v>
      </c>
      <c r="CM221" s="63">
        <v>429</v>
      </c>
      <c r="CN221" s="63">
        <v>48</v>
      </c>
      <c r="CO221" s="63">
        <v>2384</v>
      </c>
      <c r="CP221" s="63">
        <v>504546</v>
      </c>
      <c r="CQ221" s="63">
        <v>113523</v>
      </c>
      <c r="CR221" s="63">
        <v>12614</v>
      </c>
      <c r="CS221" s="63">
        <v>630683</v>
      </c>
      <c r="CU221" s="141" t="s">
        <v>286</v>
      </c>
      <c r="CV221" s="157" t="s">
        <v>961</v>
      </c>
      <c r="CW221" s="156" t="s">
        <v>952</v>
      </c>
      <c r="CX221" s="345"/>
      <c r="CY221" s="345"/>
      <c r="CZ221" s="345"/>
    </row>
    <row r="222" spans="1:104" ht="12.75" x14ac:dyDescent="0.2">
      <c r="A222" s="90">
        <v>215</v>
      </c>
      <c r="B222" s="129" t="s">
        <v>289</v>
      </c>
      <c r="C222" s="130" t="s">
        <v>742</v>
      </c>
      <c r="D222" s="131" t="s">
        <v>743</v>
      </c>
      <c r="E222" s="132" t="s">
        <v>288</v>
      </c>
      <c r="F222" s="63">
        <v>17576794</v>
      </c>
      <c r="G222" s="63">
        <v>0</v>
      </c>
      <c r="H222" s="63">
        <v>0</v>
      </c>
      <c r="I222" s="63">
        <v>146592</v>
      </c>
      <c r="J222" s="63">
        <v>0</v>
      </c>
      <c r="K222" s="63">
        <v>146592</v>
      </c>
      <c r="L222" s="63">
        <v>0</v>
      </c>
      <c r="M222" s="63">
        <v>0</v>
      </c>
      <c r="N222" s="63">
        <v>0</v>
      </c>
      <c r="O222" s="63">
        <v>0</v>
      </c>
      <c r="P222" s="63">
        <v>0</v>
      </c>
      <c r="Q222" s="63">
        <v>17430202</v>
      </c>
      <c r="R222" s="474">
        <v>0.5</v>
      </c>
      <c r="S222" s="474">
        <v>0.4</v>
      </c>
      <c r="T222" s="474">
        <v>0.09</v>
      </c>
      <c r="U222" s="474">
        <v>0.01</v>
      </c>
      <c r="V222" s="474">
        <v>1</v>
      </c>
      <c r="W222" s="63">
        <v>8715101</v>
      </c>
      <c r="X222" s="63">
        <v>6972081</v>
      </c>
      <c r="Y222" s="63">
        <v>1568718</v>
      </c>
      <c r="Z222" s="63">
        <v>174302</v>
      </c>
      <c r="AA222" s="63">
        <v>17430202</v>
      </c>
      <c r="AB222" s="63">
        <v>0</v>
      </c>
      <c r="AC222" s="63">
        <v>0</v>
      </c>
      <c r="AD222" s="63">
        <v>0</v>
      </c>
      <c r="AE222" s="63">
        <v>0</v>
      </c>
      <c r="AF222" s="63">
        <v>0</v>
      </c>
      <c r="AG222" s="63">
        <v>0</v>
      </c>
      <c r="AH222" s="63">
        <v>0</v>
      </c>
      <c r="AI222" s="63">
        <v>0</v>
      </c>
      <c r="AJ222" s="63">
        <v>0</v>
      </c>
      <c r="AK222" s="63">
        <v>0</v>
      </c>
      <c r="AL222" s="63">
        <v>8715101</v>
      </c>
      <c r="AM222" s="63">
        <v>6972081</v>
      </c>
      <c r="AN222" s="63">
        <v>1568718</v>
      </c>
      <c r="AO222" s="63">
        <v>174302</v>
      </c>
      <c r="AP222" s="63">
        <v>17430202</v>
      </c>
      <c r="AQ222" s="63">
        <v>146592</v>
      </c>
      <c r="AR222" s="63">
        <v>146592</v>
      </c>
      <c r="AS222" s="63">
        <v>0</v>
      </c>
      <c r="AT222" s="63">
        <v>0</v>
      </c>
      <c r="AU222" s="63">
        <v>0</v>
      </c>
      <c r="AV222" s="63">
        <v>0</v>
      </c>
      <c r="AW222" s="63">
        <v>0</v>
      </c>
      <c r="AX222" s="63">
        <v>0</v>
      </c>
      <c r="AY222" s="63">
        <v>0</v>
      </c>
      <c r="AZ222" s="63">
        <v>0</v>
      </c>
      <c r="BA222" s="63">
        <v>0</v>
      </c>
      <c r="BB222" s="63">
        <v>0</v>
      </c>
      <c r="BC222" s="63">
        <v>0</v>
      </c>
      <c r="BD222" s="63">
        <v>0</v>
      </c>
      <c r="BE222" s="63">
        <v>0</v>
      </c>
      <c r="BF222" s="63">
        <v>0</v>
      </c>
      <c r="BG222" s="63">
        <v>0</v>
      </c>
      <c r="BH222" s="63">
        <v>-407799</v>
      </c>
      <c r="BI222" s="63">
        <v>-326240</v>
      </c>
      <c r="BJ222" s="63">
        <v>-73404</v>
      </c>
      <c r="BK222" s="63">
        <v>-8156</v>
      </c>
      <c r="BL222" s="63">
        <v>-815599</v>
      </c>
      <c r="BM222" s="63">
        <v>8307302</v>
      </c>
      <c r="BN222" s="63">
        <v>6792433</v>
      </c>
      <c r="BO222" s="63">
        <v>1495314</v>
      </c>
      <c r="BP222" s="63">
        <v>166146</v>
      </c>
      <c r="BQ222" s="63">
        <v>16761195</v>
      </c>
      <c r="BR222" s="63">
        <v>100836</v>
      </c>
      <c r="BS222" s="63">
        <v>22688</v>
      </c>
      <c r="BT222" s="63">
        <v>2521</v>
      </c>
      <c r="BU222" s="63">
        <v>126045</v>
      </c>
      <c r="BV222" s="63">
        <v>602304</v>
      </c>
      <c r="BW222" s="63">
        <v>135518</v>
      </c>
      <c r="BX222" s="63">
        <v>15058</v>
      </c>
      <c r="BY222" s="63">
        <v>752880</v>
      </c>
      <c r="BZ222" s="63">
        <v>0</v>
      </c>
      <c r="CA222" s="63">
        <v>0</v>
      </c>
      <c r="CB222" s="63">
        <v>0</v>
      </c>
      <c r="CC222" s="63">
        <v>0</v>
      </c>
      <c r="CD222" s="63">
        <v>0</v>
      </c>
      <c r="CE222" s="63">
        <v>0</v>
      </c>
      <c r="CF222" s="63">
        <v>0</v>
      </c>
      <c r="CG222" s="63">
        <v>0</v>
      </c>
      <c r="CH222" s="63">
        <v>3327</v>
      </c>
      <c r="CI222" s="63">
        <v>749</v>
      </c>
      <c r="CJ222" s="63">
        <v>83</v>
      </c>
      <c r="CK222" s="63">
        <v>4159</v>
      </c>
      <c r="CL222" s="63">
        <v>5497</v>
      </c>
      <c r="CM222" s="63">
        <v>1237</v>
      </c>
      <c r="CN222" s="63">
        <v>137</v>
      </c>
      <c r="CO222" s="63">
        <v>6871</v>
      </c>
      <c r="CP222" s="63">
        <v>711964</v>
      </c>
      <c r="CQ222" s="63">
        <v>160192</v>
      </c>
      <c r="CR222" s="63">
        <v>17799</v>
      </c>
      <c r="CS222" s="63">
        <v>889955</v>
      </c>
      <c r="CU222" s="141" t="s">
        <v>288</v>
      </c>
      <c r="CV222" s="157" t="s">
        <v>977</v>
      </c>
      <c r="CW222" s="156" t="s">
        <v>959</v>
      </c>
      <c r="CX222" s="345"/>
      <c r="CY222" s="345"/>
      <c r="CZ222" s="345"/>
    </row>
    <row r="223" spans="1:104" ht="12.75" x14ac:dyDescent="0.2">
      <c r="A223" s="90">
        <v>216</v>
      </c>
      <c r="B223" s="129" t="s">
        <v>291</v>
      </c>
      <c r="C223" s="130" t="s">
        <v>749</v>
      </c>
      <c r="D223" s="131" t="s">
        <v>750</v>
      </c>
      <c r="E223" s="132" t="s">
        <v>290</v>
      </c>
      <c r="F223" s="63">
        <v>74364099</v>
      </c>
      <c r="G223" s="63">
        <v>0</v>
      </c>
      <c r="H223" s="63">
        <v>0</v>
      </c>
      <c r="I223" s="63">
        <v>311541</v>
      </c>
      <c r="J223" s="63">
        <v>0</v>
      </c>
      <c r="K223" s="63">
        <v>311541</v>
      </c>
      <c r="L223" s="63">
        <v>0</v>
      </c>
      <c r="M223" s="63">
        <v>0</v>
      </c>
      <c r="N223" s="63">
        <v>157798</v>
      </c>
      <c r="O223" s="63">
        <v>157798</v>
      </c>
      <c r="P223" s="63">
        <v>0</v>
      </c>
      <c r="Q223" s="63">
        <v>73894760</v>
      </c>
      <c r="R223" s="474">
        <v>0.5</v>
      </c>
      <c r="S223" s="474">
        <v>0.49</v>
      </c>
      <c r="T223" s="474">
        <v>0</v>
      </c>
      <c r="U223" s="474">
        <v>0.01</v>
      </c>
      <c r="V223" s="474">
        <v>1</v>
      </c>
      <c r="W223" s="63">
        <v>36947380</v>
      </c>
      <c r="X223" s="63">
        <v>36208432</v>
      </c>
      <c r="Y223" s="63">
        <v>0</v>
      </c>
      <c r="Z223" s="63">
        <v>738948</v>
      </c>
      <c r="AA223" s="63">
        <v>73894760</v>
      </c>
      <c r="AB223" s="63">
        <v>356453</v>
      </c>
      <c r="AC223" s="63">
        <v>0</v>
      </c>
      <c r="AD223" s="63">
        <v>0</v>
      </c>
      <c r="AE223" s="63">
        <v>0</v>
      </c>
      <c r="AF223" s="63">
        <v>356453</v>
      </c>
      <c r="AG223" s="63">
        <v>0</v>
      </c>
      <c r="AH223" s="63">
        <v>0</v>
      </c>
      <c r="AI223" s="63">
        <v>0</v>
      </c>
      <c r="AJ223" s="63">
        <v>0</v>
      </c>
      <c r="AK223" s="63">
        <v>0</v>
      </c>
      <c r="AL223" s="63">
        <v>36590927</v>
      </c>
      <c r="AM223" s="63">
        <v>36208432</v>
      </c>
      <c r="AN223" s="63">
        <v>0</v>
      </c>
      <c r="AO223" s="63">
        <v>738948</v>
      </c>
      <c r="AP223" s="63">
        <v>73538307</v>
      </c>
      <c r="AQ223" s="63">
        <v>311541</v>
      </c>
      <c r="AR223" s="63">
        <v>311541</v>
      </c>
      <c r="AS223" s="63">
        <v>0</v>
      </c>
      <c r="AT223" s="63">
        <v>0</v>
      </c>
      <c r="AU223" s="63">
        <v>157798</v>
      </c>
      <c r="AV223" s="63">
        <v>0</v>
      </c>
      <c r="AW223" s="63">
        <v>157798</v>
      </c>
      <c r="AX223" s="63">
        <v>356453</v>
      </c>
      <c r="AY223" s="63">
        <v>0</v>
      </c>
      <c r="AZ223" s="63">
        <v>0</v>
      </c>
      <c r="BA223" s="63">
        <v>356453</v>
      </c>
      <c r="BB223" s="63">
        <v>0</v>
      </c>
      <c r="BC223" s="63">
        <v>0</v>
      </c>
      <c r="BD223" s="63">
        <v>0</v>
      </c>
      <c r="BE223" s="63">
        <v>0</v>
      </c>
      <c r="BF223" s="63">
        <v>0</v>
      </c>
      <c r="BG223" s="63">
        <v>0</v>
      </c>
      <c r="BH223" s="63">
        <v>-857817</v>
      </c>
      <c r="BI223" s="63">
        <v>-840660</v>
      </c>
      <c r="BJ223" s="63">
        <v>0</v>
      </c>
      <c r="BK223" s="63">
        <v>-17156</v>
      </c>
      <c r="BL223" s="63">
        <v>-1715633</v>
      </c>
      <c r="BM223" s="63">
        <v>35733110</v>
      </c>
      <c r="BN223" s="63">
        <v>36193564</v>
      </c>
      <c r="BO223" s="63">
        <v>0</v>
      </c>
      <c r="BP223" s="63">
        <v>721792</v>
      </c>
      <c r="BQ223" s="63">
        <v>72648466</v>
      </c>
      <c r="BR223" s="63">
        <v>531113</v>
      </c>
      <c r="BS223" s="63">
        <v>0</v>
      </c>
      <c r="BT223" s="63">
        <v>10687</v>
      </c>
      <c r="BU223" s="63">
        <v>541800</v>
      </c>
      <c r="BV223" s="63">
        <v>1312644</v>
      </c>
      <c r="BW223" s="63">
        <v>0</v>
      </c>
      <c r="BX223" s="63">
        <v>26696</v>
      </c>
      <c r="BY223" s="63">
        <v>1339340</v>
      </c>
      <c r="BZ223" s="63">
        <v>7561</v>
      </c>
      <c r="CA223" s="63">
        <v>0</v>
      </c>
      <c r="CB223" s="63">
        <v>154</v>
      </c>
      <c r="CC223" s="63">
        <v>7715</v>
      </c>
      <c r="CD223" s="63">
        <v>9420</v>
      </c>
      <c r="CE223" s="63">
        <v>0</v>
      </c>
      <c r="CF223" s="63">
        <v>192</v>
      </c>
      <c r="CG223" s="63">
        <v>9612</v>
      </c>
      <c r="CH223" s="63">
        <v>83497</v>
      </c>
      <c r="CI223" s="63">
        <v>0</v>
      </c>
      <c r="CJ223" s="63">
        <v>1704</v>
      </c>
      <c r="CK223" s="63">
        <v>85201</v>
      </c>
      <c r="CL223" s="63">
        <v>2919</v>
      </c>
      <c r="CM223" s="63">
        <v>0</v>
      </c>
      <c r="CN223" s="63">
        <v>60</v>
      </c>
      <c r="CO223" s="63">
        <v>2979</v>
      </c>
      <c r="CP223" s="63">
        <v>1947154</v>
      </c>
      <c r="CQ223" s="63">
        <v>0</v>
      </c>
      <c r="CR223" s="63">
        <v>39493</v>
      </c>
      <c r="CS223" s="63">
        <v>1986647</v>
      </c>
      <c r="CU223" s="141" t="s">
        <v>290</v>
      </c>
      <c r="CV223" s="157" t="s">
        <v>941</v>
      </c>
      <c r="CW223" s="156" t="s">
        <v>942</v>
      </c>
      <c r="CX223" s="345"/>
      <c r="CY223" s="345"/>
      <c r="CZ223" s="345"/>
    </row>
    <row r="224" spans="1:104" ht="12.75" x14ac:dyDescent="0.2">
      <c r="A224" s="90">
        <v>217</v>
      </c>
      <c r="B224" s="129" t="s">
        <v>293</v>
      </c>
      <c r="C224" s="130" t="s">
        <v>742</v>
      </c>
      <c r="D224" s="131" t="s">
        <v>752</v>
      </c>
      <c r="E224" s="132" t="s">
        <v>292</v>
      </c>
      <c r="F224" s="63">
        <v>47577016</v>
      </c>
      <c r="G224" s="63">
        <v>0</v>
      </c>
      <c r="H224" s="63">
        <v>0</v>
      </c>
      <c r="I224" s="63">
        <v>137063</v>
      </c>
      <c r="J224" s="63">
        <v>0</v>
      </c>
      <c r="K224" s="63">
        <v>137063</v>
      </c>
      <c r="L224" s="63">
        <v>0</v>
      </c>
      <c r="M224" s="63">
        <v>0</v>
      </c>
      <c r="N224" s="63">
        <v>0</v>
      </c>
      <c r="O224" s="63">
        <v>0</v>
      </c>
      <c r="P224" s="63">
        <v>0</v>
      </c>
      <c r="Q224" s="63">
        <v>47439953</v>
      </c>
      <c r="R224" s="474">
        <v>0.5</v>
      </c>
      <c r="S224" s="474">
        <v>0.4</v>
      </c>
      <c r="T224" s="474">
        <v>0.1</v>
      </c>
      <c r="U224" s="474">
        <v>0</v>
      </c>
      <c r="V224" s="474">
        <v>1</v>
      </c>
      <c r="W224" s="63">
        <v>23719977</v>
      </c>
      <c r="X224" s="63">
        <v>18975981</v>
      </c>
      <c r="Y224" s="63">
        <v>4743995</v>
      </c>
      <c r="Z224" s="63">
        <v>0</v>
      </c>
      <c r="AA224" s="63">
        <v>47439953</v>
      </c>
      <c r="AB224" s="63">
        <v>0</v>
      </c>
      <c r="AC224" s="63">
        <v>0</v>
      </c>
      <c r="AD224" s="63">
        <v>0</v>
      </c>
      <c r="AE224" s="63">
        <v>0</v>
      </c>
      <c r="AF224" s="63">
        <v>0</v>
      </c>
      <c r="AG224" s="63">
        <v>0</v>
      </c>
      <c r="AH224" s="63">
        <v>0</v>
      </c>
      <c r="AI224" s="63">
        <v>0</v>
      </c>
      <c r="AJ224" s="63">
        <v>0</v>
      </c>
      <c r="AK224" s="63">
        <v>0</v>
      </c>
      <c r="AL224" s="63">
        <v>23719977</v>
      </c>
      <c r="AM224" s="63">
        <v>18975981</v>
      </c>
      <c r="AN224" s="63">
        <v>4743995</v>
      </c>
      <c r="AO224" s="63">
        <v>0</v>
      </c>
      <c r="AP224" s="63">
        <v>47439953</v>
      </c>
      <c r="AQ224" s="63">
        <v>137063</v>
      </c>
      <c r="AR224" s="63">
        <v>137063</v>
      </c>
      <c r="AS224" s="63">
        <v>0</v>
      </c>
      <c r="AT224" s="63">
        <v>0</v>
      </c>
      <c r="AU224" s="63">
        <v>0</v>
      </c>
      <c r="AV224" s="63">
        <v>0</v>
      </c>
      <c r="AW224" s="63">
        <v>0</v>
      </c>
      <c r="AX224" s="63">
        <v>0</v>
      </c>
      <c r="AY224" s="63">
        <v>0</v>
      </c>
      <c r="AZ224" s="63">
        <v>0</v>
      </c>
      <c r="BA224" s="63">
        <v>0</v>
      </c>
      <c r="BB224" s="63">
        <v>0</v>
      </c>
      <c r="BC224" s="63">
        <v>0</v>
      </c>
      <c r="BD224" s="63">
        <v>0</v>
      </c>
      <c r="BE224" s="63">
        <v>0</v>
      </c>
      <c r="BF224" s="63">
        <v>0</v>
      </c>
      <c r="BG224" s="63">
        <v>0</v>
      </c>
      <c r="BH224" s="63">
        <v>-1852727</v>
      </c>
      <c r="BI224" s="63">
        <v>-1482182</v>
      </c>
      <c r="BJ224" s="63">
        <v>-370546</v>
      </c>
      <c r="BK224" s="63">
        <v>0</v>
      </c>
      <c r="BL224" s="63">
        <v>-3705455</v>
      </c>
      <c r="BM224" s="63">
        <v>21867250</v>
      </c>
      <c r="BN224" s="63">
        <v>17630862</v>
      </c>
      <c r="BO224" s="63">
        <v>4373449</v>
      </c>
      <c r="BP224" s="63">
        <v>0</v>
      </c>
      <c r="BQ224" s="63">
        <v>43871561</v>
      </c>
      <c r="BR224" s="63">
        <v>274446</v>
      </c>
      <c r="BS224" s="63">
        <v>68611</v>
      </c>
      <c r="BT224" s="63">
        <v>0</v>
      </c>
      <c r="BU224" s="63">
        <v>343057</v>
      </c>
      <c r="BV224" s="63">
        <v>382562</v>
      </c>
      <c r="BW224" s="63">
        <v>95640</v>
      </c>
      <c r="BX224" s="63">
        <v>0</v>
      </c>
      <c r="BY224" s="63">
        <v>478202</v>
      </c>
      <c r="BZ224" s="63">
        <v>0</v>
      </c>
      <c r="CA224" s="63">
        <v>0</v>
      </c>
      <c r="CB224" s="63">
        <v>0</v>
      </c>
      <c r="CC224" s="63">
        <v>0</v>
      </c>
      <c r="CD224" s="63">
        <v>101039</v>
      </c>
      <c r="CE224" s="63">
        <v>25260</v>
      </c>
      <c r="CF224" s="63">
        <v>0</v>
      </c>
      <c r="CG224" s="63">
        <v>126299</v>
      </c>
      <c r="CH224" s="63">
        <v>1645</v>
      </c>
      <c r="CI224" s="63">
        <v>411</v>
      </c>
      <c r="CJ224" s="63">
        <v>0</v>
      </c>
      <c r="CK224" s="63">
        <v>2056</v>
      </c>
      <c r="CL224" s="63">
        <v>0</v>
      </c>
      <c r="CM224" s="63">
        <v>0</v>
      </c>
      <c r="CN224" s="63">
        <v>0</v>
      </c>
      <c r="CO224" s="63">
        <v>0</v>
      </c>
      <c r="CP224" s="63">
        <v>759692</v>
      </c>
      <c r="CQ224" s="63">
        <v>189922</v>
      </c>
      <c r="CR224" s="63">
        <v>0</v>
      </c>
      <c r="CS224" s="63">
        <v>949614</v>
      </c>
      <c r="CU224" s="141" t="s">
        <v>292</v>
      </c>
      <c r="CV224" s="157" t="s">
        <v>983</v>
      </c>
      <c r="CW224" s="156" t="s">
        <v>928</v>
      </c>
      <c r="CX224" s="345"/>
      <c r="CY224" s="345"/>
      <c r="CZ224" s="345"/>
    </row>
    <row r="225" spans="1:104" ht="12.75" x14ac:dyDescent="0.2">
      <c r="A225" s="90">
        <v>218</v>
      </c>
      <c r="B225" s="129" t="s">
        <v>295</v>
      </c>
      <c r="C225" s="130" t="s">
        <v>742</v>
      </c>
      <c r="D225" s="131" t="s">
        <v>743</v>
      </c>
      <c r="E225" s="132" t="s">
        <v>294</v>
      </c>
      <c r="F225" s="63">
        <v>44071494</v>
      </c>
      <c r="G225" s="63">
        <v>0</v>
      </c>
      <c r="H225" s="63">
        <v>0</v>
      </c>
      <c r="I225" s="63">
        <v>126790</v>
      </c>
      <c r="J225" s="63">
        <v>0</v>
      </c>
      <c r="K225" s="63">
        <v>126790</v>
      </c>
      <c r="L225" s="63">
        <v>0</v>
      </c>
      <c r="M225" s="63">
        <v>0</v>
      </c>
      <c r="N225" s="63">
        <v>0</v>
      </c>
      <c r="O225" s="63">
        <v>0</v>
      </c>
      <c r="P225" s="63">
        <v>0</v>
      </c>
      <c r="Q225" s="63">
        <v>43944704</v>
      </c>
      <c r="R225" s="474">
        <v>0.5</v>
      </c>
      <c r="S225" s="474">
        <v>0.4</v>
      </c>
      <c r="T225" s="474">
        <v>0.1</v>
      </c>
      <c r="U225" s="474">
        <v>0</v>
      </c>
      <c r="V225" s="474">
        <v>1</v>
      </c>
      <c r="W225" s="63">
        <v>21972352</v>
      </c>
      <c r="X225" s="63">
        <v>17577882</v>
      </c>
      <c r="Y225" s="63">
        <v>4394470</v>
      </c>
      <c r="Z225" s="63">
        <v>0</v>
      </c>
      <c r="AA225" s="63">
        <v>43944704</v>
      </c>
      <c r="AB225" s="63">
        <v>0</v>
      </c>
      <c r="AC225" s="63">
        <v>0</v>
      </c>
      <c r="AD225" s="63">
        <v>0</v>
      </c>
      <c r="AE225" s="63">
        <v>0</v>
      </c>
      <c r="AF225" s="63">
        <v>0</v>
      </c>
      <c r="AG225" s="63">
        <v>0</v>
      </c>
      <c r="AH225" s="63">
        <v>0</v>
      </c>
      <c r="AI225" s="63">
        <v>0</v>
      </c>
      <c r="AJ225" s="63">
        <v>0</v>
      </c>
      <c r="AK225" s="63">
        <v>0</v>
      </c>
      <c r="AL225" s="63">
        <v>21972352</v>
      </c>
      <c r="AM225" s="63">
        <v>17577882</v>
      </c>
      <c r="AN225" s="63">
        <v>4394470</v>
      </c>
      <c r="AO225" s="63">
        <v>0</v>
      </c>
      <c r="AP225" s="63">
        <v>43944704</v>
      </c>
      <c r="AQ225" s="63">
        <v>126790</v>
      </c>
      <c r="AR225" s="63">
        <v>126790</v>
      </c>
      <c r="AS225" s="63">
        <v>0</v>
      </c>
      <c r="AT225" s="63">
        <v>0</v>
      </c>
      <c r="AU225" s="63">
        <v>0</v>
      </c>
      <c r="AV225" s="63">
        <v>0</v>
      </c>
      <c r="AW225" s="63">
        <v>0</v>
      </c>
      <c r="AX225" s="63">
        <v>0</v>
      </c>
      <c r="AY225" s="63">
        <v>0</v>
      </c>
      <c r="AZ225" s="63">
        <v>0</v>
      </c>
      <c r="BA225" s="63">
        <v>0</v>
      </c>
      <c r="BB225" s="63">
        <v>0</v>
      </c>
      <c r="BC225" s="63">
        <v>0</v>
      </c>
      <c r="BD225" s="63">
        <v>0</v>
      </c>
      <c r="BE225" s="63">
        <v>0</v>
      </c>
      <c r="BF225" s="63">
        <v>0</v>
      </c>
      <c r="BG225" s="63">
        <v>0</v>
      </c>
      <c r="BH225" s="63">
        <v>-1816731</v>
      </c>
      <c r="BI225" s="63">
        <v>-1453384</v>
      </c>
      <c r="BJ225" s="63">
        <v>-363346</v>
      </c>
      <c r="BK225" s="63">
        <v>0</v>
      </c>
      <c r="BL225" s="63">
        <v>-3633461</v>
      </c>
      <c r="BM225" s="63">
        <v>20155621</v>
      </c>
      <c r="BN225" s="63">
        <v>16251288</v>
      </c>
      <c r="BO225" s="63">
        <v>4031124</v>
      </c>
      <c r="BP225" s="63">
        <v>0</v>
      </c>
      <c r="BQ225" s="63">
        <v>40438033</v>
      </c>
      <c r="BR225" s="63">
        <v>254226</v>
      </c>
      <c r="BS225" s="63">
        <v>63556</v>
      </c>
      <c r="BT225" s="63">
        <v>0</v>
      </c>
      <c r="BU225" s="63">
        <v>317782</v>
      </c>
      <c r="BV225" s="63">
        <v>261090</v>
      </c>
      <c r="BW225" s="63">
        <v>65272</v>
      </c>
      <c r="BX225" s="63">
        <v>0</v>
      </c>
      <c r="BY225" s="63">
        <v>326362</v>
      </c>
      <c r="BZ225" s="63">
        <v>0</v>
      </c>
      <c r="CA225" s="63">
        <v>0</v>
      </c>
      <c r="CB225" s="63">
        <v>0</v>
      </c>
      <c r="CC225" s="63">
        <v>0</v>
      </c>
      <c r="CD225" s="63">
        <v>0</v>
      </c>
      <c r="CE225" s="63">
        <v>0</v>
      </c>
      <c r="CF225" s="63">
        <v>0</v>
      </c>
      <c r="CG225" s="63">
        <v>0</v>
      </c>
      <c r="CH225" s="63">
        <v>0</v>
      </c>
      <c r="CI225" s="63">
        <v>0</v>
      </c>
      <c r="CJ225" s="63">
        <v>0</v>
      </c>
      <c r="CK225" s="63">
        <v>0</v>
      </c>
      <c r="CL225" s="63">
        <v>0</v>
      </c>
      <c r="CM225" s="63">
        <v>0</v>
      </c>
      <c r="CN225" s="63">
        <v>0</v>
      </c>
      <c r="CO225" s="63">
        <v>0</v>
      </c>
      <c r="CP225" s="63">
        <v>515316</v>
      </c>
      <c r="CQ225" s="63">
        <v>128828</v>
      </c>
      <c r="CR225" s="63">
        <v>0</v>
      </c>
      <c r="CS225" s="63">
        <v>644144</v>
      </c>
      <c r="CU225" s="141" t="s">
        <v>294</v>
      </c>
      <c r="CV225" s="157" t="s">
        <v>978</v>
      </c>
      <c r="CW225" s="156" t="s">
        <v>928</v>
      </c>
      <c r="CX225" s="345"/>
      <c r="CY225" s="345"/>
      <c r="CZ225" s="345"/>
    </row>
    <row r="226" spans="1:104" ht="12.75" x14ac:dyDescent="0.2">
      <c r="A226" s="90">
        <v>219</v>
      </c>
      <c r="B226" s="129" t="s">
        <v>297</v>
      </c>
      <c r="C226" s="130" t="s">
        <v>742</v>
      </c>
      <c r="D226" s="131" t="s">
        <v>745</v>
      </c>
      <c r="E226" s="132" t="s">
        <v>296</v>
      </c>
      <c r="F226" s="63">
        <v>26967300</v>
      </c>
      <c r="G226" s="63">
        <v>0</v>
      </c>
      <c r="H226" s="63">
        <v>0</v>
      </c>
      <c r="I226" s="63">
        <v>111538</v>
      </c>
      <c r="J226" s="63">
        <v>0</v>
      </c>
      <c r="K226" s="63">
        <v>111538</v>
      </c>
      <c r="L226" s="63">
        <v>0</v>
      </c>
      <c r="M226" s="63">
        <v>0</v>
      </c>
      <c r="N226" s="63">
        <v>75000</v>
      </c>
      <c r="O226" s="63">
        <v>75000</v>
      </c>
      <c r="P226" s="63">
        <v>0</v>
      </c>
      <c r="Q226" s="63">
        <v>26780762</v>
      </c>
      <c r="R226" s="474">
        <v>0.5</v>
      </c>
      <c r="S226" s="474">
        <v>0.4</v>
      </c>
      <c r="T226" s="474">
        <v>0.09</v>
      </c>
      <c r="U226" s="474">
        <v>0.01</v>
      </c>
      <c r="V226" s="474">
        <v>1</v>
      </c>
      <c r="W226" s="63">
        <v>13390380</v>
      </c>
      <c r="X226" s="63">
        <v>10712305</v>
      </c>
      <c r="Y226" s="63">
        <v>2410269</v>
      </c>
      <c r="Z226" s="63">
        <v>267808</v>
      </c>
      <c r="AA226" s="63">
        <v>26780762</v>
      </c>
      <c r="AB226" s="63">
        <v>0</v>
      </c>
      <c r="AC226" s="63">
        <v>0</v>
      </c>
      <c r="AD226" s="63">
        <v>0</v>
      </c>
      <c r="AE226" s="63">
        <v>0</v>
      </c>
      <c r="AF226" s="63">
        <v>0</v>
      </c>
      <c r="AG226" s="63">
        <v>0</v>
      </c>
      <c r="AH226" s="63">
        <v>0</v>
      </c>
      <c r="AI226" s="63">
        <v>0</v>
      </c>
      <c r="AJ226" s="63">
        <v>0</v>
      </c>
      <c r="AK226" s="63">
        <v>0</v>
      </c>
      <c r="AL226" s="63">
        <v>13390380</v>
      </c>
      <c r="AM226" s="63">
        <v>10712305</v>
      </c>
      <c r="AN226" s="63">
        <v>2410269</v>
      </c>
      <c r="AO226" s="63">
        <v>267808</v>
      </c>
      <c r="AP226" s="63">
        <v>26780762</v>
      </c>
      <c r="AQ226" s="63">
        <v>111538</v>
      </c>
      <c r="AR226" s="63">
        <v>111538</v>
      </c>
      <c r="AS226" s="63">
        <v>0</v>
      </c>
      <c r="AT226" s="63">
        <v>0</v>
      </c>
      <c r="AU226" s="63">
        <v>75000</v>
      </c>
      <c r="AV226" s="63">
        <v>0</v>
      </c>
      <c r="AW226" s="63">
        <v>75000</v>
      </c>
      <c r="AX226" s="63">
        <v>0</v>
      </c>
      <c r="AY226" s="63">
        <v>0</v>
      </c>
      <c r="AZ226" s="63">
        <v>0</v>
      </c>
      <c r="BA226" s="63">
        <v>0</v>
      </c>
      <c r="BB226" s="63">
        <v>0</v>
      </c>
      <c r="BC226" s="63">
        <v>0</v>
      </c>
      <c r="BD226" s="63">
        <v>0</v>
      </c>
      <c r="BE226" s="63">
        <v>0</v>
      </c>
      <c r="BF226" s="63">
        <v>0</v>
      </c>
      <c r="BG226" s="63">
        <v>0</v>
      </c>
      <c r="BH226" s="63">
        <v>-327509</v>
      </c>
      <c r="BI226" s="63">
        <v>-262007</v>
      </c>
      <c r="BJ226" s="63">
        <v>-58952</v>
      </c>
      <c r="BK226" s="63">
        <v>-6550</v>
      </c>
      <c r="BL226" s="63">
        <v>-655018</v>
      </c>
      <c r="BM226" s="63">
        <v>13062871</v>
      </c>
      <c r="BN226" s="63">
        <v>10636836</v>
      </c>
      <c r="BO226" s="63">
        <v>2351317</v>
      </c>
      <c r="BP226" s="63">
        <v>261258</v>
      </c>
      <c r="BQ226" s="63">
        <v>26312282</v>
      </c>
      <c r="BR226" s="63">
        <v>156015</v>
      </c>
      <c r="BS226" s="63">
        <v>34859</v>
      </c>
      <c r="BT226" s="63">
        <v>3873</v>
      </c>
      <c r="BU226" s="63">
        <v>194747</v>
      </c>
      <c r="BV226" s="63">
        <v>399294</v>
      </c>
      <c r="BW226" s="63">
        <v>89841</v>
      </c>
      <c r="BX226" s="63">
        <v>9982</v>
      </c>
      <c r="BY226" s="63">
        <v>499117</v>
      </c>
      <c r="BZ226" s="63">
        <v>5058</v>
      </c>
      <c r="CA226" s="63">
        <v>1138</v>
      </c>
      <c r="CB226" s="63">
        <v>126</v>
      </c>
      <c r="CC226" s="63">
        <v>6322</v>
      </c>
      <c r="CD226" s="63">
        <v>4058</v>
      </c>
      <c r="CE226" s="63">
        <v>913</v>
      </c>
      <c r="CF226" s="63">
        <v>101</v>
      </c>
      <c r="CG226" s="63">
        <v>5072</v>
      </c>
      <c r="CH226" s="63">
        <v>4058</v>
      </c>
      <c r="CI226" s="63">
        <v>913</v>
      </c>
      <c r="CJ226" s="63">
        <v>101</v>
      </c>
      <c r="CK226" s="63">
        <v>5072</v>
      </c>
      <c r="CL226" s="63">
        <v>1092</v>
      </c>
      <c r="CM226" s="63">
        <v>246</v>
      </c>
      <c r="CN226" s="63">
        <v>27</v>
      </c>
      <c r="CO226" s="63">
        <v>1365</v>
      </c>
      <c r="CP226" s="63">
        <v>569575</v>
      </c>
      <c r="CQ226" s="63">
        <v>127910</v>
      </c>
      <c r="CR226" s="63">
        <v>14210</v>
      </c>
      <c r="CS226" s="63">
        <v>711695</v>
      </c>
      <c r="CU226" s="141" t="s">
        <v>296</v>
      </c>
      <c r="CV226" s="157" t="s">
        <v>932</v>
      </c>
      <c r="CW226" s="156" t="s">
        <v>933</v>
      </c>
      <c r="CX226" s="345"/>
      <c r="CY226" s="345"/>
      <c r="CZ226" s="345"/>
    </row>
    <row r="227" spans="1:104" ht="12.75" x14ac:dyDescent="0.2">
      <c r="A227" s="90">
        <v>220</v>
      </c>
      <c r="B227" s="129" t="s">
        <v>299</v>
      </c>
      <c r="C227" s="130" t="s">
        <v>742</v>
      </c>
      <c r="D227" s="131" t="s">
        <v>743</v>
      </c>
      <c r="E227" s="132" t="s">
        <v>298</v>
      </c>
      <c r="F227" s="63">
        <v>47666760</v>
      </c>
      <c r="G227" s="63">
        <v>0</v>
      </c>
      <c r="H227" s="63">
        <v>0</v>
      </c>
      <c r="I227" s="63">
        <v>121838</v>
      </c>
      <c r="J227" s="63">
        <v>0</v>
      </c>
      <c r="K227" s="63">
        <v>121838</v>
      </c>
      <c r="L227" s="63">
        <v>0</v>
      </c>
      <c r="M227" s="63">
        <v>0</v>
      </c>
      <c r="N227" s="63">
        <v>0</v>
      </c>
      <c r="O227" s="63">
        <v>0</v>
      </c>
      <c r="P227" s="63">
        <v>0</v>
      </c>
      <c r="Q227" s="63">
        <v>47544922</v>
      </c>
      <c r="R227" s="474">
        <v>0.5</v>
      </c>
      <c r="S227" s="474">
        <v>0.4</v>
      </c>
      <c r="T227" s="474">
        <v>0.09</v>
      </c>
      <c r="U227" s="474">
        <v>0.01</v>
      </c>
      <c r="V227" s="474">
        <v>1</v>
      </c>
      <c r="W227" s="63">
        <v>23772461</v>
      </c>
      <c r="X227" s="63">
        <v>19017969</v>
      </c>
      <c r="Y227" s="63">
        <v>4279043</v>
      </c>
      <c r="Z227" s="63">
        <v>475449</v>
      </c>
      <c r="AA227" s="63">
        <v>47544922</v>
      </c>
      <c r="AB227" s="63">
        <v>0</v>
      </c>
      <c r="AC227" s="63">
        <v>0</v>
      </c>
      <c r="AD227" s="63">
        <v>0</v>
      </c>
      <c r="AE227" s="63">
        <v>0</v>
      </c>
      <c r="AF227" s="63">
        <v>0</v>
      </c>
      <c r="AG227" s="63">
        <v>0</v>
      </c>
      <c r="AH227" s="63">
        <v>0</v>
      </c>
      <c r="AI227" s="63">
        <v>0</v>
      </c>
      <c r="AJ227" s="63">
        <v>0</v>
      </c>
      <c r="AK227" s="63">
        <v>0</v>
      </c>
      <c r="AL227" s="63">
        <v>23772461</v>
      </c>
      <c r="AM227" s="63">
        <v>19017969</v>
      </c>
      <c r="AN227" s="63">
        <v>4279043</v>
      </c>
      <c r="AO227" s="63">
        <v>475449</v>
      </c>
      <c r="AP227" s="63">
        <v>47544922</v>
      </c>
      <c r="AQ227" s="63">
        <v>121838</v>
      </c>
      <c r="AR227" s="63">
        <v>121838</v>
      </c>
      <c r="AS227" s="63">
        <v>0</v>
      </c>
      <c r="AT227" s="63">
        <v>0</v>
      </c>
      <c r="AU227" s="63">
        <v>0</v>
      </c>
      <c r="AV227" s="63">
        <v>0</v>
      </c>
      <c r="AW227" s="63">
        <v>0</v>
      </c>
      <c r="AX227" s="63">
        <v>0</v>
      </c>
      <c r="AY227" s="63">
        <v>0</v>
      </c>
      <c r="AZ227" s="63">
        <v>0</v>
      </c>
      <c r="BA227" s="63">
        <v>0</v>
      </c>
      <c r="BB227" s="63">
        <v>0</v>
      </c>
      <c r="BC227" s="63">
        <v>0</v>
      </c>
      <c r="BD227" s="63">
        <v>0</v>
      </c>
      <c r="BE227" s="63">
        <v>0</v>
      </c>
      <c r="BF227" s="63">
        <v>0</v>
      </c>
      <c r="BG227" s="63">
        <v>0</v>
      </c>
      <c r="BH227" s="63">
        <v>-451081</v>
      </c>
      <c r="BI227" s="63">
        <v>-360864</v>
      </c>
      <c r="BJ227" s="63">
        <v>-81194</v>
      </c>
      <c r="BK227" s="63">
        <v>-9022</v>
      </c>
      <c r="BL227" s="63">
        <v>-902161</v>
      </c>
      <c r="BM227" s="63">
        <v>23321380</v>
      </c>
      <c r="BN227" s="63">
        <v>18778943</v>
      </c>
      <c r="BO227" s="63">
        <v>4197849</v>
      </c>
      <c r="BP227" s="63">
        <v>466427</v>
      </c>
      <c r="BQ227" s="63">
        <v>46764599</v>
      </c>
      <c r="BR227" s="63">
        <v>275053</v>
      </c>
      <c r="BS227" s="63">
        <v>61887</v>
      </c>
      <c r="BT227" s="63">
        <v>6876</v>
      </c>
      <c r="BU227" s="63">
        <v>343816</v>
      </c>
      <c r="BV227" s="63">
        <v>253995</v>
      </c>
      <c r="BW227" s="63">
        <v>57149</v>
      </c>
      <c r="BX227" s="63">
        <v>6350</v>
      </c>
      <c r="BY227" s="63">
        <v>317494</v>
      </c>
      <c r="BZ227" s="63">
        <v>1689</v>
      </c>
      <c r="CA227" s="63">
        <v>380</v>
      </c>
      <c r="CB227" s="63">
        <v>42</v>
      </c>
      <c r="CC227" s="63">
        <v>2111</v>
      </c>
      <c r="CD227" s="63">
        <v>0</v>
      </c>
      <c r="CE227" s="63">
        <v>0</v>
      </c>
      <c r="CF227" s="63">
        <v>0</v>
      </c>
      <c r="CG227" s="63">
        <v>0</v>
      </c>
      <c r="CH227" s="63">
        <v>22891</v>
      </c>
      <c r="CI227" s="63">
        <v>5150</v>
      </c>
      <c r="CJ227" s="63">
        <v>572</v>
      </c>
      <c r="CK227" s="63">
        <v>28613</v>
      </c>
      <c r="CL227" s="63">
        <v>980</v>
      </c>
      <c r="CM227" s="63">
        <v>221</v>
      </c>
      <c r="CN227" s="63">
        <v>25</v>
      </c>
      <c r="CO227" s="63">
        <v>1226</v>
      </c>
      <c r="CP227" s="63">
        <v>554608</v>
      </c>
      <c r="CQ227" s="63">
        <v>124787</v>
      </c>
      <c r="CR227" s="63">
        <v>13865</v>
      </c>
      <c r="CS227" s="63">
        <v>693260</v>
      </c>
      <c r="CU227" s="141" t="s">
        <v>298</v>
      </c>
      <c r="CV227" s="157" t="s">
        <v>945</v>
      </c>
      <c r="CW227" s="156" t="s">
        <v>946</v>
      </c>
      <c r="CX227" s="345"/>
      <c r="CY227" s="345"/>
      <c r="CZ227" s="345"/>
    </row>
    <row r="228" spans="1:104" ht="12.75" x14ac:dyDescent="0.2">
      <c r="A228" s="90">
        <v>221</v>
      </c>
      <c r="B228" s="129" t="s">
        <v>300</v>
      </c>
      <c r="C228" s="130" t="s">
        <v>501</v>
      </c>
      <c r="D228" s="131" t="s">
        <v>745</v>
      </c>
      <c r="E228" s="132" t="s">
        <v>541</v>
      </c>
      <c r="F228" s="63">
        <v>10675006</v>
      </c>
      <c r="G228" s="63">
        <v>0</v>
      </c>
      <c r="H228" s="63">
        <v>0</v>
      </c>
      <c r="I228" s="63">
        <v>57455</v>
      </c>
      <c r="J228" s="63">
        <v>0</v>
      </c>
      <c r="K228" s="63">
        <v>57455</v>
      </c>
      <c r="L228" s="63">
        <v>0</v>
      </c>
      <c r="M228" s="63">
        <v>0</v>
      </c>
      <c r="N228" s="63">
        <v>35908</v>
      </c>
      <c r="O228" s="63">
        <v>35908</v>
      </c>
      <c r="P228" s="63">
        <v>0</v>
      </c>
      <c r="Q228" s="63">
        <v>10581643</v>
      </c>
      <c r="R228" s="474">
        <v>0.5</v>
      </c>
      <c r="S228" s="474">
        <v>0.49</v>
      </c>
      <c r="T228" s="474">
        <v>0</v>
      </c>
      <c r="U228" s="474">
        <v>0.01</v>
      </c>
      <c r="V228" s="474">
        <v>1</v>
      </c>
      <c r="W228" s="63">
        <v>5290822</v>
      </c>
      <c r="X228" s="63">
        <v>5185005</v>
      </c>
      <c r="Y228" s="63">
        <v>0</v>
      </c>
      <c r="Z228" s="63">
        <v>105816</v>
      </c>
      <c r="AA228" s="63">
        <v>10581643</v>
      </c>
      <c r="AB228" s="63">
        <v>0</v>
      </c>
      <c r="AC228" s="63">
        <v>0</v>
      </c>
      <c r="AD228" s="63">
        <v>0</v>
      </c>
      <c r="AE228" s="63">
        <v>0</v>
      </c>
      <c r="AF228" s="63">
        <v>0</v>
      </c>
      <c r="AG228" s="63">
        <v>0</v>
      </c>
      <c r="AH228" s="63">
        <v>0</v>
      </c>
      <c r="AI228" s="63">
        <v>0</v>
      </c>
      <c r="AJ228" s="63">
        <v>0</v>
      </c>
      <c r="AK228" s="63">
        <v>0</v>
      </c>
      <c r="AL228" s="63">
        <v>5290822</v>
      </c>
      <c r="AM228" s="63">
        <v>5185005</v>
      </c>
      <c r="AN228" s="63">
        <v>0</v>
      </c>
      <c r="AO228" s="63">
        <v>105816</v>
      </c>
      <c r="AP228" s="63">
        <v>10581643</v>
      </c>
      <c r="AQ228" s="63">
        <v>57455</v>
      </c>
      <c r="AR228" s="63">
        <v>57455</v>
      </c>
      <c r="AS228" s="63">
        <v>0</v>
      </c>
      <c r="AT228" s="63">
        <v>0</v>
      </c>
      <c r="AU228" s="63">
        <v>35908</v>
      </c>
      <c r="AV228" s="63">
        <v>0</v>
      </c>
      <c r="AW228" s="63">
        <v>35908</v>
      </c>
      <c r="AX228" s="63">
        <v>0</v>
      </c>
      <c r="AY228" s="63">
        <v>0</v>
      </c>
      <c r="AZ228" s="63">
        <v>0</v>
      </c>
      <c r="BA228" s="63">
        <v>0</v>
      </c>
      <c r="BB228" s="63">
        <v>0</v>
      </c>
      <c r="BC228" s="63">
        <v>0</v>
      </c>
      <c r="BD228" s="63">
        <v>0</v>
      </c>
      <c r="BE228" s="63">
        <v>0</v>
      </c>
      <c r="BF228" s="63">
        <v>0</v>
      </c>
      <c r="BG228" s="63">
        <v>0</v>
      </c>
      <c r="BH228" s="63">
        <v>82278</v>
      </c>
      <c r="BI228" s="63">
        <v>80633</v>
      </c>
      <c r="BJ228" s="63">
        <v>0</v>
      </c>
      <c r="BK228" s="63">
        <v>1646</v>
      </c>
      <c r="BL228" s="63">
        <v>164557</v>
      </c>
      <c r="BM228" s="63">
        <v>5373100</v>
      </c>
      <c r="BN228" s="63">
        <v>5359001</v>
      </c>
      <c r="BO228" s="63">
        <v>0</v>
      </c>
      <c r="BP228" s="63">
        <v>107462</v>
      </c>
      <c r="BQ228" s="63">
        <v>10839563</v>
      </c>
      <c r="BR228" s="63">
        <v>75509</v>
      </c>
      <c r="BS228" s="63">
        <v>0</v>
      </c>
      <c r="BT228" s="63">
        <v>1530</v>
      </c>
      <c r="BU228" s="63">
        <v>77039</v>
      </c>
      <c r="BV228" s="63">
        <v>257667</v>
      </c>
      <c r="BW228" s="63">
        <v>0</v>
      </c>
      <c r="BX228" s="63">
        <v>5259</v>
      </c>
      <c r="BY228" s="63">
        <v>262926</v>
      </c>
      <c r="BZ228" s="63">
        <v>0</v>
      </c>
      <c r="CA228" s="63">
        <v>0</v>
      </c>
      <c r="CB228" s="63">
        <v>0</v>
      </c>
      <c r="CC228" s="63">
        <v>0</v>
      </c>
      <c r="CD228" s="63">
        <v>0</v>
      </c>
      <c r="CE228" s="63">
        <v>0</v>
      </c>
      <c r="CF228" s="63">
        <v>0</v>
      </c>
      <c r="CG228" s="63">
        <v>0</v>
      </c>
      <c r="CH228" s="63">
        <v>3679</v>
      </c>
      <c r="CI228" s="63">
        <v>0</v>
      </c>
      <c r="CJ228" s="63">
        <v>75</v>
      </c>
      <c r="CK228" s="63">
        <v>3754</v>
      </c>
      <c r="CL228" s="63">
        <v>0</v>
      </c>
      <c r="CM228" s="63">
        <v>0</v>
      </c>
      <c r="CN228" s="63">
        <v>0</v>
      </c>
      <c r="CO228" s="63">
        <v>0</v>
      </c>
      <c r="CP228" s="63">
        <v>336855</v>
      </c>
      <c r="CQ228" s="63">
        <v>0</v>
      </c>
      <c r="CR228" s="63">
        <v>6864</v>
      </c>
      <c r="CS228" s="63">
        <v>343719</v>
      </c>
      <c r="CU228" s="141" t="s">
        <v>541</v>
      </c>
      <c r="CV228" s="157" t="s">
        <v>501</v>
      </c>
      <c r="CW228" s="156" t="s">
        <v>951</v>
      </c>
      <c r="CX228" s="345"/>
      <c r="CY228" s="345"/>
      <c r="CZ228" s="345"/>
    </row>
    <row r="229" spans="1:104" ht="12.75" x14ac:dyDescent="0.2">
      <c r="A229" s="90">
        <v>222</v>
      </c>
      <c r="B229" s="129" t="s">
        <v>302</v>
      </c>
      <c r="C229" s="130" t="s">
        <v>742</v>
      </c>
      <c r="D229" s="131" t="s">
        <v>750</v>
      </c>
      <c r="E229" s="132" t="s">
        <v>301</v>
      </c>
      <c r="F229" s="63">
        <v>17050327</v>
      </c>
      <c r="G229" s="63">
        <v>0</v>
      </c>
      <c r="H229" s="63">
        <v>0</v>
      </c>
      <c r="I229" s="63">
        <v>110406</v>
      </c>
      <c r="J229" s="63">
        <v>0</v>
      </c>
      <c r="K229" s="63">
        <v>110406</v>
      </c>
      <c r="L229" s="63">
        <v>0</v>
      </c>
      <c r="M229" s="63">
        <v>0</v>
      </c>
      <c r="N229" s="63">
        <v>19720</v>
      </c>
      <c r="O229" s="63">
        <v>19720</v>
      </c>
      <c r="P229" s="63">
        <v>0</v>
      </c>
      <c r="Q229" s="63">
        <v>16920201</v>
      </c>
      <c r="R229" s="474">
        <v>0.5</v>
      </c>
      <c r="S229" s="474">
        <v>0.4</v>
      </c>
      <c r="T229" s="474">
        <v>0.09</v>
      </c>
      <c r="U229" s="474">
        <v>0.01</v>
      </c>
      <c r="V229" s="474">
        <v>1</v>
      </c>
      <c r="W229" s="63">
        <v>8460101</v>
      </c>
      <c r="X229" s="63">
        <v>6768080</v>
      </c>
      <c r="Y229" s="63">
        <v>1522818</v>
      </c>
      <c r="Z229" s="63">
        <v>169202</v>
      </c>
      <c r="AA229" s="63">
        <v>16920201</v>
      </c>
      <c r="AB229" s="63">
        <v>0</v>
      </c>
      <c r="AC229" s="63">
        <v>0</v>
      </c>
      <c r="AD229" s="63">
        <v>0</v>
      </c>
      <c r="AE229" s="63">
        <v>0</v>
      </c>
      <c r="AF229" s="63">
        <v>0</v>
      </c>
      <c r="AG229" s="63">
        <v>0</v>
      </c>
      <c r="AH229" s="63">
        <v>0</v>
      </c>
      <c r="AI229" s="63">
        <v>0</v>
      </c>
      <c r="AJ229" s="63">
        <v>0</v>
      </c>
      <c r="AK229" s="63">
        <v>0</v>
      </c>
      <c r="AL229" s="63">
        <v>8460101</v>
      </c>
      <c r="AM229" s="63">
        <v>6768080</v>
      </c>
      <c r="AN229" s="63">
        <v>1522818</v>
      </c>
      <c r="AO229" s="63">
        <v>169202</v>
      </c>
      <c r="AP229" s="63">
        <v>16920201</v>
      </c>
      <c r="AQ229" s="63">
        <v>110406</v>
      </c>
      <c r="AR229" s="63">
        <v>110406</v>
      </c>
      <c r="AS229" s="63">
        <v>0</v>
      </c>
      <c r="AT229" s="63">
        <v>0</v>
      </c>
      <c r="AU229" s="63">
        <v>19720</v>
      </c>
      <c r="AV229" s="63">
        <v>0</v>
      </c>
      <c r="AW229" s="63">
        <v>19720</v>
      </c>
      <c r="AX229" s="63">
        <v>0</v>
      </c>
      <c r="AY229" s="63">
        <v>0</v>
      </c>
      <c r="AZ229" s="63">
        <v>0</v>
      </c>
      <c r="BA229" s="63">
        <v>0</v>
      </c>
      <c r="BB229" s="63">
        <v>0</v>
      </c>
      <c r="BC229" s="63">
        <v>0</v>
      </c>
      <c r="BD229" s="63">
        <v>0</v>
      </c>
      <c r="BE229" s="63">
        <v>0</v>
      </c>
      <c r="BF229" s="63">
        <v>0</v>
      </c>
      <c r="BG229" s="63">
        <v>0</v>
      </c>
      <c r="BH229" s="63">
        <v>2032</v>
      </c>
      <c r="BI229" s="63">
        <v>1626</v>
      </c>
      <c r="BJ229" s="63">
        <v>366</v>
      </c>
      <c r="BK229" s="63">
        <v>41</v>
      </c>
      <c r="BL229" s="63">
        <v>4065</v>
      </c>
      <c r="BM229" s="63">
        <v>8462133</v>
      </c>
      <c r="BN229" s="63">
        <v>6899832</v>
      </c>
      <c r="BO229" s="63">
        <v>1523184</v>
      </c>
      <c r="BP229" s="63">
        <v>169243</v>
      </c>
      <c r="BQ229" s="63">
        <v>17054392</v>
      </c>
      <c r="BR229" s="63">
        <v>98171</v>
      </c>
      <c r="BS229" s="63">
        <v>22024</v>
      </c>
      <c r="BT229" s="63">
        <v>2447</v>
      </c>
      <c r="BU229" s="63">
        <v>122642</v>
      </c>
      <c r="BV229" s="63">
        <v>447986</v>
      </c>
      <c r="BW229" s="63">
        <v>100797</v>
      </c>
      <c r="BX229" s="63">
        <v>11200</v>
      </c>
      <c r="BY229" s="63">
        <v>559983</v>
      </c>
      <c r="BZ229" s="63">
        <v>4869</v>
      </c>
      <c r="CA229" s="63">
        <v>1096</v>
      </c>
      <c r="CB229" s="63">
        <v>122</v>
      </c>
      <c r="CC229" s="63">
        <v>6087</v>
      </c>
      <c r="CD229" s="63">
        <v>0</v>
      </c>
      <c r="CE229" s="63">
        <v>0</v>
      </c>
      <c r="CF229" s="63">
        <v>0</v>
      </c>
      <c r="CG229" s="63">
        <v>0</v>
      </c>
      <c r="CH229" s="63">
        <v>4869</v>
      </c>
      <c r="CI229" s="63">
        <v>1096</v>
      </c>
      <c r="CJ229" s="63">
        <v>122</v>
      </c>
      <c r="CK229" s="63">
        <v>6087</v>
      </c>
      <c r="CL229" s="63">
        <v>0</v>
      </c>
      <c r="CM229" s="63">
        <v>0</v>
      </c>
      <c r="CN229" s="63">
        <v>0</v>
      </c>
      <c r="CO229" s="63">
        <v>0</v>
      </c>
      <c r="CP229" s="63">
        <v>555895</v>
      </c>
      <c r="CQ229" s="63">
        <v>125013</v>
      </c>
      <c r="CR229" s="63">
        <v>13891</v>
      </c>
      <c r="CS229" s="63">
        <v>694799</v>
      </c>
      <c r="CU229" s="141" t="s">
        <v>301</v>
      </c>
      <c r="CV229" s="157" t="s">
        <v>972</v>
      </c>
      <c r="CW229" s="156" t="s">
        <v>764</v>
      </c>
      <c r="CX229" s="345"/>
      <c r="CY229" s="345"/>
      <c r="CZ229" s="345"/>
    </row>
    <row r="230" spans="1:104" ht="12.75" x14ac:dyDescent="0.2">
      <c r="A230" s="90">
        <v>223</v>
      </c>
      <c r="B230" s="129" t="s">
        <v>304</v>
      </c>
      <c r="C230" s="130" t="s">
        <v>749</v>
      </c>
      <c r="D230" s="131" t="s">
        <v>744</v>
      </c>
      <c r="E230" s="132" t="s">
        <v>303</v>
      </c>
      <c r="F230" s="63">
        <v>95852233</v>
      </c>
      <c r="G230" s="63">
        <v>0</v>
      </c>
      <c r="H230" s="63">
        <v>0</v>
      </c>
      <c r="I230" s="63">
        <v>447971</v>
      </c>
      <c r="J230" s="63">
        <v>0</v>
      </c>
      <c r="K230" s="63">
        <v>447971</v>
      </c>
      <c r="L230" s="63">
        <v>0</v>
      </c>
      <c r="M230" s="63">
        <v>0</v>
      </c>
      <c r="N230" s="63">
        <v>0</v>
      </c>
      <c r="O230" s="63">
        <v>0</v>
      </c>
      <c r="P230" s="63">
        <v>0</v>
      </c>
      <c r="Q230" s="63">
        <v>95404262</v>
      </c>
      <c r="R230" s="474">
        <v>0.5</v>
      </c>
      <c r="S230" s="474">
        <v>0.49</v>
      </c>
      <c r="T230" s="474">
        <v>0</v>
      </c>
      <c r="U230" s="474">
        <v>0.01</v>
      </c>
      <c r="V230" s="474">
        <v>1</v>
      </c>
      <c r="W230" s="63">
        <v>47702131</v>
      </c>
      <c r="X230" s="63">
        <v>46748088</v>
      </c>
      <c r="Y230" s="63">
        <v>0</v>
      </c>
      <c r="Z230" s="63">
        <v>954043</v>
      </c>
      <c r="AA230" s="63">
        <v>95404262</v>
      </c>
      <c r="AB230" s="63">
        <v>0</v>
      </c>
      <c r="AC230" s="63">
        <v>0</v>
      </c>
      <c r="AD230" s="63">
        <v>0</v>
      </c>
      <c r="AE230" s="63">
        <v>0</v>
      </c>
      <c r="AF230" s="63">
        <v>0</v>
      </c>
      <c r="AG230" s="63">
        <v>0</v>
      </c>
      <c r="AH230" s="63">
        <v>0</v>
      </c>
      <c r="AI230" s="63">
        <v>0</v>
      </c>
      <c r="AJ230" s="63">
        <v>0</v>
      </c>
      <c r="AK230" s="63">
        <v>0</v>
      </c>
      <c r="AL230" s="63">
        <v>47702131</v>
      </c>
      <c r="AM230" s="63">
        <v>46748088</v>
      </c>
      <c r="AN230" s="63">
        <v>0</v>
      </c>
      <c r="AO230" s="63">
        <v>954043</v>
      </c>
      <c r="AP230" s="63">
        <v>95404262</v>
      </c>
      <c r="AQ230" s="63">
        <v>447971</v>
      </c>
      <c r="AR230" s="63">
        <v>447971</v>
      </c>
      <c r="AS230" s="63">
        <v>0</v>
      </c>
      <c r="AT230" s="63">
        <v>0</v>
      </c>
      <c r="AU230" s="63">
        <v>0</v>
      </c>
      <c r="AV230" s="63">
        <v>0</v>
      </c>
      <c r="AW230" s="63">
        <v>0</v>
      </c>
      <c r="AX230" s="63">
        <v>0</v>
      </c>
      <c r="AY230" s="63">
        <v>0</v>
      </c>
      <c r="AZ230" s="63">
        <v>0</v>
      </c>
      <c r="BA230" s="63">
        <v>0</v>
      </c>
      <c r="BB230" s="63">
        <v>0</v>
      </c>
      <c r="BC230" s="63">
        <v>0</v>
      </c>
      <c r="BD230" s="63">
        <v>0</v>
      </c>
      <c r="BE230" s="63">
        <v>0</v>
      </c>
      <c r="BF230" s="63">
        <v>0</v>
      </c>
      <c r="BG230" s="63">
        <v>0</v>
      </c>
      <c r="BH230" s="63">
        <v>-3571428</v>
      </c>
      <c r="BI230" s="63">
        <v>-3500000</v>
      </c>
      <c r="BJ230" s="63">
        <v>0</v>
      </c>
      <c r="BK230" s="63">
        <v>-71429</v>
      </c>
      <c r="BL230" s="63">
        <v>-7142857</v>
      </c>
      <c r="BM230" s="63">
        <v>44130703</v>
      </c>
      <c r="BN230" s="63">
        <v>43696059</v>
      </c>
      <c r="BO230" s="63">
        <v>0</v>
      </c>
      <c r="BP230" s="63">
        <v>882614</v>
      </c>
      <c r="BQ230" s="63">
        <v>88709376</v>
      </c>
      <c r="BR230" s="63">
        <v>676109</v>
      </c>
      <c r="BS230" s="63">
        <v>0</v>
      </c>
      <c r="BT230" s="63">
        <v>13798</v>
      </c>
      <c r="BU230" s="63">
        <v>689907</v>
      </c>
      <c r="BV230" s="63">
        <v>1159096</v>
      </c>
      <c r="BW230" s="63">
        <v>0</v>
      </c>
      <c r="BX230" s="63">
        <v>23655</v>
      </c>
      <c r="BY230" s="63">
        <v>1182751</v>
      </c>
      <c r="BZ230" s="63">
        <v>0</v>
      </c>
      <c r="CA230" s="63">
        <v>0</v>
      </c>
      <c r="CB230" s="63">
        <v>0</v>
      </c>
      <c r="CC230" s="63">
        <v>0</v>
      </c>
      <c r="CD230" s="63">
        <v>0</v>
      </c>
      <c r="CE230" s="63">
        <v>0</v>
      </c>
      <c r="CF230" s="63">
        <v>0</v>
      </c>
      <c r="CG230" s="63">
        <v>0</v>
      </c>
      <c r="CH230" s="63">
        <v>0</v>
      </c>
      <c r="CI230" s="63">
        <v>0</v>
      </c>
      <c r="CJ230" s="63">
        <v>0</v>
      </c>
      <c r="CK230" s="63">
        <v>0</v>
      </c>
      <c r="CL230" s="63">
        <v>0</v>
      </c>
      <c r="CM230" s="63">
        <v>0</v>
      </c>
      <c r="CN230" s="63">
        <v>0</v>
      </c>
      <c r="CO230" s="63">
        <v>0</v>
      </c>
      <c r="CP230" s="63">
        <v>1835205</v>
      </c>
      <c r="CQ230" s="63">
        <v>0</v>
      </c>
      <c r="CR230" s="63">
        <v>37453</v>
      </c>
      <c r="CS230" s="63">
        <v>1872658</v>
      </c>
      <c r="CU230" s="141" t="s">
        <v>303</v>
      </c>
      <c r="CV230" s="157" t="s">
        <v>941</v>
      </c>
      <c r="CW230" s="156" t="s">
        <v>953</v>
      </c>
      <c r="CX230" s="345"/>
      <c r="CY230" s="345"/>
      <c r="CZ230" s="345"/>
    </row>
    <row r="231" spans="1:104" ht="12.75" x14ac:dyDescent="0.2">
      <c r="A231" s="90">
        <v>224</v>
      </c>
      <c r="B231" s="129" t="s">
        <v>306</v>
      </c>
      <c r="C231" s="130" t="s">
        <v>749</v>
      </c>
      <c r="D231" s="131" t="s">
        <v>752</v>
      </c>
      <c r="E231" s="132" t="s">
        <v>305</v>
      </c>
      <c r="F231" s="63">
        <v>105900931</v>
      </c>
      <c r="G231" s="63">
        <v>0</v>
      </c>
      <c r="H231" s="63">
        <v>0</v>
      </c>
      <c r="I231" s="63">
        <v>452663</v>
      </c>
      <c r="J231" s="63">
        <v>0</v>
      </c>
      <c r="K231" s="63">
        <v>452663</v>
      </c>
      <c r="L231" s="63">
        <v>0</v>
      </c>
      <c r="M231" s="63">
        <v>0</v>
      </c>
      <c r="N231" s="63">
        <v>0</v>
      </c>
      <c r="O231" s="63">
        <v>0</v>
      </c>
      <c r="P231" s="63">
        <v>0</v>
      </c>
      <c r="Q231" s="63">
        <v>105448268</v>
      </c>
      <c r="R231" s="474">
        <v>0.5</v>
      </c>
      <c r="S231" s="474">
        <v>0.49</v>
      </c>
      <c r="T231" s="474">
        <v>0</v>
      </c>
      <c r="U231" s="474">
        <v>0.01</v>
      </c>
      <c r="V231" s="474">
        <v>1</v>
      </c>
      <c r="W231" s="63">
        <v>52724134</v>
      </c>
      <c r="X231" s="63">
        <v>51669651</v>
      </c>
      <c r="Y231" s="63">
        <v>0</v>
      </c>
      <c r="Z231" s="63">
        <v>1054483</v>
      </c>
      <c r="AA231" s="63">
        <v>105448268</v>
      </c>
      <c r="AB231" s="63">
        <v>0</v>
      </c>
      <c r="AC231" s="63">
        <v>0</v>
      </c>
      <c r="AD231" s="63">
        <v>0</v>
      </c>
      <c r="AE231" s="63">
        <v>0</v>
      </c>
      <c r="AF231" s="63">
        <v>0</v>
      </c>
      <c r="AG231" s="63">
        <v>0</v>
      </c>
      <c r="AH231" s="63">
        <v>0</v>
      </c>
      <c r="AI231" s="63">
        <v>0</v>
      </c>
      <c r="AJ231" s="63">
        <v>0</v>
      </c>
      <c r="AK231" s="63">
        <v>0</v>
      </c>
      <c r="AL231" s="63">
        <v>52724134</v>
      </c>
      <c r="AM231" s="63">
        <v>51669651</v>
      </c>
      <c r="AN231" s="63">
        <v>0</v>
      </c>
      <c r="AO231" s="63">
        <v>1054483</v>
      </c>
      <c r="AP231" s="63">
        <v>105448268</v>
      </c>
      <c r="AQ231" s="63">
        <v>452663</v>
      </c>
      <c r="AR231" s="63">
        <v>452663</v>
      </c>
      <c r="AS231" s="63">
        <v>0</v>
      </c>
      <c r="AT231" s="63">
        <v>0</v>
      </c>
      <c r="AU231" s="63">
        <v>0</v>
      </c>
      <c r="AV231" s="63">
        <v>0</v>
      </c>
      <c r="AW231" s="63">
        <v>0</v>
      </c>
      <c r="AX231" s="63">
        <v>0</v>
      </c>
      <c r="AY231" s="63">
        <v>0</v>
      </c>
      <c r="AZ231" s="63">
        <v>0</v>
      </c>
      <c r="BA231" s="63">
        <v>0</v>
      </c>
      <c r="BB231" s="63">
        <v>0</v>
      </c>
      <c r="BC231" s="63">
        <v>0</v>
      </c>
      <c r="BD231" s="63">
        <v>0</v>
      </c>
      <c r="BE231" s="63">
        <v>0</v>
      </c>
      <c r="BF231" s="63">
        <v>0</v>
      </c>
      <c r="BG231" s="63">
        <v>0</v>
      </c>
      <c r="BH231" s="63">
        <v>-1670339</v>
      </c>
      <c r="BI231" s="63">
        <v>-1636932</v>
      </c>
      <c r="BJ231" s="63">
        <v>0</v>
      </c>
      <c r="BK231" s="63">
        <v>-33407</v>
      </c>
      <c r="BL231" s="63">
        <v>-3340678</v>
      </c>
      <c r="BM231" s="63">
        <v>51053795</v>
      </c>
      <c r="BN231" s="63">
        <v>50485382</v>
      </c>
      <c r="BO231" s="63">
        <v>0</v>
      </c>
      <c r="BP231" s="63">
        <v>1021076</v>
      </c>
      <c r="BQ231" s="63">
        <v>102560253</v>
      </c>
      <c r="BR231" s="63">
        <v>747288</v>
      </c>
      <c r="BS231" s="63">
        <v>0</v>
      </c>
      <c r="BT231" s="63">
        <v>15251</v>
      </c>
      <c r="BU231" s="63">
        <v>762539</v>
      </c>
      <c r="BV231" s="63">
        <v>2015992</v>
      </c>
      <c r="BW231" s="63">
        <v>0</v>
      </c>
      <c r="BX231" s="63">
        <v>41143</v>
      </c>
      <c r="BY231" s="63">
        <v>2057135</v>
      </c>
      <c r="BZ231" s="63">
        <v>10428</v>
      </c>
      <c r="CA231" s="63">
        <v>0</v>
      </c>
      <c r="CB231" s="63">
        <v>213</v>
      </c>
      <c r="CC231" s="63">
        <v>10641</v>
      </c>
      <c r="CD231" s="63">
        <v>9894</v>
      </c>
      <c r="CE231" s="63">
        <v>0</v>
      </c>
      <c r="CF231" s="63">
        <v>202</v>
      </c>
      <c r="CG231" s="63">
        <v>10096</v>
      </c>
      <c r="CH231" s="63">
        <v>58717</v>
      </c>
      <c r="CI231" s="63">
        <v>0</v>
      </c>
      <c r="CJ231" s="63">
        <v>1198</v>
      </c>
      <c r="CK231" s="63">
        <v>59915</v>
      </c>
      <c r="CL231" s="63">
        <v>5766</v>
      </c>
      <c r="CM231" s="63">
        <v>0</v>
      </c>
      <c r="CN231" s="63">
        <v>118</v>
      </c>
      <c r="CO231" s="63">
        <v>5884</v>
      </c>
      <c r="CP231" s="63">
        <v>2848085</v>
      </c>
      <c r="CQ231" s="63">
        <v>0</v>
      </c>
      <c r="CR231" s="63">
        <v>58125</v>
      </c>
      <c r="CS231" s="63">
        <v>2906210</v>
      </c>
      <c r="CU231" s="141" t="s">
        <v>305</v>
      </c>
      <c r="CV231" s="157" t="s">
        <v>941</v>
      </c>
      <c r="CW231" s="156" t="s">
        <v>949</v>
      </c>
      <c r="CX231" s="345"/>
      <c r="CY231" s="345"/>
      <c r="CZ231" s="345"/>
    </row>
    <row r="232" spans="1:104" ht="12.75" x14ac:dyDescent="0.2">
      <c r="A232" s="90">
        <v>225</v>
      </c>
      <c r="B232" s="129" t="s">
        <v>308</v>
      </c>
      <c r="C232" s="130" t="s">
        <v>742</v>
      </c>
      <c r="D232" s="131" t="s">
        <v>750</v>
      </c>
      <c r="E232" s="132" t="s">
        <v>307</v>
      </c>
      <c r="F232" s="63">
        <v>33314315</v>
      </c>
      <c r="G232" s="63">
        <v>0</v>
      </c>
      <c r="H232" s="63">
        <v>0</v>
      </c>
      <c r="I232" s="63">
        <v>257962</v>
      </c>
      <c r="J232" s="63">
        <v>0</v>
      </c>
      <c r="K232" s="63">
        <v>257962</v>
      </c>
      <c r="L232" s="63">
        <v>0</v>
      </c>
      <c r="M232" s="63">
        <v>0</v>
      </c>
      <c r="N232" s="63">
        <v>0</v>
      </c>
      <c r="O232" s="63">
        <v>0</v>
      </c>
      <c r="P232" s="63">
        <v>0</v>
      </c>
      <c r="Q232" s="63">
        <v>33056353</v>
      </c>
      <c r="R232" s="474">
        <v>0.5</v>
      </c>
      <c r="S232" s="474">
        <v>0.4</v>
      </c>
      <c r="T232" s="474">
        <v>0.09</v>
      </c>
      <c r="U232" s="474">
        <v>0.01</v>
      </c>
      <c r="V232" s="474">
        <v>1</v>
      </c>
      <c r="W232" s="63">
        <v>16528176</v>
      </c>
      <c r="X232" s="63">
        <v>13222541</v>
      </c>
      <c r="Y232" s="63">
        <v>2975072</v>
      </c>
      <c r="Z232" s="63">
        <v>330564</v>
      </c>
      <c r="AA232" s="63">
        <v>33056353</v>
      </c>
      <c r="AB232" s="63">
        <v>0</v>
      </c>
      <c r="AC232" s="63">
        <v>0</v>
      </c>
      <c r="AD232" s="63">
        <v>0</v>
      </c>
      <c r="AE232" s="63">
        <v>0</v>
      </c>
      <c r="AF232" s="63">
        <v>0</v>
      </c>
      <c r="AG232" s="63">
        <v>0</v>
      </c>
      <c r="AH232" s="63">
        <v>0</v>
      </c>
      <c r="AI232" s="63">
        <v>0</v>
      </c>
      <c r="AJ232" s="63">
        <v>0</v>
      </c>
      <c r="AK232" s="63">
        <v>0</v>
      </c>
      <c r="AL232" s="63">
        <v>16528176</v>
      </c>
      <c r="AM232" s="63">
        <v>13222541</v>
      </c>
      <c r="AN232" s="63">
        <v>2975072</v>
      </c>
      <c r="AO232" s="63">
        <v>330564</v>
      </c>
      <c r="AP232" s="63">
        <v>33056353</v>
      </c>
      <c r="AQ232" s="63">
        <v>257962</v>
      </c>
      <c r="AR232" s="63">
        <v>257962</v>
      </c>
      <c r="AS232" s="63">
        <v>0</v>
      </c>
      <c r="AT232" s="63">
        <v>0</v>
      </c>
      <c r="AU232" s="63">
        <v>0</v>
      </c>
      <c r="AV232" s="63">
        <v>0</v>
      </c>
      <c r="AW232" s="63">
        <v>0</v>
      </c>
      <c r="AX232" s="63">
        <v>0</v>
      </c>
      <c r="AY232" s="63">
        <v>0</v>
      </c>
      <c r="AZ232" s="63">
        <v>0</v>
      </c>
      <c r="BA232" s="63">
        <v>0</v>
      </c>
      <c r="BB232" s="63">
        <v>0</v>
      </c>
      <c r="BC232" s="63">
        <v>0</v>
      </c>
      <c r="BD232" s="63">
        <v>0</v>
      </c>
      <c r="BE232" s="63">
        <v>0</v>
      </c>
      <c r="BF232" s="63">
        <v>0</v>
      </c>
      <c r="BG232" s="63">
        <v>0</v>
      </c>
      <c r="BH232" s="63">
        <v>33317</v>
      </c>
      <c r="BI232" s="63">
        <v>26653</v>
      </c>
      <c r="BJ232" s="63">
        <v>5997</v>
      </c>
      <c r="BK232" s="63">
        <v>666</v>
      </c>
      <c r="BL232" s="63">
        <v>66633</v>
      </c>
      <c r="BM232" s="63">
        <v>16561493</v>
      </c>
      <c r="BN232" s="63">
        <v>13507156</v>
      </c>
      <c r="BO232" s="63">
        <v>2981069</v>
      </c>
      <c r="BP232" s="63">
        <v>331230</v>
      </c>
      <c r="BQ232" s="63">
        <v>33380948</v>
      </c>
      <c r="BR232" s="63">
        <v>191235</v>
      </c>
      <c r="BS232" s="63">
        <v>43028</v>
      </c>
      <c r="BT232" s="63">
        <v>4781</v>
      </c>
      <c r="BU232" s="63">
        <v>239044</v>
      </c>
      <c r="BV232" s="63">
        <v>1162591</v>
      </c>
      <c r="BW232" s="63">
        <v>261583</v>
      </c>
      <c r="BX232" s="63">
        <v>29065</v>
      </c>
      <c r="BY232" s="63">
        <v>1453239</v>
      </c>
      <c r="BZ232" s="63">
        <v>8927</v>
      </c>
      <c r="CA232" s="63">
        <v>2009</v>
      </c>
      <c r="CB232" s="63">
        <v>223</v>
      </c>
      <c r="CC232" s="63">
        <v>11159</v>
      </c>
      <c r="CD232" s="63">
        <v>12174</v>
      </c>
      <c r="CE232" s="63">
        <v>2739</v>
      </c>
      <c r="CF232" s="63">
        <v>304</v>
      </c>
      <c r="CG232" s="63">
        <v>15217</v>
      </c>
      <c r="CH232" s="63">
        <v>12174</v>
      </c>
      <c r="CI232" s="63">
        <v>2739</v>
      </c>
      <c r="CJ232" s="63">
        <v>304</v>
      </c>
      <c r="CK232" s="63">
        <v>15217</v>
      </c>
      <c r="CL232" s="63">
        <v>10347</v>
      </c>
      <c r="CM232" s="63">
        <v>2328</v>
      </c>
      <c r="CN232" s="63">
        <v>259</v>
      </c>
      <c r="CO232" s="63">
        <v>12934</v>
      </c>
      <c r="CP232" s="63">
        <v>1397448</v>
      </c>
      <c r="CQ232" s="63">
        <v>314426</v>
      </c>
      <c r="CR232" s="63">
        <v>34936</v>
      </c>
      <c r="CS232" s="63">
        <v>1746810</v>
      </c>
      <c r="CU232" s="141" t="s">
        <v>307</v>
      </c>
      <c r="CV232" s="157" t="s">
        <v>972</v>
      </c>
      <c r="CW232" s="156" t="s">
        <v>764</v>
      </c>
      <c r="CX232" s="345"/>
      <c r="CY232" s="345"/>
      <c r="CZ232" s="345"/>
    </row>
    <row r="233" spans="1:104" ht="12.75" x14ac:dyDescent="0.2">
      <c r="A233" s="90">
        <v>226</v>
      </c>
      <c r="B233" s="129" t="s">
        <v>310</v>
      </c>
      <c r="C233" s="130" t="s">
        <v>742</v>
      </c>
      <c r="D233" s="131" t="s">
        <v>751</v>
      </c>
      <c r="E233" s="132" t="s">
        <v>309</v>
      </c>
      <c r="F233" s="63">
        <v>38678489</v>
      </c>
      <c r="G233" s="63">
        <v>0</v>
      </c>
      <c r="H233" s="63">
        <v>0</v>
      </c>
      <c r="I233" s="63">
        <v>161084</v>
      </c>
      <c r="J233" s="63">
        <v>0</v>
      </c>
      <c r="K233" s="63">
        <v>161084</v>
      </c>
      <c r="L233" s="63">
        <v>0</v>
      </c>
      <c r="M233" s="63">
        <v>0</v>
      </c>
      <c r="N233" s="63">
        <v>182775</v>
      </c>
      <c r="O233" s="63">
        <v>182775</v>
      </c>
      <c r="P233" s="63">
        <v>0</v>
      </c>
      <c r="Q233" s="63">
        <v>38334630</v>
      </c>
      <c r="R233" s="474">
        <v>0.5</v>
      </c>
      <c r="S233" s="474">
        <v>0.4</v>
      </c>
      <c r="T233" s="474">
        <v>0.09</v>
      </c>
      <c r="U233" s="474">
        <v>0.01</v>
      </c>
      <c r="V233" s="474">
        <v>1</v>
      </c>
      <c r="W233" s="63">
        <v>19167315</v>
      </c>
      <c r="X233" s="63">
        <v>15333852</v>
      </c>
      <c r="Y233" s="63">
        <v>3450117</v>
      </c>
      <c r="Z233" s="63">
        <v>383346</v>
      </c>
      <c r="AA233" s="63">
        <v>38334630</v>
      </c>
      <c r="AB233" s="63">
        <v>0</v>
      </c>
      <c r="AC233" s="63">
        <v>0</v>
      </c>
      <c r="AD233" s="63">
        <v>0</v>
      </c>
      <c r="AE233" s="63">
        <v>0</v>
      </c>
      <c r="AF233" s="63">
        <v>0</v>
      </c>
      <c r="AG233" s="63">
        <v>0</v>
      </c>
      <c r="AH233" s="63">
        <v>0</v>
      </c>
      <c r="AI233" s="63">
        <v>0</v>
      </c>
      <c r="AJ233" s="63">
        <v>0</v>
      </c>
      <c r="AK233" s="63">
        <v>0</v>
      </c>
      <c r="AL233" s="63">
        <v>19167315</v>
      </c>
      <c r="AM233" s="63">
        <v>15333852</v>
      </c>
      <c r="AN233" s="63">
        <v>3450117</v>
      </c>
      <c r="AO233" s="63">
        <v>383346</v>
      </c>
      <c r="AP233" s="63">
        <v>38334630</v>
      </c>
      <c r="AQ233" s="63">
        <v>161084</v>
      </c>
      <c r="AR233" s="63">
        <v>161084</v>
      </c>
      <c r="AS233" s="63">
        <v>0</v>
      </c>
      <c r="AT233" s="63">
        <v>0</v>
      </c>
      <c r="AU233" s="63">
        <v>182775</v>
      </c>
      <c r="AV233" s="63">
        <v>0</v>
      </c>
      <c r="AW233" s="63">
        <v>182775</v>
      </c>
      <c r="AX233" s="63">
        <v>0</v>
      </c>
      <c r="AY233" s="63">
        <v>0</v>
      </c>
      <c r="AZ233" s="63">
        <v>0</v>
      </c>
      <c r="BA233" s="63">
        <v>0</v>
      </c>
      <c r="BB233" s="63">
        <v>0</v>
      </c>
      <c r="BC233" s="63">
        <v>0</v>
      </c>
      <c r="BD233" s="63">
        <v>0</v>
      </c>
      <c r="BE233" s="63">
        <v>0</v>
      </c>
      <c r="BF233" s="63">
        <v>0</v>
      </c>
      <c r="BG233" s="63">
        <v>0</v>
      </c>
      <c r="BH233" s="63">
        <v>-94619</v>
      </c>
      <c r="BI233" s="63">
        <v>-75695</v>
      </c>
      <c r="BJ233" s="63">
        <v>-17031</v>
      </c>
      <c r="BK233" s="63">
        <v>-1892</v>
      </c>
      <c r="BL233" s="63">
        <v>-189237</v>
      </c>
      <c r="BM233" s="63">
        <v>19072696</v>
      </c>
      <c r="BN233" s="63">
        <v>15602016</v>
      </c>
      <c r="BO233" s="63">
        <v>3433086</v>
      </c>
      <c r="BP233" s="63">
        <v>381454</v>
      </c>
      <c r="BQ233" s="63">
        <v>38489252</v>
      </c>
      <c r="BR233" s="63">
        <v>224414</v>
      </c>
      <c r="BS233" s="63">
        <v>49898</v>
      </c>
      <c r="BT233" s="63">
        <v>5544</v>
      </c>
      <c r="BU233" s="63">
        <v>279856</v>
      </c>
      <c r="BV233" s="63">
        <v>579287</v>
      </c>
      <c r="BW233" s="63">
        <v>130339</v>
      </c>
      <c r="BX233" s="63">
        <v>14482</v>
      </c>
      <c r="BY233" s="63">
        <v>724108</v>
      </c>
      <c r="BZ233" s="63">
        <v>4941</v>
      </c>
      <c r="CA233" s="63">
        <v>1112</v>
      </c>
      <c r="CB233" s="63">
        <v>124</v>
      </c>
      <c r="CC233" s="63">
        <v>6177</v>
      </c>
      <c r="CD233" s="63">
        <v>0</v>
      </c>
      <c r="CE233" s="63">
        <v>0</v>
      </c>
      <c r="CF233" s="63">
        <v>0</v>
      </c>
      <c r="CG233" s="63">
        <v>0</v>
      </c>
      <c r="CH233" s="63">
        <v>2790</v>
      </c>
      <c r="CI233" s="63">
        <v>628</v>
      </c>
      <c r="CJ233" s="63">
        <v>70</v>
      </c>
      <c r="CK233" s="63">
        <v>3488</v>
      </c>
      <c r="CL233" s="63">
        <v>10317</v>
      </c>
      <c r="CM233" s="63">
        <v>2321</v>
      </c>
      <c r="CN233" s="63">
        <v>258</v>
      </c>
      <c r="CO233" s="63">
        <v>12896</v>
      </c>
      <c r="CP233" s="63">
        <v>821749</v>
      </c>
      <c r="CQ233" s="63">
        <v>184298</v>
      </c>
      <c r="CR233" s="63">
        <v>20478</v>
      </c>
      <c r="CS233" s="63">
        <v>1026525</v>
      </c>
      <c r="CU233" s="141" t="s">
        <v>309</v>
      </c>
      <c r="CV233" s="157" t="s">
        <v>982</v>
      </c>
      <c r="CW233" s="156" t="s">
        <v>975</v>
      </c>
      <c r="CX233" s="345"/>
      <c r="CY233" s="345"/>
      <c r="CZ233" s="345"/>
    </row>
    <row r="234" spans="1:104" ht="12.75" x14ac:dyDescent="0.2">
      <c r="A234" s="90">
        <v>227</v>
      </c>
      <c r="B234" s="129" t="s">
        <v>312</v>
      </c>
      <c r="C234" s="130" t="s">
        <v>749</v>
      </c>
      <c r="D234" s="131" t="s">
        <v>744</v>
      </c>
      <c r="E234" s="132" t="s">
        <v>311</v>
      </c>
      <c r="F234" s="63">
        <v>67624594</v>
      </c>
      <c r="G234" s="63">
        <v>0</v>
      </c>
      <c r="H234" s="63">
        <v>0</v>
      </c>
      <c r="I234" s="63">
        <v>328553</v>
      </c>
      <c r="J234" s="63">
        <v>0</v>
      </c>
      <c r="K234" s="63">
        <v>328553</v>
      </c>
      <c r="L234" s="63">
        <v>0</v>
      </c>
      <c r="M234" s="63">
        <v>0</v>
      </c>
      <c r="N234" s="63">
        <v>0</v>
      </c>
      <c r="O234" s="63">
        <v>0</v>
      </c>
      <c r="P234" s="63">
        <v>0</v>
      </c>
      <c r="Q234" s="63">
        <v>67296041</v>
      </c>
      <c r="R234" s="474">
        <v>0.5</v>
      </c>
      <c r="S234" s="474">
        <v>0.49</v>
      </c>
      <c r="T234" s="474">
        <v>0</v>
      </c>
      <c r="U234" s="474">
        <v>0.01</v>
      </c>
      <c r="V234" s="474">
        <v>1</v>
      </c>
      <c r="W234" s="63">
        <v>33648021</v>
      </c>
      <c r="X234" s="63">
        <v>32975060</v>
      </c>
      <c r="Y234" s="63">
        <v>0</v>
      </c>
      <c r="Z234" s="63">
        <v>672960</v>
      </c>
      <c r="AA234" s="63">
        <v>67296041</v>
      </c>
      <c r="AB234" s="63">
        <v>0</v>
      </c>
      <c r="AC234" s="63">
        <v>0</v>
      </c>
      <c r="AD234" s="63">
        <v>0</v>
      </c>
      <c r="AE234" s="63">
        <v>0</v>
      </c>
      <c r="AF234" s="63">
        <v>0</v>
      </c>
      <c r="AG234" s="63">
        <v>0</v>
      </c>
      <c r="AH234" s="63">
        <v>0</v>
      </c>
      <c r="AI234" s="63">
        <v>0</v>
      </c>
      <c r="AJ234" s="63">
        <v>0</v>
      </c>
      <c r="AK234" s="63">
        <v>0</v>
      </c>
      <c r="AL234" s="63">
        <v>33648021</v>
      </c>
      <c r="AM234" s="63">
        <v>32975060</v>
      </c>
      <c r="AN234" s="63">
        <v>0</v>
      </c>
      <c r="AO234" s="63">
        <v>672960</v>
      </c>
      <c r="AP234" s="63">
        <v>67296041</v>
      </c>
      <c r="AQ234" s="63">
        <v>328553</v>
      </c>
      <c r="AR234" s="63">
        <v>328553</v>
      </c>
      <c r="AS234" s="63">
        <v>0</v>
      </c>
      <c r="AT234" s="63">
        <v>0</v>
      </c>
      <c r="AU234" s="63">
        <v>0</v>
      </c>
      <c r="AV234" s="63">
        <v>0</v>
      </c>
      <c r="AW234" s="63">
        <v>0</v>
      </c>
      <c r="AX234" s="63">
        <v>0</v>
      </c>
      <c r="AY234" s="63">
        <v>0</v>
      </c>
      <c r="AZ234" s="63">
        <v>0</v>
      </c>
      <c r="BA234" s="63">
        <v>0</v>
      </c>
      <c r="BB234" s="63">
        <v>0</v>
      </c>
      <c r="BC234" s="63">
        <v>0</v>
      </c>
      <c r="BD234" s="63">
        <v>0</v>
      </c>
      <c r="BE234" s="63">
        <v>0</v>
      </c>
      <c r="BF234" s="63">
        <v>0</v>
      </c>
      <c r="BG234" s="63">
        <v>0</v>
      </c>
      <c r="BH234" s="63">
        <v>1432268</v>
      </c>
      <c r="BI234" s="63">
        <v>1403622</v>
      </c>
      <c r="BJ234" s="63">
        <v>0</v>
      </c>
      <c r="BK234" s="63">
        <v>28645</v>
      </c>
      <c r="BL234" s="63">
        <v>2864535</v>
      </c>
      <c r="BM234" s="63">
        <v>35080289</v>
      </c>
      <c r="BN234" s="63">
        <v>34707235</v>
      </c>
      <c r="BO234" s="63">
        <v>0</v>
      </c>
      <c r="BP234" s="63">
        <v>701605</v>
      </c>
      <c r="BQ234" s="63">
        <v>70489129</v>
      </c>
      <c r="BR234" s="63">
        <v>476912</v>
      </c>
      <c r="BS234" s="63">
        <v>0</v>
      </c>
      <c r="BT234" s="63">
        <v>9733</v>
      </c>
      <c r="BU234" s="63">
        <v>486645</v>
      </c>
      <c r="BV234" s="63">
        <v>1465886</v>
      </c>
      <c r="BW234" s="63">
        <v>0</v>
      </c>
      <c r="BX234" s="63">
        <v>29916</v>
      </c>
      <c r="BY234" s="63">
        <v>1495802</v>
      </c>
      <c r="BZ234" s="63">
        <v>0</v>
      </c>
      <c r="CA234" s="63">
        <v>0</v>
      </c>
      <c r="CB234" s="63">
        <v>0</v>
      </c>
      <c r="CC234" s="63">
        <v>0</v>
      </c>
      <c r="CD234" s="63">
        <v>46726</v>
      </c>
      <c r="CE234" s="63">
        <v>0</v>
      </c>
      <c r="CF234" s="63">
        <v>954</v>
      </c>
      <c r="CG234" s="63">
        <v>47680</v>
      </c>
      <c r="CH234" s="63">
        <v>29825</v>
      </c>
      <c r="CI234" s="63">
        <v>0</v>
      </c>
      <c r="CJ234" s="63">
        <v>609</v>
      </c>
      <c r="CK234" s="63">
        <v>30434</v>
      </c>
      <c r="CL234" s="63">
        <v>3199</v>
      </c>
      <c r="CM234" s="63">
        <v>0</v>
      </c>
      <c r="CN234" s="63">
        <v>65</v>
      </c>
      <c r="CO234" s="63">
        <v>3264</v>
      </c>
      <c r="CP234" s="63">
        <v>2022548</v>
      </c>
      <c r="CQ234" s="63">
        <v>0</v>
      </c>
      <c r="CR234" s="63">
        <v>41277</v>
      </c>
      <c r="CS234" s="63">
        <v>2063825</v>
      </c>
      <c r="CU234" s="141" t="s">
        <v>311</v>
      </c>
      <c r="CV234" s="157" t="s">
        <v>941</v>
      </c>
      <c r="CW234" s="156" t="s">
        <v>981</v>
      </c>
      <c r="CX234" s="345"/>
      <c r="CY234" s="345"/>
      <c r="CZ234" s="345"/>
    </row>
    <row r="235" spans="1:104" ht="12.75" x14ac:dyDescent="0.2">
      <c r="A235" s="90">
        <v>228</v>
      </c>
      <c r="B235" s="129" t="s">
        <v>314</v>
      </c>
      <c r="C235" s="130" t="s">
        <v>742</v>
      </c>
      <c r="D235" s="131" t="s">
        <v>750</v>
      </c>
      <c r="E235" s="132" t="s">
        <v>313</v>
      </c>
      <c r="F235" s="63">
        <v>40146365</v>
      </c>
      <c r="G235" s="63">
        <v>0</v>
      </c>
      <c r="H235" s="63">
        <v>0</v>
      </c>
      <c r="I235" s="63">
        <v>118443</v>
      </c>
      <c r="J235" s="63">
        <v>0</v>
      </c>
      <c r="K235" s="63">
        <v>118443</v>
      </c>
      <c r="L235" s="63">
        <v>0</v>
      </c>
      <c r="M235" s="63">
        <v>0</v>
      </c>
      <c r="N235" s="63">
        <v>7416100</v>
      </c>
      <c r="O235" s="63">
        <v>7416100</v>
      </c>
      <c r="P235" s="63">
        <v>0</v>
      </c>
      <c r="Q235" s="63">
        <v>32611822</v>
      </c>
      <c r="R235" s="474">
        <v>0.5</v>
      </c>
      <c r="S235" s="474">
        <v>0.4</v>
      </c>
      <c r="T235" s="474">
        <v>0.09</v>
      </c>
      <c r="U235" s="474">
        <v>0.01</v>
      </c>
      <c r="V235" s="474">
        <v>1</v>
      </c>
      <c r="W235" s="63">
        <v>16305911</v>
      </c>
      <c r="X235" s="63">
        <v>13044729</v>
      </c>
      <c r="Y235" s="63">
        <v>2935064</v>
      </c>
      <c r="Z235" s="63">
        <v>326118</v>
      </c>
      <c r="AA235" s="63">
        <v>32611822</v>
      </c>
      <c r="AB235" s="63">
        <v>0</v>
      </c>
      <c r="AC235" s="63">
        <v>0</v>
      </c>
      <c r="AD235" s="63">
        <v>0</v>
      </c>
      <c r="AE235" s="63">
        <v>0</v>
      </c>
      <c r="AF235" s="63">
        <v>0</v>
      </c>
      <c r="AG235" s="63">
        <v>0</v>
      </c>
      <c r="AH235" s="63">
        <v>0</v>
      </c>
      <c r="AI235" s="63">
        <v>0</v>
      </c>
      <c r="AJ235" s="63">
        <v>0</v>
      </c>
      <c r="AK235" s="63">
        <v>0</v>
      </c>
      <c r="AL235" s="63">
        <v>16305911</v>
      </c>
      <c r="AM235" s="63">
        <v>13044729</v>
      </c>
      <c r="AN235" s="63">
        <v>2935064</v>
      </c>
      <c r="AO235" s="63">
        <v>326118</v>
      </c>
      <c r="AP235" s="63">
        <v>32611822</v>
      </c>
      <c r="AQ235" s="63">
        <v>118443</v>
      </c>
      <c r="AR235" s="63">
        <v>118443</v>
      </c>
      <c r="AS235" s="63">
        <v>0</v>
      </c>
      <c r="AT235" s="63">
        <v>0</v>
      </c>
      <c r="AU235" s="63">
        <v>7416100</v>
      </c>
      <c r="AV235" s="63">
        <v>0</v>
      </c>
      <c r="AW235" s="63">
        <v>7416100</v>
      </c>
      <c r="AX235" s="63">
        <v>0</v>
      </c>
      <c r="AY235" s="63">
        <v>0</v>
      </c>
      <c r="AZ235" s="63">
        <v>0</v>
      </c>
      <c r="BA235" s="63">
        <v>0</v>
      </c>
      <c r="BB235" s="63">
        <v>0</v>
      </c>
      <c r="BC235" s="63">
        <v>0</v>
      </c>
      <c r="BD235" s="63">
        <v>0</v>
      </c>
      <c r="BE235" s="63">
        <v>0</v>
      </c>
      <c r="BF235" s="63">
        <v>0</v>
      </c>
      <c r="BG235" s="63">
        <v>0</v>
      </c>
      <c r="BH235" s="63">
        <v>-3708643</v>
      </c>
      <c r="BI235" s="63">
        <v>-2966914</v>
      </c>
      <c r="BJ235" s="63">
        <v>-667556</v>
      </c>
      <c r="BK235" s="63">
        <v>-74173</v>
      </c>
      <c r="BL235" s="63">
        <v>-7417286</v>
      </c>
      <c r="BM235" s="63">
        <v>12597268</v>
      </c>
      <c r="BN235" s="63">
        <v>17612358</v>
      </c>
      <c r="BO235" s="63">
        <v>2267508</v>
      </c>
      <c r="BP235" s="63">
        <v>251945</v>
      </c>
      <c r="BQ235" s="63">
        <v>32729079</v>
      </c>
      <c r="BR235" s="63">
        <v>295921</v>
      </c>
      <c r="BS235" s="63">
        <v>42449</v>
      </c>
      <c r="BT235" s="63">
        <v>4717</v>
      </c>
      <c r="BU235" s="63">
        <v>343087</v>
      </c>
      <c r="BV235" s="63">
        <v>341495</v>
      </c>
      <c r="BW235" s="63">
        <v>76836</v>
      </c>
      <c r="BX235" s="63">
        <v>8537</v>
      </c>
      <c r="BY235" s="63">
        <v>426868</v>
      </c>
      <c r="BZ235" s="63">
        <v>3363</v>
      </c>
      <c r="CA235" s="63">
        <v>757</v>
      </c>
      <c r="CB235" s="63">
        <v>84</v>
      </c>
      <c r="CC235" s="63">
        <v>4204</v>
      </c>
      <c r="CD235" s="63">
        <v>2060</v>
      </c>
      <c r="CE235" s="63">
        <v>463</v>
      </c>
      <c r="CF235" s="63">
        <v>51</v>
      </c>
      <c r="CG235" s="63">
        <v>2574</v>
      </c>
      <c r="CH235" s="63">
        <v>5779</v>
      </c>
      <c r="CI235" s="63">
        <v>1300</v>
      </c>
      <c r="CJ235" s="63">
        <v>144</v>
      </c>
      <c r="CK235" s="63">
        <v>7223</v>
      </c>
      <c r="CL235" s="63">
        <v>0</v>
      </c>
      <c r="CM235" s="63">
        <v>0</v>
      </c>
      <c r="CN235" s="63">
        <v>0</v>
      </c>
      <c r="CO235" s="63">
        <v>0</v>
      </c>
      <c r="CP235" s="63">
        <v>648618</v>
      </c>
      <c r="CQ235" s="63">
        <v>121805</v>
      </c>
      <c r="CR235" s="63">
        <v>13533</v>
      </c>
      <c r="CS235" s="63">
        <v>783956</v>
      </c>
      <c r="CU235" s="141" t="s">
        <v>313</v>
      </c>
      <c r="CV235" s="157" t="s">
        <v>972</v>
      </c>
      <c r="CW235" s="156" t="s">
        <v>764</v>
      </c>
      <c r="CX235" s="345"/>
      <c r="CY235" s="345"/>
      <c r="CZ235" s="345"/>
    </row>
    <row r="236" spans="1:104" ht="12.75" x14ac:dyDescent="0.2">
      <c r="A236" s="90">
        <v>229</v>
      </c>
      <c r="B236" s="129" t="s">
        <v>316</v>
      </c>
      <c r="C236" s="130" t="s">
        <v>742</v>
      </c>
      <c r="D236" s="131" t="s">
        <v>743</v>
      </c>
      <c r="E236" s="132" t="s">
        <v>315</v>
      </c>
      <c r="F236" s="63">
        <v>36900264</v>
      </c>
      <c r="G236" s="63">
        <v>0</v>
      </c>
      <c r="H236" s="63">
        <v>0</v>
      </c>
      <c r="I236" s="63">
        <v>165079</v>
      </c>
      <c r="J236" s="63">
        <v>0</v>
      </c>
      <c r="K236" s="63">
        <v>165079</v>
      </c>
      <c r="L236" s="63">
        <v>0</v>
      </c>
      <c r="M236" s="63">
        <v>0</v>
      </c>
      <c r="N236" s="63">
        <v>0</v>
      </c>
      <c r="O236" s="63">
        <v>0</v>
      </c>
      <c r="P236" s="63">
        <v>0</v>
      </c>
      <c r="Q236" s="63">
        <v>36735185</v>
      </c>
      <c r="R236" s="474">
        <v>0.5</v>
      </c>
      <c r="S236" s="474">
        <v>0.4</v>
      </c>
      <c r="T236" s="474">
        <v>0.09</v>
      </c>
      <c r="U236" s="474">
        <v>0.01</v>
      </c>
      <c r="V236" s="474">
        <v>1</v>
      </c>
      <c r="W236" s="63">
        <v>18367592</v>
      </c>
      <c r="X236" s="63">
        <v>14694074</v>
      </c>
      <c r="Y236" s="63">
        <v>3306167</v>
      </c>
      <c r="Z236" s="63">
        <v>367352</v>
      </c>
      <c r="AA236" s="63">
        <v>36735185</v>
      </c>
      <c r="AB236" s="63">
        <v>0</v>
      </c>
      <c r="AC236" s="63">
        <v>0</v>
      </c>
      <c r="AD236" s="63">
        <v>0</v>
      </c>
      <c r="AE236" s="63">
        <v>0</v>
      </c>
      <c r="AF236" s="63">
        <v>0</v>
      </c>
      <c r="AG236" s="63">
        <v>0</v>
      </c>
      <c r="AH236" s="63">
        <v>0</v>
      </c>
      <c r="AI236" s="63">
        <v>0</v>
      </c>
      <c r="AJ236" s="63">
        <v>0</v>
      </c>
      <c r="AK236" s="63">
        <v>0</v>
      </c>
      <c r="AL236" s="63">
        <v>18367592</v>
      </c>
      <c r="AM236" s="63">
        <v>14694074</v>
      </c>
      <c r="AN236" s="63">
        <v>3306167</v>
      </c>
      <c r="AO236" s="63">
        <v>367352</v>
      </c>
      <c r="AP236" s="63">
        <v>36735185</v>
      </c>
      <c r="AQ236" s="63">
        <v>165079</v>
      </c>
      <c r="AR236" s="63">
        <v>165079</v>
      </c>
      <c r="AS236" s="63">
        <v>0</v>
      </c>
      <c r="AT236" s="63">
        <v>0</v>
      </c>
      <c r="AU236" s="63">
        <v>0</v>
      </c>
      <c r="AV236" s="63">
        <v>0</v>
      </c>
      <c r="AW236" s="63">
        <v>0</v>
      </c>
      <c r="AX236" s="63">
        <v>0</v>
      </c>
      <c r="AY236" s="63">
        <v>0</v>
      </c>
      <c r="AZ236" s="63">
        <v>0</v>
      </c>
      <c r="BA236" s="63">
        <v>0</v>
      </c>
      <c r="BB236" s="63">
        <v>0</v>
      </c>
      <c r="BC236" s="63">
        <v>0</v>
      </c>
      <c r="BD236" s="63">
        <v>0</v>
      </c>
      <c r="BE236" s="63">
        <v>0</v>
      </c>
      <c r="BF236" s="63">
        <v>0</v>
      </c>
      <c r="BG236" s="63">
        <v>0</v>
      </c>
      <c r="BH236" s="63">
        <v>-1683373</v>
      </c>
      <c r="BI236" s="63">
        <v>-1346698</v>
      </c>
      <c r="BJ236" s="63">
        <v>-303007</v>
      </c>
      <c r="BK236" s="63">
        <v>-33667</v>
      </c>
      <c r="BL236" s="63">
        <v>-3366745</v>
      </c>
      <c r="BM236" s="63">
        <v>16684219</v>
      </c>
      <c r="BN236" s="63">
        <v>13512455</v>
      </c>
      <c r="BO236" s="63">
        <v>3003160</v>
      </c>
      <c r="BP236" s="63">
        <v>333685</v>
      </c>
      <c r="BQ236" s="63">
        <v>33533519</v>
      </c>
      <c r="BR236" s="63">
        <v>212518</v>
      </c>
      <c r="BS236" s="63">
        <v>47816</v>
      </c>
      <c r="BT236" s="63">
        <v>5313</v>
      </c>
      <c r="BU236" s="63">
        <v>265647</v>
      </c>
      <c r="BV236" s="63">
        <v>459353</v>
      </c>
      <c r="BW236" s="63">
        <v>103354</v>
      </c>
      <c r="BX236" s="63">
        <v>11484</v>
      </c>
      <c r="BY236" s="63">
        <v>574191</v>
      </c>
      <c r="BZ236" s="63">
        <v>3021</v>
      </c>
      <c r="CA236" s="63">
        <v>680</v>
      </c>
      <c r="CB236" s="63">
        <v>76</v>
      </c>
      <c r="CC236" s="63">
        <v>3777</v>
      </c>
      <c r="CD236" s="63">
        <v>0</v>
      </c>
      <c r="CE236" s="63">
        <v>0</v>
      </c>
      <c r="CF236" s="63">
        <v>0</v>
      </c>
      <c r="CG236" s="63">
        <v>0</v>
      </c>
      <c r="CH236" s="63">
        <v>0</v>
      </c>
      <c r="CI236" s="63">
        <v>0</v>
      </c>
      <c r="CJ236" s="63">
        <v>0</v>
      </c>
      <c r="CK236" s="63">
        <v>0</v>
      </c>
      <c r="CL236" s="63">
        <v>831</v>
      </c>
      <c r="CM236" s="63">
        <v>187</v>
      </c>
      <c r="CN236" s="63">
        <v>21</v>
      </c>
      <c r="CO236" s="63">
        <v>1039</v>
      </c>
      <c r="CP236" s="63">
        <v>675723</v>
      </c>
      <c r="CQ236" s="63">
        <v>152037</v>
      </c>
      <c r="CR236" s="63">
        <v>16894</v>
      </c>
      <c r="CS236" s="63">
        <v>844654</v>
      </c>
      <c r="CU236" s="141" t="s">
        <v>315</v>
      </c>
      <c r="CV236" s="157" t="s">
        <v>934</v>
      </c>
      <c r="CW236" s="156" t="s">
        <v>935</v>
      </c>
      <c r="CX236" s="345"/>
      <c r="CY236" s="345"/>
      <c r="CZ236" s="345"/>
    </row>
    <row r="237" spans="1:104" ht="12.75" x14ac:dyDescent="0.2">
      <c r="A237" s="90">
        <v>230</v>
      </c>
      <c r="B237" s="129" t="s">
        <v>318</v>
      </c>
      <c r="C237" s="130" t="s">
        <v>749</v>
      </c>
      <c r="D237" s="131" t="s">
        <v>750</v>
      </c>
      <c r="E237" s="132" t="s">
        <v>317</v>
      </c>
      <c r="F237" s="63">
        <v>217971275</v>
      </c>
      <c r="G237" s="63">
        <v>0</v>
      </c>
      <c r="H237" s="63">
        <v>0</v>
      </c>
      <c r="I237" s="63">
        <v>777710</v>
      </c>
      <c r="J237" s="63">
        <v>0</v>
      </c>
      <c r="K237" s="63">
        <v>777710</v>
      </c>
      <c r="L237" s="63">
        <v>0</v>
      </c>
      <c r="M237" s="63">
        <v>1196391</v>
      </c>
      <c r="N237" s="63">
        <v>868197</v>
      </c>
      <c r="O237" s="63">
        <v>868197</v>
      </c>
      <c r="P237" s="63">
        <v>0</v>
      </c>
      <c r="Q237" s="63">
        <v>215128977</v>
      </c>
      <c r="R237" s="474">
        <v>0.5</v>
      </c>
      <c r="S237" s="474">
        <v>0.49</v>
      </c>
      <c r="T237" s="474">
        <v>0</v>
      </c>
      <c r="U237" s="474">
        <v>0.01</v>
      </c>
      <c r="V237" s="474">
        <v>1</v>
      </c>
      <c r="W237" s="63">
        <v>107564488</v>
      </c>
      <c r="X237" s="63">
        <v>105413199</v>
      </c>
      <c r="Y237" s="63">
        <v>0</v>
      </c>
      <c r="Z237" s="63">
        <v>2151290</v>
      </c>
      <c r="AA237" s="63">
        <v>215128977</v>
      </c>
      <c r="AB237" s="63">
        <v>56076</v>
      </c>
      <c r="AC237" s="63">
        <v>0</v>
      </c>
      <c r="AD237" s="63">
        <v>0</v>
      </c>
      <c r="AE237" s="63">
        <v>0</v>
      </c>
      <c r="AF237" s="63">
        <v>56076</v>
      </c>
      <c r="AG237" s="63">
        <v>0</v>
      </c>
      <c r="AH237" s="63">
        <v>0</v>
      </c>
      <c r="AI237" s="63">
        <v>0</v>
      </c>
      <c r="AJ237" s="63">
        <v>0</v>
      </c>
      <c r="AK237" s="63">
        <v>0</v>
      </c>
      <c r="AL237" s="63">
        <v>107508412</v>
      </c>
      <c r="AM237" s="63">
        <v>105413199</v>
      </c>
      <c r="AN237" s="63">
        <v>0</v>
      </c>
      <c r="AO237" s="63">
        <v>2151290</v>
      </c>
      <c r="AP237" s="63">
        <v>215072901</v>
      </c>
      <c r="AQ237" s="63">
        <v>777710</v>
      </c>
      <c r="AR237" s="63">
        <v>777710</v>
      </c>
      <c r="AS237" s="63">
        <v>1196391</v>
      </c>
      <c r="AT237" s="63">
        <v>1196391</v>
      </c>
      <c r="AU237" s="63">
        <v>868197</v>
      </c>
      <c r="AV237" s="63">
        <v>0</v>
      </c>
      <c r="AW237" s="63">
        <v>868197</v>
      </c>
      <c r="AX237" s="63">
        <v>56076</v>
      </c>
      <c r="AY237" s="63">
        <v>0</v>
      </c>
      <c r="AZ237" s="63">
        <v>0</v>
      </c>
      <c r="BA237" s="63">
        <v>56076</v>
      </c>
      <c r="BB237" s="63">
        <v>0</v>
      </c>
      <c r="BC237" s="63">
        <v>0</v>
      </c>
      <c r="BD237" s="63">
        <v>0</v>
      </c>
      <c r="BE237" s="63">
        <v>0</v>
      </c>
      <c r="BF237" s="63">
        <v>0</v>
      </c>
      <c r="BG237" s="63">
        <v>0</v>
      </c>
      <c r="BH237" s="63">
        <v>-4992848</v>
      </c>
      <c r="BI237" s="63">
        <v>-4892991</v>
      </c>
      <c r="BJ237" s="63">
        <v>0</v>
      </c>
      <c r="BK237" s="63">
        <v>-99857</v>
      </c>
      <c r="BL237" s="63">
        <v>-9985696</v>
      </c>
      <c r="BM237" s="63">
        <v>102515564</v>
      </c>
      <c r="BN237" s="63">
        <v>103418582</v>
      </c>
      <c r="BO237" s="63">
        <v>0</v>
      </c>
      <c r="BP237" s="63">
        <v>2051433</v>
      </c>
      <c r="BQ237" s="63">
        <v>207985579</v>
      </c>
      <c r="BR237" s="63">
        <v>1555242</v>
      </c>
      <c r="BS237" s="63">
        <v>0</v>
      </c>
      <c r="BT237" s="63">
        <v>31114</v>
      </c>
      <c r="BU237" s="63">
        <v>1586356</v>
      </c>
      <c r="BV237" s="63">
        <v>2880788</v>
      </c>
      <c r="BW237" s="63">
        <v>0</v>
      </c>
      <c r="BX237" s="63">
        <v>58469</v>
      </c>
      <c r="BY237" s="63">
        <v>2939257</v>
      </c>
      <c r="BZ237" s="63">
        <v>27200</v>
      </c>
      <c r="CA237" s="63">
        <v>0</v>
      </c>
      <c r="CB237" s="63">
        <v>555</v>
      </c>
      <c r="CC237" s="63">
        <v>27755</v>
      </c>
      <c r="CD237" s="63">
        <v>0</v>
      </c>
      <c r="CE237" s="63">
        <v>0</v>
      </c>
      <c r="CF237" s="63">
        <v>0</v>
      </c>
      <c r="CG237" s="63">
        <v>0</v>
      </c>
      <c r="CH237" s="63">
        <v>38472</v>
      </c>
      <c r="CI237" s="63">
        <v>0</v>
      </c>
      <c r="CJ237" s="63">
        <v>686</v>
      </c>
      <c r="CK237" s="63">
        <v>39158</v>
      </c>
      <c r="CL237" s="63">
        <v>0</v>
      </c>
      <c r="CM237" s="63">
        <v>0</v>
      </c>
      <c r="CN237" s="63">
        <v>0</v>
      </c>
      <c r="CO237" s="63">
        <v>0</v>
      </c>
      <c r="CP237" s="63">
        <v>4501702</v>
      </c>
      <c r="CQ237" s="63">
        <v>0</v>
      </c>
      <c r="CR237" s="63">
        <v>90824</v>
      </c>
      <c r="CS237" s="63">
        <v>4592526</v>
      </c>
      <c r="CU237" s="141" t="s">
        <v>317</v>
      </c>
      <c r="CV237" s="157" t="s">
        <v>941</v>
      </c>
      <c r="CW237" s="156" t="s">
        <v>942</v>
      </c>
      <c r="CX237" s="345"/>
      <c r="CY237" s="345"/>
      <c r="CZ237" s="345"/>
    </row>
    <row r="238" spans="1:104" ht="12.75" x14ac:dyDescent="0.2">
      <c r="A238" s="90">
        <v>231</v>
      </c>
      <c r="B238" s="129" t="s">
        <v>320</v>
      </c>
      <c r="C238" s="130" t="s">
        <v>742</v>
      </c>
      <c r="D238" s="131" t="s">
        <v>743</v>
      </c>
      <c r="E238" s="132" t="s">
        <v>319</v>
      </c>
      <c r="F238" s="63">
        <v>28208539</v>
      </c>
      <c r="G238" s="63">
        <v>0</v>
      </c>
      <c r="H238" s="63">
        <v>0</v>
      </c>
      <c r="I238" s="63">
        <v>149886</v>
      </c>
      <c r="J238" s="63">
        <v>0</v>
      </c>
      <c r="K238" s="63">
        <v>149886</v>
      </c>
      <c r="L238" s="63">
        <v>0</v>
      </c>
      <c r="M238" s="63">
        <v>0</v>
      </c>
      <c r="N238" s="63">
        <v>0</v>
      </c>
      <c r="O238" s="63">
        <v>0</v>
      </c>
      <c r="P238" s="63">
        <v>0</v>
      </c>
      <c r="Q238" s="63">
        <v>28058653</v>
      </c>
      <c r="R238" s="474">
        <v>0.5</v>
      </c>
      <c r="S238" s="474">
        <v>0.4</v>
      </c>
      <c r="T238" s="474">
        <v>0.09</v>
      </c>
      <c r="U238" s="474">
        <v>0.01</v>
      </c>
      <c r="V238" s="474">
        <v>1</v>
      </c>
      <c r="W238" s="63">
        <v>14029326</v>
      </c>
      <c r="X238" s="63">
        <v>11223461</v>
      </c>
      <c r="Y238" s="63">
        <v>2525279</v>
      </c>
      <c r="Z238" s="63">
        <v>280587</v>
      </c>
      <c r="AA238" s="63">
        <v>28058653</v>
      </c>
      <c r="AB238" s="63">
        <v>0</v>
      </c>
      <c r="AC238" s="63">
        <v>0</v>
      </c>
      <c r="AD238" s="63">
        <v>0</v>
      </c>
      <c r="AE238" s="63">
        <v>0</v>
      </c>
      <c r="AF238" s="63">
        <v>0</v>
      </c>
      <c r="AG238" s="63">
        <v>0</v>
      </c>
      <c r="AH238" s="63">
        <v>0</v>
      </c>
      <c r="AI238" s="63">
        <v>0</v>
      </c>
      <c r="AJ238" s="63">
        <v>0</v>
      </c>
      <c r="AK238" s="63">
        <v>0</v>
      </c>
      <c r="AL238" s="63">
        <v>14029326</v>
      </c>
      <c r="AM238" s="63">
        <v>11223461</v>
      </c>
      <c r="AN238" s="63">
        <v>2525279</v>
      </c>
      <c r="AO238" s="63">
        <v>280587</v>
      </c>
      <c r="AP238" s="63">
        <v>28058653</v>
      </c>
      <c r="AQ238" s="63">
        <v>149886</v>
      </c>
      <c r="AR238" s="63">
        <v>149886</v>
      </c>
      <c r="AS238" s="63">
        <v>0</v>
      </c>
      <c r="AT238" s="63">
        <v>0</v>
      </c>
      <c r="AU238" s="63">
        <v>0</v>
      </c>
      <c r="AV238" s="63">
        <v>0</v>
      </c>
      <c r="AW238" s="63">
        <v>0</v>
      </c>
      <c r="AX238" s="63">
        <v>0</v>
      </c>
      <c r="AY238" s="63">
        <v>0</v>
      </c>
      <c r="AZ238" s="63">
        <v>0</v>
      </c>
      <c r="BA238" s="63">
        <v>0</v>
      </c>
      <c r="BB238" s="63">
        <v>0</v>
      </c>
      <c r="BC238" s="63">
        <v>0</v>
      </c>
      <c r="BD238" s="63">
        <v>0</v>
      </c>
      <c r="BE238" s="63">
        <v>0</v>
      </c>
      <c r="BF238" s="63">
        <v>0</v>
      </c>
      <c r="BG238" s="63">
        <v>0</v>
      </c>
      <c r="BH238" s="63">
        <v>116745</v>
      </c>
      <c r="BI238" s="63">
        <v>93396</v>
      </c>
      <c r="BJ238" s="63">
        <v>21014</v>
      </c>
      <c r="BK238" s="63">
        <v>2335</v>
      </c>
      <c r="BL238" s="63">
        <v>233490</v>
      </c>
      <c r="BM238" s="63">
        <v>14146071</v>
      </c>
      <c r="BN238" s="63">
        <v>11466743</v>
      </c>
      <c r="BO238" s="63">
        <v>2546293</v>
      </c>
      <c r="BP238" s="63">
        <v>282922</v>
      </c>
      <c r="BQ238" s="63">
        <v>28442029</v>
      </c>
      <c r="BR238" s="63">
        <v>162323</v>
      </c>
      <c r="BS238" s="63">
        <v>36523</v>
      </c>
      <c r="BT238" s="63">
        <v>4058</v>
      </c>
      <c r="BU238" s="63">
        <v>202904</v>
      </c>
      <c r="BV238" s="63">
        <v>554929</v>
      </c>
      <c r="BW238" s="63">
        <v>124859</v>
      </c>
      <c r="BX238" s="63">
        <v>13873</v>
      </c>
      <c r="BY238" s="63">
        <v>693661</v>
      </c>
      <c r="BZ238" s="63">
        <v>16901</v>
      </c>
      <c r="CA238" s="63">
        <v>3803</v>
      </c>
      <c r="CB238" s="63">
        <v>423</v>
      </c>
      <c r="CC238" s="63">
        <v>21127</v>
      </c>
      <c r="CD238" s="63">
        <v>203</v>
      </c>
      <c r="CE238" s="63">
        <v>46</v>
      </c>
      <c r="CF238" s="63">
        <v>5</v>
      </c>
      <c r="CG238" s="63">
        <v>254</v>
      </c>
      <c r="CH238" s="63">
        <v>17189</v>
      </c>
      <c r="CI238" s="63">
        <v>3867</v>
      </c>
      <c r="CJ238" s="63">
        <v>430</v>
      </c>
      <c r="CK238" s="63">
        <v>21486</v>
      </c>
      <c r="CL238" s="63">
        <v>3678</v>
      </c>
      <c r="CM238" s="63">
        <v>827</v>
      </c>
      <c r="CN238" s="63">
        <v>92</v>
      </c>
      <c r="CO238" s="63">
        <v>4597</v>
      </c>
      <c r="CP238" s="63">
        <v>755223</v>
      </c>
      <c r="CQ238" s="63">
        <v>169925</v>
      </c>
      <c r="CR238" s="63">
        <v>18881</v>
      </c>
      <c r="CS238" s="63">
        <v>944029</v>
      </c>
      <c r="CU238" s="141" t="s">
        <v>319</v>
      </c>
      <c r="CV238" s="157" t="s">
        <v>934</v>
      </c>
      <c r="CW238" s="156" t="s">
        <v>935</v>
      </c>
      <c r="CX238" s="345"/>
      <c r="CY238" s="345"/>
      <c r="CZ238" s="345"/>
    </row>
    <row r="239" spans="1:104" ht="12.75" x14ac:dyDescent="0.2">
      <c r="A239" s="90">
        <v>232</v>
      </c>
      <c r="B239" s="129" t="s">
        <v>322</v>
      </c>
      <c r="C239" s="130" t="s">
        <v>501</v>
      </c>
      <c r="D239" s="131" t="s">
        <v>752</v>
      </c>
      <c r="E239" s="132" t="s">
        <v>321</v>
      </c>
      <c r="F239" s="63">
        <v>79740467</v>
      </c>
      <c r="G239" s="63">
        <v>0</v>
      </c>
      <c r="H239" s="63">
        <v>0</v>
      </c>
      <c r="I239" s="63">
        <v>462718</v>
      </c>
      <c r="J239" s="63">
        <v>0</v>
      </c>
      <c r="K239" s="63">
        <v>462718</v>
      </c>
      <c r="L239" s="63">
        <v>0</v>
      </c>
      <c r="M239" s="63">
        <v>0</v>
      </c>
      <c r="N239" s="63">
        <v>202776</v>
      </c>
      <c r="O239" s="63">
        <v>202776</v>
      </c>
      <c r="P239" s="63">
        <v>0</v>
      </c>
      <c r="Q239" s="63">
        <v>79074973</v>
      </c>
      <c r="R239" s="474">
        <v>0.5</v>
      </c>
      <c r="S239" s="474">
        <v>0.49</v>
      </c>
      <c r="T239" s="474">
        <v>0</v>
      </c>
      <c r="U239" s="474">
        <v>0.01</v>
      </c>
      <c r="V239" s="474">
        <v>1</v>
      </c>
      <c r="W239" s="63">
        <v>39537486</v>
      </c>
      <c r="X239" s="63">
        <v>38746737</v>
      </c>
      <c r="Y239" s="63">
        <v>0</v>
      </c>
      <c r="Z239" s="63">
        <v>790750</v>
      </c>
      <c r="AA239" s="63">
        <v>79074973</v>
      </c>
      <c r="AB239" s="63">
        <v>0</v>
      </c>
      <c r="AC239" s="63">
        <v>0</v>
      </c>
      <c r="AD239" s="63">
        <v>0</v>
      </c>
      <c r="AE239" s="63">
        <v>0</v>
      </c>
      <c r="AF239" s="63">
        <v>0</v>
      </c>
      <c r="AG239" s="63">
        <v>0</v>
      </c>
      <c r="AH239" s="63">
        <v>0</v>
      </c>
      <c r="AI239" s="63">
        <v>0</v>
      </c>
      <c r="AJ239" s="63">
        <v>0</v>
      </c>
      <c r="AK239" s="63">
        <v>0</v>
      </c>
      <c r="AL239" s="63">
        <v>39537486</v>
      </c>
      <c r="AM239" s="63">
        <v>38746737</v>
      </c>
      <c r="AN239" s="63">
        <v>0</v>
      </c>
      <c r="AO239" s="63">
        <v>790750</v>
      </c>
      <c r="AP239" s="63">
        <v>79074973</v>
      </c>
      <c r="AQ239" s="63">
        <v>462718</v>
      </c>
      <c r="AR239" s="63">
        <v>462718</v>
      </c>
      <c r="AS239" s="63">
        <v>0</v>
      </c>
      <c r="AT239" s="63">
        <v>0</v>
      </c>
      <c r="AU239" s="63">
        <v>202776</v>
      </c>
      <c r="AV239" s="63">
        <v>0</v>
      </c>
      <c r="AW239" s="63">
        <v>202776</v>
      </c>
      <c r="AX239" s="63">
        <v>0</v>
      </c>
      <c r="AY239" s="63">
        <v>0</v>
      </c>
      <c r="AZ239" s="63">
        <v>0</v>
      </c>
      <c r="BA239" s="63">
        <v>0</v>
      </c>
      <c r="BB239" s="63">
        <v>0</v>
      </c>
      <c r="BC239" s="63">
        <v>0</v>
      </c>
      <c r="BD239" s="63">
        <v>0</v>
      </c>
      <c r="BE239" s="63">
        <v>0</v>
      </c>
      <c r="BF239" s="63">
        <v>0</v>
      </c>
      <c r="BG239" s="63">
        <v>0</v>
      </c>
      <c r="BH239" s="63">
        <v>-9610105</v>
      </c>
      <c r="BI239" s="63">
        <v>-9417903</v>
      </c>
      <c r="BJ239" s="63">
        <v>0</v>
      </c>
      <c r="BK239" s="63">
        <v>-192202</v>
      </c>
      <c r="BL239" s="63">
        <v>-19220210</v>
      </c>
      <c r="BM239" s="63">
        <v>29927381</v>
      </c>
      <c r="BN239" s="63">
        <v>29994328</v>
      </c>
      <c r="BO239" s="63">
        <v>0</v>
      </c>
      <c r="BP239" s="63">
        <v>598548</v>
      </c>
      <c r="BQ239" s="63">
        <v>60520257</v>
      </c>
      <c r="BR239" s="63">
        <v>563319</v>
      </c>
      <c r="BS239" s="63">
        <v>0</v>
      </c>
      <c r="BT239" s="63">
        <v>11436</v>
      </c>
      <c r="BU239" s="63">
        <v>574755</v>
      </c>
      <c r="BV239" s="63">
        <v>2079549</v>
      </c>
      <c r="BW239" s="63">
        <v>0</v>
      </c>
      <c r="BX239" s="63">
        <v>42440</v>
      </c>
      <c r="BY239" s="63">
        <v>2121989</v>
      </c>
      <c r="BZ239" s="63">
        <v>10061</v>
      </c>
      <c r="CA239" s="63">
        <v>0</v>
      </c>
      <c r="CB239" s="63">
        <v>205</v>
      </c>
      <c r="CC239" s="63">
        <v>10266</v>
      </c>
      <c r="CD239" s="63">
        <v>55772</v>
      </c>
      <c r="CE239" s="63">
        <v>0</v>
      </c>
      <c r="CF239" s="63">
        <v>1138</v>
      </c>
      <c r="CG239" s="63">
        <v>56910</v>
      </c>
      <c r="CH239" s="63">
        <v>28704</v>
      </c>
      <c r="CI239" s="63">
        <v>0</v>
      </c>
      <c r="CJ239" s="63">
        <v>586</v>
      </c>
      <c r="CK239" s="63">
        <v>29290</v>
      </c>
      <c r="CL239" s="63">
        <v>12945</v>
      </c>
      <c r="CM239" s="63">
        <v>0</v>
      </c>
      <c r="CN239" s="63">
        <v>264</v>
      </c>
      <c r="CO239" s="63">
        <v>13209</v>
      </c>
      <c r="CP239" s="63">
        <v>2750350</v>
      </c>
      <c r="CQ239" s="63">
        <v>0</v>
      </c>
      <c r="CR239" s="63">
        <v>56069</v>
      </c>
      <c r="CS239" s="63">
        <v>2806419</v>
      </c>
      <c r="CU239" s="141" t="s">
        <v>321</v>
      </c>
      <c r="CV239" s="157" t="s">
        <v>501</v>
      </c>
      <c r="CW239" s="156" t="s">
        <v>984</v>
      </c>
      <c r="CX239" s="345"/>
      <c r="CY239" s="345"/>
      <c r="CZ239" s="345"/>
    </row>
    <row r="240" spans="1:104" ht="12.75" x14ac:dyDescent="0.2">
      <c r="A240" s="90">
        <v>233</v>
      </c>
      <c r="B240" s="129" t="s">
        <v>323</v>
      </c>
      <c r="C240" s="130" t="s">
        <v>501</v>
      </c>
      <c r="D240" s="131" t="s">
        <v>743</v>
      </c>
      <c r="E240" s="132" t="s">
        <v>508</v>
      </c>
      <c r="F240" s="63">
        <v>98922208</v>
      </c>
      <c r="G240" s="63">
        <v>0</v>
      </c>
      <c r="H240" s="63">
        <v>0</v>
      </c>
      <c r="I240" s="63">
        <v>210222</v>
      </c>
      <c r="J240" s="63">
        <v>0</v>
      </c>
      <c r="K240" s="63">
        <v>210222</v>
      </c>
      <c r="L240" s="63">
        <v>0</v>
      </c>
      <c r="M240" s="63">
        <v>0</v>
      </c>
      <c r="N240" s="63">
        <v>0</v>
      </c>
      <c r="O240" s="63">
        <v>0</v>
      </c>
      <c r="P240" s="63">
        <v>0</v>
      </c>
      <c r="Q240" s="63">
        <v>98711986</v>
      </c>
      <c r="R240" s="474">
        <v>0.5</v>
      </c>
      <c r="S240" s="474">
        <v>0.49</v>
      </c>
      <c r="T240" s="474">
        <v>0</v>
      </c>
      <c r="U240" s="474">
        <v>0.01</v>
      </c>
      <c r="V240" s="474">
        <v>1</v>
      </c>
      <c r="W240" s="63">
        <v>49355993</v>
      </c>
      <c r="X240" s="63">
        <v>48368873</v>
      </c>
      <c r="Y240" s="63">
        <v>0</v>
      </c>
      <c r="Z240" s="63">
        <v>987120</v>
      </c>
      <c r="AA240" s="63">
        <v>98711986</v>
      </c>
      <c r="AB240" s="63">
        <v>0</v>
      </c>
      <c r="AC240" s="63">
        <v>0</v>
      </c>
      <c r="AD240" s="63">
        <v>0</v>
      </c>
      <c r="AE240" s="63">
        <v>0</v>
      </c>
      <c r="AF240" s="63">
        <v>0</v>
      </c>
      <c r="AG240" s="63">
        <v>0</v>
      </c>
      <c r="AH240" s="63">
        <v>0</v>
      </c>
      <c r="AI240" s="63">
        <v>0</v>
      </c>
      <c r="AJ240" s="63">
        <v>0</v>
      </c>
      <c r="AK240" s="63">
        <v>0</v>
      </c>
      <c r="AL240" s="63">
        <v>49355993</v>
      </c>
      <c r="AM240" s="63">
        <v>48368873</v>
      </c>
      <c r="AN240" s="63">
        <v>0</v>
      </c>
      <c r="AO240" s="63">
        <v>987120</v>
      </c>
      <c r="AP240" s="63">
        <v>98711986</v>
      </c>
      <c r="AQ240" s="63">
        <v>210222</v>
      </c>
      <c r="AR240" s="63">
        <v>210222</v>
      </c>
      <c r="AS240" s="63">
        <v>0</v>
      </c>
      <c r="AT240" s="63">
        <v>0</v>
      </c>
      <c r="AU240" s="63">
        <v>0</v>
      </c>
      <c r="AV240" s="63">
        <v>0</v>
      </c>
      <c r="AW240" s="63">
        <v>0</v>
      </c>
      <c r="AX240" s="63">
        <v>0</v>
      </c>
      <c r="AY240" s="63">
        <v>0</v>
      </c>
      <c r="AZ240" s="63">
        <v>0</v>
      </c>
      <c r="BA240" s="63">
        <v>0</v>
      </c>
      <c r="BB240" s="63">
        <v>0</v>
      </c>
      <c r="BC240" s="63">
        <v>0</v>
      </c>
      <c r="BD240" s="63">
        <v>0</v>
      </c>
      <c r="BE240" s="63">
        <v>0</v>
      </c>
      <c r="BF240" s="63">
        <v>0</v>
      </c>
      <c r="BG240" s="63">
        <v>0</v>
      </c>
      <c r="BH240" s="63">
        <v>37242</v>
      </c>
      <c r="BI240" s="63">
        <v>36497</v>
      </c>
      <c r="BJ240" s="63">
        <v>0</v>
      </c>
      <c r="BK240" s="63">
        <v>745</v>
      </c>
      <c r="BL240" s="63">
        <v>74484</v>
      </c>
      <c r="BM240" s="63">
        <v>49393235</v>
      </c>
      <c r="BN240" s="63">
        <v>48615592</v>
      </c>
      <c r="BO240" s="63">
        <v>0</v>
      </c>
      <c r="BP240" s="63">
        <v>987865</v>
      </c>
      <c r="BQ240" s="63">
        <v>98996692</v>
      </c>
      <c r="BR240" s="63">
        <v>699550</v>
      </c>
      <c r="BS240" s="63">
        <v>0</v>
      </c>
      <c r="BT240" s="63">
        <v>14277</v>
      </c>
      <c r="BU240" s="63">
        <v>713827</v>
      </c>
      <c r="BV240" s="63">
        <v>336164</v>
      </c>
      <c r="BW240" s="63">
        <v>0</v>
      </c>
      <c r="BX240" s="63">
        <v>6860</v>
      </c>
      <c r="BY240" s="63">
        <v>343024</v>
      </c>
      <c r="BZ240" s="63">
        <v>3626</v>
      </c>
      <c r="CA240" s="63">
        <v>0</v>
      </c>
      <c r="CB240" s="63">
        <v>74</v>
      </c>
      <c r="CC240" s="63">
        <v>3700</v>
      </c>
      <c r="CD240" s="63">
        <v>40516</v>
      </c>
      <c r="CE240" s="63">
        <v>0</v>
      </c>
      <c r="CF240" s="63">
        <v>827</v>
      </c>
      <c r="CG240" s="63">
        <v>41343</v>
      </c>
      <c r="CH240" s="63">
        <v>16609</v>
      </c>
      <c r="CI240" s="63">
        <v>0</v>
      </c>
      <c r="CJ240" s="63">
        <v>339</v>
      </c>
      <c r="CK240" s="63">
        <v>16948</v>
      </c>
      <c r="CL240" s="63">
        <v>0</v>
      </c>
      <c r="CM240" s="63">
        <v>0</v>
      </c>
      <c r="CN240" s="63">
        <v>0</v>
      </c>
      <c r="CO240" s="63">
        <v>0</v>
      </c>
      <c r="CP240" s="63">
        <v>1096465</v>
      </c>
      <c r="CQ240" s="63">
        <v>0</v>
      </c>
      <c r="CR240" s="63">
        <v>22377</v>
      </c>
      <c r="CS240" s="63">
        <v>1118842</v>
      </c>
      <c r="CU240" s="141" t="s">
        <v>508</v>
      </c>
      <c r="CV240" s="157" t="s">
        <v>501</v>
      </c>
      <c r="CW240" s="156" t="s">
        <v>956</v>
      </c>
      <c r="CX240" s="345"/>
      <c r="CY240" s="345"/>
      <c r="CZ240" s="345"/>
    </row>
    <row r="241" spans="1:104" ht="12.75" x14ac:dyDescent="0.2">
      <c r="A241" s="90">
        <v>234</v>
      </c>
      <c r="B241" s="129" t="s">
        <v>325</v>
      </c>
      <c r="C241" s="130" t="s">
        <v>749</v>
      </c>
      <c r="D241" s="131" t="s">
        <v>752</v>
      </c>
      <c r="E241" s="132" t="s">
        <v>324</v>
      </c>
      <c r="F241" s="63">
        <v>120463376</v>
      </c>
      <c r="G241" s="63">
        <v>0</v>
      </c>
      <c r="H241" s="63">
        <v>0</v>
      </c>
      <c r="I241" s="63">
        <v>252068</v>
      </c>
      <c r="J241" s="63">
        <v>0</v>
      </c>
      <c r="K241" s="63">
        <v>252068</v>
      </c>
      <c r="L241" s="63">
        <v>0</v>
      </c>
      <c r="M241" s="63">
        <v>0</v>
      </c>
      <c r="N241" s="63">
        <v>0</v>
      </c>
      <c r="O241" s="63">
        <v>0</v>
      </c>
      <c r="P241" s="63">
        <v>0</v>
      </c>
      <c r="Q241" s="63">
        <v>120211308</v>
      </c>
      <c r="R241" s="474">
        <v>0.5</v>
      </c>
      <c r="S241" s="474">
        <v>0.49</v>
      </c>
      <c r="T241" s="474">
        <v>0</v>
      </c>
      <c r="U241" s="474">
        <v>0.01</v>
      </c>
      <c r="V241" s="474">
        <v>1</v>
      </c>
      <c r="W241" s="63">
        <v>60105654</v>
      </c>
      <c r="X241" s="63">
        <v>58903541</v>
      </c>
      <c r="Y241" s="63">
        <v>0</v>
      </c>
      <c r="Z241" s="63">
        <v>1202113</v>
      </c>
      <c r="AA241" s="63">
        <v>120211308</v>
      </c>
      <c r="AB241" s="63">
        <v>0</v>
      </c>
      <c r="AC241" s="63">
        <v>0</v>
      </c>
      <c r="AD241" s="63">
        <v>0</v>
      </c>
      <c r="AE241" s="63">
        <v>0</v>
      </c>
      <c r="AF241" s="63">
        <v>0</v>
      </c>
      <c r="AG241" s="63">
        <v>0</v>
      </c>
      <c r="AH241" s="63">
        <v>0</v>
      </c>
      <c r="AI241" s="63">
        <v>0</v>
      </c>
      <c r="AJ241" s="63">
        <v>0</v>
      </c>
      <c r="AK241" s="63">
        <v>0</v>
      </c>
      <c r="AL241" s="63">
        <v>60105654</v>
      </c>
      <c r="AM241" s="63">
        <v>58903541</v>
      </c>
      <c r="AN241" s="63">
        <v>0</v>
      </c>
      <c r="AO241" s="63">
        <v>1202113</v>
      </c>
      <c r="AP241" s="63">
        <v>120211308</v>
      </c>
      <c r="AQ241" s="63">
        <v>252068</v>
      </c>
      <c r="AR241" s="63">
        <v>252068</v>
      </c>
      <c r="AS241" s="63">
        <v>0</v>
      </c>
      <c r="AT241" s="63">
        <v>0</v>
      </c>
      <c r="AU241" s="63">
        <v>0</v>
      </c>
      <c r="AV241" s="63">
        <v>0</v>
      </c>
      <c r="AW241" s="63">
        <v>0</v>
      </c>
      <c r="AX241" s="63">
        <v>0</v>
      </c>
      <c r="AY241" s="63">
        <v>0</v>
      </c>
      <c r="AZ241" s="63">
        <v>0</v>
      </c>
      <c r="BA241" s="63">
        <v>0</v>
      </c>
      <c r="BB241" s="63">
        <v>0</v>
      </c>
      <c r="BC241" s="63">
        <v>0</v>
      </c>
      <c r="BD241" s="63">
        <v>0</v>
      </c>
      <c r="BE241" s="63">
        <v>0</v>
      </c>
      <c r="BF241" s="63">
        <v>0</v>
      </c>
      <c r="BG241" s="63">
        <v>0</v>
      </c>
      <c r="BH241" s="63">
        <v>-3161484</v>
      </c>
      <c r="BI241" s="63">
        <v>-3098255</v>
      </c>
      <c r="BJ241" s="63">
        <v>0</v>
      </c>
      <c r="BK241" s="63">
        <v>-63230</v>
      </c>
      <c r="BL241" s="63">
        <v>-6322968.5</v>
      </c>
      <c r="BM241" s="63">
        <v>56944170</v>
      </c>
      <c r="BN241" s="63">
        <v>56057354</v>
      </c>
      <c r="BO241" s="63">
        <v>0</v>
      </c>
      <c r="BP241" s="63">
        <v>1138883</v>
      </c>
      <c r="BQ241" s="63">
        <v>114140408</v>
      </c>
      <c r="BR241" s="63">
        <v>851911</v>
      </c>
      <c r="BS241" s="63">
        <v>0</v>
      </c>
      <c r="BT241" s="63">
        <v>17386</v>
      </c>
      <c r="BU241" s="63">
        <v>869297</v>
      </c>
      <c r="BV241" s="63">
        <v>569821</v>
      </c>
      <c r="BW241" s="63">
        <v>0</v>
      </c>
      <c r="BX241" s="63">
        <v>11629</v>
      </c>
      <c r="BY241" s="63">
        <v>581450</v>
      </c>
      <c r="BZ241" s="63">
        <v>994</v>
      </c>
      <c r="CA241" s="63">
        <v>0</v>
      </c>
      <c r="CB241" s="63">
        <v>20</v>
      </c>
      <c r="CC241" s="63">
        <v>1014</v>
      </c>
      <c r="CD241" s="63">
        <v>216190</v>
      </c>
      <c r="CE241" s="63">
        <v>0</v>
      </c>
      <c r="CF241" s="63">
        <v>4412</v>
      </c>
      <c r="CG241" s="63">
        <v>220602</v>
      </c>
      <c r="CH241" s="63">
        <v>12789</v>
      </c>
      <c r="CI241" s="63">
        <v>0</v>
      </c>
      <c r="CJ241" s="63">
        <v>261</v>
      </c>
      <c r="CK241" s="63">
        <v>13050</v>
      </c>
      <c r="CL241" s="63">
        <v>42</v>
      </c>
      <c r="CM241" s="63">
        <v>0</v>
      </c>
      <c r="CN241" s="63">
        <v>1</v>
      </c>
      <c r="CO241" s="63">
        <v>43</v>
      </c>
      <c r="CP241" s="63">
        <v>1651747</v>
      </c>
      <c r="CQ241" s="63">
        <v>0</v>
      </c>
      <c r="CR241" s="63">
        <v>33709</v>
      </c>
      <c r="CS241" s="63">
        <v>1685456</v>
      </c>
      <c r="CU241" s="141" t="s">
        <v>324</v>
      </c>
      <c r="CV241" s="157" t="s">
        <v>941</v>
      </c>
      <c r="CW241" s="156" t="s">
        <v>949</v>
      </c>
      <c r="CX241" s="345"/>
      <c r="CY241" s="345"/>
      <c r="CZ241" s="345"/>
    </row>
    <row r="242" spans="1:104" ht="12.75" x14ac:dyDescent="0.2">
      <c r="A242" s="90">
        <v>235</v>
      </c>
      <c r="B242" s="129" t="s">
        <v>327</v>
      </c>
      <c r="C242" s="130" t="s">
        <v>742</v>
      </c>
      <c r="D242" s="131" t="s">
        <v>743</v>
      </c>
      <c r="E242" s="132" t="s">
        <v>326</v>
      </c>
      <c r="F242" s="63">
        <v>33090091</v>
      </c>
      <c r="G242" s="63">
        <v>0</v>
      </c>
      <c r="H242" s="63">
        <v>0</v>
      </c>
      <c r="I242" s="63">
        <v>97762</v>
      </c>
      <c r="J242" s="63">
        <v>0</v>
      </c>
      <c r="K242" s="63">
        <v>97762</v>
      </c>
      <c r="L242" s="63">
        <v>0</v>
      </c>
      <c r="M242" s="63">
        <v>0</v>
      </c>
      <c r="N242" s="63">
        <v>0</v>
      </c>
      <c r="O242" s="63">
        <v>0</v>
      </c>
      <c r="P242" s="63">
        <v>0</v>
      </c>
      <c r="Q242" s="63">
        <v>32992329</v>
      </c>
      <c r="R242" s="474">
        <v>0.5</v>
      </c>
      <c r="S242" s="474">
        <v>0.4</v>
      </c>
      <c r="T242" s="474">
        <v>0.09</v>
      </c>
      <c r="U242" s="474">
        <v>0.01</v>
      </c>
      <c r="V242" s="474">
        <v>1</v>
      </c>
      <c r="W242" s="63">
        <v>16496164</v>
      </c>
      <c r="X242" s="63">
        <v>13196932</v>
      </c>
      <c r="Y242" s="63">
        <v>2969310</v>
      </c>
      <c r="Z242" s="63">
        <v>329923</v>
      </c>
      <c r="AA242" s="63">
        <v>32992329</v>
      </c>
      <c r="AB242" s="63">
        <v>0</v>
      </c>
      <c r="AC242" s="63">
        <v>0</v>
      </c>
      <c r="AD242" s="63">
        <v>0</v>
      </c>
      <c r="AE242" s="63">
        <v>0</v>
      </c>
      <c r="AF242" s="63">
        <v>0</v>
      </c>
      <c r="AG242" s="63">
        <v>0</v>
      </c>
      <c r="AH242" s="63">
        <v>0</v>
      </c>
      <c r="AI242" s="63">
        <v>0</v>
      </c>
      <c r="AJ242" s="63">
        <v>0</v>
      </c>
      <c r="AK242" s="63">
        <v>0</v>
      </c>
      <c r="AL242" s="63">
        <v>16496164</v>
      </c>
      <c r="AM242" s="63">
        <v>13196932</v>
      </c>
      <c r="AN242" s="63">
        <v>2969310</v>
      </c>
      <c r="AO242" s="63">
        <v>329923</v>
      </c>
      <c r="AP242" s="63">
        <v>32992329</v>
      </c>
      <c r="AQ242" s="63">
        <v>97762</v>
      </c>
      <c r="AR242" s="63">
        <v>97762</v>
      </c>
      <c r="AS242" s="63">
        <v>0</v>
      </c>
      <c r="AT242" s="63">
        <v>0</v>
      </c>
      <c r="AU242" s="63">
        <v>0</v>
      </c>
      <c r="AV242" s="63">
        <v>0</v>
      </c>
      <c r="AW242" s="63">
        <v>0</v>
      </c>
      <c r="AX242" s="63">
        <v>0</v>
      </c>
      <c r="AY242" s="63">
        <v>0</v>
      </c>
      <c r="AZ242" s="63">
        <v>0</v>
      </c>
      <c r="BA242" s="63">
        <v>0</v>
      </c>
      <c r="BB242" s="63">
        <v>0</v>
      </c>
      <c r="BC242" s="63">
        <v>0</v>
      </c>
      <c r="BD242" s="63">
        <v>0</v>
      </c>
      <c r="BE242" s="63">
        <v>0</v>
      </c>
      <c r="BF242" s="63">
        <v>0</v>
      </c>
      <c r="BG242" s="63">
        <v>0</v>
      </c>
      <c r="BH242" s="63">
        <v>-2287774</v>
      </c>
      <c r="BI242" s="63">
        <v>-1830220</v>
      </c>
      <c r="BJ242" s="63">
        <v>-411800</v>
      </c>
      <c r="BK242" s="63">
        <v>-45756</v>
      </c>
      <c r="BL242" s="63">
        <v>-4575550</v>
      </c>
      <c r="BM242" s="63">
        <v>14208390</v>
      </c>
      <c r="BN242" s="63">
        <v>11464474</v>
      </c>
      <c r="BO242" s="63">
        <v>2557510</v>
      </c>
      <c r="BP242" s="63">
        <v>284167</v>
      </c>
      <c r="BQ242" s="63">
        <v>28514541</v>
      </c>
      <c r="BR242" s="63">
        <v>190865</v>
      </c>
      <c r="BS242" s="63">
        <v>42945</v>
      </c>
      <c r="BT242" s="63">
        <v>4772</v>
      </c>
      <c r="BU242" s="63">
        <v>238582</v>
      </c>
      <c r="BV242" s="63">
        <v>182222</v>
      </c>
      <c r="BW242" s="63">
        <v>41000</v>
      </c>
      <c r="BX242" s="63">
        <v>4556</v>
      </c>
      <c r="BY242" s="63">
        <v>227778</v>
      </c>
      <c r="BZ242" s="63">
        <v>0</v>
      </c>
      <c r="CA242" s="63">
        <v>0</v>
      </c>
      <c r="CB242" s="63">
        <v>0</v>
      </c>
      <c r="CC242" s="63">
        <v>0</v>
      </c>
      <c r="CD242" s="63">
        <v>0</v>
      </c>
      <c r="CE242" s="63">
        <v>0</v>
      </c>
      <c r="CF242" s="63">
        <v>0</v>
      </c>
      <c r="CG242" s="63">
        <v>0</v>
      </c>
      <c r="CH242" s="63">
        <v>0</v>
      </c>
      <c r="CI242" s="63">
        <v>0</v>
      </c>
      <c r="CJ242" s="63">
        <v>0</v>
      </c>
      <c r="CK242" s="63">
        <v>0</v>
      </c>
      <c r="CL242" s="63">
        <v>0</v>
      </c>
      <c r="CM242" s="63">
        <v>0</v>
      </c>
      <c r="CN242" s="63">
        <v>0</v>
      </c>
      <c r="CO242" s="63">
        <v>0</v>
      </c>
      <c r="CP242" s="63">
        <v>373087</v>
      </c>
      <c r="CQ242" s="63">
        <v>83945</v>
      </c>
      <c r="CR242" s="63">
        <v>9328</v>
      </c>
      <c r="CS242" s="63">
        <v>466360</v>
      </c>
      <c r="CU242" s="141" t="s">
        <v>326</v>
      </c>
      <c r="CV242" s="157" t="s">
        <v>936</v>
      </c>
      <c r="CW242" s="156" t="s">
        <v>937</v>
      </c>
      <c r="CX242" s="345"/>
      <c r="CY242" s="345"/>
      <c r="CZ242" s="345"/>
    </row>
    <row r="243" spans="1:104" ht="12.75" x14ac:dyDescent="0.2">
      <c r="A243" s="90">
        <v>236</v>
      </c>
      <c r="B243" s="129" t="s">
        <v>329</v>
      </c>
      <c r="C243" s="130" t="s">
        <v>742</v>
      </c>
      <c r="D243" s="131" t="s">
        <v>746</v>
      </c>
      <c r="E243" s="132" t="s">
        <v>328</v>
      </c>
      <c r="F243" s="63">
        <v>73362121</v>
      </c>
      <c r="G243" s="63">
        <v>0</v>
      </c>
      <c r="H243" s="63">
        <v>0</v>
      </c>
      <c r="I243" s="63">
        <v>223204</v>
      </c>
      <c r="J243" s="63">
        <v>0</v>
      </c>
      <c r="K243" s="63">
        <v>223204</v>
      </c>
      <c r="L243" s="63">
        <v>0</v>
      </c>
      <c r="M243" s="63">
        <v>0</v>
      </c>
      <c r="N243" s="63">
        <v>548372</v>
      </c>
      <c r="O243" s="63">
        <v>548372</v>
      </c>
      <c r="P243" s="63">
        <v>0</v>
      </c>
      <c r="Q243" s="63">
        <v>72590545</v>
      </c>
      <c r="R243" s="474">
        <v>0.5</v>
      </c>
      <c r="S243" s="474">
        <v>0.4</v>
      </c>
      <c r="T243" s="474">
        <v>0.09</v>
      </c>
      <c r="U243" s="474">
        <v>0.01</v>
      </c>
      <c r="V243" s="474">
        <v>1</v>
      </c>
      <c r="W243" s="63">
        <v>36295273</v>
      </c>
      <c r="X243" s="63">
        <v>29036218</v>
      </c>
      <c r="Y243" s="63">
        <v>6533149</v>
      </c>
      <c r="Z243" s="63">
        <v>725905</v>
      </c>
      <c r="AA243" s="63">
        <v>72590545</v>
      </c>
      <c r="AB243" s="63">
        <v>0</v>
      </c>
      <c r="AC243" s="63">
        <v>0</v>
      </c>
      <c r="AD243" s="63">
        <v>0</v>
      </c>
      <c r="AE243" s="63">
        <v>0</v>
      </c>
      <c r="AF243" s="63">
        <v>0</v>
      </c>
      <c r="AG243" s="63">
        <v>0</v>
      </c>
      <c r="AH243" s="63">
        <v>0</v>
      </c>
      <c r="AI243" s="63">
        <v>0</v>
      </c>
      <c r="AJ243" s="63">
        <v>0</v>
      </c>
      <c r="AK243" s="63">
        <v>0</v>
      </c>
      <c r="AL243" s="63">
        <v>36295273</v>
      </c>
      <c r="AM243" s="63">
        <v>29036218</v>
      </c>
      <c r="AN243" s="63">
        <v>6533149</v>
      </c>
      <c r="AO243" s="63">
        <v>725905</v>
      </c>
      <c r="AP243" s="63">
        <v>72590545</v>
      </c>
      <c r="AQ243" s="63">
        <v>223204</v>
      </c>
      <c r="AR243" s="63">
        <v>223204</v>
      </c>
      <c r="AS243" s="63">
        <v>0</v>
      </c>
      <c r="AT243" s="63">
        <v>0</v>
      </c>
      <c r="AU243" s="63">
        <v>548372</v>
      </c>
      <c r="AV243" s="63">
        <v>0</v>
      </c>
      <c r="AW243" s="63">
        <v>548372</v>
      </c>
      <c r="AX243" s="63">
        <v>0</v>
      </c>
      <c r="AY243" s="63">
        <v>0</v>
      </c>
      <c r="AZ243" s="63">
        <v>0</v>
      </c>
      <c r="BA243" s="63">
        <v>0</v>
      </c>
      <c r="BB243" s="63">
        <v>0</v>
      </c>
      <c r="BC243" s="63">
        <v>0</v>
      </c>
      <c r="BD243" s="63">
        <v>0</v>
      </c>
      <c r="BE243" s="63">
        <v>0</v>
      </c>
      <c r="BF243" s="63">
        <v>0</v>
      </c>
      <c r="BG243" s="63">
        <v>0</v>
      </c>
      <c r="BH243" s="63">
        <v>-191474</v>
      </c>
      <c r="BI243" s="63">
        <v>-153178</v>
      </c>
      <c r="BJ243" s="63">
        <v>-34465</v>
      </c>
      <c r="BK243" s="63">
        <v>-3829</v>
      </c>
      <c r="BL243" s="63">
        <v>-382946</v>
      </c>
      <c r="BM243" s="63">
        <v>36103799</v>
      </c>
      <c r="BN243" s="63">
        <v>29654616</v>
      </c>
      <c r="BO243" s="63">
        <v>6498684</v>
      </c>
      <c r="BP243" s="63">
        <v>722076</v>
      </c>
      <c r="BQ243" s="63">
        <v>72979175</v>
      </c>
      <c r="BR243" s="63">
        <v>427876</v>
      </c>
      <c r="BS243" s="63">
        <v>94488</v>
      </c>
      <c r="BT243" s="63">
        <v>10499</v>
      </c>
      <c r="BU243" s="63">
        <v>532863</v>
      </c>
      <c r="BV243" s="63">
        <v>524206</v>
      </c>
      <c r="BW243" s="63">
        <v>117946</v>
      </c>
      <c r="BX243" s="63">
        <v>13105</v>
      </c>
      <c r="BY243" s="63">
        <v>655257</v>
      </c>
      <c r="BZ243" s="63">
        <v>4601</v>
      </c>
      <c r="CA243" s="63">
        <v>1035</v>
      </c>
      <c r="CB243" s="63">
        <v>115</v>
      </c>
      <c r="CC243" s="63">
        <v>5751</v>
      </c>
      <c r="CD243" s="63">
        <v>10286</v>
      </c>
      <c r="CE243" s="63">
        <v>2314</v>
      </c>
      <c r="CF243" s="63">
        <v>257</v>
      </c>
      <c r="CG243" s="63">
        <v>12857</v>
      </c>
      <c r="CH243" s="63">
        <v>3209</v>
      </c>
      <c r="CI243" s="63">
        <v>722</v>
      </c>
      <c r="CJ243" s="63">
        <v>80</v>
      </c>
      <c r="CK243" s="63">
        <v>4011</v>
      </c>
      <c r="CL243" s="63">
        <v>8556</v>
      </c>
      <c r="CM243" s="63">
        <v>1925</v>
      </c>
      <c r="CN243" s="63">
        <v>214</v>
      </c>
      <c r="CO243" s="63">
        <v>10695</v>
      </c>
      <c r="CP243" s="63">
        <v>978734</v>
      </c>
      <c r="CQ243" s="63">
        <v>218430</v>
      </c>
      <c r="CR243" s="63">
        <v>24270</v>
      </c>
      <c r="CS243" s="63">
        <v>1221434</v>
      </c>
      <c r="CU243" s="141" t="s">
        <v>328</v>
      </c>
      <c r="CV243" s="157" t="s">
        <v>962</v>
      </c>
      <c r="CW243" s="156" t="s">
        <v>963</v>
      </c>
      <c r="CX243" s="345"/>
      <c r="CY243" s="345"/>
      <c r="CZ243" s="345"/>
    </row>
    <row r="244" spans="1:104" ht="12.75" x14ac:dyDescent="0.2">
      <c r="A244" s="90">
        <v>237</v>
      </c>
      <c r="B244" s="129" t="s">
        <v>331</v>
      </c>
      <c r="C244" s="130" t="s">
        <v>742</v>
      </c>
      <c r="D244" s="131" t="s">
        <v>745</v>
      </c>
      <c r="E244" s="132" t="s">
        <v>330</v>
      </c>
      <c r="F244" s="63">
        <v>23625679</v>
      </c>
      <c r="G244" s="63">
        <v>0</v>
      </c>
      <c r="H244" s="63">
        <v>0</v>
      </c>
      <c r="I244" s="63">
        <v>91482</v>
      </c>
      <c r="J244" s="63">
        <v>0</v>
      </c>
      <c r="K244" s="63">
        <v>91482</v>
      </c>
      <c r="L244" s="63">
        <v>0</v>
      </c>
      <c r="M244" s="63">
        <v>0</v>
      </c>
      <c r="N244" s="63">
        <v>0</v>
      </c>
      <c r="O244" s="63">
        <v>0</v>
      </c>
      <c r="P244" s="63">
        <v>0</v>
      </c>
      <c r="Q244" s="63">
        <v>23534197</v>
      </c>
      <c r="R244" s="474">
        <v>0.5</v>
      </c>
      <c r="S244" s="474">
        <v>0.4</v>
      </c>
      <c r="T244" s="474">
        <v>0.09</v>
      </c>
      <c r="U244" s="474">
        <v>0.01</v>
      </c>
      <c r="V244" s="474">
        <v>1</v>
      </c>
      <c r="W244" s="63">
        <v>11767098</v>
      </c>
      <c r="X244" s="63">
        <v>9413679</v>
      </c>
      <c r="Y244" s="63">
        <v>2118078</v>
      </c>
      <c r="Z244" s="63">
        <v>235342</v>
      </c>
      <c r="AA244" s="63">
        <v>23534197</v>
      </c>
      <c r="AB244" s="63">
        <v>0</v>
      </c>
      <c r="AC244" s="63">
        <v>0</v>
      </c>
      <c r="AD244" s="63">
        <v>0</v>
      </c>
      <c r="AE244" s="63">
        <v>0</v>
      </c>
      <c r="AF244" s="63">
        <v>0</v>
      </c>
      <c r="AG244" s="63">
        <v>0</v>
      </c>
      <c r="AH244" s="63">
        <v>0</v>
      </c>
      <c r="AI244" s="63">
        <v>0</v>
      </c>
      <c r="AJ244" s="63">
        <v>0</v>
      </c>
      <c r="AK244" s="63">
        <v>0</v>
      </c>
      <c r="AL244" s="63">
        <v>11767098</v>
      </c>
      <c r="AM244" s="63">
        <v>9413679</v>
      </c>
      <c r="AN244" s="63">
        <v>2118078</v>
      </c>
      <c r="AO244" s="63">
        <v>235342</v>
      </c>
      <c r="AP244" s="63">
        <v>23534197</v>
      </c>
      <c r="AQ244" s="63">
        <v>91482</v>
      </c>
      <c r="AR244" s="63">
        <v>91482</v>
      </c>
      <c r="AS244" s="63">
        <v>0</v>
      </c>
      <c r="AT244" s="63">
        <v>0</v>
      </c>
      <c r="AU244" s="63">
        <v>0</v>
      </c>
      <c r="AV244" s="63">
        <v>0</v>
      </c>
      <c r="AW244" s="63">
        <v>0</v>
      </c>
      <c r="AX244" s="63">
        <v>0</v>
      </c>
      <c r="AY244" s="63">
        <v>0</v>
      </c>
      <c r="AZ244" s="63">
        <v>0</v>
      </c>
      <c r="BA244" s="63">
        <v>0</v>
      </c>
      <c r="BB244" s="63">
        <v>0</v>
      </c>
      <c r="BC244" s="63">
        <v>0</v>
      </c>
      <c r="BD244" s="63">
        <v>0</v>
      </c>
      <c r="BE244" s="63">
        <v>0</v>
      </c>
      <c r="BF244" s="63">
        <v>0</v>
      </c>
      <c r="BG244" s="63">
        <v>0</v>
      </c>
      <c r="BH244" s="63">
        <v>274152</v>
      </c>
      <c r="BI244" s="63">
        <v>219322</v>
      </c>
      <c r="BJ244" s="63">
        <v>49347</v>
      </c>
      <c r="BK244" s="63">
        <v>5483</v>
      </c>
      <c r="BL244" s="63">
        <v>548304</v>
      </c>
      <c r="BM244" s="63">
        <v>12041250</v>
      </c>
      <c r="BN244" s="63">
        <v>9724483</v>
      </c>
      <c r="BO244" s="63">
        <v>2167425</v>
      </c>
      <c r="BP244" s="63">
        <v>240825</v>
      </c>
      <c r="BQ244" s="63">
        <v>24173983</v>
      </c>
      <c r="BR244" s="63">
        <v>136148</v>
      </c>
      <c r="BS244" s="63">
        <v>30633</v>
      </c>
      <c r="BT244" s="63">
        <v>3404</v>
      </c>
      <c r="BU244" s="63">
        <v>170185</v>
      </c>
      <c r="BV244" s="63">
        <v>299696</v>
      </c>
      <c r="BW244" s="63">
        <v>67431</v>
      </c>
      <c r="BX244" s="63">
        <v>7492</v>
      </c>
      <c r="BY244" s="63">
        <v>374619</v>
      </c>
      <c r="BZ244" s="63">
        <v>1956</v>
      </c>
      <c r="CA244" s="63">
        <v>440</v>
      </c>
      <c r="CB244" s="63">
        <v>49</v>
      </c>
      <c r="CC244" s="63">
        <v>2445</v>
      </c>
      <c r="CD244" s="63">
        <v>2434</v>
      </c>
      <c r="CE244" s="63">
        <v>548</v>
      </c>
      <c r="CF244" s="63">
        <v>61</v>
      </c>
      <c r="CG244" s="63">
        <v>3043</v>
      </c>
      <c r="CH244" s="63">
        <v>4058</v>
      </c>
      <c r="CI244" s="63">
        <v>913</v>
      </c>
      <c r="CJ244" s="63">
        <v>101</v>
      </c>
      <c r="CK244" s="63">
        <v>5072</v>
      </c>
      <c r="CL244" s="63">
        <v>0</v>
      </c>
      <c r="CM244" s="63">
        <v>0</v>
      </c>
      <c r="CN244" s="63">
        <v>0</v>
      </c>
      <c r="CO244" s="63">
        <v>0</v>
      </c>
      <c r="CP244" s="63">
        <v>444292</v>
      </c>
      <c r="CQ244" s="63">
        <v>99965</v>
      </c>
      <c r="CR244" s="63">
        <v>11107</v>
      </c>
      <c r="CS244" s="63">
        <v>555364</v>
      </c>
      <c r="CU244" s="141" t="s">
        <v>330</v>
      </c>
      <c r="CV244" s="157" t="s">
        <v>930</v>
      </c>
      <c r="CW244" s="156" t="s">
        <v>931</v>
      </c>
      <c r="CX244" s="345"/>
      <c r="CY244" s="345"/>
      <c r="CZ244" s="345"/>
    </row>
    <row r="245" spans="1:104" ht="12.75" x14ac:dyDescent="0.2">
      <c r="A245" s="90">
        <v>238</v>
      </c>
      <c r="B245" s="129" t="s">
        <v>332</v>
      </c>
      <c r="C245" s="130" t="s">
        <v>501</v>
      </c>
      <c r="D245" s="131" t="s">
        <v>751</v>
      </c>
      <c r="E245" s="132" t="s">
        <v>502</v>
      </c>
      <c r="F245" s="63">
        <v>149278610</v>
      </c>
      <c r="G245" s="63">
        <v>0</v>
      </c>
      <c r="H245" s="63">
        <v>0</v>
      </c>
      <c r="I245" s="63">
        <v>336111</v>
      </c>
      <c r="J245" s="63">
        <v>0</v>
      </c>
      <c r="K245" s="63">
        <v>336111</v>
      </c>
      <c r="L245" s="63">
        <v>0</v>
      </c>
      <c r="M245" s="63">
        <v>4905143</v>
      </c>
      <c r="N245" s="63">
        <v>196898</v>
      </c>
      <c r="O245" s="63">
        <v>196898</v>
      </c>
      <c r="P245" s="63">
        <v>0</v>
      </c>
      <c r="Q245" s="63">
        <v>143840458</v>
      </c>
      <c r="R245" s="474">
        <v>0.5</v>
      </c>
      <c r="S245" s="474">
        <v>0.49</v>
      </c>
      <c r="T245" s="474">
        <v>0</v>
      </c>
      <c r="U245" s="474">
        <v>0.01</v>
      </c>
      <c r="V245" s="474">
        <v>1</v>
      </c>
      <c r="W245" s="63">
        <v>71920229</v>
      </c>
      <c r="X245" s="63">
        <v>70481824</v>
      </c>
      <c r="Y245" s="63">
        <v>0</v>
      </c>
      <c r="Z245" s="63">
        <v>1438405</v>
      </c>
      <c r="AA245" s="63">
        <v>143840458</v>
      </c>
      <c r="AB245" s="63">
        <v>0</v>
      </c>
      <c r="AC245" s="63">
        <v>0</v>
      </c>
      <c r="AD245" s="63">
        <v>0</v>
      </c>
      <c r="AE245" s="63">
        <v>0</v>
      </c>
      <c r="AF245" s="63">
        <v>0</v>
      </c>
      <c r="AG245" s="63">
        <v>0</v>
      </c>
      <c r="AH245" s="63">
        <v>0</v>
      </c>
      <c r="AI245" s="63">
        <v>0</v>
      </c>
      <c r="AJ245" s="63">
        <v>0</v>
      </c>
      <c r="AK245" s="63">
        <v>0</v>
      </c>
      <c r="AL245" s="63">
        <v>71920229</v>
      </c>
      <c r="AM245" s="63">
        <v>70481824</v>
      </c>
      <c r="AN245" s="63">
        <v>0</v>
      </c>
      <c r="AO245" s="63">
        <v>1438405</v>
      </c>
      <c r="AP245" s="63">
        <v>143840458</v>
      </c>
      <c r="AQ245" s="63">
        <v>336111</v>
      </c>
      <c r="AR245" s="63">
        <v>336111</v>
      </c>
      <c r="AS245" s="63">
        <v>4905143</v>
      </c>
      <c r="AT245" s="63">
        <v>4905143</v>
      </c>
      <c r="AU245" s="63">
        <v>196898</v>
      </c>
      <c r="AV245" s="63">
        <v>0</v>
      </c>
      <c r="AW245" s="63">
        <v>196898</v>
      </c>
      <c r="AX245" s="63">
        <v>0</v>
      </c>
      <c r="AY245" s="63">
        <v>0</v>
      </c>
      <c r="AZ245" s="63">
        <v>0</v>
      </c>
      <c r="BA245" s="63">
        <v>0</v>
      </c>
      <c r="BB245" s="63">
        <v>0</v>
      </c>
      <c r="BC245" s="63">
        <v>0</v>
      </c>
      <c r="BD245" s="63">
        <v>0</v>
      </c>
      <c r="BE245" s="63">
        <v>0</v>
      </c>
      <c r="BF245" s="63">
        <v>0</v>
      </c>
      <c r="BG245" s="63">
        <v>0</v>
      </c>
      <c r="BH245" s="63">
        <v>-6231015</v>
      </c>
      <c r="BI245" s="63">
        <v>-6106395</v>
      </c>
      <c r="BJ245" s="63">
        <v>0</v>
      </c>
      <c r="BK245" s="63">
        <v>-124620</v>
      </c>
      <c r="BL245" s="63">
        <v>-12462030</v>
      </c>
      <c r="BM245" s="63">
        <v>65689214</v>
      </c>
      <c r="BN245" s="63">
        <v>69813581</v>
      </c>
      <c r="BO245" s="63">
        <v>0</v>
      </c>
      <c r="BP245" s="63">
        <v>1313785</v>
      </c>
      <c r="BQ245" s="63">
        <v>136816580</v>
      </c>
      <c r="BR245" s="63">
        <v>1093155</v>
      </c>
      <c r="BS245" s="63">
        <v>0</v>
      </c>
      <c r="BT245" s="63">
        <v>20803</v>
      </c>
      <c r="BU245" s="63">
        <v>1113958</v>
      </c>
      <c r="BV245" s="63">
        <v>924053</v>
      </c>
      <c r="BW245" s="63">
        <v>0</v>
      </c>
      <c r="BX245" s="63">
        <v>18760</v>
      </c>
      <c r="BY245" s="63">
        <v>942813</v>
      </c>
      <c r="BZ245" s="63">
        <v>9745</v>
      </c>
      <c r="CA245" s="63">
        <v>0</v>
      </c>
      <c r="CB245" s="63">
        <v>199</v>
      </c>
      <c r="CC245" s="63">
        <v>9944</v>
      </c>
      <c r="CD245" s="63">
        <v>0</v>
      </c>
      <c r="CE245" s="63">
        <v>0</v>
      </c>
      <c r="CF245" s="63">
        <v>0</v>
      </c>
      <c r="CG245" s="63">
        <v>0</v>
      </c>
      <c r="CH245" s="63">
        <v>2065</v>
      </c>
      <c r="CI245" s="63">
        <v>0</v>
      </c>
      <c r="CJ245" s="63">
        <v>42</v>
      </c>
      <c r="CK245" s="63">
        <v>2107</v>
      </c>
      <c r="CL245" s="63">
        <v>11299</v>
      </c>
      <c r="CM245" s="63">
        <v>0</v>
      </c>
      <c r="CN245" s="63">
        <v>231</v>
      </c>
      <c r="CO245" s="63">
        <v>11530</v>
      </c>
      <c r="CP245" s="63">
        <v>2040317</v>
      </c>
      <c r="CQ245" s="63">
        <v>0</v>
      </c>
      <c r="CR245" s="63">
        <v>40035</v>
      </c>
      <c r="CS245" s="63">
        <v>2080352</v>
      </c>
      <c r="CU245" s="141" t="s">
        <v>502</v>
      </c>
      <c r="CV245" s="157" t="s">
        <v>501</v>
      </c>
      <c r="CW245" s="156" t="s">
        <v>947</v>
      </c>
      <c r="CX245" s="345"/>
      <c r="CY245" s="345"/>
      <c r="CZ245" s="345"/>
    </row>
    <row r="246" spans="1:104" ht="12.75" x14ac:dyDescent="0.2">
      <c r="A246" s="90">
        <v>239</v>
      </c>
      <c r="B246" s="129" t="s">
        <v>334</v>
      </c>
      <c r="C246" s="130" t="s">
        <v>742</v>
      </c>
      <c r="D246" s="131" t="s">
        <v>751</v>
      </c>
      <c r="E246" s="132" t="s">
        <v>333</v>
      </c>
      <c r="F246" s="63">
        <v>30737916</v>
      </c>
      <c r="G246" s="63">
        <v>0</v>
      </c>
      <c r="H246" s="63">
        <v>0</v>
      </c>
      <c r="I246" s="63">
        <v>208295</v>
      </c>
      <c r="J246" s="63">
        <v>0</v>
      </c>
      <c r="K246" s="63">
        <v>208295</v>
      </c>
      <c r="L246" s="63">
        <v>0</v>
      </c>
      <c r="M246" s="63">
        <v>0</v>
      </c>
      <c r="N246" s="63">
        <v>0</v>
      </c>
      <c r="O246" s="63">
        <v>0</v>
      </c>
      <c r="P246" s="63">
        <v>0</v>
      </c>
      <c r="Q246" s="63">
        <v>30529621</v>
      </c>
      <c r="R246" s="474">
        <v>0.5</v>
      </c>
      <c r="S246" s="474">
        <v>0.4</v>
      </c>
      <c r="T246" s="474">
        <v>0.09</v>
      </c>
      <c r="U246" s="474">
        <v>0.01</v>
      </c>
      <c r="V246" s="474">
        <v>1</v>
      </c>
      <c r="W246" s="63">
        <v>15264811</v>
      </c>
      <c r="X246" s="63">
        <v>12211848</v>
      </c>
      <c r="Y246" s="63">
        <v>2747666</v>
      </c>
      <c r="Z246" s="63">
        <v>305296</v>
      </c>
      <c r="AA246" s="63">
        <v>30529621</v>
      </c>
      <c r="AB246" s="63">
        <v>0</v>
      </c>
      <c r="AC246" s="63">
        <v>0</v>
      </c>
      <c r="AD246" s="63">
        <v>0</v>
      </c>
      <c r="AE246" s="63">
        <v>0</v>
      </c>
      <c r="AF246" s="63">
        <v>0</v>
      </c>
      <c r="AG246" s="63">
        <v>0</v>
      </c>
      <c r="AH246" s="63">
        <v>0</v>
      </c>
      <c r="AI246" s="63">
        <v>0</v>
      </c>
      <c r="AJ246" s="63">
        <v>0</v>
      </c>
      <c r="AK246" s="63">
        <v>0</v>
      </c>
      <c r="AL246" s="63">
        <v>15264811</v>
      </c>
      <c r="AM246" s="63">
        <v>12211848</v>
      </c>
      <c r="AN246" s="63">
        <v>2747666</v>
      </c>
      <c r="AO246" s="63">
        <v>305296</v>
      </c>
      <c r="AP246" s="63">
        <v>30529621</v>
      </c>
      <c r="AQ246" s="63">
        <v>208295</v>
      </c>
      <c r="AR246" s="63">
        <v>208295</v>
      </c>
      <c r="AS246" s="63">
        <v>0</v>
      </c>
      <c r="AT246" s="63">
        <v>0</v>
      </c>
      <c r="AU246" s="63">
        <v>0</v>
      </c>
      <c r="AV246" s="63">
        <v>0</v>
      </c>
      <c r="AW246" s="63">
        <v>0</v>
      </c>
      <c r="AX246" s="63">
        <v>0</v>
      </c>
      <c r="AY246" s="63">
        <v>0</v>
      </c>
      <c r="AZ246" s="63">
        <v>0</v>
      </c>
      <c r="BA246" s="63">
        <v>0</v>
      </c>
      <c r="BB246" s="63">
        <v>0</v>
      </c>
      <c r="BC246" s="63">
        <v>0</v>
      </c>
      <c r="BD246" s="63">
        <v>0</v>
      </c>
      <c r="BE246" s="63">
        <v>0</v>
      </c>
      <c r="BF246" s="63">
        <v>0</v>
      </c>
      <c r="BG246" s="63">
        <v>0</v>
      </c>
      <c r="BH246" s="63">
        <v>-291531</v>
      </c>
      <c r="BI246" s="63">
        <v>-233225</v>
      </c>
      <c r="BJ246" s="63">
        <v>-52476</v>
      </c>
      <c r="BK246" s="63">
        <v>-5831</v>
      </c>
      <c r="BL246" s="63">
        <v>-583063</v>
      </c>
      <c r="BM246" s="63">
        <v>14973280</v>
      </c>
      <c r="BN246" s="63">
        <v>12186918</v>
      </c>
      <c r="BO246" s="63">
        <v>2695190</v>
      </c>
      <c r="BP246" s="63">
        <v>299465</v>
      </c>
      <c r="BQ246" s="63">
        <v>30154853</v>
      </c>
      <c r="BR246" s="63">
        <v>176618</v>
      </c>
      <c r="BS246" s="63">
        <v>39739</v>
      </c>
      <c r="BT246" s="63">
        <v>4415</v>
      </c>
      <c r="BU246" s="63">
        <v>220772</v>
      </c>
      <c r="BV246" s="63">
        <v>1007277</v>
      </c>
      <c r="BW246" s="63">
        <v>226637</v>
      </c>
      <c r="BX246" s="63">
        <v>25182</v>
      </c>
      <c r="BY246" s="63">
        <v>1259096</v>
      </c>
      <c r="BZ246" s="63">
        <v>0</v>
      </c>
      <c r="CA246" s="63">
        <v>0</v>
      </c>
      <c r="CB246" s="63">
        <v>0</v>
      </c>
      <c r="CC246" s="63">
        <v>0</v>
      </c>
      <c r="CD246" s="63">
        <v>8116</v>
      </c>
      <c r="CE246" s="63">
        <v>1826</v>
      </c>
      <c r="CF246" s="63">
        <v>203</v>
      </c>
      <c r="CG246" s="63">
        <v>10145</v>
      </c>
      <c r="CH246" s="63">
        <v>2873</v>
      </c>
      <c r="CI246" s="63">
        <v>646</v>
      </c>
      <c r="CJ246" s="63">
        <v>72</v>
      </c>
      <c r="CK246" s="63">
        <v>3591</v>
      </c>
      <c r="CL246" s="63">
        <v>18724</v>
      </c>
      <c r="CM246" s="63">
        <v>4213</v>
      </c>
      <c r="CN246" s="63">
        <v>468</v>
      </c>
      <c r="CO246" s="63">
        <v>23405</v>
      </c>
      <c r="CP246" s="63">
        <v>1213608</v>
      </c>
      <c r="CQ246" s="63">
        <v>273061</v>
      </c>
      <c r="CR246" s="63">
        <v>30340</v>
      </c>
      <c r="CS246" s="63">
        <v>1517009</v>
      </c>
      <c r="CU246" s="141" t="s">
        <v>333</v>
      </c>
      <c r="CV246" s="157" t="s">
        <v>974</v>
      </c>
      <c r="CW246" s="156" t="s">
        <v>975</v>
      </c>
      <c r="CX246" s="345"/>
      <c r="CY246" s="345"/>
      <c r="CZ246" s="345"/>
    </row>
    <row r="247" spans="1:104" ht="12.75" x14ac:dyDescent="0.2">
      <c r="A247" s="90">
        <v>240</v>
      </c>
      <c r="B247" s="129" t="s">
        <v>336</v>
      </c>
      <c r="C247" s="130" t="s">
        <v>742</v>
      </c>
      <c r="D247" s="131" t="s">
        <v>745</v>
      </c>
      <c r="E247" s="132" t="s">
        <v>335</v>
      </c>
      <c r="F247" s="63">
        <v>25957123</v>
      </c>
      <c r="G247" s="63">
        <v>0</v>
      </c>
      <c r="H247" s="63">
        <v>0</v>
      </c>
      <c r="I247" s="63">
        <v>111638</v>
      </c>
      <c r="J247" s="63">
        <v>0</v>
      </c>
      <c r="K247" s="63">
        <v>111638</v>
      </c>
      <c r="L247" s="63">
        <v>0</v>
      </c>
      <c r="M247" s="63">
        <v>0</v>
      </c>
      <c r="N247" s="63">
        <v>208777</v>
      </c>
      <c r="O247" s="63">
        <v>208777</v>
      </c>
      <c r="P247" s="63">
        <v>0</v>
      </c>
      <c r="Q247" s="63">
        <v>25636708</v>
      </c>
      <c r="R247" s="474">
        <v>0.5</v>
      </c>
      <c r="S247" s="474">
        <v>0.4</v>
      </c>
      <c r="T247" s="474">
        <v>0.1</v>
      </c>
      <c r="U247" s="474">
        <v>0</v>
      </c>
      <c r="V247" s="474">
        <v>1</v>
      </c>
      <c r="W247" s="63">
        <v>12818354</v>
      </c>
      <c r="X247" s="63">
        <v>10254683</v>
      </c>
      <c r="Y247" s="63">
        <v>2563671</v>
      </c>
      <c r="Z247" s="63">
        <v>0</v>
      </c>
      <c r="AA247" s="63">
        <v>25636708</v>
      </c>
      <c r="AB247" s="63">
        <v>0</v>
      </c>
      <c r="AC247" s="63">
        <v>0</v>
      </c>
      <c r="AD247" s="63">
        <v>0</v>
      </c>
      <c r="AE247" s="63">
        <v>0</v>
      </c>
      <c r="AF247" s="63">
        <v>0</v>
      </c>
      <c r="AG247" s="63">
        <v>0</v>
      </c>
      <c r="AH247" s="63">
        <v>0</v>
      </c>
      <c r="AI247" s="63">
        <v>0</v>
      </c>
      <c r="AJ247" s="63">
        <v>0</v>
      </c>
      <c r="AK247" s="63">
        <v>0</v>
      </c>
      <c r="AL247" s="63">
        <v>12818354</v>
      </c>
      <c r="AM247" s="63">
        <v>10254683</v>
      </c>
      <c r="AN247" s="63">
        <v>2563671</v>
      </c>
      <c r="AO247" s="63">
        <v>0</v>
      </c>
      <c r="AP247" s="63">
        <v>25636708</v>
      </c>
      <c r="AQ247" s="63">
        <v>111638</v>
      </c>
      <c r="AR247" s="63">
        <v>111638</v>
      </c>
      <c r="AS247" s="63">
        <v>0</v>
      </c>
      <c r="AT247" s="63">
        <v>0</v>
      </c>
      <c r="AU247" s="63">
        <v>208777</v>
      </c>
      <c r="AV247" s="63">
        <v>0</v>
      </c>
      <c r="AW247" s="63">
        <v>208777</v>
      </c>
      <c r="AX247" s="63">
        <v>0</v>
      </c>
      <c r="AY247" s="63">
        <v>0</v>
      </c>
      <c r="AZ247" s="63">
        <v>0</v>
      </c>
      <c r="BA247" s="63">
        <v>0</v>
      </c>
      <c r="BB247" s="63">
        <v>0</v>
      </c>
      <c r="BC247" s="63">
        <v>0</v>
      </c>
      <c r="BD247" s="63">
        <v>0</v>
      </c>
      <c r="BE247" s="63">
        <v>0</v>
      </c>
      <c r="BF247" s="63">
        <v>0</v>
      </c>
      <c r="BG247" s="63">
        <v>0</v>
      </c>
      <c r="BH247" s="63">
        <v>-1212553</v>
      </c>
      <c r="BI247" s="63">
        <v>-970042</v>
      </c>
      <c r="BJ247" s="63">
        <v>-242511</v>
      </c>
      <c r="BK247" s="63">
        <v>0</v>
      </c>
      <c r="BL247" s="63">
        <v>-2425106</v>
      </c>
      <c r="BM247" s="63">
        <v>11605801</v>
      </c>
      <c r="BN247" s="63">
        <v>9605056</v>
      </c>
      <c r="BO247" s="63">
        <v>2321160</v>
      </c>
      <c r="BP247" s="63">
        <v>0</v>
      </c>
      <c r="BQ247" s="63">
        <v>23532017</v>
      </c>
      <c r="BR247" s="63">
        <v>151331</v>
      </c>
      <c r="BS247" s="63">
        <v>37078</v>
      </c>
      <c r="BT247" s="63">
        <v>0</v>
      </c>
      <c r="BU247" s="63">
        <v>188409</v>
      </c>
      <c r="BV247" s="63">
        <v>369440</v>
      </c>
      <c r="BW247" s="63">
        <v>92360</v>
      </c>
      <c r="BX247" s="63">
        <v>0</v>
      </c>
      <c r="BY247" s="63">
        <v>461800</v>
      </c>
      <c r="BZ247" s="63">
        <v>0</v>
      </c>
      <c r="CA247" s="63">
        <v>0</v>
      </c>
      <c r="CB247" s="63">
        <v>0</v>
      </c>
      <c r="CC247" s="63">
        <v>0</v>
      </c>
      <c r="CD247" s="63">
        <v>0</v>
      </c>
      <c r="CE247" s="63">
        <v>0</v>
      </c>
      <c r="CF247" s="63">
        <v>0</v>
      </c>
      <c r="CG247" s="63">
        <v>0</v>
      </c>
      <c r="CH247" s="63">
        <v>0</v>
      </c>
      <c r="CI247" s="63">
        <v>0</v>
      </c>
      <c r="CJ247" s="63">
        <v>0</v>
      </c>
      <c r="CK247" s="63">
        <v>0</v>
      </c>
      <c r="CL247" s="63">
        <v>2436</v>
      </c>
      <c r="CM247" s="63">
        <v>609</v>
      </c>
      <c r="CN247" s="63">
        <v>0</v>
      </c>
      <c r="CO247" s="63">
        <v>3045</v>
      </c>
      <c r="CP247" s="63">
        <v>523207</v>
      </c>
      <c r="CQ247" s="63">
        <v>130047</v>
      </c>
      <c r="CR247" s="63">
        <v>0</v>
      </c>
      <c r="CS247" s="63">
        <v>653254</v>
      </c>
      <c r="CU247" s="141" t="s">
        <v>335</v>
      </c>
      <c r="CV247" s="157" t="s">
        <v>954</v>
      </c>
      <c r="CW247" s="156" t="s">
        <v>928</v>
      </c>
      <c r="CX247" s="345"/>
      <c r="CY247" s="345"/>
      <c r="CZ247" s="345"/>
    </row>
    <row r="248" spans="1:104" ht="12.75" x14ac:dyDescent="0.2">
      <c r="A248" s="90">
        <v>241</v>
      </c>
      <c r="B248" s="129" t="s">
        <v>338</v>
      </c>
      <c r="C248" s="130" t="s">
        <v>742</v>
      </c>
      <c r="D248" s="131" t="s">
        <v>745</v>
      </c>
      <c r="E248" s="132" t="s">
        <v>337</v>
      </c>
      <c r="F248" s="63">
        <v>41520757</v>
      </c>
      <c r="G248" s="63">
        <v>0</v>
      </c>
      <c r="H248" s="63">
        <v>0</v>
      </c>
      <c r="I248" s="63">
        <v>178909</v>
      </c>
      <c r="J248" s="63">
        <v>0</v>
      </c>
      <c r="K248" s="63">
        <v>178909</v>
      </c>
      <c r="L248" s="63">
        <v>0</v>
      </c>
      <c r="M248" s="63">
        <v>0</v>
      </c>
      <c r="N248" s="63">
        <v>0</v>
      </c>
      <c r="O248" s="63">
        <v>0</v>
      </c>
      <c r="P248" s="63">
        <v>0</v>
      </c>
      <c r="Q248" s="63">
        <v>41341848</v>
      </c>
      <c r="R248" s="474">
        <v>0.5</v>
      </c>
      <c r="S248" s="474">
        <v>0.4</v>
      </c>
      <c r="T248" s="474">
        <v>0.1</v>
      </c>
      <c r="U248" s="474">
        <v>0</v>
      </c>
      <c r="V248" s="474">
        <v>1</v>
      </c>
      <c r="W248" s="63">
        <v>20670924</v>
      </c>
      <c r="X248" s="63">
        <v>16536739</v>
      </c>
      <c r="Y248" s="63">
        <v>4134185</v>
      </c>
      <c r="Z248" s="63">
        <v>0</v>
      </c>
      <c r="AA248" s="63">
        <v>41341848</v>
      </c>
      <c r="AB248" s="63">
        <v>0</v>
      </c>
      <c r="AC248" s="63">
        <v>0</v>
      </c>
      <c r="AD248" s="63">
        <v>0</v>
      </c>
      <c r="AE248" s="63">
        <v>0</v>
      </c>
      <c r="AF248" s="63">
        <v>0</v>
      </c>
      <c r="AG248" s="63">
        <v>0</v>
      </c>
      <c r="AH248" s="63">
        <v>0</v>
      </c>
      <c r="AI248" s="63">
        <v>0</v>
      </c>
      <c r="AJ248" s="63">
        <v>0</v>
      </c>
      <c r="AK248" s="63">
        <v>0</v>
      </c>
      <c r="AL248" s="63">
        <v>20670924</v>
      </c>
      <c r="AM248" s="63">
        <v>16536739</v>
      </c>
      <c r="AN248" s="63">
        <v>4134185</v>
      </c>
      <c r="AO248" s="63">
        <v>0</v>
      </c>
      <c r="AP248" s="63">
        <v>41341848</v>
      </c>
      <c r="AQ248" s="63">
        <v>178909</v>
      </c>
      <c r="AR248" s="63">
        <v>178909</v>
      </c>
      <c r="AS248" s="63">
        <v>0</v>
      </c>
      <c r="AT248" s="63">
        <v>0</v>
      </c>
      <c r="AU248" s="63">
        <v>0</v>
      </c>
      <c r="AV248" s="63">
        <v>0</v>
      </c>
      <c r="AW248" s="63">
        <v>0</v>
      </c>
      <c r="AX248" s="63">
        <v>0</v>
      </c>
      <c r="AY248" s="63">
        <v>0</v>
      </c>
      <c r="AZ248" s="63">
        <v>0</v>
      </c>
      <c r="BA248" s="63">
        <v>0</v>
      </c>
      <c r="BB248" s="63">
        <v>0</v>
      </c>
      <c r="BC248" s="63">
        <v>0</v>
      </c>
      <c r="BD248" s="63">
        <v>0</v>
      </c>
      <c r="BE248" s="63">
        <v>0</v>
      </c>
      <c r="BF248" s="63">
        <v>0</v>
      </c>
      <c r="BG248" s="63">
        <v>0</v>
      </c>
      <c r="BH248" s="63">
        <v>-939743</v>
      </c>
      <c r="BI248" s="63">
        <v>-751794</v>
      </c>
      <c r="BJ248" s="63">
        <v>-187949</v>
      </c>
      <c r="BK248" s="63">
        <v>0</v>
      </c>
      <c r="BL248" s="63">
        <v>-1879486</v>
      </c>
      <c r="BM248" s="63">
        <v>19731181</v>
      </c>
      <c r="BN248" s="63">
        <v>15963854</v>
      </c>
      <c r="BO248" s="63">
        <v>3946236</v>
      </c>
      <c r="BP248" s="63">
        <v>0</v>
      </c>
      <c r="BQ248" s="63">
        <v>39641271</v>
      </c>
      <c r="BR248" s="63">
        <v>239168</v>
      </c>
      <c r="BS248" s="63">
        <v>59792</v>
      </c>
      <c r="BT248" s="63">
        <v>0</v>
      </c>
      <c r="BU248" s="63">
        <v>298960</v>
      </c>
      <c r="BV248" s="63">
        <v>585680</v>
      </c>
      <c r="BW248" s="63">
        <v>146420</v>
      </c>
      <c r="BX248" s="63">
        <v>0</v>
      </c>
      <c r="BY248" s="63">
        <v>732100</v>
      </c>
      <c r="BZ248" s="63">
        <v>0</v>
      </c>
      <c r="CA248" s="63">
        <v>0</v>
      </c>
      <c r="CB248" s="63">
        <v>0</v>
      </c>
      <c r="CC248" s="63">
        <v>0</v>
      </c>
      <c r="CD248" s="63">
        <v>14118</v>
      </c>
      <c r="CE248" s="63">
        <v>3529</v>
      </c>
      <c r="CF248" s="63">
        <v>0</v>
      </c>
      <c r="CG248" s="63">
        <v>17647</v>
      </c>
      <c r="CH248" s="63">
        <v>16443</v>
      </c>
      <c r="CI248" s="63">
        <v>4111</v>
      </c>
      <c r="CJ248" s="63">
        <v>0</v>
      </c>
      <c r="CK248" s="63">
        <v>20554</v>
      </c>
      <c r="CL248" s="63">
        <v>1154</v>
      </c>
      <c r="CM248" s="63">
        <v>289</v>
      </c>
      <c r="CN248" s="63">
        <v>0</v>
      </c>
      <c r="CO248" s="63">
        <v>1443</v>
      </c>
      <c r="CP248" s="63">
        <v>856563</v>
      </c>
      <c r="CQ248" s="63">
        <v>214141</v>
      </c>
      <c r="CR248" s="63">
        <v>0</v>
      </c>
      <c r="CS248" s="63">
        <v>1070704</v>
      </c>
      <c r="CU248" s="141" t="s">
        <v>337</v>
      </c>
      <c r="CV248" s="157" t="s">
        <v>954</v>
      </c>
      <c r="CW248" s="156" t="s">
        <v>928</v>
      </c>
      <c r="CX248" s="345"/>
      <c r="CY248" s="345"/>
      <c r="CZ248" s="345"/>
    </row>
    <row r="249" spans="1:104" ht="12.75" x14ac:dyDescent="0.2">
      <c r="A249" s="90">
        <v>242</v>
      </c>
      <c r="B249" s="129" t="s">
        <v>340</v>
      </c>
      <c r="C249" s="130" t="s">
        <v>742</v>
      </c>
      <c r="D249" s="131" t="s">
        <v>744</v>
      </c>
      <c r="E249" s="132" t="s">
        <v>339</v>
      </c>
      <c r="F249" s="63">
        <v>42293808</v>
      </c>
      <c r="G249" s="63">
        <v>0</v>
      </c>
      <c r="H249" s="63">
        <v>0</v>
      </c>
      <c r="I249" s="63">
        <v>301317</v>
      </c>
      <c r="J249" s="63">
        <v>0</v>
      </c>
      <c r="K249" s="63">
        <v>301317</v>
      </c>
      <c r="L249" s="63">
        <v>0</v>
      </c>
      <c r="M249" s="63">
        <v>0</v>
      </c>
      <c r="N249" s="63">
        <v>0</v>
      </c>
      <c r="O249" s="63">
        <v>0</v>
      </c>
      <c r="P249" s="63">
        <v>0</v>
      </c>
      <c r="Q249" s="63">
        <v>41992491</v>
      </c>
      <c r="R249" s="474">
        <v>0.5</v>
      </c>
      <c r="S249" s="474">
        <v>0.4</v>
      </c>
      <c r="T249" s="474">
        <v>0.1</v>
      </c>
      <c r="U249" s="474">
        <v>0</v>
      </c>
      <c r="V249" s="474">
        <v>1</v>
      </c>
      <c r="W249" s="63">
        <v>20996246</v>
      </c>
      <c r="X249" s="63">
        <v>16796996</v>
      </c>
      <c r="Y249" s="63">
        <v>4199249</v>
      </c>
      <c r="Z249" s="63">
        <v>0</v>
      </c>
      <c r="AA249" s="63">
        <v>41992491</v>
      </c>
      <c r="AB249" s="63">
        <v>0</v>
      </c>
      <c r="AC249" s="63">
        <v>0</v>
      </c>
      <c r="AD249" s="63">
        <v>0</v>
      </c>
      <c r="AE249" s="63">
        <v>0</v>
      </c>
      <c r="AF249" s="63">
        <v>0</v>
      </c>
      <c r="AG249" s="63">
        <v>0</v>
      </c>
      <c r="AH249" s="63">
        <v>0</v>
      </c>
      <c r="AI249" s="63">
        <v>0</v>
      </c>
      <c r="AJ249" s="63">
        <v>0</v>
      </c>
      <c r="AK249" s="63">
        <v>0</v>
      </c>
      <c r="AL249" s="63">
        <v>20996246</v>
      </c>
      <c r="AM249" s="63">
        <v>16796996</v>
      </c>
      <c r="AN249" s="63">
        <v>4199249</v>
      </c>
      <c r="AO249" s="63">
        <v>0</v>
      </c>
      <c r="AP249" s="63">
        <v>41992491</v>
      </c>
      <c r="AQ249" s="63">
        <v>301317</v>
      </c>
      <c r="AR249" s="63">
        <v>301317</v>
      </c>
      <c r="AS249" s="63">
        <v>0</v>
      </c>
      <c r="AT249" s="63">
        <v>0</v>
      </c>
      <c r="AU249" s="63">
        <v>0</v>
      </c>
      <c r="AV249" s="63">
        <v>0</v>
      </c>
      <c r="AW249" s="63">
        <v>0</v>
      </c>
      <c r="AX249" s="63">
        <v>0</v>
      </c>
      <c r="AY249" s="63">
        <v>0</v>
      </c>
      <c r="AZ249" s="63">
        <v>0</v>
      </c>
      <c r="BA249" s="63">
        <v>0</v>
      </c>
      <c r="BB249" s="63">
        <v>0</v>
      </c>
      <c r="BC249" s="63">
        <v>0</v>
      </c>
      <c r="BD249" s="63">
        <v>0</v>
      </c>
      <c r="BE249" s="63">
        <v>0</v>
      </c>
      <c r="BF249" s="63">
        <v>0</v>
      </c>
      <c r="BG249" s="63">
        <v>0</v>
      </c>
      <c r="BH249" s="63">
        <v>-1088352</v>
      </c>
      <c r="BI249" s="63">
        <v>-870682</v>
      </c>
      <c r="BJ249" s="63">
        <v>-217670</v>
      </c>
      <c r="BK249" s="63">
        <v>0</v>
      </c>
      <c r="BL249" s="63">
        <v>-2176704</v>
      </c>
      <c r="BM249" s="63">
        <v>19907894</v>
      </c>
      <c r="BN249" s="63">
        <v>16227631</v>
      </c>
      <c r="BO249" s="63">
        <v>3981579</v>
      </c>
      <c r="BP249" s="63">
        <v>0</v>
      </c>
      <c r="BQ249" s="63">
        <v>40117104</v>
      </c>
      <c r="BR249" s="63">
        <v>242932</v>
      </c>
      <c r="BS249" s="63">
        <v>60733</v>
      </c>
      <c r="BT249" s="63">
        <v>0</v>
      </c>
      <c r="BU249" s="63">
        <v>303665</v>
      </c>
      <c r="BV249" s="63">
        <v>1254079</v>
      </c>
      <c r="BW249" s="63">
        <v>313520</v>
      </c>
      <c r="BX249" s="63">
        <v>0</v>
      </c>
      <c r="BY249" s="63">
        <v>1567599</v>
      </c>
      <c r="BZ249" s="63">
        <v>10922</v>
      </c>
      <c r="CA249" s="63">
        <v>2730</v>
      </c>
      <c r="CB249" s="63">
        <v>0</v>
      </c>
      <c r="CC249" s="63">
        <v>13652</v>
      </c>
      <c r="CD249" s="63">
        <v>1267</v>
      </c>
      <c r="CE249" s="63">
        <v>317</v>
      </c>
      <c r="CF249" s="63">
        <v>0</v>
      </c>
      <c r="CG249" s="63">
        <v>1584</v>
      </c>
      <c r="CH249" s="63">
        <v>3050</v>
      </c>
      <c r="CI249" s="63">
        <v>763</v>
      </c>
      <c r="CJ249" s="63">
        <v>0</v>
      </c>
      <c r="CK249" s="63">
        <v>3813</v>
      </c>
      <c r="CL249" s="63">
        <v>2609</v>
      </c>
      <c r="CM249" s="63">
        <v>652</v>
      </c>
      <c r="CN249" s="63">
        <v>0</v>
      </c>
      <c r="CO249" s="63">
        <v>3261</v>
      </c>
      <c r="CP249" s="63">
        <v>1514859</v>
      </c>
      <c r="CQ249" s="63">
        <v>378715</v>
      </c>
      <c r="CR249" s="63">
        <v>0</v>
      </c>
      <c r="CS249" s="63">
        <v>1893574</v>
      </c>
      <c r="CU249" s="141" t="s">
        <v>339</v>
      </c>
      <c r="CV249" s="157" t="s">
        <v>929</v>
      </c>
      <c r="CW249" s="156" t="s">
        <v>928</v>
      </c>
      <c r="CX249" s="345"/>
      <c r="CY249" s="345"/>
      <c r="CZ249" s="345"/>
    </row>
    <row r="250" spans="1:104" ht="12.75" x14ac:dyDescent="0.2">
      <c r="A250" s="90">
        <v>243</v>
      </c>
      <c r="B250" s="129" t="s">
        <v>342</v>
      </c>
      <c r="C250" s="130" t="s">
        <v>742</v>
      </c>
      <c r="D250" s="131" t="s">
        <v>746</v>
      </c>
      <c r="E250" s="132" t="s">
        <v>341</v>
      </c>
      <c r="F250" s="63">
        <v>31615462.039999999</v>
      </c>
      <c r="G250" s="63">
        <v>0</v>
      </c>
      <c r="H250" s="63">
        <v>0</v>
      </c>
      <c r="I250" s="63">
        <v>161387</v>
      </c>
      <c r="J250" s="63">
        <v>0</v>
      </c>
      <c r="K250" s="63">
        <v>161387</v>
      </c>
      <c r="L250" s="63">
        <v>0</v>
      </c>
      <c r="M250" s="63">
        <v>0</v>
      </c>
      <c r="N250" s="63">
        <v>101554</v>
      </c>
      <c r="O250" s="63">
        <v>101554</v>
      </c>
      <c r="P250" s="63">
        <v>0</v>
      </c>
      <c r="Q250" s="63">
        <v>31352521</v>
      </c>
      <c r="R250" s="474">
        <v>0.5</v>
      </c>
      <c r="S250" s="474">
        <v>0.4</v>
      </c>
      <c r="T250" s="474">
        <v>0.1</v>
      </c>
      <c r="U250" s="474">
        <v>0</v>
      </c>
      <c r="V250" s="474">
        <v>1</v>
      </c>
      <c r="W250" s="63">
        <v>15676261</v>
      </c>
      <c r="X250" s="63">
        <v>12541008</v>
      </c>
      <c r="Y250" s="63">
        <v>3135252</v>
      </c>
      <c r="Z250" s="63">
        <v>0</v>
      </c>
      <c r="AA250" s="63">
        <v>31352521</v>
      </c>
      <c r="AB250" s="63">
        <v>0</v>
      </c>
      <c r="AC250" s="63">
        <v>0</v>
      </c>
      <c r="AD250" s="63">
        <v>0</v>
      </c>
      <c r="AE250" s="63">
        <v>0</v>
      </c>
      <c r="AF250" s="63">
        <v>0</v>
      </c>
      <c r="AG250" s="63">
        <v>0</v>
      </c>
      <c r="AH250" s="63">
        <v>0</v>
      </c>
      <c r="AI250" s="63">
        <v>0</v>
      </c>
      <c r="AJ250" s="63">
        <v>0</v>
      </c>
      <c r="AK250" s="63">
        <v>0</v>
      </c>
      <c r="AL250" s="63">
        <v>15676261</v>
      </c>
      <c r="AM250" s="63">
        <v>12541008</v>
      </c>
      <c r="AN250" s="63">
        <v>3135252</v>
      </c>
      <c r="AO250" s="63">
        <v>0</v>
      </c>
      <c r="AP250" s="63">
        <v>31352521</v>
      </c>
      <c r="AQ250" s="63">
        <v>161387</v>
      </c>
      <c r="AR250" s="63">
        <v>161387</v>
      </c>
      <c r="AS250" s="63">
        <v>0</v>
      </c>
      <c r="AT250" s="63">
        <v>0</v>
      </c>
      <c r="AU250" s="63">
        <v>101554</v>
      </c>
      <c r="AV250" s="63">
        <v>0</v>
      </c>
      <c r="AW250" s="63">
        <v>101554</v>
      </c>
      <c r="AX250" s="63">
        <v>0</v>
      </c>
      <c r="AY250" s="63">
        <v>0</v>
      </c>
      <c r="AZ250" s="63">
        <v>0</v>
      </c>
      <c r="BA250" s="63">
        <v>0</v>
      </c>
      <c r="BB250" s="63">
        <v>0</v>
      </c>
      <c r="BC250" s="63">
        <v>0</v>
      </c>
      <c r="BD250" s="63">
        <v>0</v>
      </c>
      <c r="BE250" s="63">
        <v>0</v>
      </c>
      <c r="BF250" s="63">
        <v>0</v>
      </c>
      <c r="BG250" s="63">
        <v>0</v>
      </c>
      <c r="BH250" s="63">
        <v>-952614</v>
      </c>
      <c r="BI250" s="63">
        <v>-762092</v>
      </c>
      <c r="BJ250" s="63">
        <v>-190523</v>
      </c>
      <c r="BK250" s="63">
        <v>0</v>
      </c>
      <c r="BL250" s="63">
        <v>-1905229</v>
      </c>
      <c r="BM250" s="63">
        <v>14723647</v>
      </c>
      <c r="BN250" s="63">
        <v>12041857</v>
      </c>
      <c r="BO250" s="63">
        <v>2944729</v>
      </c>
      <c r="BP250" s="63">
        <v>0</v>
      </c>
      <c r="BQ250" s="63">
        <v>29710233</v>
      </c>
      <c r="BR250" s="63">
        <v>182847</v>
      </c>
      <c r="BS250" s="63">
        <v>45345</v>
      </c>
      <c r="BT250" s="63">
        <v>0</v>
      </c>
      <c r="BU250" s="63">
        <v>228192</v>
      </c>
      <c r="BV250" s="63">
        <v>560918</v>
      </c>
      <c r="BW250" s="63">
        <v>139267</v>
      </c>
      <c r="BX250" s="63">
        <v>0</v>
      </c>
      <c r="BY250" s="63">
        <v>700185</v>
      </c>
      <c r="BZ250" s="63">
        <v>0</v>
      </c>
      <c r="CA250" s="63">
        <v>0</v>
      </c>
      <c r="CB250" s="63">
        <v>0</v>
      </c>
      <c r="CC250" s="63">
        <v>0</v>
      </c>
      <c r="CD250" s="63">
        <v>0</v>
      </c>
      <c r="CE250" s="63">
        <v>0</v>
      </c>
      <c r="CF250" s="63">
        <v>0</v>
      </c>
      <c r="CG250" s="63">
        <v>0</v>
      </c>
      <c r="CH250" s="63">
        <v>3086</v>
      </c>
      <c r="CI250" s="63">
        <v>771</v>
      </c>
      <c r="CJ250" s="63">
        <v>0</v>
      </c>
      <c r="CK250" s="63">
        <v>3857</v>
      </c>
      <c r="CL250" s="63">
        <v>2948</v>
      </c>
      <c r="CM250" s="63">
        <v>737</v>
      </c>
      <c r="CN250" s="63">
        <v>0</v>
      </c>
      <c r="CO250" s="63">
        <v>3685</v>
      </c>
      <c r="CP250" s="63">
        <v>749799</v>
      </c>
      <c r="CQ250" s="63">
        <v>186120</v>
      </c>
      <c r="CR250" s="63">
        <v>0</v>
      </c>
      <c r="CS250" s="63">
        <v>935919</v>
      </c>
      <c r="CU250" s="141" t="s">
        <v>341</v>
      </c>
      <c r="CV250" s="157" t="s">
        <v>958</v>
      </c>
      <c r="CW250" s="156" t="s">
        <v>928</v>
      </c>
      <c r="CX250" s="345"/>
      <c r="CY250" s="345"/>
      <c r="CZ250" s="345"/>
    </row>
    <row r="251" spans="1:104" ht="12.75" x14ac:dyDescent="0.2">
      <c r="A251" s="90">
        <v>244</v>
      </c>
      <c r="B251" s="129" t="s">
        <v>344</v>
      </c>
      <c r="C251" s="130" t="s">
        <v>742</v>
      </c>
      <c r="D251" s="131" t="s">
        <v>745</v>
      </c>
      <c r="E251" s="132" t="s">
        <v>343</v>
      </c>
      <c r="F251" s="63">
        <v>22978873</v>
      </c>
      <c r="G251" s="63">
        <v>0</v>
      </c>
      <c r="H251" s="63">
        <v>0</v>
      </c>
      <c r="I251" s="63">
        <v>106539</v>
      </c>
      <c r="J251" s="63">
        <v>0</v>
      </c>
      <c r="K251" s="63">
        <v>106539</v>
      </c>
      <c r="L251" s="63">
        <v>0</v>
      </c>
      <c r="M251" s="63">
        <v>0</v>
      </c>
      <c r="N251" s="63">
        <v>257868</v>
      </c>
      <c r="O251" s="63">
        <v>257868</v>
      </c>
      <c r="P251" s="63">
        <v>0</v>
      </c>
      <c r="Q251" s="63">
        <v>22614466</v>
      </c>
      <c r="R251" s="474">
        <v>0.5</v>
      </c>
      <c r="S251" s="474">
        <v>0.4</v>
      </c>
      <c r="T251" s="474">
        <v>0.1</v>
      </c>
      <c r="U251" s="474">
        <v>0</v>
      </c>
      <c r="V251" s="474">
        <v>1</v>
      </c>
      <c r="W251" s="63">
        <v>11307233</v>
      </c>
      <c r="X251" s="63">
        <v>9045786</v>
      </c>
      <c r="Y251" s="63">
        <v>2261447</v>
      </c>
      <c r="Z251" s="63">
        <v>0</v>
      </c>
      <c r="AA251" s="63">
        <v>22614466</v>
      </c>
      <c r="AB251" s="63">
        <v>0</v>
      </c>
      <c r="AC251" s="63">
        <v>0</v>
      </c>
      <c r="AD251" s="63">
        <v>0</v>
      </c>
      <c r="AE251" s="63">
        <v>0</v>
      </c>
      <c r="AF251" s="63">
        <v>0</v>
      </c>
      <c r="AG251" s="63">
        <v>0</v>
      </c>
      <c r="AH251" s="63">
        <v>0</v>
      </c>
      <c r="AI251" s="63">
        <v>0</v>
      </c>
      <c r="AJ251" s="63">
        <v>0</v>
      </c>
      <c r="AK251" s="63">
        <v>0</v>
      </c>
      <c r="AL251" s="63">
        <v>11307233</v>
      </c>
      <c r="AM251" s="63">
        <v>9045786</v>
      </c>
      <c r="AN251" s="63">
        <v>2261447</v>
      </c>
      <c r="AO251" s="63">
        <v>0</v>
      </c>
      <c r="AP251" s="63">
        <v>22614466</v>
      </c>
      <c r="AQ251" s="63">
        <v>106539</v>
      </c>
      <c r="AR251" s="63">
        <v>106539</v>
      </c>
      <c r="AS251" s="63">
        <v>0</v>
      </c>
      <c r="AT251" s="63">
        <v>0</v>
      </c>
      <c r="AU251" s="63">
        <v>257868</v>
      </c>
      <c r="AV251" s="63">
        <v>0</v>
      </c>
      <c r="AW251" s="63">
        <v>257868</v>
      </c>
      <c r="AX251" s="63">
        <v>0</v>
      </c>
      <c r="AY251" s="63">
        <v>0</v>
      </c>
      <c r="AZ251" s="63">
        <v>0</v>
      </c>
      <c r="BA251" s="63">
        <v>0</v>
      </c>
      <c r="BB251" s="63">
        <v>0</v>
      </c>
      <c r="BC251" s="63">
        <v>0</v>
      </c>
      <c r="BD251" s="63">
        <v>0</v>
      </c>
      <c r="BE251" s="63">
        <v>0</v>
      </c>
      <c r="BF251" s="63">
        <v>0</v>
      </c>
      <c r="BG251" s="63">
        <v>0</v>
      </c>
      <c r="BH251" s="63">
        <v>-797106</v>
      </c>
      <c r="BI251" s="63">
        <v>-637685</v>
      </c>
      <c r="BJ251" s="63">
        <v>-159421</v>
      </c>
      <c r="BK251" s="63">
        <v>0</v>
      </c>
      <c r="BL251" s="63">
        <v>-1594212</v>
      </c>
      <c r="BM251" s="63">
        <v>10510127</v>
      </c>
      <c r="BN251" s="63">
        <v>8772508</v>
      </c>
      <c r="BO251" s="63">
        <v>2102026</v>
      </c>
      <c r="BP251" s="63">
        <v>0</v>
      </c>
      <c r="BQ251" s="63">
        <v>21384661</v>
      </c>
      <c r="BR251" s="63">
        <v>134557</v>
      </c>
      <c r="BS251" s="63">
        <v>32707</v>
      </c>
      <c r="BT251" s="63">
        <v>0</v>
      </c>
      <c r="BU251" s="63">
        <v>167264</v>
      </c>
      <c r="BV251" s="63">
        <v>383417</v>
      </c>
      <c r="BW251" s="63">
        <v>95854</v>
      </c>
      <c r="BX251" s="63">
        <v>0</v>
      </c>
      <c r="BY251" s="63">
        <v>479271</v>
      </c>
      <c r="BZ251" s="63">
        <v>0</v>
      </c>
      <c r="CA251" s="63">
        <v>0</v>
      </c>
      <c r="CB251" s="63">
        <v>0</v>
      </c>
      <c r="CC251" s="63">
        <v>0</v>
      </c>
      <c r="CD251" s="63">
        <v>0</v>
      </c>
      <c r="CE251" s="63">
        <v>0</v>
      </c>
      <c r="CF251" s="63">
        <v>0</v>
      </c>
      <c r="CG251" s="63">
        <v>0</v>
      </c>
      <c r="CH251" s="63">
        <v>255</v>
      </c>
      <c r="CI251" s="63">
        <v>64</v>
      </c>
      <c r="CJ251" s="63">
        <v>0</v>
      </c>
      <c r="CK251" s="63">
        <v>319</v>
      </c>
      <c r="CL251" s="63">
        <v>263</v>
      </c>
      <c r="CM251" s="63">
        <v>66</v>
      </c>
      <c r="CN251" s="63">
        <v>0</v>
      </c>
      <c r="CO251" s="63">
        <v>329</v>
      </c>
      <c r="CP251" s="63">
        <v>518492</v>
      </c>
      <c r="CQ251" s="63">
        <v>128691</v>
      </c>
      <c r="CR251" s="63">
        <v>0</v>
      </c>
      <c r="CS251" s="63">
        <v>647183</v>
      </c>
      <c r="CU251" s="141" t="s">
        <v>343</v>
      </c>
      <c r="CV251" s="157" t="s">
        <v>971</v>
      </c>
      <c r="CW251" s="156" t="s">
        <v>928</v>
      </c>
      <c r="CX251" s="345"/>
      <c r="CY251" s="345"/>
      <c r="CZ251" s="345"/>
    </row>
    <row r="252" spans="1:104" ht="12.75" x14ac:dyDescent="0.2">
      <c r="A252" s="90">
        <v>245</v>
      </c>
      <c r="B252" s="129" t="s">
        <v>346</v>
      </c>
      <c r="C252" s="130" t="s">
        <v>742</v>
      </c>
      <c r="D252" s="131" t="s">
        <v>743</v>
      </c>
      <c r="E252" s="132" t="s">
        <v>345</v>
      </c>
      <c r="F252" s="63">
        <v>43707970</v>
      </c>
      <c r="G252" s="63">
        <v>0</v>
      </c>
      <c r="H252" s="63">
        <v>0</v>
      </c>
      <c r="I252" s="63">
        <v>185761</v>
      </c>
      <c r="J252" s="63">
        <v>0</v>
      </c>
      <c r="K252" s="63">
        <v>185761</v>
      </c>
      <c r="L252" s="63">
        <v>0</v>
      </c>
      <c r="M252" s="63">
        <v>240037</v>
      </c>
      <c r="N252" s="63">
        <v>90605</v>
      </c>
      <c r="O252" s="63">
        <v>90605</v>
      </c>
      <c r="P252" s="63">
        <v>0</v>
      </c>
      <c r="Q252" s="63">
        <v>43191567</v>
      </c>
      <c r="R252" s="474">
        <v>0.5</v>
      </c>
      <c r="S252" s="474">
        <v>0.4</v>
      </c>
      <c r="T252" s="474">
        <v>0.1</v>
      </c>
      <c r="U252" s="474">
        <v>0</v>
      </c>
      <c r="V252" s="474">
        <v>1</v>
      </c>
      <c r="W252" s="63">
        <v>21595783</v>
      </c>
      <c r="X252" s="63">
        <v>17276627</v>
      </c>
      <c r="Y252" s="63">
        <v>4319157</v>
      </c>
      <c r="Z252" s="63">
        <v>0</v>
      </c>
      <c r="AA252" s="63">
        <v>43191567</v>
      </c>
      <c r="AB252" s="63">
        <v>0</v>
      </c>
      <c r="AC252" s="63">
        <v>0</v>
      </c>
      <c r="AD252" s="63">
        <v>0</v>
      </c>
      <c r="AE252" s="63">
        <v>0</v>
      </c>
      <c r="AF252" s="63">
        <v>0</v>
      </c>
      <c r="AG252" s="63">
        <v>0</v>
      </c>
      <c r="AH252" s="63">
        <v>0</v>
      </c>
      <c r="AI252" s="63">
        <v>0</v>
      </c>
      <c r="AJ252" s="63">
        <v>0</v>
      </c>
      <c r="AK252" s="63">
        <v>0</v>
      </c>
      <c r="AL252" s="63">
        <v>21595783</v>
      </c>
      <c r="AM252" s="63">
        <v>17276627</v>
      </c>
      <c r="AN252" s="63">
        <v>4319157</v>
      </c>
      <c r="AO252" s="63">
        <v>0</v>
      </c>
      <c r="AP252" s="63">
        <v>43191567</v>
      </c>
      <c r="AQ252" s="63">
        <v>185761</v>
      </c>
      <c r="AR252" s="63">
        <v>185761</v>
      </c>
      <c r="AS252" s="63">
        <v>240037</v>
      </c>
      <c r="AT252" s="63">
        <v>240037</v>
      </c>
      <c r="AU252" s="63">
        <v>90605</v>
      </c>
      <c r="AV252" s="63">
        <v>0</v>
      </c>
      <c r="AW252" s="63">
        <v>90605</v>
      </c>
      <c r="AX252" s="63">
        <v>0</v>
      </c>
      <c r="AY252" s="63">
        <v>0</v>
      </c>
      <c r="AZ252" s="63">
        <v>0</v>
      </c>
      <c r="BA252" s="63">
        <v>0</v>
      </c>
      <c r="BB252" s="63">
        <v>0</v>
      </c>
      <c r="BC252" s="63">
        <v>0</v>
      </c>
      <c r="BD252" s="63">
        <v>0</v>
      </c>
      <c r="BE252" s="63">
        <v>0</v>
      </c>
      <c r="BF252" s="63">
        <v>0</v>
      </c>
      <c r="BG252" s="63">
        <v>0</v>
      </c>
      <c r="BH252" s="63">
        <v>-1476037</v>
      </c>
      <c r="BI252" s="63">
        <v>-1180830</v>
      </c>
      <c r="BJ252" s="63">
        <v>-295207</v>
      </c>
      <c r="BK252" s="63">
        <v>0</v>
      </c>
      <c r="BL252" s="63">
        <v>-2952074</v>
      </c>
      <c r="BM252" s="63">
        <v>20119746</v>
      </c>
      <c r="BN252" s="63">
        <v>16612200</v>
      </c>
      <c r="BO252" s="63">
        <v>4023950</v>
      </c>
      <c r="BP252" s="63">
        <v>0</v>
      </c>
      <c r="BQ252" s="63">
        <v>40755896</v>
      </c>
      <c r="BR252" s="63">
        <v>254651</v>
      </c>
      <c r="BS252" s="63">
        <v>62467</v>
      </c>
      <c r="BT252" s="63">
        <v>0</v>
      </c>
      <c r="BU252" s="63">
        <v>317118</v>
      </c>
      <c r="BV252" s="63">
        <v>513282</v>
      </c>
      <c r="BW252" s="63">
        <v>128320</v>
      </c>
      <c r="BX252" s="63">
        <v>0</v>
      </c>
      <c r="BY252" s="63">
        <v>641602</v>
      </c>
      <c r="BZ252" s="63">
        <v>0</v>
      </c>
      <c r="CA252" s="63">
        <v>0</v>
      </c>
      <c r="CB252" s="63">
        <v>0</v>
      </c>
      <c r="CC252" s="63">
        <v>0</v>
      </c>
      <c r="CD252" s="63">
        <v>0</v>
      </c>
      <c r="CE252" s="63">
        <v>0</v>
      </c>
      <c r="CF252" s="63">
        <v>0</v>
      </c>
      <c r="CG252" s="63">
        <v>0</v>
      </c>
      <c r="CH252" s="63">
        <v>1623</v>
      </c>
      <c r="CI252" s="63">
        <v>406</v>
      </c>
      <c r="CJ252" s="63">
        <v>0</v>
      </c>
      <c r="CK252" s="63">
        <v>2029</v>
      </c>
      <c r="CL252" s="63">
        <v>0</v>
      </c>
      <c r="CM252" s="63">
        <v>0</v>
      </c>
      <c r="CN252" s="63">
        <v>0</v>
      </c>
      <c r="CO252" s="63">
        <v>0</v>
      </c>
      <c r="CP252" s="63">
        <v>769556</v>
      </c>
      <c r="CQ252" s="63">
        <v>191193</v>
      </c>
      <c r="CR252" s="63">
        <v>0</v>
      </c>
      <c r="CS252" s="63">
        <v>960749</v>
      </c>
      <c r="CU252" s="141" t="s">
        <v>345</v>
      </c>
      <c r="CV252" s="157" t="s">
        <v>967</v>
      </c>
      <c r="CW252" s="156" t="s">
        <v>928</v>
      </c>
      <c r="CX252" s="345"/>
      <c r="CY252" s="345"/>
      <c r="CZ252" s="345"/>
    </row>
    <row r="253" spans="1:104" ht="12.75" x14ac:dyDescent="0.2">
      <c r="A253" s="90">
        <v>246</v>
      </c>
      <c r="B253" s="129" t="s">
        <v>348</v>
      </c>
      <c r="C253" s="130" t="s">
        <v>742</v>
      </c>
      <c r="D253" s="131" t="s">
        <v>744</v>
      </c>
      <c r="E253" s="132" t="s">
        <v>347</v>
      </c>
      <c r="F253" s="63">
        <v>39072924</v>
      </c>
      <c r="G253" s="63">
        <v>0</v>
      </c>
      <c r="H253" s="63">
        <v>0</v>
      </c>
      <c r="I253" s="63">
        <v>127679</v>
      </c>
      <c r="J253" s="63">
        <v>0</v>
      </c>
      <c r="K253" s="63">
        <v>127679</v>
      </c>
      <c r="L253" s="63">
        <v>0</v>
      </c>
      <c r="M253" s="63">
        <v>0</v>
      </c>
      <c r="N253" s="63">
        <v>0</v>
      </c>
      <c r="O253" s="63">
        <v>0</v>
      </c>
      <c r="P253" s="63">
        <v>0</v>
      </c>
      <c r="Q253" s="63">
        <v>38945245</v>
      </c>
      <c r="R253" s="474">
        <v>0.5</v>
      </c>
      <c r="S253" s="474">
        <v>0.4</v>
      </c>
      <c r="T253" s="474">
        <v>0.09</v>
      </c>
      <c r="U253" s="474">
        <v>0.01</v>
      </c>
      <c r="V253" s="474">
        <v>1</v>
      </c>
      <c r="W253" s="63">
        <v>19472623</v>
      </c>
      <c r="X253" s="63">
        <v>15578098</v>
      </c>
      <c r="Y253" s="63">
        <v>3505072</v>
      </c>
      <c r="Z253" s="63">
        <v>389452</v>
      </c>
      <c r="AA253" s="63">
        <v>38945245</v>
      </c>
      <c r="AB253" s="63">
        <v>0</v>
      </c>
      <c r="AC253" s="63">
        <v>0</v>
      </c>
      <c r="AD253" s="63">
        <v>0</v>
      </c>
      <c r="AE253" s="63">
        <v>0</v>
      </c>
      <c r="AF253" s="63">
        <v>0</v>
      </c>
      <c r="AG253" s="63">
        <v>0</v>
      </c>
      <c r="AH253" s="63">
        <v>0</v>
      </c>
      <c r="AI253" s="63">
        <v>0</v>
      </c>
      <c r="AJ253" s="63">
        <v>0</v>
      </c>
      <c r="AK253" s="63">
        <v>0</v>
      </c>
      <c r="AL253" s="63">
        <v>19472623</v>
      </c>
      <c r="AM253" s="63">
        <v>15578098</v>
      </c>
      <c r="AN253" s="63">
        <v>3505072</v>
      </c>
      <c r="AO253" s="63">
        <v>389452</v>
      </c>
      <c r="AP253" s="63">
        <v>38945245</v>
      </c>
      <c r="AQ253" s="63">
        <v>127679</v>
      </c>
      <c r="AR253" s="63">
        <v>127679</v>
      </c>
      <c r="AS253" s="63">
        <v>0</v>
      </c>
      <c r="AT253" s="63">
        <v>0</v>
      </c>
      <c r="AU253" s="63">
        <v>0</v>
      </c>
      <c r="AV253" s="63">
        <v>0</v>
      </c>
      <c r="AW253" s="63">
        <v>0</v>
      </c>
      <c r="AX253" s="63">
        <v>0</v>
      </c>
      <c r="AY253" s="63">
        <v>0</v>
      </c>
      <c r="AZ253" s="63">
        <v>0</v>
      </c>
      <c r="BA253" s="63">
        <v>0</v>
      </c>
      <c r="BB253" s="63">
        <v>0</v>
      </c>
      <c r="BC253" s="63">
        <v>0</v>
      </c>
      <c r="BD253" s="63">
        <v>0</v>
      </c>
      <c r="BE253" s="63">
        <v>0</v>
      </c>
      <c r="BF253" s="63">
        <v>0</v>
      </c>
      <c r="BG253" s="63">
        <v>0</v>
      </c>
      <c r="BH253" s="63">
        <v>382057</v>
      </c>
      <c r="BI253" s="63">
        <v>305646</v>
      </c>
      <c r="BJ253" s="63">
        <v>68770</v>
      </c>
      <c r="BK253" s="63">
        <v>7641</v>
      </c>
      <c r="BL253" s="63">
        <v>764114</v>
      </c>
      <c r="BM253" s="63">
        <v>19854680</v>
      </c>
      <c r="BN253" s="63">
        <v>16011423</v>
      </c>
      <c r="BO253" s="63">
        <v>3573842</v>
      </c>
      <c r="BP253" s="63">
        <v>397093</v>
      </c>
      <c r="BQ253" s="63">
        <v>39837038</v>
      </c>
      <c r="BR253" s="63">
        <v>225303</v>
      </c>
      <c r="BS253" s="63">
        <v>50693</v>
      </c>
      <c r="BT253" s="63">
        <v>5633</v>
      </c>
      <c r="BU253" s="63">
        <v>281629</v>
      </c>
      <c r="BV253" s="63">
        <v>448687</v>
      </c>
      <c r="BW253" s="63">
        <v>100955</v>
      </c>
      <c r="BX253" s="63">
        <v>11217</v>
      </c>
      <c r="BY253" s="63">
        <v>560859</v>
      </c>
      <c r="BZ253" s="63">
        <v>3040</v>
      </c>
      <c r="CA253" s="63">
        <v>684</v>
      </c>
      <c r="CB253" s="63">
        <v>76</v>
      </c>
      <c r="CC253" s="63">
        <v>3800</v>
      </c>
      <c r="CD253" s="63">
        <v>0</v>
      </c>
      <c r="CE253" s="63">
        <v>0</v>
      </c>
      <c r="CF253" s="63">
        <v>0</v>
      </c>
      <c r="CG253" s="63">
        <v>0</v>
      </c>
      <c r="CH253" s="63">
        <v>2354</v>
      </c>
      <c r="CI253" s="63">
        <v>530</v>
      </c>
      <c r="CJ253" s="63">
        <v>59</v>
      </c>
      <c r="CK253" s="63">
        <v>2943</v>
      </c>
      <c r="CL253" s="63">
        <v>1536</v>
      </c>
      <c r="CM253" s="63">
        <v>345</v>
      </c>
      <c r="CN253" s="63">
        <v>38</v>
      </c>
      <c r="CO253" s="63">
        <v>1919</v>
      </c>
      <c r="CP253" s="63">
        <v>680920</v>
      </c>
      <c r="CQ253" s="63">
        <v>153207</v>
      </c>
      <c r="CR253" s="63">
        <v>17023</v>
      </c>
      <c r="CS253" s="63">
        <v>851150</v>
      </c>
      <c r="CU253" s="141" t="s">
        <v>347</v>
      </c>
      <c r="CV253" s="157" t="s">
        <v>961</v>
      </c>
      <c r="CW253" s="156" t="s">
        <v>952</v>
      </c>
      <c r="CX253" s="345"/>
      <c r="CY253" s="345"/>
      <c r="CZ253" s="345"/>
    </row>
    <row r="254" spans="1:104" ht="12.75" x14ac:dyDescent="0.2">
      <c r="A254" s="90">
        <v>247</v>
      </c>
      <c r="B254" s="129" t="s">
        <v>350</v>
      </c>
      <c r="C254" s="130" t="s">
        <v>742</v>
      </c>
      <c r="D254" s="131" t="s">
        <v>751</v>
      </c>
      <c r="E254" s="132" t="s">
        <v>349</v>
      </c>
      <c r="F254" s="63">
        <v>44277540</v>
      </c>
      <c r="G254" s="63">
        <v>0</v>
      </c>
      <c r="H254" s="63">
        <v>0</v>
      </c>
      <c r="I254" s="63">
        <v>224152</v>
      </c>
      <c r="J254" s="63">
        <v>0</v>
      </c>
      <c r="K254" s="63">
        <v>224152</v>
      </c>
      <c r="L254" s="63">
        <v>0</v>
      </c>
      <c r="M254" s="63">
        <v>0</v>
      </c>
      <c r="N254" s="63">
        <v>246782</v>
      </c>
      <c r="O254" s="63">
        <v>246782</v>
      </c>
      <c r="P254" s="63">
        <v>0</v>
      </c>
      <c r="Q254" s="63">
        <v>43806606</v>
      </c>
      <c r="R254" s="474">
        <v>0.5</v>
      </c>
      <c r="S254" s="474">
        <v>0.4</v>
      </c>
      <c r="T254" s="474">
        <v>0.09</v>
      </c>
      <c r="U254" s="474">
        <v>0.01</v>
      </c>
      <c r="V254" s="474">
        <v>1</v>
      </c>
      <c r="W254" s="63">
        <v>21903303</v>
      </c>
      <c r="X254" s="63">
        <v>17522642</v>
      </c>
      <c r="Y254" s="63">
        <v>3942595</v>
      </c>
      <c r="Z254" s="63">
        <v>438066</v>
      </c>
      <c r="AA254" s="63">
        <v>43806606</v>
      </c>
      <c r="AB254" s="63">
        <v>0</v>
      </c>
      <c r="AC254" s="63">
        <v>0</v>
      </c>
      <c r="AD254" s="63">
        <v>0</v>
      </c>
      <c r="AE254" s="63">
        <v>0</v>
      </c>
      <c r="AF254" s="63">
        <v>0</v>
      </c>
      <c r="AG254" s="63">
        <v>0</v>
      </c>
      <c r="AH254" s="63">
        <v>0</v>
      </c>
      <c r="AI254" s="63">
        <v>0</v>
      </c>
      <c r="AJ254" s="63">
        <v>0</v>
      </c>
      <c r="AK254" s="63">
        <v>0</v>
      </c>
      <c r="AL254" s="63">
        <v>21903303</v>
      </c>
      <c r="AM254" s="63">
        <v>17522642</v>
      </c>
      <c r="AN254" s="63">
        <v>3942595</v>
      </c>
      <c r="AO254" s="63">
        <v>438066</v>
      </c>
      <c r="AP254" s="63">
        <v>43806606</v>
      </c>
      <c r="AQ254" s="63">
        <v>224152</v>
      </c>
      <c r="AR254" s="63">
        <v>224152</v>
      </c>
      <c r="AS254" s="63">
        <v>0</v>
      </c>
      <c r="AT254" s="63">
        <v>0</v>
      </c>
      <c r="AU254" s="63">
        <v>246782</v>
      </c>
      <c r="AV254" s="63">
        <v>0</v>
      </c>
      <c r="AW254" s="63">
        <v>246782</v>
      </c>
      <c r="AX254" s="63">
        <v>0</v>
      </c>
      <c r="AY254" s="63">
        <v>0</v>
      </c>
      <c r="AZ254" s="63">
        <v>0</v>
      </c>
      <c r="BA254" s="63">
        <v>0</v>
      </c>
      <c r="BB254" s="63">
        <v>0</v>
      </c>
      <c r="BC254" s="63">
        <v>0</v>
      </c>
      <c r="BD254" s="63">
        <v>0</v>
      </c>
      <c r="BE254" s="63">
        <v>0</v>
      </c>
      <c r="BF254" s="63">
        <v>0</v>
      </c>
      <c r="BG254" s="63">
        <v>0</v>
      </c>
      <c r="BH254" s="63">
        <v>-4331435</v>
      </c>
      <c r="BI254" s="63">
        <v>-3465148</v>
      </c>
      <c r="BJ254" s="63">
        <v>-779658</v>
      </c>
      <c r="BK254" s="63">
        <v>-86629</v>
      </c>
      <c r="BL254" s="63">
        <v>-8662870</v>
      </c>
      <c r="BM254" s="63">
        <v>17571868</v>
      </c>
      <c r="BN254" s="63">
        <v>14528428</v>
      </c>
      <c r="BO254" s="63">
        <v>3162937</v>
      </c>
      <c r="BP254" s="63">
        <v>351437</v>
      </c>
      <c r="BQ254" s="63">
        <v>35614670</v>
      </c>
      <c r="BR254" s="63">
        <v>256996</v>
      </c>
      <c r="BS254" s="63">
        <v>57021</v>
      </c>
      <c r="BT254" s="63">
        <v>6336</v>
      </c>
      <c r="BU254" s="63">
        <v>320353</v>
      </c>
      <c r="BV254" s="63">
        <v>774847</v>
      </c>
      <c r="BW254" s="63">
        <v>174340</v>
      </c>
      <c r="BX254" s="63">
        <v>19371</v>
      </c>
      <c r="BY254" s="63">
        <v>968558</v>
      </c>
      <c r="BZ254" s="63">
        <v>10275</v>
      </c>
      <c r="CA254" s="63">
        <v>2312</v>
      </c>
      <c r="CB254" s="63">
        <v>257</v>
      </c>
      <c r="CC254" s="63">
        <v>12844</v>
      </c>
      <c r="CD254" s="63">
        <v>0</v>
      </c>
      <c r="CE254" s="63">
        <v>0</v>
      </c>
      <c r="CF254" s="63">
        <v>0</v>
      </c>
      <c r="CG254" s="63">
        <v>0</v>
      </c>
      <c r="CH254" s="63">
        <v>5913</v>
      </c>
      <c r="CI254" s="63">
        <v>1331</v>
      </c>
      <c r="CJ254" s="63">
        <v>148</v>
      </c>
      <c r="CK254" s="63">
        <v>7392</v>
      </c>
      <c r="CL254" s="63">
        <v>3929</v>
      </c>
      <c r="CM254" s="63">
        <v>884</v>
      </c>
      <c r="CN254" s="63">
        <v>98</v>
      </c>
      <c r="CO254" s="63">
        <v>4911</v>
      </c>
      <c r="CP254" s="63">
        <v>1051960</v>
      </c>
      <c r="CQ254" s="63">
        <v>235888</v>
      </c>
      <c r="CR254" s="63">
        <v>26210</v>
      </c>
      <c r="CS254" s="63">
        <v>1314058</v>
      </c>
      <c r="CU254" s="141" t="s">
        <v>349</v>
      </c>
      <c r="CV254" s="157" t="s">
        <v>982</v>
      </c>
      <c r="CW254" s="156" t="s">
        <v>975</v>
      </c>
      <c r="CX254" s="345"/>
      <c r="CY254" s="345"/>
      <c r="CZ254" s="345"/>
    </row>
    <row r="255" spans="1:104" ht="12.75" x14ac:dyDescent="0.2">
      <c r="A255" s="90">
        <v>248</v>
      </c>
      <c r="B255" s="129" t="s">
        <v>352</v>
      </c>
      <c r="C255" s="130" t="s">
        <v>742</v>
      </c>
      <c r="D255" s="131" t="s">
        <v>752</v>
      </c>
      <c r="E255" s="132" t="s">
        <v>351</v>
      </c>
      <c r="F255" s="63">
        <v>25319879</v>
      </c>
      <c r="G255" s="63">
        <v>0</v>
      </c>
      <c r="H255" s="63">
        <v>0</v>
      </c>
      <c r="I255" s="63">
        <v>104360</v>
      </c>
      <c r="J255" s="63">
        <v>0</v>
      </c>
      <c r="K255" s="63">
        <v>104360</v>
      </c>
      <c r="L255" s="63">
        <v>0</v>
      </c>
      <c r="M255" s="63">
        <v>2778137</v>
      </c>
      <c r="N255" s="63">
        <v>217438</v>
      </c>
      <c r="O255" s="63">
        <v>0</v>
      </c>
      <c r="P255" s="63">
        <v>217438</v>
      </c>
      <c r="Q255" s="63">
        <v>22219944</v>
      </c>
      <c r="R255" s="474">
        <v>0.5</v>
      </c>
      <c r="S255" s="474">
        <v>0.4</v>
      </c>
      <c r="T255" s="474">
        <v>0.09</v>
      </c>
      <c r="U255" s="474">
        <v>0.01</v>
      </c>
      <c r="V255" s="474">
        <v>1</v>
      </c>
      <c r="W255" s="63">
        <v>11109972</v>
      </c>
      <c r="X255" s="63">
        <v>8887978</v>
      </c>
      <c r="Y255" s="63">
        <v>1999795</v>
      </c>
      <c r="Z255" s="63">
        <v>222199</v>
      </c>
      <c r="AA255" s="63">
        <v>22219944</v>
      </c>
      <c r="AB255" s="63">
        <v>54035</v>
      </c>
      <c r="AC255" s="63">
        <v>0</v>
      </c>
      <c r="AD255" s="63">
        <v>0</v>
      </c>
      <c r="AE255" s="63">
        <v>0</v>
      </c>
      <c r="AF255" s="63">
        <v>54035</v>
      </c>
      <c r="AG255" s="63">
        <v>0</v>
      </c>
      <c r="AH255" s="63">
        <v>0</v>
      </c>
      <c r="AI255" s="63">
        <v>0</v>
      </c>
      <c r="AJ255" s="63">
        <v>0</v>
      </c>
      <c r="AK255" s="63">
        <v>0</v>
      </c>
      <c r="AL255" s="63">
        <v>11055937</v>
      </c>
      <c r="AM255" s="63">
        <v>8887978</v>
      </c>
      <c r="AN255" s="63">
        <v>1999795</v>
      </c>
      <c r="AO255" s="63">
        <v>222199</v>
      </c>
      <c r="AP255" s="63">
        <v>22165909</v>
      </c>
      <c r="AQ255" s="63">
        <v>104360</v>
      </c>
      <c r="AR255" s="63">
        <v>104360</v>
      </c>
      <c r="AS255" s="63">
        <v>2778137</v>
      </c>
      <c r="AT255" s="63">
        <v>2778137</v>
      </c>
      <c r="AU255" s="63">
        <v>0</v>
      </c>
      <c r="AV255" s="63">
        <v>217438</v>
      </c>
      <c r="AW255" s="63">
        <v>217438</v>
      </c>
      <c r="AX255" s="63">
        <v>54035</v>
      </c>
      <c r="AY255" s="63">
        <v>0</v>
      </c>
      <c r="AZ255" s="63">
        <v>0</v>
      </c>
      <c r="BA255" s="63">
        <v>54035</v>
      </c>
      <c r="BB255" s="63">
        <v>0</v>
      </c>
      <c r="BC255" s="63">
        <v>0</v>
      </c>
      <c r="BD255" s="63">
        <v>0</v>
      </c>
      <c r="BE255" s="63">
        <v>0</v>
      </c>
      <c r="BF255" s="63">
        <v>0</v>
      </c>
      <c r="BG255" s="63">
        <v>0</v>
      </c>
      <c r="BH255" s="63">
        <v>-1692546</v>
      </c>
      <c r="BI255" s="63">
        <v>-1354037</v>
      </c>
      <c r="BJ255" s="63">
        <v>-304658</v>
      </c>
      <c r="BK255" s="63">
        <v>-33851</v>
      </c>
      <c r="BL255" s="63">
        <v>-3385092</v>
      </c>
      <c r="BM255" s="63">
        <v>9363391</v>
      </c>
      <c r="BN255" s="63">
        <v>10470473</v>
      </c>
      <c r="BO255" s="63">
        <v>1912575</v>
      </c>
      <c r="BP255" s="63">
        <v>188348</v>
      </c>
      <c r="BQ255" s="63">
        <v>21934787</v>
      </c>
      <c r="BR255" s="63">
        <v>169506</v>
      </c>
      <c r="BS255" s="63">
        <v>32067</v>
      </c>
      <c r="BT255" s="63">
        <v>3214</v>
      </c>
      <c r="BU255" s="63">
        <v>204787</v>
      </c>
      <c r="BV255" s="63">
        <v>424186</v>
      </c>
      <c r="BW255" s="63">
        <v>95442</v>
      </c>
      <c r="BX255" s="63">
        <v>10605</v>
      </c>
      <c r="BY255" s="63">
        <v>530233</v>
      </c>
      <c r="BZ255" s="63">
        <v>0</v>
      </c>
      <c r="CA255" s="63">
        <v>0</v>
      </c>
      <c r="CB255" s="63">
        <v>0</v>
      </c>
      <c r="CC255" s="63">
        <v>0</v>
      </c>
      <c r="CD255" s="63">
        <v>0</v>
      </c>
      <c r="CE255" s="63">
        <v>0</v>
      </c>
      <c r="CF255" s="63">
        <v>0</v>
      </c>
      <c r="CG255" s="63">
        <v>0</v>
      </c>
      <c r="CH255" s="63">
        <v>1623</v>
      </c>
      <c r="CI255" s="63">
        <v>365</v>
      </c>
      <c r="CJ255" s="63">
        <v>41</v>
      </c>
      <c r="CK255" s="63">
        <v>2029</v>
      </c>
      <c r="CL255" s="63">
        <v>683</v>
      </c>
      <c r="CM255" s="63">
        <v>153</v>
      </c>
      <c r="CN255" s="63">
        <v>17</v>
      </c>
      <c r="CO255" s="63">
        <v>853</v>
      </c>
      <c r="CP255" s="63">
        <v>595998</v>
      </c>
      <c r="CQ255" s="63">
        <v>128027</v>
      </c>
      <c r="CR255" s="63">
        <v>13877</v>
      </c>
      <c r="CS255" s="63">
        <v>737902</v>
      </c>
      <c r="CU255" s="141" t="s">
        <v>351</v>
      </c>
      <c r="CV255" s="157" t="s">
        <v>964</v>
      </c>
      <c r="CW255" s="156" t="s">
        <v>965</v>
      </c>
      <c r="CX255" s="345"/>
      <c r="CY255" s="345"/>
      <c r="CZ255" s="345"/>
    </row>
    <row r="256" spans="1:104" ht="12.75" x14ac:dyDescent="0.2">
      <c r="A256" s="90">
        <v>249</v>
      </c>
      <c r="B256" s="129" t="s">
        <v>354</v>
      </c>
      <c r="C256" s="130" t="s">
        <v>749</v>
      </c>
      <c r="D256" s="131" t="s">
        <v>755</v>
      </c>
      <c r="E256" s="132" t="s">
        <v>353</v>
      </c>
      <c r="F256" s="63">
        <v>31626087</v>
      </c>
      <c r="G256" s="63">
        <v>0</v>
      </c>
      <c r="H256" s="63">
        <v>0</v>
      </c>
      <c r="I256" s="63">
        <v>153992</v>
      </c>
      <c r="J256" s="63">
        <v>0</v>
      </c>
      <c r="K256" s="63">
        <v>153992</v>
      </c>
      <c r="L256" s="63">
        <v>0</v>
      </c>
      <c r="M256" s="63">
        <v>0</v>
      </c>
      <c r="N256" s="63">
        <v>0</v>
      </c>
      <c r="O256" s="63">
        <v>0</v>
      </c>
      <c r="P256" s="63">
        <v>0</v>
      </c>
      <c r="Q256" s="63">
        <v>31472095</v>
      </c>
      <c r="R256" s="474">
        <v>0.5</v>
      </c>
      <c r="S256" s="474">
        <v>0.49</v>
      </c>
      <c r="T256" s="474">
        <v>0</v>
      </c>
      <c r="U256" s="474">
        <v>0.01</v>
      </c>
      <c r="V256" s="474">
        <v>1</v>
      </c>
      <c r="W256" s="63">
        <v>15736047</v>
      </c>
      <c r="X256" s="63">
        <v>15421327</v>
      </c>
      <c r="Y256" s="63">
        <v>0</v>
      </c>
      <c r="Z256" s="63">
        <v>314721</v>
      </c>
      <c r="AA256" s="63">
        <v>31472095</v>
      </c>
      <c r="AB256" s="63">
        <v>0</v>
      </c>
      <c r="AC256" s="63">
        <v>0</v>
      </c>
      <c r="AD256" s="63">
        <v>0</v>
      </c>
      <c r="AE256" s="63">
        <v>0</v>
      </c>
      <c r="AF256" s="63">
        <v>0</v>
      </c>
      <c r="AG256" s="63">
        <v>0</v>
      </c>
      <c r="AH256" s="63">
        <v>0</v>
      </c>
      <c r="AI256" s="63">
        <v>0</v>
      </c>
      <c r="AJ256" s="63">
        <v>0</v>
      </c>
      <c r="AK256" s="63">
        <v>0</v>
      </c>
      <c r="AL256" s="63">
        <v>15736047</v>
      </c>
      <c r="AM256" s="63">
        <v>15421327</v>
      </c>
      <c r="AN256" s="63">
        <v>0</v>
      </c>
      <c r="AO256" s="63">
        <v>314721</v>
      </c>
      <c r="AP256" s="63">
        <v>31472095</v>
      </c>
      <c r="AQ256" s="63">
        <v>153992</v>
      </c>
      <c r="AR256" s="63">
        <v>153992</v>
      </c>
      <c r="AS256" s="63">
        <v>0</v>
      </c>
      <c r="AT256" s="63">
        <v>0</v>
      </c>
      <c r="AU256" s="63">
        <v>0</v>
      </c>
      <c r="AV256" s="63">
        <v>0</v>
      </c>
      <c r="AW256" s="63">
        <v>0</v>
      </c>
      <c r="AX256" s="63">
        <v>0</v>
      </c>
      <c r="AY256" s="63">
        <v>0</v>
      </c>
      <c r="AZ256" s="63">
        <v>0</v>
      </c>
      <c r="BA256" s="63">
        <v>0</v>
      </c>
      <c r="BB256" s="63">
        <v>0</v>
      </c>
      <c r="BC256" s="63">
        <v>0</v>
      </c>
      <c r="BD256" s="63">
        <v>0</v>
      </c>
      <c r="BE256" s="63">
        <v>0</v>
      </c>
      <c r="BF256" s="63">
        <v>0</v>
      </c>
      <c r="BG256" s="63">
        <v>0</v>
      </c>
      <c r="BH256" s="63">
        <v>-265745</v>
      </c>
      <c r="BI256" s="63">
        <v>-260430</v>
      </c>
      <c r="BJ256" s="63">
        <v>0</v>
      </c>
      <c r="BK256" s="63">
        <v>-5315</v>
      </c>
      <c r="BL256" s="63">
        <v>-531490</v>
      </c>
      <c r="BM256" s="63">
        <v>15470302</v>
      </c>
      <c r="BN256" s="63">
        <v>15314889</v>
      </c>
      <c r="BO256" s="63">
        <v>0</v>
      </c>
      <c r="BP256" s="63">
        <v>309406</v>
      </c>
      <c r="BQ256" s="63">
        <v>31094597</v>
      </c>
      <c r="BR256" s="63">
        <v>223036</v>
      </c>
      <c r="BS256" s="63">
        <v>0</v>
      </c>
      <c r="BT256" s="63">
        <v>4552</v>
      </c>
      <c r="BU256" s="63">
        <v>227588</v>
      </c>
      <c r="BV256" s="63">
        <v>703377</v>
      </c>
      <c r="BW256" s="63">
        <v>0</v>
      </c>
      <c r="BX256" s="63">
        <v>14355</v>
      </c>
      <c r="BY256" s="63">
        <v>717732</v>
      </c>
      <c r="BZ256" s="63">
        <v>0</v>
      </c>
      <c r="CA256" s="63">
        <v>0</v>
      </c>
      <c r="CB256" s="63">
        <v>0</v>
      </c>
      <c r="CC256" s="63">
        <v>0</v>
      </c>
      <c r="CD256" s="63">
        <v>0</v>
      </c>
      <c r="CE256" s="63">
        <v>0</v>
      </c>
      <c r="CF256" s="63">
        <v>0</v>
      </c>
      <c r="CG256" s="63">
        <v>0</v>
      </c>
      <c r="CH256" s="63">
        <v>25848</v>
      </c>
      <c r="CI256" s="63">
        <v>0</v>
      </c>
      <c r="CJ256" s="63">
        <v>528</v>
      </c>
      <c r="CK256" s="63">
        <v>26376</v>
      </c>
      <c r="CL256" s="63">
        <v>0</v>
      </c>
      <c r="CM256" s="63">
        <v>0</v>
      </c>
      <c r="CN256" s="63">
        <v>0</v>
      </c>
      <c r="CO256" s="63">
        <v>0</v>
      </c>
      <c r="CP256" s="63">
        <v>952261</v>
      </c>
      <c r="CQ256" s="63">
        <v>0</v>
      </c>
      <c r="CR256" s="63">
        <v>19435</v>
      </c>
      <c r="CS256" s="63">
        <v>971696</v>
      </c>
      <c r="CU256" s="141" t="s">
        <v>353</v>
      </c>
      <c r="CV256" s="157" t="s">
        <v>941</v>
      </c>
      <c r="CW256" s="156" t="s">
        <v>979</v>
      </c>
      <c r="CX256" s="345"/>
      <c r="CY256" s="345"/>
      <c r="CZ256" s="345"/>
    </row>
    <row r="257" spans="1:104" ht="12.75" x14ac:dyDescent="0.2">
      <c r="A257" s="90">
        <v>250</v>
      </c>
      <c r="B257" s="129" t="s">
        <v>355</v>
      </c>
      <c r="C257" s="130" t="s">
        <v>501</v>
      </c>
      <c r="D257" s="131" t="s">
        <v>743</v>
      </c>
      <c r="E257" s="132" t="s">
        <v>531</v>
      </c>
      <c r="F257" s="63">
        <v>97214011</v>
      </c>
      <c r="G257" s="63">
        <v>0</v>
      </c>
      <c r="H257" s="63">
        <v>0</v>
      </c>
      <c r="I257" s="63">
        <v>315452</v>
      </c>
      <c r="J257" s="63">
        <v>0</v>
      </c>
      <c r="K257" s="63">
        <v>315452</v>
      </c>
      <c r="L257" s="63">
        <v>0</v>
      </c>
      <c r="M257" s="63">
        <v>0</v>
      </c>
      <c r="N257" s="63">
        <v>0</v>
      </c>
      <c r="O257" s="63">
        <v>0</v>
      </c>
      <c r="P257" s="63">
        <v>0</v>
      </c>
      <c r="Q257" s="63">
        <v>96898559</v>
      </c>
      <c r="R257" s="474">
        <v>0.5</v>
      </c>
      <c r="S257" s="474">
        <v>0.49</v>
      </c>
      <c r="T257" s="474">
        <v>0</v>
      </c>
      <c r="U257" s="474">
        <v>0.01</v>
      </c>
      <c r="V257" s="474">
        <v>1</v>
      </c>
      <c r="W257" s="63">
        <v>48449279</v>
      </c>
      <c r="X257" s="63">
        <v>47480294</v>
      </c>
      <c r="Y257" s="63">
        <v>0</v>
      </c>
      <c r="Z257" s="63">
        <v>968986</v>
      </c>
      <c r="AA257" s="63">
        <v>96898559</v>
      </c>
      <c r="AB257" s="63">
        <v>0</v>
      </c>
      <c r="AC257" s="63">
        <v>0</v>
      </c>
      <c r="AD257" s="63">
        <v>0</v>
      </c>
      <c r="AE257" s="63">
        <v>0</v>
      </c>
      <c r="AF257" s="63">
        <v>0</v>
      </c>
      <c r="AG257" s="63">
        <v>0</v>
      </c>
      <c r="AH257" s="63">
        <v>0</v>
      </c>
      <c r="AI257" s="63">
        <v>0</v>
      </c>
      <c r="AJ257" s="63">
        <v>0</v>
      </c>
      <c r="AK257" s="63">
        <v>0</v>
      </c>
      <c r="AL257" s="63">
        <v>48449279</v>
      </c>
      <c r="AM257" s="63">
        <v>47480294</v>
      </c>
      <c r="AN257" s="63">
        <v>0</v>
      </c>
      <c r="AO257" s="63">
        <v>968986</v>
      </c>
      <c r="AP257" s="63">
        <v>96898559</v>
      </c>
      <c r="AQ257" s="63">
        <v>315452</v>
      </c>
      <c r="AR257" s="63">
        <v>315452</v>
      </c>
      <c r="AS257" s="63">
        <v>0</v>
      </c>
      <c r="AT257" s="63">
        <v>0</v>
      </c>
      <c r="AU257" s="63">
        <v>0</v>
      </c>
      <c r="AV257" s="63">
        <v>0</v>
      </c>
      <c r="AW257" s="63">
        <v>0</v>
      </c>
      <c r="AX257" s="63">
        <v>0</v>
      </c>
      <c r="AY257" s="63">
        <v>0</v>
      </c>
      <c r="AZ257" s="63">
        <v>0</v>
      </c>
      <c r="BA257" s="63">
        <v>0</v>
      </c>
      <c r="BB257" s="63">
        <v>0</v>
      </c>
      <c r="BC257" s="63">
        <v>0</v>
      </c>
      <c r="BD257" s="63">
        <v>0</v>
      </c>
      <c r="BE257" s="63">
        <v>0</v>
      </c>
      <c r="BF257" s="63">
        <v>0</v>
      </c>
      <c r="BG257" s="63">
        <v>0</v>
      </c>
      <c r="BH257" s="63">
        <v>3072653</v>
      </c>
      <c r="BI257" s="63">
        <v>3011199</v>
      </c>
      <c r="BJ257" s="63">
        <v>0</v>
      </c>
      <c r="BK257" s="63">
        <v>61453</v>
      </c>
      <c r="BL257" s="63">
        <v>6145305</v>
      </c>
      <c r="BM257" s="63">
        <v>51521932</v>
      </c>
      <c r="BN257" s="63">
        <v>50806945</v>
      </c>
      <c r="BO257" s="63">
        <v>0</v>
      </c>
      <c r="BP257" s="63">
        <v>1030439</v>
      </c>
      <c r="BQ257" s="63">
        <v>103359316</v>
      </c>
      <c r="BR257" s="63">
        <v>686698</v>
      </c>
      <c r="BS257" s="63">
        <v>0</v>
      </c>
      <c r="BT257" s="63">
        <v>14014</v>
      </c>
      <c r="BU257" s="63">
        <v>700712</v>
      </c>
      <c r="BV257" s="63">
        <v>866762</v>
      </c>
      <c r="BW257" s="63">
        <v>0</v>
      </c>
      <c r="BX257" s="63">
        <v>17689</v>
      </c>
      <c r="BY257" s="63">
        <v>884451</v>
      </c>
      <c r="BZ257" s="63">
        <v>17468</v>
      </c>
      <c r="CA257" s="63">
        <v>0</v>
      </c>
      <c r="CB257" s="63">
        <v>356</v>
      </c>
      <c r="CC257" s="63">
        <v>17824</v>
      </c>
      <c r="CD257" s="63">
        <v>0</v>
      </c>
      <c r="CE257" s="63">
        <v>0</v>
      </c>
      <c r="CF257" s="63">
        <v>0</v>
      </c>
      <c r="CG257" s="63">
        <v>0</v>
      </c>
      <c r="CH257" s="63">
        <v>24449</v>
      </c>
      <c r="CI257" s="63">
        <v>0</v>
      </c>
      <c r="CJ257" s="63">
        <v>499</v>
      </c>
      <c r="CK257" s="63">
        <v>24948</v>
      </c>
      <c r="CL257" s="63">
        <v>4971</v>
      </c>
      <c r="CM257" s="63">
        <v>0</v>
      </c>
      <c r="CN257" s="63">
        <v>101</v>
      </c>
      <c r="CO257" s="63">
        <v>5072</v>
      </c>
      <c r="CP257" s="63">
        <v>1600348</v>
      </c>
      <c r="CQ257" s="63">
        <v>0</v>
      </c>
      <c r="CR257" s="63">
        <v>32659</v>
      </c>
      <c r="CS257" s="63">
        <v>1633007</v>
      </c>
      <c r="CU257" s="141" t="s">
        <v>531</v>
      </c>
      <c r="CV257" s="157" t="s">
        <v>501</v>
      </c>
      <c r="CW257" s="156" t="s">
        <v>946</v>
      </c>
      <c r="CX257" s="345"/>
      <c r="CY257" s="345"/>
      <c r="CZ257" s="345"/>
    </row>
    <row r="258" spans="1:104" ht="12.75" x14ac:dyDescent="0.2">
      <c r="A258" s="90">
        <v>251</v>
      </c>
      <c r="B258" s="129" t="s">
        <v>356</v>
      </c>
      <c r="C258" s="130" t="s">
        <v>501</v>
      </c>
      <c r="D258" s="131" t="s">
        <v>746</v>
      </c>
      <c r="E258" s="132" t="s">
        <v>528</v>
      </c>
      <c r="F258" s="63">
        <v>47941842</v>
      </c>
      <c r="G258" s="63">
        <v>0</v>
      </c>
      <c r="H258" s="63">
        <v>0</v>
      </c>
      <c r="I258" s="63">
        <v>238425</v>
      </c>
      <c r="J258" s="63">
        <v>0</v>
      </c>
      <c r="K258" s="63">
        <v>238425</v>
      </c>
      <c r="L258" s="63">
        <v>0</v>
      </c>
      <c r="M258" s="63">
        <v>0</v>
      </c>
      <c r="N258" s="63">
        <v>0</v>
      </c>
      <c r="O258" s="63">
        <v>0</v>
      </c>
      <c r="P258" s="63">
        <v>0</v>
      </c>
      <c r="Q258" s="63">
        <v>47703417</v>
      </c>
      <c r="R258" s="474">
        <v>0.5</v>
      </c>
      <c r="S258" s="474">
        <v>0.49</v>
      </c>
      <c r="T258" s="474">
        <v>0</v>
      </c>
      <c r="U258" s="474">
        <v>0.01</v>
      </c>
      <c r="V258" s="474">
        <v>1</v>
      </c>
      <c r="W258" s="63">
        <v>23851709</v>
      </c>
      <c r="X258" s="63">
        <v>23374674</v>
      </c>
      <c r="Y258" s="63">
        <v>0</v>
      </c>
      <c r="Z258" s="63">
        <v>477034</v>
      </c>
      <c r="AA258" s="63">
        <v>47703417</v>
      </c>
      <c r="AB258" s="63">
        <v>0</v>
      </c>
      <c r="AC258" s="63">
        <v>0</v>
      </c>
      <c r="AD258" s="63">
        <v>0</v>
      </c>
      <c r="AE258" s="63">
        <v>0</v>
      </c>
      <c r="AF258" s="63">
        <v>0</v>
      </c>
      <c r="AG258" s="63">
        <v>0</v>
      </c>
      <c r="AH258" s="63">
        <v>0</v>
      </c>
      <c r="AI258" s="63">
        <v>0</v>
      </c>
      <c r="AJ258" s="63">
        <v>0</v>
      </c>
      <c r="AK258" s="63">
        <v>0</v>
      </c>
      <c r="AL258" s="63">
        <v>23851709</v>
      </c>
      <c r="AM258" s="63">
        <v>23374674</v>
      </c>
      <c r="AN258" s="63">
        <v>0</v>
      </c>
      <c r="AO258" s="63">
        <v>477034</v>
      </c>
      <c r="AP258" s="63">
        <v>47703417</v>
      </c>
      <c r="AQ258" s="63">
        <v>238425</v>
      </c>
      <c r="AR258" s="63">
        <v>238425</v>
      </c>
      <c r="AS258" s="63">
        <v>0</v>
      </c>
      <c r="AT258" s="63">
        <v>0</v>
      </c>
      <c r="AU258" s="63">
        <v>0</v>
      </c>
      <c r="AV258" s="63">
        <v>0</v>
      </c>
      <c r="AW258" s="63">
        <v>0</v>
      </c>
      <c r="AX258" s="63">
        <v>0</v>
      </c>
      <c r="AY258" s="63">
        <v>0</v>
      </c>
      <c r="AZ258" s="63">
        <v>0</v>
      </c>
      <c r="BA258" s="63">
        <v>0</v>
      </c>
      <c r="BB258" s="63">
        <v>0</v>
      </c>
      <c r="BC258" s="63">
        <v>0</v>
      </c>
      <c r="BD258" s="63">
        <v>0</v>
      </c>
      <c r="BE258" s="63">
        <v>0</v>
      </c>
      <c r="BF258" s="63">
        <v>0</v>
      </c>
      <c r="BG258" s="63">
        <v>0</v>
      </c>
      <c r="BH258" s="63">
        <v>86733</v>
      </c>
      <c r="BI258" s="63">
        <v>84999</v>
      </c>
      <c r="BJ258" s="63">
        <v>0</v>
      </c>
      <c r="BK258" s="63">
        <v>1735</v>
      </c>
      <c r="BL258" s="63">
        <v>173467</v>
      </c>
      <c r="BM258" s="63">
        <v>23938442</v>
      </c>
      <c r="BN258" s="63">
        <v>23698098</v>
      </c>
      <c r="BO258" s="63">
        <v>0</v>
      </c>
      <c r="BP258" s="63">
        <v>478769</v>
      </c>
      <c r="BQ258" s="63">
        <v>48115309</v>
      </c>
      <c r="BR258" s="63">
        <v>338063</v>
      </c>
      <c r="BS258" s="63">
        <v>0</v>
      </c>
      <c r="BT258" s="63">
        <v>6899</v>
      </c>
      <c r="BU258" s="63">
        <v>344962</v>
      </c>
      <c r="BV258" s="63">
        <v>1218578</v>
      </c>
      <c r="BW258" s="63">
        <v>0</v>
      </c>
      <c r="BX258" s="63">
        <v>24869</v>
      </c>
      <c r="BY258" s="63">
        <v>1243447</v>
      </c>
      <c r="BZ258" s="63">
        <v>5051</v>
      </c>
      <c r="CA258" s="63">
        <v>0</v>
      </c>
      <c r="CB258" s="63">
        <v>103</v>
      </c>
      <c r="CC258" s="63">
        <v>5154</v>
      </c>
      <c r="CD258" s="63">
        <v>0</v>
      </c>
      <c r="CE258" s="63">
        <v>0</v>
      </c>
      <c r="CF258" s="63">
        <v>0</v>
      </c>
      <c r="CG258" s="63">
        <v>0</v>
      </c>
      <c r="CH258" s="63">
        <v>9942</v>
      </c>
      <c r="CI258" s="63">
        <v>0</v>
      </c>
      <c r="CJ258" s="63">
        <v>203</v>
      </c>
      <c r="CK258" s="63">
        <v>10145</v>
      </c>
      <c r="CL258" s="63">
        <v>1746</v>
      </c>
      <c r="CM258" s="63">
        <v>0</v>
      </c>
      <c r="CN258" s="63">
        <v>36</v>
      </c>
      <c r="CO258" s="63">
        <v>1782</v>
      </c>
      <c r="CP258" s="63">
        <v>1573380</v>
      </c>
      <c r="CQ258" s="63">
        <v>0</v>
      </c>
      <c r="CR258" s="63">
        <v>32110</v>
      </c>
      <c r="CS258" s="63">
        <v>1605490</v>
      </c>
      <c r="CU258" s="141" t="s">
        <v>528</v>
      </c>
      <c r="CV258" s="157" t="s">
        <v>501</v>
      </c>
      <c r="CW258" s="156" t="s">
        <v>944</v>
      </c>
      <c r="CX258" s="345"/>
      <c r="CY258" s="345"/>
      <c r="CZ258" s="345"/>
    </row>
    <row r="259" spans="1:104" ht="12.75" x14ac:dyDescent="0.2">
      <c r="A259" s="90">
        <v>252</v>
      </c>
      <c r="B259" s="129" t="s">
        <v>358</v>
      </c>
      <c r="C259" s="130" t="s">
        <v>754</v>
      </c>
      <c r="D259" s="131" t="s">
        <v>748</v>
      </c>
      <c r="E259" s="132" t="s">
        <v>357</v>
      </c>
      <c r="F259" s="63">
        <v>231043470</v>
      </c>
      <c r="G259" s="63">
        <v>0</v>
      </c>
      <c r="H259" s="63">
        <v>0</v>
      </c>
      <c r="I259" s="63">
        <v>659318</v>
      </c>
      <c r="J259" s="63">
        <v>0</v>
      </c>
      <c r="K259" s="63">
        <v>659318</v>
      </c>
      <c r="L259" s="63">
        <v>0</v>
      </c>
      <c r="M259" s="63">
        <v>0</v>
      </c>
      <c r="N259" s="63">
        <v>0</v>
      </c>
      <c r="O259" s="63">
        <v>0</v>
      </c>
      <c r="P259" s="63">
        <v>0</v>
      </c>
      <c r="Q259" s="63">
        <v>230384152</v>
      </c>
      <c r="R259" s="474">
        <v>0.5</v>
      </c>
      <c r="S259" s="474">
        <v>0.3</v>
      </c>
      <c r="T259" s="474">
        <v>0.2</v>
      </c>
      <c r="U259" s="474">
        <v>0</v>
      </c>
      <c r="V259" s="474">
        <v>1</v>
      </c>
      <c r="W259" s="63">
        <v>115192076</v>
      </c>
      <c r="X259" s="63">
        <v>69115246</v>
      </c>
      <c r="Y259" s="63">
        <v>46076830</v>
      </c>
      <c r="Z259" s="63">
        <v>0</v>
      </c>
      <c r="AA259" s="63">
        <v>230384152</v>
      </c>
      <c r="AB259" s="63">
        <v>0</v>
      </c>
      <c r="AC259" s="63">
        <v>0</v>
      </c>
      <c r="AD259" s="63">
        <v>0</v>
      </c>
      <c r="AE259" s="63">
        <v>0</v>
      </c>
      <c r="AF259" s="63">
        <v>0</v>
      </c>
      <c r="AG259" s="63">
        <v>0</v>
      </c>
      <c r="AH259" s="63">
        <v>0</v>
      </c>
      <c r="AI259" s="63">
        <v>0</v>
      </c>
      <c r="AJ259" s="63">
        <v>0</v>
      </c>
      <c r="AK259" s="63">
        <v>0</v>
      </c>
      <c r="AL259" s="63">
        <v>115192076</v>
      </c>
      <c r="AM259" s="63">
        <v>69115246</v>
      </c>
      <c r="AN259" s="63">
        <v>46076830</v>
      </c>
      <c r="AO259" s="63">
        <v>0</v>
      </c>
      <c r="AP259" s="63">
        <v>230384152</v>
      </c>
      <c r="AQ259" s="63">
        <v>659318</v>
      </c>
      <c r="AR259" s="63">
        <v>659318</v>
      </c>
      <c r="AS259" s="63">
        <v>0</v>
      </c>
      <c r="AT259" s="63">
        <v>0</v>
      </c>
      <c r="AU259" s="63">
        <v>0</v>
      </c>
      <c r="AV259" s="63">
        <v>0</v>
      </c>
      <c r="AW259" s="63">
        <v>0</v>
      </c>
      <c r="AX259" s="63">
        <v>0</v>
      </c>
      <c r="AY259" s="63">
        <v>0</v>
      </c>
      <c r="AZ259" s="63">
        <v>0</v>
      </c>
      <c r="BA259" s="63">
        <v>0</v>
      </c>
      <c r="BB259" s="63">
        <v>0</v>
      </c>
      <c r="BC259" s="63">
        <v>0</v>
      </c>
      <c r="BD259" s="63">
        <v>0</v>
      </c>
      <c r="BE259" s="63">
        <v>0</v>
      </c>
      <c r="BF259" s="63">
        <v>0</v>
      </c>
      <c r="BG259" s="63">
        <v>0</v>
      </c>
      <c r="BH259" s="63">
        <v>-7303651</v>
      </c>
      <c r="BI259" s="63">
        <v>-4382191</v>
      </c>
      <c r="BJ259" s="63">
        <v>-2921461</v>
      </c>
      <c r="BK259" s="63">
        <v>0</v>
      </c>
      <c r="BL259" s="63">
        <v>-14607303</v>
      </c>
      <c r="BM259" s="63">
        <v>107888425</v>
      </c>
      <c r="BN259" s="63">
        <v>65392373</v>
      </c>
      <c r="BO259" s="63">
        <v>43155369</v>
      </c>
      <c r="BP259" s="63">
        <v>0</v>
      </c>
      <c r="BQ259" s="63">
        <v>216436167</v>
      </c>
      <c r="BR259" s="63">
        <v>999601</v>
      </c>
      <c r="BS259" s="63">
        <v>666400</v>
      </c>
      <c r="BT259" s="63">
        <v>0</v>
      </c>
      <c r="BU259" s="63">
        <v>1666001</v>
      </c>
      <c r="BV259" s="63">
        <v>866720</v>
      </c>
      <c r="BW259" s="63">
        <v>577813</v>
      </c>
      <c r="BX259" s="63">
        <v>0</v>
      </c>
      <c r="BY259" s="63">
        <v>1444533</v>
      </c>
      <c r="BZ259" s="63">
        <v>1441</v>
      </c>
      <c r="CA259" s="63">
        <v>960</v>
      </c>
      <c r="CB259" s="63">
        <v>0</v>
      </c>
      <c r="CC259" s="63">
        <v>2401</v>
      </c>
      <c r="CD259" s="63">
        <v>0</v>
      </c>
      <c r="CE259" s="63">
        <v>0</v>
      </c>
      <c r="CF259" s="63">
        <v>0</v>
      </c>
      <c r="CG259" s="63">
        <v>0</v>
      </c>
      <c r="CH259" s="63">
        <v>0</v>
      </c>
      <c r="CI259" s="63">
        <v>0</v>
      </c>
      <c r="CJ259" s="63">
        <v>0</v>
      </c>
      <c r="CK259" s="63">
        <v>0</v>
      </c>
      <c r="CL259" s="63">
        <v>0</v>
      </c>
      <c r="CM259" s="63">
        <v>0</v>
      </c>
      <c r="CN259" s="63">
        <v>0</v>
      </c>
      <c r="CO259" s="63">
        <v>0</v>
      </c>
      <c r="CP259" s="63">
        <v>1867762</v>
      </c>
      <c r="CQ259" s="63">
        <v>1245173</v>
      </c>
      <c r="CR259" s="63">
        <v>0</v>
      </c>
      <c r="CS259" s="63">
        <v>3112935</v>
      </c>
      <c r="CU259" s="141" t="s">
        <v>357</v>
      </c>
      <c r="CV259" s="157" t="s">
        <v>939</v>
      </c>
      <c r="CW259" s="157" t="s">
        <v>940</v>
      </c>
      <c r="CX259" s="345"/>
      <c r="CY259" s="345"/>
      <c r="CZ259" s="345"/>
    </row>
    <row r="260" spans="1:104" ht="12.75" x14ac:dyDescent="0.2">
      <c r="A260" s="90">
        <v>253</v>
      </c>
      <c r="B260" s="129" t="s">
        <v>360</v>
      </c>
      <c r="C260" s="130" t="s">
        <v>742</v>
      </c>
      <c r="D260" s="131" t="s">
        <v>743</v>
      </c>
      <c r="E260" s="132" t="s">
        <v>359</v>
      </c>
      <c r="F260" s="63">
        <v>45665475</v>
      </c>
      <c r="G260" s="63">
        <v>0</v>
      </c>
      <c r="H260" s="63">
        <v>0</v>
      </c>
      <c r="I260" s="63">
        <v>128984</v>
      </c>
      <c r="J260" s="63">
        <v>0</v>
      </c>
      <c r="K260" s="63">
        <v>128984</v>
      </c>
      <c r="L260" s="63">
        <v>0</v>
      </c>
      <c r="M260" s="63">
        <v>0</v>
      </c>
      <c r="N260" s="63">
        <v>0</v>
      </c>
      <c r="O260" s="63">
        <v>0</v>
      </c>
      <c r="P260" s="63">
        <v>0</v>
      </c>
      <c r="Q260" s="63">
        <v>45536491</v>
      </c>
      <c r="R260" s="474">
        <v>0.5</v>
      </c>
      <c r="S260" s="474">
        <v>0.4</v>
      </c>
      <c r="T260" s="474">
        <v>0.1</v>
      </c>
      <c r="U260" s="474">
        <v>0</v>
      </c>
      <c r="V260" s="474">
        <v>1</v>
      </c>
      <c r="W260" s="63">
        <v>22768246</v>
      </c>
      <c r="X260" s="63">
        <v>18214596</v>
      </c>
      <c r="Y260" s="63">
        <v>4553649</v>
      </c>
      <c r="Z260" s="63">
        <v>0</v>
      </c>
      <c r="AA260" s="63">
        <v>45536491</v>
      </c>
      <c r="AB260" s="63">
        <v>0</v>
      </c>
      <c r="AC260" s="63">
        <v>0</v>
      </c>
      <c r="AD260" s="63">
        <v>0</v>
      </c>
      <c r="AE260" s="63">
        <v>0</v>
      </c>
      <c r="AF260" s="63">
        <v>0</v>
      </c>
      <c r="AG260" s="63">
        <v>0</v>
      </c>
      <c r="AH260" s="63">
        <v>0</v>
      </c>
      <c r="AI260" s="63">
        <v>0</v>
      </c>
      <c r="AJ260" s="63">
        <v>0</v>
      </c>
      <c r="AK260" s="63">
        <v>0</v>
      </c>
      <c r="AL260" s="63">
        <v>22768246</v>
      </c>
      <c r="AM260" s="63">
        <v>18214596</v>
      </c>
      <c r="AN260" s="63">
        <v>4553649</v>
      </c>
      <c r="AO260" s="63">
        <v>0</v>
      </c>
      <c r="AP260" s="63">
        <v>45536491</v>
      </c>
      <c r="AQ260" s="63">
        <v>128984</v>
      </c>
      <c r="AR260" s="63">
        <v>128984</v>
      </c>
      <c r="AS260" s="63">
        <v>0</v>
      </c>
      <c r="AT260" s="63">
        <v>0</v>
      </c>
      <c r="AU260" s="63">
        <v>0</v>
      </c>
      <c r="AV260" s="63">
        <v>0</v>
      </c>
      <c r="AW260" s="63">
        <v>0</v>
      </c>
      <c r="AX260" s="63">
        <v>0</v>
      </c>
      <c r="AY260" s="63">
        <v>0</v>
      </c>
      <c r="AZ260" s="63">
        <v>0</v>
      </c>
      <c r="BA260" s="63">
        <v>0</v>
      </c>
      <c r="BB260" s="63">
        <v>0</v>
      </c>
      <c r="BC260" s="63">
        <v>0</v>
      </c>
      <c r="BD260" s="63">
        <v>0</v>
      </c>
      <c r="BE260" s="63">
        <v>0</v>
      </c>
      <c r="BF260" s="63">
        <v>0</v>
      </c>
      <c r="BG260" s="63">
        <v>0</v>
      </c>
      <c r="BH260" s="63">
        <v>-4405896</v>
      </c>
      <c r="BI260" s="63">
        <v>-3524717</v>
      </c>
      <c r="BJ260" s="63">
        <v>-881179</v>
      </c>
      <c r="BK260" s="63">
        <v>0</v>
      </c>
      <c r="BL260" s="63">
        <v>-8811792</v>
      </c>
      <c r="BM260" s="63">
        <v>18362350</v>
      </c>
      <c r="BN260" s="63">
        <v>14818863</v>
      </c>
      <c r="BO260" s="63">
        <v>3672470</v>
      </c>
      <c r="BP260" s="63">
        <v>0</v>
      </c>
      <c r="BQ260" s="63">
        <v>36853683</v>
      </c>
      <c r="BR260" s="63">
        <v>263434</v>
      </c>
      <c r="BS260" s="63">
        <v>65859</v>
      </c>
      <c r="BT260" s="63">
        <v>0</v>
      </c>
      <c r="BU260" s="63">
        <v>329293</v>
      </c>
      <c r="BV260" s="63">
        <v>256068</v>
      </c>
      <c r="BW260" s="63">
        <v>64017</v>
      </c>
      <c r="BX260" s="63">
        <v>0</v>
      </c>
      <c r="BY260" s="63">
        <v>320085</v>
      </c>
      <c r="BZ260" s="63">
        <v>0</v>
      </c>
      <c r="CA260" s="63">
        <v>0</v>
      </c>
      <c r="CB260" s="63">
        <v>0</v>
      </c>
      <c r="CC260" s="63">
        <v>0</v>
      </c>
      <c r="CD260" s="63">
        <v>0</v>
      </c>
      <c r="CE260" s="63">
        <v>0</v>
      </c>
      <c r="CF260" s="63">
        <v>0</v>
      </c>
      <c r="CG260" s="63">
        <v>0</v>
      </c>
      <c r="CH260" s="63">
        <v>0</v>
      </c>
      <c r="CI260" s="63">
        <v>0</v>
      </c>
      <c r="CJ260" s="63">
        <v>0</v>
      </c>
      <c r="CK260" s="63">
        <v>0</v>
      </c>
      <c r="CL260" s="63">
        <v>9</v>
      </c>
      <c r="CM260" s="63">
        <v>2</v>
      </c>
      <c r="CN260" s="63">
        <v>0</v>
      </c>
      <c r="CO260" s="63">
        <v>11</v>
      </c>
      <c r="CP260" s="63">
        <v>519511</v>
      </c>
      <c r="CQ260" s="63">
        <v>129878</v>
      </c>
      <c r="CR260" s="63">
        <v>0</v>
      </c>
      <c r="CS260" s="63">
        <v>649389</v>
      </c>
      <c r="CU260" s="141" t="s">
        <v>359</v>
      </c>
      <c r="CV260" s="157" t="s">
        <v>978</v>
      </c>
      <c r="CW260" s="156" t="s">
        <v>928</v>
      </c>
      <c r="CX260" s="345"/>
      <c r="CY260" s="345"/>
      <c r="CZ260" s="345"/>
    </row>
    <row r="261" spans="1:104" ht="12.75" x14ac:dyDescent="0.2">
      <c r="A261" s="90">
        <v>254</v>
      </c>
      <c r="B261" s="129" t="s">
        <v>362</v>
      </c>
      <c r="C261" s="130" t="s">
        <v>742</v>
      </c>
      <c r="D261" s="131" t="s">
        <v>746</v>
      </c>
      <c r="E261" s="132" t="s">
        <v>361</v>
      </c>
      <c r="F261" s="63">
        <v>64298690</v>
      </c>
      <c r="G261" s="63">
        <v>0</v>
      </c>
      <c r="H261" s="63">
        <v>0</v>
      </c>
      <c r="I261" s="63">
        <v>194644</v>
      </c>
      <c r="J261" s="63">
        <v>0</v>
      </c>
      <c r="K261" s="63">
        <v>194644</v>
      </c>
      <c r="L261" s="63">
        <v>0</v>
      </c>
      <c r="M261" s="63">
        <v>0</v>
      </c>
      <c r="N261" s="63">
        <v>0</v>
      </c>
      <c r="O261" s="63">
        <v>0</v>
      </c>
      <c r="P261" s="63">
        <v>0</v>
      </c>
      <c r="Q261" s="63">
        <v>64104046</v>
      </c>
      <c r="R261" s="474">
        <v>0.5</v>
      </c>
      <c r="S261" s="474">
        <v>0.4</v>
      </c>
      <c r="T261" s="474">
        <v>0.1</v>
      </c>
      <c r="U261" s="474">
        <v>0</v>
      </c>
      <c r="V261" s="474">
        <v>1</v>
      </c>
      <c r="W261" s="63">
        <v>32052023</v>
      </c>
      <c r="X261" s="63">
        <v>25641618</v>
      </c>
      <c r="Y261" s="63">
        <v>6410405</v>
      </c>
      <c r="Z261" s="63">
        <v>0</v>
      </c>
      <c r="AA261" s="63">
        <v>64104046</v>
      </c>
      <c r="AB261" s="63">
        <v>0</v>
      </c>
      <c r="AC261" s="63">
        <v>0</v>
      </c>
      <c r="AD261" s="63">
        <v>0</v>
      </c>
      <c r="AE261" s="63">
        <v>0</v>
      </c>
      <c r="AF261" s="63">
        <v>0</v>
      </c>
      <c r="AG261" s="63">
        <v>0</v>
      </c>
      <c r="AH261" s="63">
        <v>0</v>
      </c>
      <c r="AI261" s="63">
        <v>0</v>
      </c>
      <c r="AJ261" s="63">
        <v>0</v>
      </c>
      <c r="AK261" s="63">
        <v>0</v>
      </c>
      <c r="AL261" s="63">
        <v>32052023</v>
      </c>
      <c r="AM261" s="63">
        <v>25641618</v>
      </c>
      <c r="AN261" s="63">
        <v>6410405</v>
      </c>
      <c r="AO261" s="63">
        <v>0</v>
      </c>
      <c r="AP261" s="63">
        <v>64104046</v>
      </c>
      <c r="AQ261" s="63">
        <v>194644</v>
      </c>
      <c r="AR261" s="63">
        <v>194644</v>
      </c>
      <c r="AS261" s="63">
        <v>0</v>
      </c>
      <c r="AT261" s="63">
        <v>0</v>
      </c>
      <c r="AU261" s="63">
        <v>0</v>
      </c>
      <c r="AV261" s="63">
        <v>0</v>
      </c>
      <c r="AW261" s="63">
        <v>0</v>
      </c>
      <c r="AX261" s="63">
        <v>0</v>
      </c>
      <c r="AY261" s="63">
        <v>0</v>
      </c>
      <c r="AZ261" s="63">
        <v>0</v>
      </c>
      <c r="BA261" s="63">
        <v>0</v>
      </c>
      <c r="BB261" s="63">
        <v>0</v>
      </c>
      <c r="BC261" s="63">
        <v>0</v>
      </c>
      <c r="BD261" s="63">
        <v>0</v>
      </c>
      <c r="BE261" s="63">
        <v>0</v>
      </c>
      <c r="BF261" s="63">
        <v>0</v>
      </c>
      <c r="BG261" s="63">
        <v>0</v>
      </c>
      <c r="BH261" s="63">
        <v>-2003006</v>
      </c>
      <c r="BI261" s="63">
        <v>-1602404</v>
      </c>
      <c r="BJ261" s="63">
        <v>-400601</v>
      </c>
      <c r="BK261" s="63">
        <v>0</v>
      </c>
      <c r="BL261" s="63">
        <v>-4006011</v>
      </c>
      <c r="BM261" s="63">
        <v>30049017</v>
      </c>
      <c r="BN261" s="63">
        <v>24233858</v>
      </c>
      <c r="BO261" s="63">
        <v>6009804</v>
      </c>
      <c r="BP261" s="63">
        <v>0</v>
      </c>
      <c r="BQ261" s="63">
        <v>60292679</v>
      </c>
      <c r="BR261" s="63">
        <v>370850</v>
      </c>
      <c r="BS261" s="63">
        <v>92712</v>
      </c>
      <c r="BT261" s="63">
        <v>0</v>
      </c>
      <c r="BU261" s="63">
        <v>463562</v>
      </c>
      <c r="BV261" s="63">
        <v>340170</v>
      </c>
      <c r="BW261" s="63">
        <v>85043</v>
      </c>
      <c r="BX261" s="63">
        <v>0</v>
      </c>
      <c r="BY261" s="63">
        <v>425213</v>
      </c>
      <c r="BZ261" s="63">
        <v>0</v>
      </c>
      <c r="CA261" s="63">
        <v>0</v>
      </c>
      <c r="CB261" s="63">
        <v>0</v>
      </c>
      <c r="CC261" s="63">
        <v>0</v>
      </c>
      <c r="CD261" s="63">
        <v>0</v>
      </c>
      <c r="CE261" s="63">
        <v>0</v>
      </c>
      <c r="CF261" s="63">
        <v>0</v>
      </c>
      <c r="CG261" s="63">
        <v>0</v>
      </c>
      <c r="CH261" s="63">
        <v>2911</v>
      </c>
      <c r="CI261" s="63">
        <v>728</v>
      </c>
      <c r="CJ261" s="63">
        <v>0</v>
      </c>
      <c r="CK261" s="63">
        <v>3639</v>
      </c>
      <c r="CL261" s="63">
        <v>2218</v>
      </c>
      <c r="CM261" s="63">
        <v>555</v>
      </c>
      <c r="CN261" s="63">
        <v>0</v>
      </c>
      <c r="CO261" s="63">
        <v>2773</v>
      </c>
      <c r="CP261" s="63">
        <v>716149</v>
      </c>
      <c r="CQ261" s="63">
        <v>179038</v>
      </c>
      <c r="CR261" s="63">
        <v>0</v>
      </c>
      <c r="CS261" s="63">
        <v>895187</v>
      </c>
      <c r="CU261" s="141" t="s">
        <v>361</v>
      </c>
      <c r="CV261" s="157" t="s">
        <v>960</v>
      </c>
      <c r="CW261" s="156" t="s">
        <v>928</v>
      </c>
      <c r="CX261" s="345"/>
      <c r="CY261" s="345"/>
      <c r="CZ261" s="345"/>
    </row>
    <row r="262" spans="1:104" ht="12.75" x14ac:dyDescent="0.2">
      <c r="A262" s="90">
        <v>255</v>
      </c>
      <c r="B262" s="129" t="s">
        <v>364</v>
      </c>
      <c r="C262" s="130" t="s">
        <v>742</v>
      </c>
      <c r="D262" s="131" t="s">
        <v>746</v>
      </c>
      <c r="E262" s="132" t="s">
        <v>363</v>
      </c>
      <c r="F262" s="63">
        <v>47689791</v>
      </c>
      <c r="G262" s="63">
        <v>0</v>
      </c>
      <c r="H262" s="63">
        <v>0</v>
      </c>
      <c r="I262" s="63">
        <v>161644</v>
      </c>
      <c r="J262" s="63">
        <v>0</v>
      </c>
      <c r="K262" s="63">
        <v>161644</v>
      </c>
      <c r="L262" s="63">
        <v>0</v>
      </c>
      <c r="M262" s="63">
        <v>0</v>
      </c>
      <c r="N262" s="63">
        <v>262138</v>
      </c>
      <c r="O262" s="63">
        <v>262138</v>
      </c>
      <c r="P262" s="63">
        <v>0</v>
      </c>
      <c r="Q262" s="63">
        <v>47266009</v>
      </c>
      <c r="R262" s="474">
        <v>0.5</v>
      </c>
      <c r="S262" s="474">
        <v>0.4</v>
      </c>
      <c r="T262" s="474">
        <v>0.1</v>
      </c>
      <c r="U262" s="474">
        <v>0</v>
      </c>
      <c r="V262" s="474">
        <v>1</v>
      </c>
      <c r="W262" s="63">
        <v>23633004</v>
      </c>
      <c r="X262" s="63">
        <v>18906404</v>
      </c>
      <c r="Y262" s="63">
        <v>4726601</v>
      </c>
      <c r="Z262" s="63">
        <v>0</v>
      </c>
      <c r="AA262" s="63">
        <v>47266009</v>
      </c>
      <c r="AB262" s="63">
        <v>0</v>
      </c>
      <c r="AC262" s="63">
        <v>0</v>
      </c>
      <c r="AD262" s="63">
        <v>0</v>
      </c>
      <c r="AE262" s="63">
        <v>0</v>
      </c>
      <c r="AF262" s="63">
        <v>0</v>
      </c>
      <c r="AG262" s="63">
        <v>0</v>
      </c>
      <c r="AH262" s="63">
        <v>0</v>
      </c>
      <c r="AI262" s="63">
        <v>0</v>
      </c>
      <c r="AJ262" s="63">
        <v>0</v>
      </c>
      <c r="AK262" s="63">
        <v>0</v>
      </c>
      <c r="AL262" s="63">
        <v>23633004</v>
      </c>
      <c r="AM262" s="63">
        <v>18906404</v>
      </c>
      <c r="AN262" s="63">
        <v>4726601</v>
      </c>
      <c r="AO262" s="63">
        <v>0</v>
      </c>
      <c r="AP262" s="63">
        <v>47266009</v>
      </c>
      <c r="AQ262" s="63">
        <v>161644</v>
      </c>
      <c r="AR262" s="63">
        <v>161644</v>
      </c>
      <c r="AS262" s="63">
        <v>0</v>
      </c>
      <c r="AT262" s="63">
        <v>0</v>
      </c>
      <c r="AU262" s="63">
        <v>262138</v>
      </c>
      <c r="AV262" s="63">
        <v>0</v>
      </c>
      <c r="AW262" s="63">
        <v>262138</v>
      </c>
      <c r="AX262" s="63">
        <v>0</v>
      </c>
      <c r="AY262" s="63">
        <v>0</v>
      </c>
      <c r="AZ262" s="63">
        <v>0</v>
      </c>
      <c r="BA262" s="63">
        <v>0</v>
      </c>
      <c r="BB262" s="63">
        <v>0</v>
      </c>
      <c r="BC262" s="63">
        <v>0</v>
      </c>
      <c r="BD262" s="63">
        <v>0</v>
      </c>
      <c r="BE262" s="63">
        <v>0</v>
      </c>
      <c r="BF262" s="63">
        <v>0</v>
      </c>
      <c r="BG262" s="63">
        <v>0</v>
      </c>
      <c r="BH262" s="63">
        <v>-413805</v>
      </c>
      <c r="BI262" s="63">
        <v>-331044</v>
      </c>
      <c r="BJ262" s="63">
        <v>-82761</v>
      </c>
      <c r="BK262" s="63">
        <v>0</v>
      </c>
      <c r="BL262" s="63">
        <v>-827610</v>
      </c>
      <c r="BM262" s="63">
        <v>23219199</v>
      </c>
      <c r="BN262" s="63">
        <v>18999142</v>
      </c>
      <c r="BO262" s="63">
        <v>4643840</v>
      </c>
      <c r="BP262" s="63">
        <v>0</v>
      </c>
      <c r="BQ262" s="63">
        <v>46862181</v>
      </c>
      <c r="BR262" s="63">
        <v>277231</v>
      </c>
      <c r="BS262" s="63">
        <v>68360</v>
      </c>
      <c r="BT262" s="63">
        <v>0</v>
      </c>
      <c r="BU262" s="63">
        <v>345591</v>
      </c>
      <c r="BV262" s="63">
        <v>424406</v>
      </c>
      <c r="BW262" s="63">
        <v>106102</v>
      </c>
      <c r="BX262" s="63">
        <v>0</v>
      </c>
      <c r="BY262" s="63">
        <v>530508</v>
      </c>
      <c r="BZ262" s="63">
        <v>3442</v>
      </c>
      <c r="CA262" s="63">
        <v>860</v>
      </c>
      <c r="CB262" s="63">
        <v>0</v>
      </c>
      <c r="CC262" s="63">
        <v>4302</v>
      </c>
      <c r="CD262" s="63">
        <v>0</v>
      </c>
      <c r="CE262" s="63">
        <v>0</v>
      </c>
      <c r="CF262" s="63">
        <v>0</v>
      </c>
      <c r="CG262" s="63">
        <v>0</v>
      </c>
      <c r="CH262" s="63">
        <v>0</v>
      </c>
      <c r="CI262" s="63">
        <v>0</v>
      </c>
      <c r="CJ262" s="63">
        <v>0</v>
      </c>
      <c r="CK262" s="63">
        <v>0</v>
      </c>
      <c r="CL262" s="63">
        <v>0</v>
      </c>
      <c r="CM262" s="63">
        <v>0</v>
      </c>
      <c r="CN262" s="63">
        <v>0</v>
      </c>
      <c r="CO262" s="63">
        <v>0</v>
      </c>
      <c r="CP262" s="63">
        <v>705079</v>
      </c>
      <c r="CQ262" s="63">
        <v>175322</v>
      </c>
      <c r="CR262" s="63">
        <v>0</v>
      </c>
      <c r="CS262" s="63">
        <v>880401</v>
      </c>
      <c r="CU262" s="141" t="s">
        <v>363</v>
      </c>
      <c r="CV262" s="157" t="s">
        <v>938</v>
      </c>
      <c r="CW262" s="156" t="s">
        <v>928</v>
      </c>
      <c r="CX262" s="345"/>
      <c r="CY262" s="345"/>
      <c r="CZ262" s="345"/>
    </row>
    <row r="263" spans="1:104" ht="12.75" x14ac:dyDescent="0.2">
      <c r="A263" s="90">
        <v>256</v>
      </c>
      <c r="B263" s="129" t="s">
        <v>366</v>
      </c>
      <c r="C263" s="130" t="s">
        <v>749</v>
      </c>
      <c r="D263" s="131" t="s">
        <v>744</v>
      </c>
      <c r="E263" s="132" t="s">
        <v>365</v>
      </c>
      <c r="F263" s="63">
        <v>49972410</v>
      </c>
      <c r="G263" s="63">
        <v>0</v>
      </c>
      <c r="H263" s="63">
        <v>0</v>
      </c>
      <c r="I263" s="63">
        <v>197099</v>
      </c>
      <c r="J263" s="63">
        <v>0</v>
      </c>
      <c r="K263" s="63">
        <v>197099</v>
      </c>
      <c r="L263" s="63">
        <v>0</v>
      </c>
      <c r="M263" s="63">
        <v>0</v>
      </c>
      <c r="N263" s="63">
        <v>0</v>
      </c>
      <c r="O263" s="63">
        <v>0</v>
      </c>
      <c r="P263" s="63">
        <v>0</v>
      </c>
      <c r="Q263" s="63">
        <v>49775311</v>
      </c>
      <c r="R263" s="474">
        <v>0.5</v>
      </c>
      <c r="S263" s="474">
        <v>0.49</v>
      </c>
      <c r="T263" s="474">
        <v>0</v>
      </c>
      <c r="U263" s="474">
        <v>0.01</v>
      </c>
      <c r="V263" s="474">
        <v>1</v>
      </c>
      <c r="W263" s="63">
        <v>24887656</v>
      </c>
      <c r="X263" s="63">
        <v>24389902</v>
      </c>
      <c r="Y263" s="63">
        <v>0</v>
      </c>
      <c r="Z263" s="63">
        <v>497753</v>
      </c>
      <c r="AA263" s="63">
        <v>49775311</v>
      </c>
      <c r="AB263" s="63">
        <v>0</v>
      </c>
      <c r="AC263" s="63">
        <v>0</v>
      </c>
      <c r="AD263" s="63">
        <v>0</v>
      </c>
      <c r="AE263" s="63">
        <v>0</v>
      </c>
      <c r="AF263" s="63">
        <v>0</v>
      </c>
      <c r="AG263" s="63">
        <v>0</v>
      </c>
      <c r="AH263" s="63">
        <v>0</v>
      </c>
      <c r="AI263" s="63">
        <v>0</v>
      </c>
      <c r="AJ263" s="63">
        <v>0</v>
      </c>
      <c r="AK263" s="63">
        <v>0</v>
      </c>
      <c r="AL263" s="63">
        <v>24887656</v>
      </c>
      <c r="AM263" s="63">
        <v>24389902</v>
      </c>
      <c r="AN263" s="63">
        <v>0</v>
      </c>
      <c r="AO263" s="63">
        <v>497753</v>
      </c>
      <c r="AP263" s="63">
        <v>49775311</v>
      </c>
      <c r="AQ263" s="63">
        <v>197099</v>
      </c>
      <c r="AR263" s="63">
        <v>197099</v>
      </c>
      <c r="AS263" s="63">
        <v>0</v>
      </c>
      <c r="AT263" s="63">
        <v>0</v>
      </c>
      <c r="AU263" s="63">
        <v>0</v>
      </c>
      <c r="AV263" s="63">
        <v>0</v>
      </c>
      <c r="AW263" s="63">
        <v>0</v>
      </c>
      <c r="AX263" s="63">
        <v>0</v>
      </c>
      <c r="AY263" s="63">
        <v>0</v>
      </c>
      <c r="AZ263" s="63">
        <v>0</v>
      </c>
      <c r="BA263" s="63">
        <v>0</v>
      </c>
      <c r="BB263" s="63">
        <v>0</v>
      </c>
      <c r="BC263" s="63">
        <v>0</v>
      </c>
      <c r="BD263" s="63">
        <v>0</v>
      </c>
      <c r="BE263" s="63">
        <v>0</v>
      </c>
      <c r="BF263" s="63">
        <v>0</v>
      </c>
      <c r="BG263" s="63">
        <v>0</v>
      </c>
      <c r="BH263" s="63">
        <v>0</v>
      </c>
      <c r="BI263" s="63">
        <v>0</v>
      </c>
      <c r="BJ263" s="63">
        <v>0</v>
      </c>
      <c r="BK263" s="63">
        <v>0</v>
      </c>
      <c r="BL263" s="63">
        <v>0</v>
      </c>
      <c r="BM263" s="63">
        <v>24887656</v>
      </c>
      <c r="BN263" s="63">
        <v>24587001</v>
      </c>
      <c r="BO263" s="63">
        <v>0</v>
      </c>
      <c r="BP263" s="63">
        <v>497753</v>
      </c>
      <c r="BQ263" s="63">
        <v>49972410</v>
      </c>
      <c r="BR263" s="63">
        <v>352747</v>
      </c>
      <c r="BS263" s="63">
        <v>0</v>
      </c>
      <c r="BT263" s="63">
        <v>7199</v>
      </c>
      <c r="BU263" s="63">
        <v>359946</v>
      </c>
      <c r="BV263" s="63">
        <v>808080</v>
      </c>
      <c r="BW263" s="63">
        <v>0</v>
      </c>
      <c r="BX263" s="63">
        <v>16491</v>
      </c>
      <c r="BY263" s="63">
        <v>824571</v>
      </c>
      <c r="BZ263" s="63">
        <v>4290</v>
      </c>
      <c r="CA263" s="63">
        <v>0</v>
      </c>
      <c r="CB263" s="63">
        <v>88</v>
      </c>
      <c r="CC263" s="63">
        <v>4378</v>
      </c>
      <c r="CD263" s="63">
        <v>0</v>
      </c>
      <c r="CE263" s="63">
        <v>0</v>
      </c>
      <c r="CF263" s="63">
        <v>0</v>
      </c>
      <c r="CG263" s="63">
        <v>0</v>
      </c>
      <c r="CH263" s="63">
        <v>15635</v>
      </c>
      <c r="CI263" s="63">
        <v>0</v>
      </c>
      <c r="CJ263" s="63">
        <v>319</v>
      </c>
      <c r="CK263" s="63">
        <v>15954</v>
      </c>
      <c r="CL263" s="63">
        <v>1209</v>
      </c>
      <c r="CM263" s="63">
        <v>0</v>
      </c>
      <c r="CN263" s="63">
        <v>25</v>
      </c>
      <c r="CO263" s="63">
        <v>1234</v>
      </c>
      <c r="CP263" s="63">
        <v>1181961</v>
      </c>
      <c r="CQ263" s="63">
        <v>0</v>
      </c>
      <c r="CR263" s="63">
        <v>24122</v>
      </c>
      <c r="CS263" s="63">
        <v>1206083</v>
      </c>
      <c r="CU263" s="141" t="s">
        <v>365</v>
      </c>
      <c r="CV263" s="157" t="s">
        <v>941</v>
      </c>
      <c r="CW263" s="156" t="s">
        <v>981</v>
      </c>
      <c r="CX263" s="345"/>
      <c r="CY263" s="345"/>
      <c r="CZ263" s="345"/>
    </row>
    <row r="264" spans="1:104" ht="12.75" x14ac:dyDescent="0.2">
      <c r="A264" s="90">
        <v>257</v>
      </c>
      <c r="B264" s="129" t="s">
        <v>368</v>
      </c>
      <c r="C264" s="130" t="s">
        <v>742</v>
      </c>
      <c r="D264" s="131" t="s">
        <v>752</v>
      </c>
      <c r="E264" s="132" t="s">
        <v>367</v>
      </c>
      <c r="F264" s="63">
        <v>46477315</v>
      </c>
      <c r="G264" s="63">
        <v>0</v>
      </c>
      <c r="H264" s="63">
        <v>0</v>
      </c>
      <c r="I264" s="63">
        <v>170009</v>
      </c>
      <c r="J264" s="63">
        <v>0</v>
      </c>
      <c r="K264" s="63">
        <v>170009</v>
      </c>
      <c r="L264" s="63">
        <v>0</v>
      </c>
      <c r="M264" s="63">
        <v>0</v>
      </c>
      <c r="N264" s="63">
        <v>0</v>
      </c>
      <c r="O264" s="63">
        <v>0</v>
      </c>
      <c r="P264" s="63">
        <v>0</v>
      </c>
      <c r="Q264" s="63">
        <v>46307306</v>
      </c>
      <c r="R264" s="474">
        <v>0.5</v>
      </c>
      <c r="S264" s="474">
        <v>0.4</v>
      </c>
      <c r="T264" s="474">
        <v>0.09</v>
      </c>
      <c r="U264" s="474">
        <v>0.01</v>
      </c>
      <c r="V264" s="474">
        <v>1</v>
      </c>
      <c r="W264" s="63">
        <v>23153653</v>
      </c>
      <c r="X264" s="63">
        <v>18522922</v>
      </c>
      <c r="Y264" s="63">
        <v>4167658</v>
      </c>
      <c r="Z264" s="63">
        <v>463073</v>
      </c>
      <c r="AA264" s="63">
        <v>46307306</v>
      </c>
      <c r="AB264" s="63">
        <v>0</v>
      </c>
      <c r="AC264" s="63">
        <v>0</v>
      </c>
      <c r="AD264" s="63">
        <v>0</v>
      </c>
      <c r="AE264" s="63">
        <v>0</v>
      </c>
      <c r="AF264" s="63">
        <v>0</v>
      </c>
      <c r="AG264" s="63">
        <v>0</v>
      </c>
      <c r="AH264" s="63">
        <v>0</v>
      </c>
      <c r="AI264" s="63">
        <v>0</v>
      </c>
      <c r="AJ264" s="63">
        <v>0</v>
      </c>
      <c r="AK264" s="63">
        <v>0</v>
      </c>
      <c r="AL264" s="63">
        <v>23153653</v>
      </c>
      <c r="AM264" s="63">
        <v>18522922</v>
      </c>
      <c r="AN264" s="63">
        <v>4167658</v>
      </c>
      <c r="AO264" s="63">
        <v>463073</v>
      </c>
      <c r="AP264" s="63">
        <v>46307306</v>
      </c>
      <c r="AQ264" s="63">
        <v>170009</v>
      </c>
      <c r="AR264" s="63">
        <v>170009</v>
      </c>
      <c r="AS264" s="63">
        <v>0</v>
      </c>
      <c r="AT264" s="63">
        <v>0</v>
      </c>
      <c r="AU264" s="63">
        <v>0</v>
      </c>
      <c r="AV264" s="63">
        <v>0</v>
      </c>
      <c r="AW264" s="63">
        <v>0</v>
      </c>
      <c r="AX264" s="63">
        <v>0</v>
      </c>
      <c r="AY264" s="63">
        <v>0</v>
      </c>
      <c r="AZ264" s="63">
        <v>0</v>
      </c>
      <c r="BA264" s="63">
        <v>0</v>
      </c>
      <c r="BB264" s="63">
        <v>0</v>
      </c>
      <c r="BC264" s="63">
        <v>0</v>
      </c>
      <c r="BD264" s="63">
        <v>0</v>
      </c>
      <c r="BE264" s="63">
        <v>0</v>
      </c>
      <c r="BF264" s="63">
        <v>0</v>
      </c>
      <c r="BG264" s="63">
        <v>0</v>
      </c>
      <c r="BH264" s="63">
        <v>-2543007</v>
      </c>
      <c r="BI264" s="63">
        <v>-2034405</v>
      </c>
      <c r="BJ264" s="63">
        <v>-457741</v>
      </c>
      <c r="BK264" s="63">
        <v>-50860</v>
      </c>
      <c r="BL264" s="63">
        <v>-5086013</v>
      </c>
      <c r="BM264" s="63">
        <v>20610646</v>
      </c>
      <c r="BN264" s="63">
        <v>16658526</v>
      </c>
      <c r="BO264" s="63">
        <v>3709917</v>
      </c>
      <c r="BP264" s="63">
        <v>412213</v>
      </c>
      <c r="BQ264" s="63">
        <v>41391302</v>
      </c>
      <c r="BR264" s="63">
        <v>267894</v>
      </c>
      <c r="BS264" s="63">
        <v>60276</v>
      </c>
      <c r="BT264" s="63">
        <v>6697</v>
      </c>
      <c r="BU264" s="63">
        <v>334867</v>
      </c>
      <c r="BV264" s="63">
        <v>508190</v>
      </c>
      <c r="BW264" s="63">
        <v>114343</v>
      </c>
      <c r="BX264" s="63">
        <v>12705</v>
      </c>
      <c r="BY264" s="63">
        <v>635238</v>
      </c>
      <c r="BZ264" s="63">
        <v>0</v>
      </c>
      <c r="CA264" s="63">
        <v>0</v>
      </c>
      <c r="CB264" s="63">
        <v>0</v>
      </c>
      <c r="CC264" s="63">
        <v>0</v>
      </c>
      <c r="CD264" s="63">
        <v>0</v>
      </c>
      <c r="CE264" s="63">
        <v>0</v>
      </c>
      <c r="CF264" s="63">
        <v>0</v>
      </c>
      <c r="CG264" s="63">
        <v>0</v>
      </c>
      <c r="CH264" s="63">
        <v>1571</v>
      </c>
      <c r="CI264" s="63">
        <v>354</v>
      </c>
      <c r="CJ264" s="63">
        <v>39</v>
      </c>
      <c r="CK264" s="63">
        <v>1964</v>
      </c>
      <c r="CL264" s="63">
        <v>4689</v>
      </c>
      <c r="CM264" s="63">
        <v>1055</v>
      </c>
      <c r="CN264" s="63">
        <v>117</v>
      </c>
      <c r="CO264" s="63">
        <v>5861</v>
      </c>
      <c r="CP264" s="63">
        <v>782344</v>
      </c>
      <c r="CQ264" s="63">
        <v>176028</v>
      </c>
      <c r="CR264" s="63">
        <v>19558</v>
      </c>
      <c r="CS264" s="63">
        <v>977930</v>
      </c>
      <c r="CU264" s="141" t="s">
        <v>367</v>
      </c>
      <c r="CV264" s="157" t="s">
        <v>964</v>
      </c>
      <c r="CW264" s="156" t="s">
        <v>965</v>
      </c>
      <c r="CX264" s="345"/>
      <c r="CY264" s="345"/>
      <c r="CZ264" s="345"/>
    </row>
    <row r="265" spans="1:104" ht="12.75" x14ac:dyDescent="0.2">
      <c r="A265" s="90">
        <v>258</v>
      </c>
      <c r="B265" s="129" t="s">
        <v>370</v>
      </c>
      <c r="C265" s="130" t="s">
        <v>742</v>
      </c>
      <c r="D265" s="131" t="s">
        <v>752</v>
      </c>
      <c r="E265" s="132" t="s">
        <v>369</v>
      </c>
      <c r="F265" s="63">
        <v>18737413</v>
      </c>
      <c r="G265" s="63">
        <v>0</v>
      </c>
      <c r="H265" s="63">
        <v>0</v>
      </c>
      <c r="I265" s="63">
        <v>115447</v>
      </c>
      <c r="J265" s="63">
        <v>0</v>
      </c>
      <c r="K265" s="63">
        <v>115447</v>
      </c>
      <c r="L265" s="63">
        <v>0</v>
      </c>
      <c r="M265" s="63">
        <v>0</v>
      </c>
      <c r="N265" s="63">
        <v>0</v>
      </c>
      <c r="O265" s="63">
        <v>0</v>
      </c>
      <c r="P265" s="63">
        <v>0</v>
      </c>
      <c r="Q265" s="63">
        <v>18621966</v>
      </c>
      <c r="R265" s="474">
        <v>0.5</v>
      </c>
      <c r="S265" s="474">
        <v>0.4</v>
      </c>
      <c r="T265" s="474">
        <v>0.09</v>
      </c>
      <c r="U265" s="474">
        <v>0.01</v>
      </c>
      <c r="V265" s="474">
        <v>1</v>
      </c>
      <c r="W265" s="63">
        <v>9310983</v>
      </c>
      <c r="X265" s="63">
        <v>7448786</v>
      </c>
      <c r="Y265" s="63">
        <v>1675977</v>
      </c>
      <c r="Z265" s="63">
        <v>186220</v>
      </c>
      <c r="AA265" s="63">
        <v>18621966</v>
      </c>
      <c r="AB265" s="63">
        <v>0</v>
      </c>
      <c r="AC265" s="63">
        <v>0</v>
      </c>
      <c r="AD265" s="63">
        <v>0</v>
      </c>
      <c r="AE265" s="63">
        <v>0</v>
      </c>
      <c r="AF265" s="63">
        <v>0</v>
      </c>
      <c r="AG265" s="63">
        <v>0</v>
      </c>
      <c r="AH265" s="63">
        <v>0</v>
      </c>
      <c r="AI265" s="63">
        <v>0</v>
      </c>
      <c r="AJ265" s="63">
        <v>0</v>
      </c>
      <c r="AK265" s="63">
        <v>0</v>
      </c>
      <c r="AL265" s="63">
        <v>9310983</v>
      </c>
      <c r="AM265" s="63">
        <v>7448786</v>
      </c>
      <c r="AN265" s="63">
        <v>1675977</v>
      </c>
      <c r="AO265" s="63">
        <v>186220</v>
      </c>
      <c r="AP265" s="63">
        <v>18621966</v>
      </c>
      <c r="AQ265" s="63">
        <v>115447</v>
      </c>
      <c r="AR265" s="63">
        <v>115447</v>
      </c>
      <c r="AS265" s="63">
        <v>0</v>
      </c>
      <c r="AT265" s="63">
        <v>0</v>
      </c>
      <c r="AU265" s="63">
        <v>0</v>
      </c>
      <c r="AV265" s="63">
        <v>0</v>
      </c>
      <c r="AW265" s="63">
        <v>0</v>
      </c>
      <c r="AX265" s="63">
        <v>0</v>
      </c>
      <c r="AY265" s="63">
        <v>0</v>
      </c>
      <c r="AZ265" s="63">
        <v>0</v>
      </c>
      <c r="BA265" s="63">
        <v>0</v>
      </c>
      <c r="BB265" s="63">
        <v>0</v>
      </c>
      <c r="BC265" s="63">
        <v>0</v>
      </c>
      <c r="BD265" s="63">
        <v>0</v>
      </c>
      <c r="BE265" s="63">
        <v>0</v>
      </c>
      <c r="BF265" s="63">
        <v>0</v>
      </c>
      <c r="BG265" s="63">
        <v>0</v>
      </c>
      <c r="BH265" s="63">
        <v>-397944</v>
      </c>
      <c r="BI265" s="63">
        <v>-318355</v>
      </c>
      <c r="BJ265" s="63">
        <v>-71630</v>
      </c>
      <c r="BK265" s="63">
        <v>-7959</v>
      </c>
      <c r="BL265" s="63">
        <v>-795888</v>
      </c>
      <c r="BM265" s="63">
        <v>8913039</v>
      </c>
      <c r="BN265" s="63">
        <v>7245878</v>
      </c>
      <c r="BO265" s="63">
        <v>1604347</v>
      </c>
      <c r="BP265" s="63">
        <v>178261</v>
      </c>
      <c r="BQ265" s="63">
        <v>17941525</v>
      </c>
      <c r="BR265" s="63">
        <v>107730</v>
      </c>
      <c r="BS265" s="63">
        <v>24239</v>
      </c>
      <c r="BT265" s="63">
        <v>2693</v>
      </c>
      <c r="BU265" s="63">
        <v>134662</v>
      </c>
      <c r="BV265" s="63">
        <v>470782</v>
      </c>
      <c r="BW265" s="63">
        <v>105926</v>
      </c>
      <c r="BX265" s="63">
        <v>11770</v>
      </c>
      <c r="BY265" s="63">
        <v>588478</v>
      </c>
      <c r="BZ265" s="63">
        <v>0</v>
      </c>
      <c r="CA265" s="63">
        <v>0</v>
      </c>
      <c r="CB265" s="63">
        <v>0</v>
      </c>
      <c r="CC265" s="63">
        <v>0</v>
      </c>
      <c r="CD265" s="63">
        <v>0</v>
      </c>
      <c r="CE265" s="63">
        <v>0</v>
      </c>
      <c r="CF265" s="63">
        <v>0</v>
      </c>
      <c r="CG265" s="63">
        <v>0</v>
      </c>
      <c r="CH265" s="63">
        <v>5291</v>
      </c>
      <c r="CI265" s="63">
        <v>1190</v>
      </c>
      <c r="CJ265" s="63">
        <v>132</v>
      </c>
      <c r="CK265" s="63">
        <v>6613</v>
      </c>
      <c r="CL265" s="63">
        <v>14079</v>
      </c>
      <c r="CM265" s="63">
        <v>3168</v>
      </c>
      <c r="CN265" s="63">
        <v>352</v>
      </c>
      <c r="CO265" s="63">
        <v>17599</v>
      </c>
      <c r="CP265" s="63">
        <v>597882</v>
      </c>
      <c r="CQ265" s="63">
        <v>134523</v>
      </c>
      <c r="CR265" s="63">
        <v>14947</v>
      </c>
      <c r="CS265" s="63">
        <v>747352</v>
      </c>
      <c r="CU265" s="141" t="s">
        <v>369</v>
      </c>
      <c r="CV265" s="157" t="s">
        <v>964</v>
      </c>
      <c r="CW265" s="156" t="s">
        <v>965</v>
      </c>
      <c r="CX265" s="345"/>
      <c r="CY265" s="345"/>
      <c r="CZ265" s="345"/>
    </row>
    <row r="266" spans="1:104" ht="12.75" x14ac:dyDescent="0.2">
      <c r="A266" s="90">
        <v>259</v>
      </c>
      <c r="B266" s="129" t="s">
        <v>372</v>
      </c>
      <c r="C266" s="130" t="s">
        <v>742</v>
      </c>
      <c r="D266" s="131" t="s">
        <v>746</v>
      </c>
      <c r="E266" s="132" t="s">
        <v>371</v>
      </c>
      <c r="F266" s="63">
        <v>46255616</v>
      </c>
      <c r="G266" s="63">
        <v>0</v>
      </c>
      <c r="H266" s="63">
        <v>0</v>
      </c>
      <c r="I266" s="63">
        <v>112692</v>
      </c>
      <c r="J266" s="63">
        <v>0</v>
      </c>
      <c r="K266" s="63">
        <v>112692</v>
      </c>
      <c r="L266" s="63">
        <v>0</v>
      </c>
      <c r="M266" s="63">
        <v>0</v>
      </c>
      <c r="N266" s="63">
        <v>0</v>
      </c>
      <c r="O266" s="63">
        <v>0</v>
      </c>
      <c r="P266" s="63">
        <v>0</v>
      </c>
      <c r="Q266" s="63">
        <v>46142924</v>
      </c>
      <c r="R266" s="474">
        <v>0.5</v>
      </c>
      <c r="S266" s="474">
        <v>0.4</v>
      </c>
      <c r="T266" s="474">
        <v>0.1</v>
      </c>
      <c r="U266" s="474">
        <v>0</v>
      </c>
      <c r="V266" s="474">
        <v>1</v>
      </c>
      <c r="W266" s="63">
        <v>23071462</v>
      </c>
      <c r="X266" s="63">
        <v>18457170</v>
      </c>
      <c r="Y266" s="63">
        <v>4614292</v>
      </c>
      <c r="Z266" s="63">
        <v>0</v>
      </c>
      <c r="AA266" s="63">
        <v>46142924</v>
      </c>
      <c r="AB266" s="63">
        <v>0</v>
      </c>
      <c r="AC266" s="63">
        <v>0</v>
      </c>
      <c r="AD266" s="63">
        <v>0</v>
      </c>
      <c r="AE266" s="63">
        <v>0</v>
      </c>
      <c r="AF266" s="63">
        <v>0</v>
      </c>
      <c r="AG266" s="63">
        <v>0</v>
      </c>
      <c r="AH266" s="63">
        <v>0</v>
      </c>
      <c r="AI266" s="63">
        <v>0</v>
      </c>
      <c r="AJ266" s="63">
        <v>0</v>
      </c>
      <c r="AK266" s="63">
        <v>0</v>
      </c>
      <c r="AL266" s="63">
        <v>23071462</v>
      </c>
      <c r="AM266" s="63">
        <v>18457170</v>
      </c>
      <c r="AN266" s="63">
        <v>4614292</v>
      </c>
      <c r="AO266" s="63">
        <v>0</v>
      </c>
      <c r="AP266" s="63">
        <v>46142924</v>
      </c>
      <c r="AQ266" s="63">
        <v>112692</v>
      </c>
      <c r="AR266" s="63">
        <v>112692</v>
      </c>
      <c r="AS266" s="63">
        <v>0</v>
      </c>
      <c r="AT266" s="63">
        <v>0</v>
      </c>
      <c r="AU266" s="63">
        <v>0</v>
      </c>
      <c r="AV266" s="63">
        <v>0</v>
      </c>
      <c r="AW266" s="63">
        <v>0</v>
      </c>
      <c r="AX266" s="63">
        <v>0</v>
      </c>
      <c r="AY266" s="63">
        <v>0</v>
      </c>
      <c r="AZ266" s="63">
        <v>0</v>
      </c>
      <c r="BA266" s="63">
        <v>0</v>
      </c>
      <c r="BB266" s="63">
        <v>0</v>
      </c>
      <c r="BC266" s="63">
        <v>0</v>
      </c>
      <c r="BD266" s="63">
        <v>0</v>
      </c>
      <c r="BE266" s="63">
        <v>0</v>
      </c>
      <c r="BF266" s="63">
        <v>0</v>
      </c>
      <c r="BG266" s="63">
        <v>0</v>
      </c>
      <c r="BH266" s="63">
        <v>-1169729</v>
      </c>
      <c r="BI266" s="63">
        <v>-935784</v>
      </c>
      <c r="BJ266" s="63">
        <v>-233946</v>
      </c>
      <c r="BK266" s="63">
        <v>0</v>
      </c>
      <c r="BL266" s="63">
        <v>-2339459</v>
      </c>
      <c r="BM266" s="63">
        <v>21901733</v>
      </c>
      <c r="BN266" s="63">
        <v>17634078</v>
      </c>
      <c r="BO266" s="63">
        <v>4380346</v>
      </c>
      <c r="BP266" s="63">
        <v>0</v>
      </c>
      <c r="BQ266" s="63">
        <v>43916157</v>
      </c>
      <c r="BR266" s="63">
        <v>266943</v>
      </c>
      <c r="BS266" s="63">
        <v>66736</v>
      </c>
      <c r="BT266" s="63">
        <v>0</v>
      </c>
      <c r="BU266" s="63">
        <v>333679</v>
      </c>
      <c r="BV266" s="63">
        <v>190630</v>
      </c>
      <c r="BW266" s="63">
        <v>47657</v>
      </c>
      <c r="BX266" s="63">
        <v>0</v>
      </c>
      <c r="BY266" s="63">
        <v>238287</v>
      </c>
      <c r="BZ266" s="63">
        <v>0</v>
      </c>
      <c r="CA266" s="63">
        <v>0</v>
      </c>
      <c r="CB266" s="63">
        <v>0</v>
      </c>
      <c r="CC266" s="63">
        <v>0</v>
      </c>
      <c r="CD266" s="63">
        <v>62116</v>
      </c>
      <c r="CE266" s="63">
        <v>15529</v>
      </c>
      <c r="CF266" s="63">
        <v>0</v>
      </c>
      <c r="CG266" s="63">
        <v>77645</v>
      </c>
      <c r="CH266" s="63">
        <v>15592</v>
      </c>
      <c r="CI266" s="63">
        <v>3898</v>
      </c>
      <c r="CJ266" s="63">
        <v>0</v>
      </c>
      <c r="CK266" s="63">
        <v>19490</v>
      </c>
      <c r="CL266" s="63">
        <v>1623</v>
      </c>
      <c r="CM266" s="63">
        <v>406</v>
      </c>
      <c r="CN266" s="63">
        <v>0</v>
      </c>
      <c r="CO266" s="63">
        <v>2029</v>
      </c>
      <c r="CP266" s="63">
        <v>536904</v>
      </c>
      <c r="CQ266" s="63">
        <v>134226</v>
      </c>
      <c r="CR266" s="63">
        <v>0</v>
      </c>
      <c r="CS266" s="63">
        <v>671130</v>
      </c>
      <c r="CU266" s="141" t="s">
        <v>371</v>
      </c>
      <c r="CV266" s="157" t="s">
        <v>960</v>
      </c>
      <c r="CW266" s="156" t="s">
        <v>928</v>
      </c>
      <c r="CX266" s="345"/>
      <c r="CY266" s="345"/>
      <c r="CZ266" s="345"/>
    </row>
    <row r="267" spans="1:104" ht="12.75" x14ac:dyDescent="0.2">
      <c r="A267" s="90">
        <v>260</v>
      </c>
      <c r="B267" s="129" t="s">
        <v>374</v>
      </c>
      <c r="C267" s="130" t="s">
        <v>749</v>
      </c>
      <c r="D267" s="131" t="s">
        <v>744</v>
      </c>
      <c r="E267" s="132" t="s">
        <v>373</v>
      </c>
      <c r="F267" s="63">
        <v>96002000</v>
      </c>
      <c r="G267" s="63">
        <v>0</v>
      </c>
      <c r="H267" s="63">
        <v>0</v>
      </c>
      <c r="I267" s="63">
        <v>437845</v>
      </c>
      <c r="J267" s="63">
        <v>0</v>
      </c>
      <c r="K267" s="63">
        <v>437845</v>
      </c>
      <c r="L267" s="63">
        <v>0</v>
      </c>
      <c r="M267" s="63">
        <v>0</v>
      </c>
      <c r="N267" s="63">
        <v>0</v>
      </c>
      <c r="O267" s="63">
        <v>0</v>
      </c>
      <c r="P267" s="63">
        <v>0</v>
      </c>
      <c r="Q267" s="63">
        <v>95564155</v>
      </c>
      <c r="R267" s="474">
        <v>0.5</v>
      </c>
      <c r="S267" s="474">
        <v>0.49</v>
      </c>
      <c r="T267" s="474">
        <v>0</v>
      </c>
      <c r="U267" s="474">
        <v>0.01</v>
      </c>
      <c r="V267" s="474">
        <v>1</v>
      </c>
      <c r="W267" s="63">
        <v>47782077</v>
      </c>
      <c r="X267" s="63">
        <v>46826436</v>
      </c>
      <c r="Y267" s="63">
        <v>0</v>
      </c>
      <c r="Z267" s="63">
        <v>955642</v>
      </c>
      <c r="AA267" s="63">
        <v>95564155</v>
      </c>
      <c r="AB267" s="63">
        <v>0</v>
      </c>
      <c r="AC267" s="63">
        <v>0</v>
      </c>
      <c r="AD267" s="63">
        <v>0</v>
      </c>
      <c r="AE267" s="63">
        <v>0</v>
      </c>
      <c r="AF267" s="63">
        <v>0</v>
      </c>
      <c r="AG267" s="63">
        <v>0</v>
      </c>
      <c r="AH267" s="63">
        <v>0</v>
      </c>
      <c r="AI267" s="63">
        <v>0</v>
      </c>
      <c r="AJ267" s="63">
        <v>0</v>
      </c>
      <c r="AK267" s="63">
        <v>0</v>
      </c>
      <c r="AL267" s="63">
        <v>47782077</v>
      </c>
      <c r="AM267" s="63">
        <v>46826436</v>
      </c>
      <c r="AN267" s="63">
        <v>0</v>
      </c>
      <c r="AO267" s="63">
        <v>955642</v>
      </c>
      <c r="AP267" s="63">
        <v>95564155</v>
      </c>
      <c r="AQ267" s="63">
        <v>437845</v>
      </c>
      <c r="AR267" s="63">
        <v>437845</v>
      </c>
      <c r="AS267" s="63">
        <v>0</v>
      </c>
      <c r="AT267" s="63">
        <v>0</v>
      </c>
      <c r="AU267" s="63">
        <v>0</v>
      </c>
      <c r="AV267" s="63">
        <v>0</v>
      </c>
      <c r="AW267" s="63">
        <v>0</v>
      </c>
      <c r="AX267" s="63">
        <v>0</v>
      </c>
      <c r="AY267" s="63">
        <v>0</v>
      </c>
      <c r="AZ267" s="63">
        <v>0</v>
      </c>
      <c r="BA267" s="63">
        <v>0</v>
      </c>
      <c r="BB267" s="63">
        <v>0</v>
      </c>
      <c r="BC267" s="63">
        <v>0</v>
      </c>
      <c r="BD267" s="63">
        <v>0</v>
      </c>
      <c r="BE267" s="63">
        <v>0</v>
      </c>
      <c r="BF267" s="63">
        <v>0</v>
      </c>
      <c r="BG267" s="63">
        <v>0</v>
      </c>
      <c r="BH267" s="63">
        <v>-1094074</v>
      </c>
      <c r="BI267" s="63">
        <v>-1072194</v>
      </c>
      <c r="BJ267" s="63">
        <v>0</v>
      </c>
      <c r="BK267" s="63">
        <v>-21882</v>
      </c>
      <c r="BL267" s="63">
        <v>-2188150</v>
      </c>
      <c r="BM267" s="63">
        <v>46688003</v>
      </c>
      <c r="BN267" s="63">
        <v>46192087</v>
      </c>
      <c r="BO267" s="63">
        <v>0</v>
      </c>
      <c r="BP267" s="63">
        <v>933760</v>
      </c>
      <c r="BQ267" s="63">
        <v>93813850</v>
      </c>
      <c r="BR267" s="63">
        <v>677242</v>
      </c>
      <c r="BS267" s="63">
        <v>0</v>
      </c>
      <c r="BT267" s="63">
        <v>13821</v>
      </c>
      <c r="BU267" s="63">
        <v>691063</v>
      </c>
      <c r="BV267" s="63">
        <v>1801477</v>
      </c>
      <c r="BW267" s="63">
        <v>0</v>
      </c>
      <c r="BX267" s="63">
        <v>36765</v>
      </c>
      <c r="BY267" s="63">
        <v>1838242</v>
      </c>
      <c r="BZ267" s="63">
        <v>2965</v>
      </c>
      <c r="CA267" s="63">
        <v>0</v>
      </c>
      <c r="CB267" s="63">
        <v>60</v>
      </c>
      <c r="CC267" s="63">
        <v>3025</v>
      </c>
      <c r="CD267" s="63">
        <v>10710</v>
      </c>
      <c r="CE267" s="63">
        <v>0</v>
      </c>
      <c r="CF267" s="63">
        <v>219</v>
      </c>
      <c r="CG267" s="63">
        <v>10929</v>
      </c>
      <c r="CH267" s="63">
        <v>36791</v>
      </c>
      <c r="CI267" s="63">
        <v>0</v>
      </c>
      <c r="CJ267" s="63">
        <v>751</v>
      </c>
      <c r="CK267" s="63">
        <v>37542</v>
      </c>
      <c r="CL267" s="63">
        <v>2320</v>
      </c>
      <c r="CM267" s="63">
        <v>0</v>
      </c>
      <c r="CN267" s="63">
        <v>47</v>
      </c>
      <c r="CO267" s="63">
        <v>2367</v>
      </c>
      <c r="CP267" s="63">
        <v>2531505</v>
      </c>
      <c r="CQ267" s="63">
        <v>0</v>
      </c>
      <c r="CR267" s="63">
        <v>51663</v>
      </c>
      <c r="CS267" s="63">
        <v>2583168</v>
      </c>
      <c r="CU267" s="141" t="s">
        <v>373</v>
      </c>
      <c r="CV267" s="157" t="s">
        <v>941</v>
      </c>
      <c r="CW267" s="156" t="s">
        <v>953</v>
      </c>
      <c r="CX267" s="345"/>
      <c r="CY267" s="345"/>
      <c r="CZ267" s="345"/>
    </row>
    <row r="268" spans="1:104" ht="12.75" x14ac:dyDescent="0.2">
      <c r="A268" s="90">
        <v>261</v>
      </c>
      <c r="B268" s="129" t="s">
        <v>375</v>
      </c>
      <c r="C268" s="130" t="s">
        <v>501</v>
      </c>
      <c r="D268" s="131" t="s">
        <v>755</v>
      </c>
      <c r="E268" s="132" t="s">
        <v>519</v>
      </c>
      <c r="F268" s="63">
        <v>82900626</v>
      </c>
      <c r="G268" s="63">
        <v>0</v>
      </c>
      <c r="H268" s="63">
        <v>0</v>
      </c>
      <c r="I268" s="63">
        <v>239900</v>
      </c>
      <c r="J268" s="63">
        <v>0</v>
      </c>
      <c r="K268" s="63">
        <v>239900</v>
      </c>
      <c r="L268" s="63">
        <v>0</v>
      </c>
      <c r="M268" s="63">
        <v>173320</v>
      </c>
      <c r="N268" s="63">
        <v>0</v>
      </c>
      <c r="O268" s="63">
        <v>0</v>
      </c>
      <c r="P268" s="63">
        <v>0</v>
      </c>
      <c r="Q268" s="63">
        <v>82487406</v>
      </c>
      <c r="R268" s="474">
        <v>0.5</v>
      </c>
      <c r="S268" s="474">
        <v>0.49</v>
      </c>
      <c r="T268" s="474">
        <v>0</v>
      </c>
      <c r="U268" s="474">
        <v>0.01</v>
      </c>
      <c r="V268" s="474">
        <v>1</v>
      </c>
      <c r="W268" s="63">
        <v>41243703</v>
      </c>
      <c r="X268" s="63">
        <v>40418829</v>
      </c>
      <c r="Y268" s="63">
        <v>0</v>
      </c>
      <c r="Z268" s="63">
        <v>824874</v>
      </c>
      <c r="AA268" s="63">
        <v>82487406</v>
      </c>
      <c r="AB268" s="63">
        <v>98744</v>
      </c>
      <c r="AC268" s="63">
        <v>0</v>
      </c>
      <c r="AD268" s="63">
        <v>0</v>
      </c>
      <c r="AE268" s="63">
        <v>0</v>
      </c>
      <c r="AF268" s="63">
        <v>98744</v>
      </c>
      <c r="AG268" s="63">
        <v>0</v>
      </c>
      <c r="AH268" s="63">
        <v>0</v>
      </c>
      <c r="AI268" s="63">
        <v>0</v>
      </c>
      <c r="AJ268" s="63">
        <v>0</v>
      </c>
      <c r="AK268" s="63">
        <v>0</v>
      </c>
      <c r="AL268" s="63">
        <v>41144959</v>
      </c>
      <c r="AM268" s="63">
        <v>40418829</v>
      </c>
      <c r="AN268" s="63">
        <v>0</v>
      </c>
      <c r="AO268" s="63">
        <v>824874</v>
      </c>
      <c r="AP268" s="63">
        <v>82388662</v>
      </c>
      <c r="AQ268" s="63">
        <v>239900</v>
      </c>
      <c r="AR268" s="63">
        <v>239900</v>
      </c>
      <c r="AS268" s="63">
        <v>173320</v>
      </c>
      <c r="AT268" s="63">
        <v>173320</v>
      </c>
      <c r="AU268" s="63">
        <v>0</v>
      </c>
      <c r="AV268" s="63">
        <v>0</v>
      </c>
      <c r="AW268" s="63">
        <v>0</v>
      </c>
      <c r="AX268" s="63">
        <v>98001</v>
      </c>
      <c r="AY268" s="63">
        <v>0</v>
      </c>
      <c r="AZ268" s="63">
        <v>743</v>
      </c>
      <c r="BA268" s="63">
        <v>98744</v>
      </c>
      <c r="BB268" s="63">
        <v>0</v>
      </c>
      <c r="BC268" s="63">
        <v>0</v>
      </c>
      <c r="BD268" s="63">
        <v>0</v>
      </c>
      <c r="BE268" s="63">
        <v>0</v>
      </c>
      <c r="BF268" s="63">
        <v>0</v>
      </c>
      <c r="BG268" s="63">
        <v>0</v>
      </c>
      <c r="BH268" s="63">
        <v>-4407127</v>
      </c>
      <c r="BI268" s="63">
        <v>-4318984</v>
      </c>
      <c r="BJ268" s="63">
        <v>0</v>
      </c>
      <c r="BK268" s="63">
        <v>-88143</v>
      </c>
      <c r="BL268" s="63">
        <v>-8814254</v>
      </c>
      <c r="BM268" s="63">
        <v>36737832</v>
      </c>
      <c r="BN268" s="63">
        <v>36611066</v>
      </c>
      <c r="BO268" s="63">
        <v>0</v>
      </c>
      <c r="BP268" s="63">
        <v>737474</v>
      </c>
      <c r="BQ268" s="63">
        <v>74086372</v>
      </c>
      <c r="BR268" s="63">
        <v>588494</v>
      </c>
      <c r="BS268" s="63">
        <v>0</v>
      </c>
      <c r="BT268" s="63">
        <v>11941</v>
      </c>
      <c r="BU268" s="63">
        <v>600435</v>
      </c>
      <c r="BV268" s="63">
        <v>778676</v>
      </c>
      <c r="BW268" s="63">
        <v>0</v>
      </c>
      <c r="BX268" s="63">
        <v>15743</v>
      </c>
      <c r="BY268" s="63">
        <v>794419</v>
      </c>
      <c r="BZ268" s="63">
        <v>0</v>
      </c>
      <c r="CA268" s="63">
        <v>0</v>
      </c>
      <c r="CB268" s="63">
        <v>0</v>
      </c>
      <c r="CC268" s="63">
        <v>0</v>
      </c>
      <c r="CD268" s="63">
        <v>104569</v>
      </c>
      <c r="CE268" s="63">
        <v>0</v>
      </c>
      <c r="CF268" s="63">
        <v>0</v>
      </c>
      <c r="CG268" s="63">
        <v>104569</v>
      </c>
      <c r="CH268" s="63">
        <v>6193</v>
      </c>
      <c r="CI268" s="63">
        <v>0</v>
      </c>
      <c r="CJ268" s="63">
        <v>126</v>
      </c>
      <c r="CK268" s="63">
        <v>6319</v>
      </c>
      <c r="CL268" s="63">
        <v>4723</v>
      </c>
      <c r="CM268" s="63">
        <v>0</v>
      </c>
      <c r="CN268" s="63">
        <v>96</v>
      </c>
      <c r="CO268" s="63">
        <v>4819</v>
      </c>
      <c r="CP268" s="63">
        <v>1482655</v>
      </c>
      <c r="CQ268" s="63">
        <v>0</v>
      </c>
      <c r="CR268" s="63">
        <v>27906</v>
      </c>
      <c r="CS268" s="63">
        <v>1510561</v>
      </c>
      <c r="CU268" s="141" t="s">
        <v>519</v>
      </c>
      <c r="CV268" s="157" t="s">
        <v>501</v>
      </c>
      <c r="CW268" s="156" t="s">
        <v>980</v>
      </c>
      <c r="CX268" s="345"/>
      <c r="CY268" s="345"/>
      <c r="CZ268" s="345"/>
    </row>
    <row r="269" spans="1:104" ht="12.75" x14ac:dyDescent="0.2">
      <c r="A269" s="90">
        <v>262</v>
      </c>
      <c r="B269" s="129" t="s">
        <v>376</v>
      </c>
      <c r="C269" s="130" t="s">
        <v>501</v>
      </c>
      <c r="D269" s="131" t="s">
        <v>752</v>
      </c>
      <c r="E269" s="132" t="s">
        <v>548</v>
      </c>
      <c r="F269" s="63">
        <v>87315079</v>
      </c>
      <c r="G269" s="63">
        <v>0</v>
      </c>
      <c r="H269" s="63">
        <v>0</v>
      </c>
      <c r="I269" s="63">
        <v>366260</v>
      </c>
      <c r="J269" s="63">
        <v>0</v>
      </c>
      <c r="K269" s="63">
        <v>366260</v>
      </c>
      <c r="L269" s="63">
        <v>0</v>
      </c>
      <c r="M269" s="63">
        <v>0</v>
      </c>
      <c r="N269" s="63">
        <v>0</v>
      </c>
      <c r="O269" s="63">
        <v>0</v>
      </c>
      <c r="P269" s="63">
        <v>0</v>
      </c>
      <c r="Q269" s="63">
        <v>86948819</v>
      </c>
      <c r="R269" s="474">
        <v>0.5</v>
      </c>
      <c r="S269" s="474">
        <v>0.49</v>
      </c>
      <c r="T269" s="474">
        <v>0</v>
      </c>
      <c r="U269" s="474">
        <v>0.01</v>
      </c>
      <c r="V269" s="474">
        <v>1</v>
      </c>
      <c r="W269" s="63">
        <v>43474410</v>
      </c>
      <c r="X269" s="63">
        <v>42604921</v>
      </c>
      <c r="Y269" s="63">
        <v>0</v>
      </c>
      <c r="Z269" s="63">
        <v>869488</v>
      </c>
      <c r="AA269" s="63">
        <v>86948819</v>
      </c>
      <c r="AB269" s="63">
        <v>0</v>
      </c>
      <c r="AC269" s="63">
        <v>0</v>
      </c>
      <c r="AD269" s="63">
        <v>0</v>
      </c>
      <c r="AE269" s="63">
        <v>0</v>
      </c>
      <c r="AF269" s="63">
        <v>0</v>
      </c>
      <c r="AG269" s="63">
        <v>0</v>
      </c>
      <c r="AH269" s="63">
        <v>0</v>
      </c>
      <c r="AI269" s="63">
        <v>0</v>
      </c>
      <c r="AJ269" s="63">
        <v>0</v>
      </c>
      <c r="AK269" s="63">
        <v>0</v>
      </c>
      <c r="AL269" s="63">
        <v>43474410</v>
      </c>
      <c r="AM269" s="63">
        <v>42604921</v>
      </c>
      <c r="AN269" s="63">
        <v>0</v>
      </c>
      <c r="AO269" s="63">
        <v>869488</v>
      </c>
      <c r="AP269" s="63">
        <v>86948819</v>
      </c>
      <c r="AQ269" s="63">
        <v>366260</v>
      </c>
      <c r="AR269" s="63">
        <v>366260</v>
      </c>
      <c r="AS269" s="63">
        <v>0</v>
      </c>
      <c r="AT269" s="63">
        <v>0</v>
      </c>
      <c r="AU269" s="63">
        <v>0</v>
      </c>
      <c r="AV269" s="63">
        <v>0</v>
      </c>
      <c r="AW269" s="63">
        <v>0</v>
      </c>
      <c r="AX269" s="63">
        <v>0</v>
      </c>
      <c r="AY269" s="63">
        <v>0</v>
      </c>
      <c r="AZ269" s="63">
        <v>0</v>
      </c>
      <c r="BA269" s="63">
        <v>0</v>
      </c>
      <c r="BB269" s="63">
        <v>0</v>
      </c>
      <c r="BC269" s="63">
        <v>0</v>
      </c>
      <c r="BD269" s="63">
        <v>0</v>
      </c>
      <c r="BE269" s="63">
        <v>0</v>
      </c>
      <c r="BF269" s="63">
        <v>0</v>
      </c>
      <c r="BG269" s="63">
        <v>0</v>
      </c>
      <c r="BH269" s="63">
        <v>-28023</v>
      </c>
      <c r="BI269" s="63">
        <v>-27462</v>
      </c>
      <c r="BJ269" s="63">
        <v>0</v>
      </c>
      <c r="BK269" s="63">
        <v>-560</v>
      </c>
      <c r="BL269" s="63">
        <v>-56045</v>
      </c>
      <c r="BM269" s="63">
        <v>43446387</v>
      </c>
      <c r="BN269" s="63">
        <v>42943719</v>
      </c>
      <c r="BO269" s="63">
        <v>0</v>
      </c>
      <c r="BP269" s="63">
        <v>868928</v>
      </c>
      <c r="BQ269" s="63">
        <v>87259034</v>
      </c>
      <c r="BR269" s="63">
        <v>616187</v>
      </c>
      <c r="BS269" s="63">
        <v>0</v>
      </c>
      <c r="BT269" s="63">
        <v>12575</v>
      </c>
      <c r="BU269" s="63">
        <v>628762</v>
      </c>
      <c r="BV269" s="63">
        <v>1522145</v>
      </c>
      <c r="BW269" s="63">
        <v>0</v>
      </c>
      <c r="BX269" s="63">
        <v>31064</v>
      </c>
      <c r="BY269" s="63">
        <v>1553209</v>
      </c>
      <c r="BZ269" s="63">
        <v>0</v>
      </c>
      <c r="CA269" s="63">
        <v>0</v>
      </c>
      <c r="CB269" s="63">
        <v>0</v>
      </c>
      <c r="CC269" s="63">
        <v>0</v>
      </c>
      <c r="CD269" s="63">
        <v>0</v>
      </c>
      <c r="CE269" s="63">
        <v>0</v>
      </c>
      <c r="CF269" s="63">
        <v>0</v>
      </c>
      <c r="CG269" s="63">
        <v>0</v>
      </c>
      <c r="CH269" s="63">
        <v>0</v>
      </c>
      <c r="CI269" s="63">
        <v>0</v>
      </c>
      <c r="CJ269" s="63">
        <v>0</v>
      </c>
      <c r="CK269" s="63">
        <v>0</v>
      </c>
      <c r="CL269" s="63">
        <v>582400</v>
      </c>
      <c r="CM269" s="63">
        <v>0</v>
      </c>
      <c r="CN269" s="63">
        <v>11886</v>
      </c>
      <c r="CO269" s="63">
        <v>594286</v>
      </c>
      <c r="CP269" s="63">
        <v>2720732</v>
      </c>
      <c r="CQ269" s="63">
        <v>0</v>
      </c>
      <c r="CR269" s="63">
        <v>55525</v>
      </c>
      <c r="CS269" s="63">
        <v>2776257</v>
      </c>
      <c r="CU269" s="141" t="s">
        <v>548</v>
      </c>
      <c r="CV269" s="157" t="s">
        <v>501</v>
      </c>
      <c r="CW269" s="156" t="s">
        <v>965</v>
      </c>
      <c r="CX269" s="345"/>
      <c r="CY269" s="345"/>
      <c r="CZ269" s="345"/>
    </row>
    <row r="270" spans="1:104" ht="12.75" x14ac:dyDescent="0.2">
      <c r="A270" s="90">
        <v>263</v>
      </c>
      <c r="B270" s="129" t="s">
        <v>378</v>
      </c>
      <c r="C270" s="130" t="s">
        <v>742</v>
      </c>
      <c r="D270" s="131" t="s">
        <v>752</v>
      </c>
      <c r="E270" s="132" t="s">
        <v>377</v>
      </c>
      <c r="F270" s="63">
        <v>54819451.139999993</v>
      </c>
      <c r="G270" s="63">
        <v>0</v>
      </c>
      <c r="H270" s="63">
        <v>0</v>
      </c>
      <c r="I270" s="63">
        <v>217909</v>
      </c>
      <c r="J270" s="63">
        <v>0</v>
      </c>
      <c r="K270" s="63">
        <v>217909</v>
      </c>
      <c r="L270" s="63">
        <v>0</v>
      </c>
      <c r="M270" s="63">
        <v>0</v>
      </c>
      <c r="N270" s="63">
        <v>41000</v>
      </c>
      <c r="O270" s="63">
        <v>41000</v>
      </c>
      <c r="P270" s="63">
        <v>0</v>
      </c>
      <c r="Q270" s="63">
        <v>54560542</v>
      </c>
      <c r="R270" s="474">
        <v>0.5</v>
      </c>
      <c r="S270" s="474">
        <v>0.4</v>
      </c>
      <c r="T270" s="474">
        <v>0.1</v>
      </c>
      <c r="U270" s="474">
        <v>0</v>
      </c>
      <c r="V270" s="474">
        <v>1</v>
      </c>
      <c r="W270" s="63">
        <v>27280271</v>
      </c>
      <c r="X270" s="63">
        <v>21824217</v>
      </c>
      <c r="Y270" s="63">
        <v>5456054</v>
      </c>
      <c r="Z270" s="63">
        <v>0</v>
      </c>
      <c r="AA270" s="63">
        <v>54560542</v>
      </c>
      <c r="AB270" s="63">
        <v>0</v>
      </c>
      <c r="AC270" s="63">
        <v>0</v>
      </c>
      <c r="AD270" s="63">
        <v>0</v>
      </c>
      <c r="AE270" s="63">
        <v>0</v>
      </c>
      <c r="AF270" s="63">
        <v>0</v>
      </c>
      <c r="AG270" s="63">
        <v>0</v>
      </c>
      <c r="AH270" s="63">
        <v>0</v>
      </c>
      <c r="AI270" s="63">
        <v>0</v>
      </c>
      <c r="AJ270" s="63">
        <v>0</v>
      </c>
      <c r="AK270" s="63">
        <v>0</v>
      </c>
      <c r="AL270" s="63">
        <v>27280271</v>
      </c>
      <c r="AM270" s="63">
        <v>21824217</v>
      </c>
      <c r="AN270" s="63">
        <v>5456054</v>
      </c>
      <c r="AO270" s="63">
        <v>0</v>
      </c>
      <c r="AP270" s="63">
        <v>54560542</v>
      </c>
      <c r="AQ270" s="63">
        <v>217909</v>
      </c>
      <c r="AR270" s="63">
        <v>217909</v>
      </c>
      <c r="AS270" s="63">
        <v>0</v>
      </c>
      <c r="AT270" s="63">
        <v>0</v>
      </c>
      <c r="AU270" s="63">
        <v>41000</v>
      </c>
      <c r="AV270" s="63">
        <v>0</v>
      </c>
      <c r="AW270" s="63">
        <v>41000</v>
      </c>
      <c r="AX270" s="63">
        <v>0</v>
      </c>
      <c r="AY270" s="63">
        <v>0</v>
      </c>
      <c r="AZ270" s="63">
        <v>0</v>
      </c>
      <c r="BA270" s="63">
        <v>0</v>
      </c>
      <c r="BB270" s="63">
        <v>0</v>
      </c>
      <c r="BC270" s="63">
        <v>0</v>
      </c>
      <c r="BD270" s="63">
        <v>0</v>
      </c>
      <c r="BE270" s="63">
        <v>0</v>
      </c>
      <c r="BF270" s="63">
        <v>0</v>
      </c>
      <c r="BG270" s="63">
        <v>0</v>
      </c>
      <c r="BH270" s="63">
        <v>-561576</v>
      </c>
      <c r="BI270" s="63">
        <v>-449261</v>
      </c>
      <c r="BJ270" s="63">
        <v>-112315</v>
      </c>
      <c r="BK270" s="63">
        <v>0</v>
      </c>
      <c r="BL270" s="63">
        <v>-1123152</v>
      </c>
      <c r="BM270" s="63">
        <v>26718695</v>
      </c>
      <c r="BN270" s="63">
        <v>21633865</v>
      </c>
      <c r="BO270" s="63">
        <v>5343739</v>
      </c>
      <c r="BP270" s="63">
        <v>0</v>
      </c>
      <c r="BQ270" s="63">
        <v>53696299</v>
      </c>
      <c r="BR270" s="63">
        <v>316232</v>
      </c>
      <c r="BS270" s="63">
        <v>78910</v>
      </c>
      <c r="BT270" s="63">
        <v>0</v>
      </c>
      <c r="BU270" s="63">
        <v>395142</v>
      </c>
      <c r="BV270" s="63">
        <v>704822</v>
      </c>
      <c r="BW270" s="63">
        <v>176206</v>
      </c>
      <c r="BX270" s="63">
        <v>0</v>
      </c>
      <c r="BY270" s="63">
        <v>881028</v>
      </c>
      <c r="BZ270" s="63">
        <v>0</v>
      </c>
      <c r="CA270" s="63">
        <v>0</v>
      </c>
      <c r="CB270" s="63">
        <v>0</v>
      </c>
      <c r="CC270" s="63">
        <v>0</v>
      </c>
      <c r="CD270" s="63">
        <v>0</v>
      </c>
      <c r="CE270" s="63">
        <v>0</v>
      </c>
      <c r="CF270" s="63">
        <v>0</v>
      </c>
      <c r="CG270" s="63">
        <v>0</v>
      </c>
      <c r="CH270" s="63">
        <v>23649</v>
      </c>
      <c r="CI270" s="63">
        <v>5912</v>
      </c>
      <c r="CJ270" s="63">
        <v>0</v>
      </c>
      <c r="CK270" s="63">
        <v>29561</v>
      </c>
      <c r="CL270" s="63">
        <v>1214</v>
      </c>
      <c r="CM270" s="63">
        <v>304</v>
      </c>
      <c r="CN270" s="63">
        <v>0</v>
      </c>
      <c r="CO270" s="63">
        <v>1518</v>
      </c>
      <c r="CP270" s="63">
        <v>1045917</v>
      </c>
      <c r="CQ270" s="63">
        <v>261332</v>
      </c>
      <c r="CR270" s="63">
        <v>0</v>
      </c>
      <c r="CS270" s="63">
        <v>1307249</v>
      </c>
      <c r="CU270" s="141" t="s">
        <v>377</v>
      </c>
      <c r="CV270" s="157" t="s">
        <v>983</v>
      </c>
      <c r="CW270" s="156" t="s">
        <v>928</v>
      </c>
      <c r="CX270" s="345"/>
      <c r="CY270" s="345"/>
      <c r="CZ270" s="345"/>
    </row>
    <row r="271" spans="1:104" ht="12.75" x14ac:dyDescent="0.2">
      <c r="A271" s="90">
        <v>264</v>
      </c>
      <c r="B271" s="129" t="s">
        <v>380</v>
      </c>
      <c r="C271" s="130" t="s">
        <v>742</v>
      </c>
      <c r="D271" s="131" t="s">
        <v>751</v>
      </c>
      <c r="E271" s="132" t="s">
        <v>379</v>
      </c>
      <c r="F271" s="63">
        <v>27636204.82</v>
      </c>
      <c r="G271" s="63">
        <v>0</v>
      </c>
      <c r="H271" s="63">
        <v>0</v>
      </c>
      <c r="I271" s="63">
        <v>160071</v>
      </c>
      <c r="J271" s="63">
        <v>0</v>
      </c>
      <c r="K271" s="63">
        <v>160071</v>
      </c>
      <c r="L271" s="63">
        <v>0</v>
      </c>
      <c r="M271" s="63">
        <v>0</v>
      </c>
      <c r="N271" s="63">
        <v>700</v>
      </c>
      <c r="O271" s="63">
        <v>700</v>
      </c>
      <c r="P271" s="63">
        <v>0</v>
      </c>
      <c r="Q271" s="63">
        <v>27475434</v>
      </c>
      <c r="R271" s="474">
        <v>0.5</v>
      </c>
      <c r="S271" s="474">
        <v>0.4</v>
      </c>
      <c r="T271" s="474">
        <v>0.1</v>
      </c>
      <c r="U271" s="474">
        <v>0</v>
      </c>
      <c r="V271" s="474">
        <v>1</v>
      </c>
      <c r="W271" s="63">
        <v>13737717</v>
      </c>
      <c r="X271" s="63">
        <v>10990174</v>
      </c>
      <c r="Y271" s="63">
        <v>2747543</v>
      </c>
      <c r="Z271" s="63">
        <v>0</v>
      </c>
      <c r="AA271" s="63">
        <v>27475434</v>
      </c>
      <c r="AB271" s="63">
        <v>0</v>
      </c>
      <c r="AC271" s="63">
        <v>0</v>
      </c>
      <c r="AD271" s="63">
        <v>0</v>
      </c>
      <c r="AE271" s="63">
        <v>0</v>
      </c>
      <c r="AF271" s="63">
        <v>0</v>
      </c>
      <c r="AG271" s="63">
        <v>0</v>
      </c>
      <c r="AH271" s="63">
        <v>0</v>
      </c>
      <c r="AI271" s="63">
        <v>0</v>
      </c>
      <c r="AJ271" s="63">
        <v>0</v>
      </c>
      <c r="AK271" s="63">
        <v>0</v>
      </c>
      <c r="AL271" s="63">
        <v>13737717</v>
      </c>
      <c r="AM271" s="63">
        <v>10990174</v>
      </c>
      <c r="AN271" s="63">
        <v>2747543</v>
      </c>
      <c r="AO271" s="63">
        <v>0</v>
      </c>
      <c r="AP271" s="63">
        <v>27475434</v>
      </c>
      <c r="AQ271" s="63">
        <v>160071</v>
      </c>
      <c r="AR271" s="63">
        <v>160071</v>
      </c>
      <c r="AS271" s="63">
        <v>0</v>
      </c>
      <c r="AT271" s="63">
        <v>0</v>
      </c>
      <c r="AU271" s="63">
        <v>700</v>
      </c>
      <c r="AV271" s="63">
        <v>0</v>
      </c>
      <c r="AW271" s="63">
        <v>700</v>
      </c>
      <c r="AX271" s="63">
        <v>0</v>
      </c>
      <c r="AY271" s="63">
        <v>0</v>
      </c>
      <c r="AZ271" s="63">
        <v>0</v>
      </c>
      <c r="BA271" s="63">
        <v>0</v>
      </c>
      <c r="BB271" s="63">
        <v>0</v>
      </c>
      <c r="BC271" s="63">
        <v>0</v>
      </c>
      <c r="BD271" s="63">
        <v>0</v>
      </c>
      <c r="BE271" s="63">
        <v>0</v>
      </c>
      <c r="BF271" s="63">
        <v>0</v>
      </c>
      <c r="BG271" s="63">
        <v>0</v>
      </c>
      <c r="BH271" s="63">
        <v>-589737</v>
      </c>
      <c r="BI271" s="63">
        <v>-471790</v>
      </c>
      <c r="BJ271" s="63">
        <v>-117947</v>
      </c>
      <c r="BK271" s="63">
        <v>0</v>
      </c>
      <c r="BL271" s="63">
        <v>-1179474</v>
      </c>
      <c r="BM271" s="63">
        <v>13147980</v>
      </c>
      <c r="BN271" s="63">
        <v>10679155</v>
      </c>
      <c r="BO271" s="63">
        <v>2629596</v>
      </c>
      <c r="BP271" s="63">
        <v>0</v>
      </c>
      <c r="BQ271" s="63">
        <v>26456731</v>
      </c>
      <c r="BR271" s="63">
        <v>158959</v>
      </c>
      <c r="BS271" s="63">
        <v>39737</v>
      </c>
      <c r="BT271" s="63">
        <v>0</v>
      </c>
      <c r="BU271" s="63">
        <v>198696</v>
      </c>
      <c r="BV271" s="63">
        <v>542506</v>
      </c>
      <c r="BW271" s="63">
        <v>135627</v>
      </c>
      <c r="BX271" s="63">
        <v>0</v>
      </c>
      <c r="BY271" s="63">
        <v>678133</v>
      </c>
      <c r="BZ271" s="63">
        <v>0</v>
      </c>
      <c r="CA271" s="63">
        <v>0</v>
      </c>
      <c r="CB271" s="63">
        <v>0</v>
      </c>
      <c r="CC271" s="63">
        <v>0</v>
      </c>
      <c r="CD271" s="63">
        <v>0</v>
      </c>
      <c r="CE271" s="63">
        <v>0</v>
      </c>
      <c r="CF271" s="63">
        <v>0</v>
      </c>
      <c r="CG271" s="63">
        <v>0</v>
      </c>
      <c r="CH271" s="63">
        <v>286</v>
      </c>
      <c r="CI271" s="63">
        <v>72</v>
      </c>
      <c r="CJ271" s="63">
        <v>0</v>
      </c>
      <c r="CK271" s="63">
        <v>358</v>
      </c>
      <c r="CL271" s="63">
        <v>0</v>
      </c>
      <c r="CM271" s="63">
        <v>0</v>
      </c>
      <c r="CN271" s="63">
        <v>0</v>
      </c>
      <c r="CO271" s="63">
        <v>0</v>
      </c>
      <c r="CP271" s="63">
        <v>701751</v>
      </c>
      <c r="CQ271" s="63">
        <v>175436</v>
      </c>
      <c r="CR271" s="63">
        <v>0</v>
      </c>
      <c r="CS271" s="63">
        <v>877187</v>
      </c>
      <c r="CU271" s="141" t="s">
        <v>379</v>
      </c>
      <c r="CV271" s="157" t="s">
        <v>966</v>
      </c>
      <c r="CW271" s="156" t="s">
        <v>928</v>
      </c>
      <c r="CX271" s="345"/>
      <c r="CY271" s="345"/>
      <c r="CZ271" s="345"/>
    </row>
    <row r="272" spans="1:104" ht="12.75" x14ac:dyDescent="0.2">
      <c r="A272" s="90">
        <v>265</v>
      </c>
      <c r="B272" s="129" t="s">
        <v>382</v>
      </c>
      <c r="C272" s="130" t="s">
        <v>742</v>
      </c>
      <c r="D272" s="131" t="s">
        <v>746</v>
      </c>
      <c r="E272" s="132" t="s">
        <v>381</v>
      </c>
      <c r="F272" s="63">
        <v>68840712</v>
      </c>
      <c r="G272" s="63">
        <v>0</v>
      </c>
      <c r="H272" s="63">
        <v>0</v>
      </c>
      <c r="I272" s="63">
        <v>277015</v>
      </c>
      <c r="J272" s="63">
        <v>0</v>
      </c>
      <c r="K272" s="63">
        <v>277015</v>
      </c>
      <c r="L272" s="63">
        <v>0</v>
      </c>
      <c r="M272" s="63">
        <v>0</v>
      </c>
      <c r="N272" s="63">
        <v>123256</v>
      </c>
      <c r="O272" s="63">
        <v>123256</v>
      </c>
      <c r="P272" s="63">
        <v>0</v>
      </c>
      <c r="Q272" s="63">
        <v>68440441</v>
      </c>
      <c r="R272" s="474">
        <v>0.5</v>
      </c>
      <c r="S272" s="474">
        <v>0.4</v>
      </c>
      <c r="T272" s="474">
        <v>0.1</v>
      </c>
      <c r="U272" s="474">
        <v>0</v>
      </c>
      <c r="V272" s="474">
        <v>1</v>
      </c>
      <c r="W272" s="63">
        <v>34220221</v>
      </c>
      <c r="X272" s="63">
        <v>27376176</v>
      </c>
      <c r="Y272" s="63">
        <v>6844044</v>
      </c>
      <c r="Z272" s="63">
        <v>0</v>
      </c>
      <c r="AA272" s="63">
        <v>68440441</v>
      </c>
      <c r="AB272" s="63">
        <v>0</v>
      </c>
      <c r="AC272" s="63">
        <v>0</v>
      </c>
      <c r="AD272" s="63">
        <v>0</v>
      </c>
      <c r="AE272" s="63">
        <v>0</v>
      </c>
      <c r="AF272" s="63">
        <v>0</v>
      </c>
      <c r="AG272" s="63">
        <v>0</v>
      </c>
      <c r="AH272" s="63">
        <v>0</v>
      </c>
      <c r="AI272" s="63">
        <v>0</v>
      </c>
      <c r="AJ272" s="63">
        <v>0</v>
      </c>
      <c r="AK272" s="63">
        <v>0</v>
      </c>
      <c r="AL272" s="63">
        <v>34220221</v>
      </c>
      <c r="AM272" s="63">
        <v>27376176</v>
      </c>
      <c r="AN272" s="63">
        <v>6844044</v>
      </c>
      <c r="AO272" s="63">
        <v>0</v>
      </c>
      <c r="AP272" s="63">
        <v>68440441</v>
      </c>
      <c r="AQ272" s="63">
        <v>277015</v>
      </c>
      <c r="AR272" s="63">
        <v>277015</v>
      </c>
      <c r="AS272" s="63">
        <v>0</v>
      </c>
      <c r="AT272" s="63">
        <v>0</v>
      </c>
      <c r="AU272" s="63">
        <v>123256</v>
      </c>
      <c r="AV272" s="63">
        <v>0</v>
      </c>
      <c r="AW272" s="63">
        <v>123256</v>
      </c>
      <c r="AX272" s="63">
        <v>0</v>
      </c>
      <c r="AY272" s="63">
        <v>0</v>
      </c>
      <c r="AZ272" s="63">
        <v>0</v>
      </c>
      <c r="BA272" s="63">
        <v>0</v>
      </c>
      <c r="BB272" s="63">
        <v>0</v>
      </c>
      <c r="BC272" s="63">
        <v>0</v>
      </c>
      <c r="BD272" s="63">
        <v>0</v>
      </c>
      <c r="BE272" s="63">
        <v>0</v>
      </c>
      <c r="BF272" s="63">
        <v>0</v>
      </c>
      <c r="BG272" s="63">
        <v>0</v>
      </c>
      <c r="BH272" s="63">
        <v>3771667</v>
      </c>
      <c r="BI272" s="63">
        <v>3017333</v>
      </c>
      <c r="BJ272" s="63">
        <v>754333</v>
      </c>
      <c r="BK272" s="63">
        <v>0</v>
      </c>
      <c r="BL272" s="63">
        <v>7543333</v>
      </c>
      <c r="BM272" s="63">
        <v>37991888</v>
      </c>
      <c r="BN272" s="63">
        <v>30793780</v>
      </c>
      <c r="BO272" s="63">
        <v>7598377</v>
      </c>
      <c r="BP272" s="63">
        <v>0</v>
      </c>
      <c r="BQ272" s="63">
        <v>76384045</v>
      </c>
      <c r="BR272" s="63">
        <v>397719</v>
      </c>
      <c r="BS272" s="63">
        <v>98984</v>
      </c>
      <c r="BT272" s="63">
        <v>0</v>
      </c>
      <c r="BU272" s="63">
        <v>496703</v>
      </c>
      <c r="BV272" s="63">
        <v>757669</v>
      </c>
      <c r="BW272" s="63">
        <v>189417</v>
      </c>
      <c r="BX272" s="63">
        <v>0</v>
      </c>
      <c r="BY272" s="63">
        <v>947086</v>
      </c>
      <c r="BZ272" s="63">
        <v>1654</v>
      </c>
      <c r="CA272" s="63">
        <v>413</v>
      </c>
      <c r="CB272" s="63">
        <v>0</v>
      </c>
      <c r="CC272" s="63">
        <v>2067</v>
      </c>
      <c r="CD272" s="63">
        <v>0</v>
      </c>
      <c r="CE272" s="63">
        <v>0</v>
      </c>
      <c r="CF272" s="63">
        <v>0</v>
      </c>
      <c r="CG272" s="63">
        <v>0</v>
      </c>
      <c r="CH272" s="63">
        <v>1227</v>
      </c>
      <c r="CI272" s="63">
        <v>307</v>
      </c>
      <c r="CJ272" s="63">
        <v>0</v>
      </c>
      <c r="CK272" s="63">
        <v>1534</v>
      </c>
      <c r="CL272" s="63">
        <v>0</v>
      </c>
      <c r="CM272" s="63">
        <v>0</v>
      </c>
      <c r="CN272" s="63">
        <v>0</v>
      </c>
      <c r="CO272" s="63">
        <v>0</v>
      </c>
      <c r="CP272" s="63">
        <v>1158269</v>
      </c>
      <c r="CQ272" s="63">
        <v>289121</v>
      </c>
      <c r="CR272" s="63">
        <v>0</v>
      </c>
      <c r="CS272" s="63">
        <v>1447390</v>
      </c>
      <c r="CU272" s="141" t="s">
        <v>381</v>
      </c>
      <c r="CV272" s="157" t="s">
        <v>938</v>
      </c>
      <c r="CW272" s="156" t="s">
        <v>928</v>
      </c>
      <c r="CX272" s="345"/>
      <c r="CY272" s="345"/>
      <c r="CZ272" s="345"/>
    </row>
    <row r="273" spans="1:104" ht="12.75" x14ac:dyDescent="0.2">
      <c r="A273" s="90">
        <v>266</v>
      </c>
      <c r="B273" s="129" t="s">
        <v>384</v>
      </c>
      <c r="C273" s="130" t="s">
        <v>749</v>
      </c>
      <c r="D273" s="131" t="s">
        <v>755</v>
      </c>
      <c r="E273" s="132" t="s">
        <v>383</v>
      </c>
      <c r="F273" s="63">
        <v>89912582</v>
      </c>
      <c r="G273" s="63">
        <v>0</v>
      </c>
      <c r="H273" s="63">
        <v>0</v>
      </c>
      <c r="I273" s="63">
        <v>342824</v>
      </c>
      <c r="J273" s="63">
        <v>0</v>
      </c>
      <c r="K273" s="63">
        <v>342824</v>
      </c>
      <c r="L273" s="63">
        <v>0</v>
      </c>
      <c r="M273" s="63">
        <v>714465</v>
      </c>
      <c r="N273" s="63">
        <v>0</v>
      </c>
      <c r="O273" s="63">
        <v>0</v>
      </c>
      <c r="P273" s="63">
        <v>0</v>
      </c>
      <c r="Q273" s="63">
        <v>88855293</v>
      </c>
      <c r="R273" s="474">
        <v>0.5</v>
      </c>
      <c r="S273" s="474">
        <v>0.49</v>
      </c>
      <c r="T273" s="474">
        <v>0</v>
      </c>
      <c r="U273" s="474">
        <v>0.01</v>
      </c>
      <c r="V273" s="474">
        <v>1</v>
      </c>
      <c r="W273" s="63">
        <v>44427646</v>
      </c>
      <c r="X273" s="63">
        <v>43539094</v>
      </c>
      <c r="Y273" s="63">
        <v>0</v>
      </c>
      <c r="Z273" s="63">
        <v>888553</v>
      </c>
      <c r="AA273" s="63">
        <v>88855293</v>
      </c>
      <c r="AB273" s="63">
        <v>34790</v>
      </c>
      <c r="AC273" s="63">
        <v>0</v>
      </c>
      <c r="AD273" s="63">
        <v>0</v>
      </c>
      <c r="AE273" s="63">
        <v>0</v>
      </c>
      <c r="AF273" s="63">
        <v>34790</v>
      </c>
      <c r="AG273" s="63">
        <v>0</v>
      </c>
      <c r="AH273" s="63">
        <v>0</v>
      </c>
      <c r="AI273" s="63">
        <v>0</v>
      </c>
      <c r="AJ273" s="63">
        <v>0</v>
      </c>
      <c r="AK273" s="63">
        <v>0</v>
      </c>
      <c r="AL273" s="63">
        <v>44392856</v>
      </c>
      <c r="AM273" s="63">
        <v>43539094</v>
      </c>
      <c r="AN273" s="63">
        <v>0</v>
      </c>
      <c r="AO273" s="63">
        <v>888553</v>
      </c>
      <c r="AP273" s="63">
        <v>88820503</v>
      </c>
      <c r="AQ273" s="63">
        <v>342824</v>
      </c>
      <c r="AR273" s="63">
        <v>342824</v>
      </c>
      <c r="AS273" s="63">
        <v>714465</v>
      </c>
      <c r="AT273" s="63">
        <v>714465</v>
      </c>
      <c r="AU273" s="63">
        <v>0</v>
      </c>
      <c r="AV273" s="63">
        <v>0</v>
      </c>
      <c r="AW273" s="63">
        <v>0</v>
      </c>
      <c r="AX273" s="63">
        <v>34790</v>
      </c>
      <c r="AY273" s="63">
        <v>0</v>
      </c>
      <c r="AZ273" s="63">
        <v>0</v>
      </c>
      <c r="BA273" s="63">
        <v>34790</v>
      </c>
      <c r="BB273" s="63">
        <v>0</v>
      </c>
      <c r="BC273" s="63">
        <v>0</v>
      </c>
      <c r="BD273" s="63">
        <v>0</v>
      </c>
      <c r="BE273" s="63">
        <v>0</v>
      </c>
      <c r="BF273" s="63">
        <v>0</v>
      </c>
      <c r="BG273" s="63">
        <v>0</v>
      </c>
      <c r="BH273" s="63">
        <v>0</v>
      </c>
      <c r="BI273" s="63">
        <v>0</v>
      </c>
      <c r="BJ273" s="63">
        <v>0</v>
      </c>
      <c r="BK273" s="63">
        <v>0</v>
      </c>
      <c r="BL273" s="63">
        <v>0</v>
      </c>
      <c r="BM273" s="63">
        <v>44392856</v>
      </c>
      <c r="BN273" s="63">
        <v>44631173</v>
      </c>
      <c r="BO273" s="63">
        <v>0</v>
      </c>
      <c r="BP273" s="63">
        <v>888553</v>
      </c>
      <c r="BQ273" s="63">
        <v>89912582</v>
      </c>
      <c r="BR273" s="63">
        <v>640534</v>
      </c>
      <c r="BS273" s="63">
        <v>0</v>
      </c>
      <c r="BT273" s="63">
        <v>12851</v>
      </c>
      <c r="BU273" s="63">
        <v>653385</v>
      </c>
      <c r="BV273" s="63">
        <v>1171664</v>
      </c>
      <c r="BW273" s="63">
        <v>0</v>
      </c>
      <c r="BX273" s="63">
        <v>23885</v>
      </c>
      <c r="BY273" s="63">
        <v>1195549</v>
      </c>
      <c r="BZ273" s="63">
        <v>0</v>
      </c>
      <c r="CA273" s="63">
        <v>0</v>
      </c>
      <c r="CB273" s="63">
        <v>0</v>
      </c>
      <c r="CC273" s="63">
        <v>0</v>
      </c>
      <c r="CD273" s="63">
        <v>0</v>
      </c>
      <c r="CE273" s="63">
        <v>0</v>
      </c>
      <c r="CF273" s="63">
        <v>0</v>
      </c>
      <c r="CG273" s="63">
        <v>0</v>
      </c>
      <c r="CH273" s="63">
        <v>31020</v>
      </c>
      <c r="CI273" s="63">
        <v>0</v>
      </c>
      <c r="CJ273" s="63">
        <v>633</v>
      </c>
      <c r="CK273" s="63">
        <v>31653</v>
      </c>
      <c r="CL273" s="63">
        <v>9942</v>
      </c>
      <c r="CM273" s="63">
        <v>0</v>
      </c>
      <c r="CN273" s="63">
        <v>203</v>
      </c>
      <c r="CO273" s="63">
        <v>10145</v>
      </c>
      <c r="CP273" s="63">
        <v>1853160</v>
      </c>
      <c r="CQ273" s="63">
        <v>0</v>
      </c>
      <c r="CR273" s="63">
        <v>37572</v>
      </c>
      <c r="CS273" s="63">
        <v>1890732</v>
      </c>
      <c r="CU273" s="141" t="s">
        <v>383</v>
      </c>
      <c r="CV273" s="157" t="s">
        <v>941</v>
      </c>
      <c r="CW273" s="156" t="s">
        <v>979</v>
      </c>
      <c r="CX273" s="345"/>
      <c r="CY273" s="345"/>
      <c r="CZ273" s="345"/>
    </row>
    <row r="274" spans="1:104" ht="12.75" x14ac:dyDescent="0.2">
      <c r="A274" s="90">
        <v>267</v>
      </c>
      <c r="B274" s="129" t="s">
        <v>386</v>
      </c>
      <c r="C274" s="130" t="s">
        <v>742</v>
      </c>
      <c r="D274" s="131" t="s">
        <v>743</v>
      </c>
      <c r="E274" s="132" t="s">
        <v>385</v>
      </c>
      <c r="F274" s="63">
        <v>35261694</v>
      </c>
      <c r="G274" s="63">
        <v>0</v>
      </c>
      <c r="H274" s="63">
        <v>0</v>
      </c>
      <c r="I274" s="63">
        <v>126119</v>
      </c>
      <c r="J274" s="63">
        <v>0</v>
      </c>
      <c r="K274" s="63">
        <v>126119</v>
      </c>
      <c r="L274" s="63">
        <v>0</v>
      </c>
      <c r="M274" s="63">
        <v>0</v>
      </c>
      <c r="N274" s="63">
        <v>0</v>
      </c>
      <c r="O274" s="63">
        <v>0</v>
      </c>
      <c r="P274" s="63">
        <v>0</v>
      </c>
      <c r="Q274" s="63">
        <v>35135575</v>
      </c>
      <c r="R274" s="474">
        <v>0.5</v>
      </c>
      <c r="S274" s="474">
        <v>0.4</v>
      </c>
      <c r="T274" s="474">
        <v>0.1</v>
      </c>
      <c r="U274" s="474">
        <v>0</v>
      </c>
      <c r="V274" s="474">
        <v>1</v>
      </c>
      <c r="W274" s="63">
        <v>17567787</v>
      </c>
      <c r="X274" s="63">
        <v>14054230</v>
      </c>
      <c r="Y274" s="63">
        <v>3513558</v>
      </c>
      <c r="Z274" s="63">
        <v>0</v>
      </c>
      <c r="AA274" s="63">
        <v>35135575</v>
      </c>
      <c r="AB274" s="63">
        <v>0</v>
      </c>
      <c r="AC274" s="63">
        <v>0</v>
      </c>
      <c r="AD274" s="63">
        <v>0</v>
      </c>
      <c r="AE274" s="63">
        <v>0</v>
      </c>
      <c r="AF274" s="63">
        <v>0</v>
      </c>
      <c r="AG274" s="63">
        <v>0</v>
      </c>
      <c r="AH274" s="63">
        <v>0</v>
      </c>
      <c r="AI274" s="63">
        <v>0</v>
      </c>
      <c r="AJ274" s="63">
        <v>0</v>
      </c>
      <c r="AK274" s="63">
        <v>0</v>
      </c>
      <c r="AL274" s="63">
        <v>17567787</v>
      </c>
      <c r="AM274" s="63">
        <v>14054230</v>
      </c>
      <c r="AN274" s="63">
        <v>3513558</v>
      </c>
      <c r="AO274" s="63">
        <v>0</v>
      </c>
      <c r="AP274" s="63">
        <v>35135575</v>
      </c>
      <c r="AQ274" s="63">
        <v>126119</v>
      </c>
      <c r="AR274" s="63">
        <v>126119</v>
      </c>
      <c r="AS274" s="63">
        <v>0</v>
      </c>
      <c r="AT274" s="63">
        <v>0</v>
      </c>
      <c r="AU274" s="63">
        <v>0</v>
      </c>
      <c r="AV274" s="63">
        <v>0</v>
      </c>
      <c r="AW274" s="63">
        <v>0</v>
      </c>
      <c r="AX274" s="63">
        <v>0</v>
      </c>
      <c r="AY274" s="63">
        <v>0</v>
      </c>
      <c r="AZ274" s="63">
        <v>0</v>
      </c>
      <c r="BA274" s="63">
        <v>0</v>
      </c>
      <c r="BB274" s="63">
        <v>0</v>
      </c>
      <c r="BC274" s="63">
        <v>0</v>
      </c>
      <c r="BD274" s="63">
        <v>0</v>
      </c>
      <c r="BE274" s="63">
        <v>0</v>
      </c>
      <c r="BF274" s="63">
        <v>0</v>
      </c>
      <c r="BG274" s="63">
        <v>0</v>
      </c>
      <c r="BH274" s="63">
        <v>-438278</v>
      </c>
      <c r="BI274" s="63">
        <v>-350623</v>
      </c>
      <c r="BJ274" s="63">
        <v>-87656</v>
      </c>
      <c r="BK274" s="63">
        <v>0</v>
      </c>
      <c r="BL274" s="63">
        <v>-876557</v>
      </c>
      <c r="BM274" s="63">
        <v>17129509</v>
      </c>
      <c r="BN274" s="63">
        <v>13829726</v>
      </c>
      <c r="BO274" s="63">
        <v>3425902</v>
      </c>
      <c r="BP274" s="63">
        <v>0</v>
      </c>
      <c r="BQ274" s="63">
        <v>34385137</v>
      </c>
      <c r="BR274" s="63">
        <v>203264</v>
      </c>
      <c r="BS274" s="63">
        <v>50816</v>
      </c>
      <c r="BT274" s="63">
        <v>0</v>
      </c>
      <c r="BU274" s="63">
        <v>254080</v>
      </c>
      <c r="BV274" s="63">
        <v>273182</v>
      </c>
      <c r="BW274" s="63">
        <v>68295</v>
      </c>
      <c r="BX274" s="63">
        <v>0</v>
      </c>
      <c r="BY274" s="63">
        <v>341477</v>
      </c>
      <c r="BZ274" s="63">
        <v>81</v>
      </c>
      <c r="CA274" s="63">
        <v>20</v>
      </c>
      <c r="CB274" s="63">
        <v>0</v>
      </c>
      <c r="CC274" s="63">
        <v>101</v>
      </c>
      <c r="CD274" s="63">
        <v>40578</v>
      </c>
      <c r="CE274" s="63">
        <v>10145</v>
      </c>
      <c r="CF274" s="63">
        <v>0</v>
      </c>
      <c r="CG274" s="63">
        <v>50723</v>
      </c>
      <c r="CH274" s="63">
        <v>14202</v>
      </c>
      <c r="CI274" s="63">
        <v>3551</v>
      </c>
      <c r="CJ274" s="63">
        <v>0</v>
      </c>
      <c r="CK274" s="63">
        <v>17753</v>
      </c>
      <c r="CL274" s="63">
        <v>406</v>
      </c>
      <c r="CM274" s="63">
        <v>101</v>
      </c>
      <c r="CN274" s="63">
        <v>0</v>
      </c>
      <c r="CO274" s="63">
        <v>507</v>
      </c>
      <c r="CP274" s="63">
        <v>531713</v>
      </c>
      <c r="CQ274" s="63">
        <v>132928</v>
      </c>
      <c r="CR274" s="63">
        <v>0</v>
      </c>
      <c r="CS274" s="63">
        <v>664641</v>
      </c>
      <c r="CU274" s="141" t="s">
        <v>385</v>
      </c>
      <c r="CV274" s="157" t="s">
        <v>978</v>
      </c>
      <c r="CW274" s="156" t="s">
        <v>928</v>
      </c>
      <c r="CX274" s="345"/>
      <c r="CY274" s="345"/>
      <c r="CZ274" s="345"/>
    </row>
    <row r="275" spans="1:104" ht="12.75" x14ac:dyDescent="0.2">
      <c r="A275" s="90">
        <v>268</v>
      </c>
      <c r="B275" s="129" t="s">
        <v>388</v>
      </c>
      <c r="C275" s="130" t="s">
        <v>747</v>
      </c>
      <c r="D275" s="131" t="s">
        <v>748</v>
      </c>
      <c r="E275" s="132" t="s">
        <v>387</v>
      </c>
      <c r="F275" s="63">
        <v>52417128</v>
      </c>
      <c r="G275" s="63">
        <v>0</v>
      </c>
      <c r="H275" s="63">
        <v>0</v>
      </c>
      <c r="I275" s="63">
        <v>200296</v>
      </c>
      <c r="J275" s="63">
        <v>0</v>
      </c>
      <c r="K275" s="63">
        <v>200296</v>
      </c>
      <c r="L275" s="63">
        <v>0</v>
      </c>
      <c r="M275" s="63">
        <v>0</v>
      </c>
      <c r="N275" s="63">
        <v>0</v>
      </c>
      <c r="O275" s="63">
        <v>0</v>
      </c>
      <c r="P275" s="63">
        <v>0</v>
      </c>
      <c r="Q275" s="63">
        <v>52216832</v>
      </c>
      <c r="R275" s="474">
        <v>0.5</v>
      </c>
      <c r="S275" s="474">
        <v>0.3</v>
      </c>
      <c r="T275" s="474">
        <v>0.2</v>
      </c>
      <c r="U275" s="474">
        <v>0</v>
      </c>
      <c r="V275" s="474">
        <v>1</v>
      </c>
      <c r="W275" s="63">
        <v>26108416</v>
      </c>
      <c r="X275" s="63">
        <v>15665050</v>
      </c>
      <c r="Y275" s="63">
        <v>10443366</v>
      </c>
      <c r="Z275" s="63">
        <v>0</v>
      </c>
      <c r="AA275" s="63">
        <v>52216832</v>
      </c>
      <c r="AB275" s="63">
        <v>0</v>
      </c>
      <c r="AC275" s="63">
        <v>0</v>
      </c>
      <c r="AD275" s="63">
        <v>0</v>
      </c>
      <c r="AE275" s="63">
        <v>0</v>
      </c>
      <c r="AF275" s="63">
        <v>0</v>
      </c>
      <c r="AG275" s="63">
        <v>0</v>
      </c>
      <c r="AH275" s="63">
        <v>0</v>
      </c>
      <c r="AI275" s="63">
        <v>0</v>
      </c>
      <c r="AJ275" s="63">
        <v>0</v>
      </c>
      <c r="AK275" s="63">
        <v>0</v>
      </c>
      <c r="AL275" s="63">
        <v>26108416</v>
      </c>
      <c r="AM275" s="63">
        <v>15665050</v>
      </c>
      <c r="AN275" s="63">
        <v>10443366</v>
      </c>
      <c r="AO275" s="63">
        <v>0</v>
      </c>
      <c r="AP275" s="63">
        <v>52216832</v>
      </c>
      <c r="AQ275" s="63">
        <v>200296</v>
      </c>
      <c r="AR275" s="63">
        <v>200296</v>
      </c>
      <c r="AS275" s="63">
        <v>0</v>
      </c>
      <c r="AT275" s="63">
        <v>0</v>
      </c>
      <c r="AU275" s="63">
        <v>0</v>
      </c>
      <c r="AV275" s="63">
        <v>0</v>
      </c>
      <c r="AW275" s="63">
        <v>0</v>
      </c>
      <c r="AX275" s="63">
        <v>0</v>
      </c>
      <c r="AY275" s="63">
        <v>0</v>
      </c>
      <c r="AZ275" s="63">
        <v>0</v>
      </c>
      <c r="BA275" s="63">
        <v>0</v>
      </c>
      <c r="BB275" s="63">
        <v>0</v>
      </c>
      <c r="BC275" s="63">
        <v>0</v>
      </c>
      <c r="BD275" s="63">
        <v>0</v>
      </c>
      <c r="BE275" s="63">
        <v>0</v>
      </c>
      <c r="BF275" s="63">
        <v>0</v>
      </c>
      <c r="BG275" s="63">
        <v>0</v>
      </c>
      <c r="BH275" s="63">
        <v>361554</v>
      </c>
      <c r="BI275" s="63">
        <v>216932</v>
      </c>
      <c r="BJ275" s="63">
        <v>144622</v>
      </c>
      <c r="BK275" s="63">
        <v>0</v>
      </c>
      <c r="BL275" s="63">
        <v>723108</v>
      </c>
      <c r="BM275" s="63">
        <v>26469970</v>
      </c>
      <c r="BN275" s="63">
        <v>16082278</v>
      </c>
      <c r="BO275" s="63">
        <v>10587988</v>
      </c>
      <c r="BP275" s="63">
        <v>0</v>
      </c>
      <c r="BQ275" s="63">
        <v>53140236</v>
      </c>
      <c r="BR275" s="63">
        <v>226561</v>
      </c>
      <c r="BS275" s="63">
        <v>151040</v>
      </c>
      <c r="BT275" s="63">
        <v>0</v>
      </c>
      <c r="BU275" s="63">
        <v>377601</v>
      </c>
      <c r="BV275" s="63">
        <v>425749</v>
      </c>
      <c r="BW275" s="63">
        <v>283833</v>
      </c>
      <c r="BX275" s="63">
        <v>0</v>
      </c>
      <c r="BY275" s="63">
        <v>709582</v>
      </c>
      <c r="BZ275" s="63">
        <v>457</v>
      </c>
      <c r="CA275" s="63">
        <v>304</v>
      </c>
      <c r="CB275" s="63">
        <v>0</v>
      </c>
      <c r="CC275" s="63">
        <v>761</v>
      </c>
      <c r="CD275" s="63">
        <v>25869</v>
      </c>
      <c r="CE275" s="63">
        <v>17246</v>
      </c>
      <c r="CF275" s="63">
        <v>0</v>
      </c>
      <c r="CG275" s="63">
        <v>43115</v>
      </c>
      <c r="CH275" s="63">
        <v>608</v>
      </c>
      <c r="CI275" s="63">
        <v>406</v>
      </c>
      <c r="CJ275" s="63">
        <v>0</v>
      </c>
      <c r="CK275" s="63">
        <v>1014</v>
      </c>
      <c r="CL275" s="63">
        <v>1217</v>
      </c>
      <c r="CM275" s="63">
        <v>812</v>
      </c>
      <c r="CN275" s="63">
        <v>0</v>
      </c>
      <c r="CO275" s="63">
        <v>2029</v>
      </c>
      <c r="CP275" s="63">
        <v>680461</v>
      </c>
      <c r="CQ275" s="63">
        <v>453641</v>
      </c>
      <c r="CR275" s="63">
        <v>0</v>
      </c>
      <c r="CS275" s="63">
        <v>1134102</v>
      </c>
      <c r="CU275" s="141" t="s">
        <v>387</v>
      </c>
      <c r="CV275" s="157" t="s">
        <v>939</v>
      </c>
      <c r="CW275" s="157" t="s">
        <v>940</v>
      </c>
      <c r="CX275" s="345"/>
      <c r="CY275" s="345"/>
      <c r="CZ275" s="345"/>
    </row>
    <row r="276" spans="1:104" ht="12.75" x14ac:dyDescent="0.2">
      <c r="A276" s="90">
        <v>269</v>
      </c>
      <c r="B276" s="129" t="s">
        <v>390</v>
      </c>
      <c r="C276" s="130" t="s">
        <v>742</v>
      </c>
      <c r="D276" s="131" t="s">
        <v>743</v>
      </c>
      <c r="E276" s="132" t="s">
        <v>389</v>
      </c>
      <c r="F276" s="63">
        <v>45160135</v>
      </c>
      <c r="G276" s="63">
        <v>0</v>
      </c>
      <c r="H276" s="63">
        <v>0</v>
      </c>
      <c r="I276" s="63">
        <v>183983</v>
      </c>
      <c r="J276" s="63">
        <v>0</v>
      </c>
      <c r="K276" s="63">
        <v>183983</v>
      </c>
      <c r="L276" s="63">
        <v>0</v>
      </c>
      <c r="M276" s="63">
        <v>0</v>
      </c>
      <c r="N276" s="63">
        <v>876513</v>
      </c>
      <c r="O276" s="63">
        <v>81313</v>
      </c>
      <c r="P276" s="63">
        <v>795200</v>
      </c>
      <c r="Q276" s="63">
        <v>44099639</v>
      </c>
      <c r="R276" s="474">
        <v>0.5</v>
      </c>
      <c r="S276" s="474">
        <v>0.4</v>
      </c>
      <c r="T276" s="474">
        <v>0.09</v>
      </c>
      <c r="U276" s="474">
        <v>0.01</v>
      </c>
      <c r="V276" s="474">
        <v>1</v>
      </c>
      <c r="W276" s="63">
        <v>22049819</v>
      </c>
      <c r="X276" s="63">
        <v>17639856</v>
      </c>
      <c r="Y276" s="63">
        <v>3968968</v>
      </c>
      <c r="Z276" s="63">
        <v>440996</v>
      </c>
      <c r="AA276" s="63">
        <v>44099639</v>
      </c>
      <c r="AB276" s="63">
        <v>0</v>
      </c>
      <c r="AC276" s="63">
        <v>0</v>
      </c>
      <c r="AD276" s="63">
        <v>0</v>
      </c>
      <c r="AE276" s="63">
        <v>0</v>
      </c>
      <c r="AF276" s="63">
        <v>0</v>
      </c>
      <c r="AG276" s="63">
        <v>0</v>
      </c>
      <c r="AH276" s="63">
        <v>0</v>
      </c>
      <c r="AI276" s="63">
        <v>0</v>
      </c>
      <c r="AJ276" s="63">
        <v>0</v>
      </c>
      <c r="AK276" s="63">
        <v>0</v>
      </c>
      <c r="AL276" s="63">
        <v>22049819</v>
      </c>
      <c r="AM276" s="63">
        <v>17639856</v>
      </c>
      <c r="AN276" s="63">
        <v>3968968</v>
      </c>
      <c r="AO276" s="63">
        <v>440996</v>
      </c>
      <c r="AP276" s="63">
        <v>44099639</v>
      </c>
      <c r="AQ276" s="63">
        <v>183983</v>
      </c>
      <c r="AR276" s="63">
        <v>183983</v>
      </c>
      <c r="AS276" s="63">
        <v>0</v>
      </c>
      <c r="AT276" s="63">
        <v>0</v>
      </c>
      <c r="AU276" s="63">
        <v>81313</v>
      </c>
      <c r="AV276" s="63">
        <v>795200</v>
      </c>
      <c r="AW276" s="63">
        <v>876513</v>
      </c>
      <c r="AX276" s="63">
        <v>0</v>
      </c>
      <c r="AY276" s="63">
        <v>0</v>
      </c>
      <c r="AZ276" s="63">
        <v>0</v>
      </c>
      <c r="BA276" s="63">
        <v>0</v>
      </c>
      <c r="BB276" s="63">
        <v>0</v>
      </c>
      <c r="BC276" s="63">
        <v>0</v>
      </c>
      <c r="BD276" s="63">
        <v>0</v>
      </c>
      <c r="BE276" s="63">
        <v>0</v>
      </c>
      <c r="BF276" s="63">
        <v>0</v>
      </c>
      <c r="BG276" s="63">
        <v>0</v>
      </c>
      <c r="BH276" s="63">
        <v>-1684463</v>
      </c>
      <c r="BI276" s="63">
        <v>-1347570</v>
      </c>
      <c r="BJ276" s="63">
        <v>-303203</v>
      </c>
      <c r="BK276" s="63">
        <v>-33689</v>
      </c>
      <c r="BL276" s="63">
        <v>-3368925</v>
      </c>
      <c r="BM276" s="63">
        <v>20365356</v>
      </c>
      <c r="BN276" s="63">
        <v>16557582</v>
      </c>
      <c r="BO276" s="63">
        <v>4460965</v>
      </c>
      <c r="BP276" s="63">
        <v>407307</v>
      </c>
      <c r="BQ276" s="63">
        <v>41791210</v>
      </c>
      <c r="BR276" s="63">
        <v>256298</v>
      </c>
      <c r="BS276" s="63">
        <v>68903</v>
      </c>
      <c r="BT276" s="63">
        <v>6378</v>
      </c>
      <c r="BU276" s="63">
        <v>331579</v>
      </c>
      <c r="BV276" s="63">
        <v>697539</v>
      </c>
      <c r="BW276" s="63">
        <v>156946</v>
      </c>
      <c r="BX276" s="63">
        <v>17438</v>
      </c>
      <c r="BY276" s="63">
        <v>871923</v>
      </c>
      <c r="BZ276" s="63">
        <v>1605</v>
      </c>
      <c r="CA276" s="63">
        <v>361</v>
      </c>
      <c r="CB276" s="63">
        <v>40</v>
      </c>
      <c r="CC276" s="63">
        <v>2006</v>
      </c>
      <c r="CD276" s="63">
        <v>57921</v>
      </c>
      <c r="CE276" s="63">
        <v>13032</v>
      </c>
      <c r="CF276" s="63">
        <v>1448</v>
      </c>
      <c r="CG276" s="63">
        <v>72401</v>
      </c>
      <c r="CH276" s="63">
        <v>5318</v>
      </c>
      <c r="CI276" s="63">
        <v>1196</v>
      </c>
      <c r="CJ276" s="63">
        <v>133</v>
      </c>
      <c r="CK276" s="63">
        <v>6647</v>
      </c>
      <c r="CL276" s="63">
        <v>4570</v>
      </c>
      <c r="CM276" s="63">
        <v>1028</v>
      </c>
      <c r="CN276" s="63">
        <v>114</v>
      </c>
      <c r="CO276" s="63">
        <v>5712</v>
      </c>
      <c r="CP276" s="63">
        <v>1023251</v>
      </c>
      <c r="CQ276" s="63">
        <v>241466</v>
      </c>
      <c r="CR276" s="63">
        <v>25551</v>
      </c>
      <c r="CS276" s="63">
        <v>1290268</v>
      </c>
      <c r="CU276" s="141" t="s">
        <v>389</v>
      </c>
      <c r="CV276" s="157" t="s">
        <v>934</v>
      </c>
      <c r="CW276" s="156" t="s">
        <v>935</v>
      </c>
      <c r="CX276" s="345"/>
      <c r="CY276" s="345"/>
      <c r="CZ276" s="345"/>
    </row>
    <row r="277" spans="1:104" ht="12.75" x14ac:dyDescent="0.2">
      <c r="A277" s="90">
        <v>270</v>
      </c>
      <c r="B277" s="129" t="s">
        <v>391</v>
      </c>
      <c r="C277" s="130" t="s">
        <v>501</v>
      </c>
      <c r="D277" s="131" t="s">
        <v>751</v>
      </c>
      <c r="E277" s="132" t="s">
        <v>551</v>
      </c>
      <c r="F277" s="63">
        <v>108053909</v>
      </c>
      <c r="G277" s="63">
        <v>0</v>
      </c>
      <c r="H277" s="63">
        <v>0</v>
      </c>
      <c r="I277" s="63">
        <v>276655</v>
      </c>
      <c r="J277" s="63">
        <v>0</v>
      </c>
      <c r="K277" s="63">
        <v>276655</v>
      </c>
      <c r="L277" s="63">
        <v>0</v>
      </c>
      <c r="M277" s="63">
        <v>0</v>
      </c>
      <c r="N277" s="63">
        <v>560476</v>
      </c>
      <c r="O277" s="63">
        <v>560476</v>
      </c>
      <c r="P277" s="63">
        <v>0</v>
      </c>
      <c r="Q277" s="63">
        <v>107216778</v>
      </c>
      <c r="R277" s="474">
        <v>0.5</v>
      </c>
      <c r="S277" s="474">
        <v>0.49</v>
      </c>
      <c r="T277" s="474">
        <v>0</v>
      </c>
      <c r="U277" s="474">
        <v>0.01</v>
      </c>
      <c r="V277" s="474">
        <v>1</v>
      </c>
      <c r="W277" s="63">
        <v>53608389</v>
      </c>
      <c r="X277" s="63">
        <v>52536221</v>
      </c>
      <c r="Y277" s="63">
        <v>0</v>
      </c>
      <c r="Z277" s="63">
        <v>1072168</v>
      </c>
      <c r="AA277" s="63">
        <v>107216778</v>
      </c>
      <c r="AB277" s="63">
        <v>0</v>
      </c>
      <c r="AC277" s="63">
        <v>0</v>
      </c>
      <c r="AD277" s="63">
        <v>0</v>
      </c>
      <c r="AE277" s="63">
        <v>0</v>
      </c>
      <c r="AF277" s="63">
        <v>0</v>
      </c>
      <c r="AG277" s="63">
        <v>0</v>
      </c>
      <c r="AH277" s="63">
        <v>0</v>
      </c>
      <c r="AI277" s="63">
        <v>0</v>
      </c>
      <c r="AJ277" s="63">
        <v>0</v>
      </c>
      <c r="AK277" s="63">
        <v>0</v>
      </c>
      <c r="AL277" s="63">
        <v>53608389</v>
      </c>
      <c r="AM277" s="63">
        <v>52536221</v>
      </c>
      <c r="AN277" s="63">
        <v>0</v>
      </c>
      <c r="AO277" s="63">
        <v>1072168</v>
      </c>
      <c r="AP277" s="63">
        <v>107216778</v>
      </c>
      <c r="AQ277" s="63">
        <v>276655</v>
      </c>
      <c r="AR277" s="63">
        <v>276655</v>
      </c>
      <c r="AS277" s="63">
        <v>0</v>
      </c>
      <c r="AT277" s="63">
        <v>0</v>
      </c>
      <c r="AU277" s="63">
        <v>560476</v>
      </c>
      <c r="AV277" s="63">
        <v>0</v>
      </c>
      <c r="AW277" s="63">
        <v>560476</v>
      </c>
      <c r="AX277" s="63">
        <v>0</v>
      </c>
      <c r="AY277" s="63">
        <v>0</v>
      </c>
      <c r="AZ277" s="63">
        <v>0</v>
      </c>
      <c r="BA277" s="63">
        <v>0</v>
      </c>
      <c r="BB277" s="63">
        <v>0</v>
      </c>
      <c r="BC277" s="63">
        <v>0</v>
      </c>
      <c r="BD277" s="63">
        <v>0</v>
      </c>
      <c r="BE277" s="63">
        <v>0</v>
      </c>
      <c r="BF277" s="63">
        <v>0</v>
      </c>
      <c r="BG277" s="63">
        <v>0</v>
      </c>
      <c r="BH277" s="63">
        <v>-259926</v>
      </c>
      <c r="BI277" s="63">
        <v>-254728</v>
      </c>
      <c r="BJ277" s="63">
        <v>0</v>
      </c>
      <c r="BK277" s="63">
        <v>-5199</v>
      </c>
      <c r="BL277" s="63">
        <v>-519853</v>
      </c>
      <c r="BM277" s="63">
        <v>53348463</v>
      </c>
      <c r="BN277" s="63">
        <v>53118624</v>
      </c>
      <c r="BO277" s="63">
        <v>0</v>
      </c>
      <c r="BP277" s="63">
        <v>1066969</v>
      </c>
      <c r="BQ277" s="63">
        <v>107534056</v>
      </c>
      <c r="BR277" s="63">
        <v>767927</v>
      </c>
      <c r="BS277" s="63">
        <v>0</v>
      </c>
      <c r="BT277" s="63">
        <v>15507</v>
      </c>
      <c r="BU277" s="63">
        <v>783434</v>
      </c>
      <c r="BV277" s="63">
        <v>709624</v>
      </c>
      <c r="BW277" s="63">
        <v>0</v>
      </c>
      <c r="BX277" s="63">
        <v>14482</v>
      </c>
      <c r="BY277" s="63">
        <v>724106</v>
      </c>
      <c r="BZ277" s="63">
        <v>2091</v>
      </c>
      <c r="CA277" s="63">
        <v>0</v>
      </c>
      <c r="CB277" s="63">
        <v>43</v>
      </c>
      <c r="CC277" s="63">
        <v>2134</v>
      </c>
      <c r="CD277" s="63">
        <v>0</v>
      </c>
      <c r="CE277" s="63">
        <v>0</v>
      </c>
      <c r="CF277" s="63">
        <v>0</v>
      </c>
      <c r="CG277" s="63">
        <v>0</v>
      </c>
      <c r="CH277" s="63">
        <v>1534</v>
      </c>
      <c r="CI277" s="63">
        <v>0</v>
      </c>
      <c r="CJ277" s="63">
        <v>31</v>
      </c>
      <c r="CK277" s="63">
        <v>1565</v>
      </c>
      <c r="CL277" s="63">
        <v>0</v>
      </c>
      <c r="CM277" s="63">
        <v>0</v>
      </c>
      <c r="CN277" s="63">
        <v>0</v>
      </c>
      <c r="CO277" s="63">
        <v>0</v>
      </c>
      <c r="CP277" s="63">
        <v>1481176</v>
      </c>
      <c r="CQ277" s="63">
        <v>0</v>
      </c>
      <c r="CR277" s="63">
        <v>30063</v>
      </c>
      <c r="CS277" s="63">
        <v>1511239</v>
      </c>
      <c r="CU277" s="141" t="s">
        <v>551</v>
      </c>
      <c r="CV277" s="157" t="s">
        <v>501</v>
      </c>
      <c r="CW277" s="156" t="s">
        <v>985</v>
      </c>
      <c r="CX277" s="345"/>
      <c r="CY277" s="345"/>
      <c r="CZ277" s="345"/>
    </row>
    <row r="278" spans="1:104" ht="12.75" x14ac:dyDescent="0.2">
      <c r="A278" s="90">
        <v>271</v>
      </c>
      <c r="B278" s="129" t="s">
        <v>393</v>
      </c>
      <c r="C278" s="130" t="s">
        <v>749</v>
      </c>
      <c r="D278" s="131" t="s">
        <v>744</v>
      </c>
      <c r="E278" s="132" t="s">
        <v>392</v>
      </c>
      <c r="F278" s="63">
        <v>58868752</v>
      </c>
      <c r="G278" s="63">
        <v>0</v>
      </c>
      <c r="H278" s="63">
        <v>0</v>
      </c>
      <c r="I278" s="63">
        <v>300706</v>
      </c>
      <c r="J278" s="63">
        <v>0</v>
      </c>
      <c r="K278" s="63">
        <v>300706</v>
      </c>
      <c r="L278" s="63">
        <v>0</v>
      </c>
      <c r="M278" s="63">
        <v>0</v>
      </c>
      <c r="N278" s="63">
        <v>0</v>
      </c>
      <c r="O278" s="63">
        <v>0</v>
      </c>
      <c r="P278" s="63">
        <v>0</v>
      </c>
      <c r="Q278" s="63">
        <v>58568046</v>
      </c>
      <c r="R278" s="474">
        <v>0.5</v>
      </c>
      <c r="S278" s="474">
        <v>0.49</v>
      </c>
      <c r="T278" s="474">
        <v>0</v>
      </c>
      <c r="U278" s="474">
        <v>0.01</v>
      </c>
      <c r="V278" s="474">
        <v>1</v>
      </c>
      <c r="W278" s="63">
        <v>29284023</v>
      </c>
      <c r="X278" s="63">
        <v>28698343</v>
      </c>
      <c r="Y278" s="63">
        <v>0</v>
      </c>
      <c r="Z278" s="63">
        <v>585680</v>
      </c>
      <c r="AA278" s="63">
        <v>58568046</v>
      </c>
      <c r="AB278" s="63">
        <v>0</v>
      </c>
      <c r="AC278" s="63">
        <v>0</v>
      </c>
      <c r="AD278" s="63">
        <v>0</v>
      </c>
      <c r="AE278" s="63">
        <v>0</v>
      </c>
      <c r="AF278" s="63">
        <v>0</v>
      </c>
      <c r="AG278" s="63">
        <v>0</v>
      </c>
      <c r="AH278" s="63">
        <v>0</v>
      </c>
      <c r="AI278" s="63">
        <v>0</v>
      </c>
      <c r="AJ278" s="63">
        <v>0</v>
      </c>
      <c r="AK278" s="63">
        <v>0</v>
      </c>
      <c r="AL278" s="63">
        <v>29284023</v>
      </c>
      <c r="AM278" s="63">
        <v>28698343</v>
      </c>
      <c r="AN278" s="63">
        <v>0</v>
      </c>
      <c r="AO278" s="63">
        <v>585680</v>
      </c>
      <c r="AP278" s="63">
        <v>58568046</v>
      </c>
      <c r="AQ278" s="63">
        <v>300706</v>
      </c>
      <c r="AR278" s="63">
        <v>300706</v>
      </c>
      <c r="AS278" s="63">
        <v>0</v>
      </c>
      <c r="AT278" s="63">
        <v>0</v>
      </c>
      <c r="AU278" s="63">
        <v>0</v>
      </c>
      <c r="AV278" s="63">
        <v>0</v>
      </c>
      <c r="AW278" s="63">
        <v>0</v>
      </c>
      <c r="AX278" s="63">
        <v>0</v>
      </c>
      <c r="AY278" s="63">
        <v>0</v>
      </c>
      <c r="AZ278" s="63">
        <v>0</v>
      </c>
      <c r="BA278" s="63">
        <v>0</v>
      </c>
      <c r="BB278" s="63">
        <v>0</v>
      </c>
      <c r="BC278" s="63">
        <v>0</v>
      </c>
      <c r="BD278" s="63">
        <v>0</v>
      </c>
      <c r="BE278" s="63">
        <v>0</v>
      </c>
      <c r="BF278" s="63">
        <v>0</v>
      </c>
      <c r="BG278" s="63">
        <v>0</v>
      </c>
      <c r="BH278" s="63">
        <v>516710</v>
      </c>
      <c r="BI278" s="63">
        <v>506376</v>
      </c>
      <c r="BJ278" s="63">
        <v>0</v>
      </c>
      <c r="BK278" s="63">
        <v>10334</v>
      </c>
      <c r="BL278" s="63">
        <v>1033420</v>
      </c>
      <c r="BM278" s="63">
        <v>29800733</v>
      </c>
      <c r="BN278" s="63">
        <v>29505425</v>
      </c>
      <c r="BO278" s="63">
        <v>0</v>
      </c>
      <c r="BP278" s="63">
        <v>596014</v>
      </c>
      <c r="BQ278" s="63">
        <v>59902172</v>
      </c>
      <c r="BR278" s="63">
        <v>415059</v>
      </c>
      <c r="BS278" s="63">
        <v>0</v>
      </c>
      <c r="BT278" s="63">
        <v>8471</v>
      </c>
      <c r="BU278" s="63">
        <v>423530</v>
      </c>
      <c r="BV278" s="63">
        <v>1507093</v>
      </c>
      <c r="BW278" s="63">
        <v>0</v>
      </c>
      <c r="BX278" s="63">
        <v>30757</v>
      </c>
      <c r="BY278" s="63">
        <v>1537850</v>
      </c>
      <c r="BZ278" s="63">
        <v>5468</v>
      </c>
      <c r="CA278" s="63">
        <v>0</v>
      </c>
      <c r="CB278" s="63">
        <v>112</v>
      </c>
      <c r="CC278" s="63">
        <v>5580</v>
      </c>
      <c r="CD278" s="63">
        <v>0</v>
      </c>
      <c r="CE278" s="63">
        <v>0</v>
      </c>
      <c r="CF278" s="63">
        <v>0</v>
      </c>
      <c r="CG278" s="63">
        <v>0</v>
      </c>
      <c r="CH278" s="63">
        <v>23717</v>
      </c>
      <c r="CI278" s="63">
        <v>0</v>
      </c>
      <c r="CJ278" s="63">
        <v>484</v>
      </c>
      <c r="CK278" s="63">
        <v>24201</v>
      </c>
      <c r="CL278" s="63">
        <v>8948</v>
      </c>
      <c r="CM278" s="63">
        <v>0</v>
      </c>
      <c r="CN278" s="63">
        <v>183</v>
      </c>
      <c r="CO278" s="63">
        <v>9131</v>
      </c>
      <c r="CP278" s="63">
        <v>1960285</v>
      </c>
      <c r="CQ278" s="63">
        <v>0</v>
      </c>
      <c r="CR278" s="63">
        <v>40007</v>
      </c>
      <c r="CS278" s="63">
        <v>2000292</v>
      </c>
      <c r="CU278" s="141" t="s">
        <v>392</v>
      </c>
      <c r="CV278" s="157" t="s">
        <v>941</v>
      </c>
      <c r="CW278" s="156" t="s">
        <v>953</v>
      </c>
      <c r="CX278" s="345"/>
      <c r="CY278" s="345"/>
      <c r="CZ278" s="345"/>
    </row>
    <row r="279" spans="1:104" ht="12.75" x14ac:dyDescent="0.2">
      <c r="A279" s="90">
        <v>272</v>
      </c>
      <c r="B279" s="129" t="s">
        <v>395</v>
      </c>
      <c r="C279" s="130" t="s">
        <v>742</v>
      </c>
      <c r="D279" s="131" t="s">
        <v>752</v>
      </c>
      <c r="E279" s="132" t="s">
        <v>394</v>
      </c>
      <c r="F279" s="63">
        <v>33247377</v>
      </c>
      <c r="G279" s="63">
        <v>0</v>
      </c>
      <c r="H279" s="63">
        <v>0</v>
      </c>
      <c r="I279" s="63">
        <v>91702</v>
      </c>
      <c r="J279" s="63">
        <v>0</v>
      </c>
      <c r="K279" s="63">
        <v>91702</v>
      </c>
      <c r="L279" s="63">
        <v>0</v>
      </c>
      <c r="M279" s="63">
        <v>0</v>
      </c>
      <c r="N279" s="63">
        <v>0</v>
      </c>
      <c r="O279" s="63">
        <v>0</v>
      </c>
      <c r="P279" s="63">
        <v>0</v>
      </c>
      <c r="Q279" s="63">
        <v>33155675</v>
      </c>
      <c r="R279" s="474">
        <v>0.5</v>
      </c>
      <c r="S279" s="474">
        <v>0.4</v>
      </c>
      <c r="T279" s="474">
        <v>0.09</v>
      </c>
      <c r="U279" s="474">
        <v>0.01</v>
      </c>
      <c r="V279" s="474">
        <v>1</v>
      </c>
      <c r="W279" s="63">
        <v>16577837</v>
      </c>
      <c r="X279" s="63">
        <v>13262270</v>
      </c>
      <c r="Y279" s="63">
        <v>2984011</v>
      </c>
      <c r="Z279" s="63">
        <v>331557</v>
      </c>
      <c r="AA279" s="63">
        <v>33155675</v>
      </c>
      <c r="AB279" s="63">
        <v>0</v>
      </c>
      <c r="AC279" s="63">
        <v>0</v>
      </c>
      <c r="AD279" s="63">
        <v>0</v>
      </c>
      <c r="AE279" s="63">
        <v>0</v>
      </c>
      <c r="AF279" s="63">
        <v>0</v>
      </c>
      <c r="AG279" s="63">
        <v>0</v>
      </c>
      <c r="AH279" s="63">
        <v>0</v>
      </c>
      <c r="AI279" s="63">
        <v>0</v>
      </c>
      <c r="AJ279" s="63">
        <v>0</v>
      </c>
      <c r="AK279" s="63">
        <v>0</v>
      </c>
      <c r="AL279" s="63">
        <v>16577837</v>
      </c>
      <c r="AM279" s="63">
        <v>13262270</v>
      </c>
      <c r="AN279" s="63">
        <v>2984011</v>
      </c>
      <c r="AO279" s="63">
        <v>331557</v>
      </c>
      <c r="AP279" s="63">
        <v>33155675</v>
      </c>
      <c r="AQ279" s="63">
        <v>91702</v>
      </c>
      <c r="AR279" s="63">
        <v>91702</v>
      </c>
      <c r="AS279" s="63">
        <v>0</v>
      </c>
      <c r="AT279" s="63">
        <v>0</v>
      </c>
      <c r="AU279" s="63">
        <v>0</v>
      </c>
      <c r="AV279" s="63">
        <v>0</v>
      </c>
      <c r="AW279" s="63">
        <v>0</v>
      </c>
      <c r="AX279" s="63">
        <v>0</v>
      </c>
      <c r="AY279" s="63">
        <v>0</v>
      </c>
      <c r="AZ279" s="63">
        <v>0</v>
      </c>
      <c r="BA279" s="63">
        <v>0</v>
      </c>
      <c r="BB279" s="63">
        <v>0</v>
      </c>
      <c r="BC279" s="63">
        <v>0</v>
      </c>
      <c r="BD279" s="63">
        <v>0</v>
      </c>
      <c r="BE279" s="63">
        <v>0</v>
      </c>
      <c r="BF279" s="63">
        <v>0</v>
      </c>
      <c r="BG279" s="63">
        <v>0</v>
      </c>
      <c r="BH279" s="63">
        <v>-700030</v>
      </c>
      <c r="BI279" s="63">
        <v>-560025</v>
      </c>
      <c r="BJ279" s="63">
        <v>-126006</v>
      </c>
      <c r="BK279" s="63">
        <v>-14001</v>
      </c>
      <c r="BL279" s="63">
        <v>-1400062</v>
      </c>
      <c r="BM279" s="63">
        <v>15877807</v>
      </c>
      <c r="BN279" s="63">
        <v>12793947</v>
      </c>
      <c r="BO279" s="63">
        <v>2858005</v>
      </c>
      <c r="BP279" s="63">
        <v>317556</v>
      </c>
      <c r="BQ279" s="63">
        <v>31847315</v>
      </c>
      <c r="BR279" s="63">
        <v>191810</v>
      </c>
      <c r="BS279" s="63">
        <v>43157</v>
      </c>
      <c r="BT279" s="63">
        <v>4795</v>
      </c>
      <c r="BU279" s="63">
        <v>239762</v>
      </c>
      <c r="BV279" s="63">
        <v>244638</v>
      </c>
      <c r="BW279" s="63">
        <v>55044</v>
      </c>
      <c r="BX279" s="63">
        <v>6116</v>
      </c>
      <c r="BY279" s="63">
        <v>305798</v>
      </c>
      <c r="BZ279" s="63">
        <v>0</v>
      </c>
      <c r="CA279" s="63">
        <v>0</v>
      </c>
      <c r="CB279" s="63">
        <v>0</v>
      </c>
      <c r="CC279" s="63">
        <v>0</v>
      </c>
      <c r="CD279" s="63">
        <v>0</v>
      </c>
      <c r="CE279" s="63">
        <v>0</v>
      </c>
      <c r="CF279" s="63">
        <v>0</v>
      </c>
      <c r="CG279" s="63">
        <v>0</v>
      </c>
      <c r="CH279" s="63">
        <v>24966</v>
      </c>
      <c r="CI279" s="63">
        <v>5618</v>
      </c>
      <c r="CJ279" s="63">
        <v>624</v>
      </c>
      <c r="CK279" s="63">
        <v>31208</v>
      </c>
      <c r="CL279" s="63">
        <v>0</v>
      </c>
      <c r="CM279" s="63">
        <v>0</v>
      </c>
      <c r="CN279" s="63">
        <v>0</v>
      </c>
      <c r="CO279" s="63">
        <v>0</v>
      </c>
      <c r="CP279" s="63">
        <v>461414</v>
      </c>
      <c r="CQ279" s="63">
        <v>103819</v>
      </c>
      <c r="CR279" s="63">
        <v>11535</v>
      </c>
      <c r="CS279" s="63">
        <v>576768</v>
      </c>
      <c r="CU279" s="141" t="s">
        <v>394</v>
      </c>
      <c r="CV279" s="157" t="s">
        <v>964</v>
      </c>
      <c r="CW279" s="156" t="s">
        <v>965</v>
      </c>
      <c r="CX279" s="345"/>
      <c r="CY279" s="345"/>
      <c r="CZ279" s="345"/>
    </row>
    <row r="280" spans="1:104" ht="12.75" x14ac:dyDescent="0.2">
      <c r="A280" s="90">
        <v>273</v>
      </c>
      <c r="B280" s="129" t="s">
        <v>397</v>
      </c>
      <c r="C280" s="130" t="s">
        <v>742</v>
      </c>
      <c r="D280" s="131" t="s">
        <v>743</v>
      </c>
      <c r="E280" s="132" t="s">
        <v>396</v>
      </c>
      <c r="F280" s="63">
        <v>20355650</v>
      </c>
      <c r="G280" s="63">
        <v>0</v>
      </c>
      <c r="H280" s="63">
        <v>0</v>
      </c>
      <c r="I280" s="63">
        <v>125449</v>
      </c>
      <c r="J280" s="63">
        <v>0</v>
      </c>
      <c r="K280" s="63">
        <v>125449</v>
      </c>
      <c r="L280" s="63">
        <v>0</v>
      </c>
      <c r="M280" s="63">
        <v>0</v>
      </c>
      <c r="N280" s="63">
        <v>0</v>
      </c>
      <c r="O280" s="63">
        <v>0</v>
      </c>
      <c r="P280" s="63">
        <v>0</v>
      </c>
      <c r="Q280" s="63">
        <v>20230201</v>
      </c>
      <c r="R280" s="474">
        <v>0.5</v>
      </c>
      <c r="S280" s="474">
        <v>0.4</v>
      </c>
      <c r="T280" s="474">
        <v>0.1</v>
      </c>
      <c r="U280" s="474">
        <v>0</v>
      </c>
      <c r="V280" s="474">
        <v>1</v>
      </c>
      <c r="W280" s="63">
        <v>10115101</v>
      </c>
      <c r="X280" s="63">
        <v>8092080</v>
      </c>
      <c r="Y280" s="63">
        <v>2023020</v>
      </c>
      <c r="Z280" s="63">
        <v>0</v>
      </c>
      <c r="AA280" s="63">
        <v>20230201</v>
      </c>
      <c r="AB280" s="63">
        <v>0</v>
      </c>
      <c r="AC280" s="63">
        <v>0</v>
      </c>
      <c r="AD280" s="63">
        <v>0</v>
      </c>
      <c r="AE280" s="63">
        <v>0</v>
      </c>
      <c r="AF280" s="63">
        <v>0</v>
      </c>
      <c r="AG280" s="63">
        <v>0</v>
      </c>
      <c r="AH280" s="63">
        <v>0</v>
      </c>
      <c r="AI280" s="63">
        <v>0</v>
      </c>
      <c r="AJ280" s="63">
        <v>0</v>
      </c>
      <c r="AK280" s="63">
        <v>0</v>
      </c>
      <c r="AL280" s="63">
        <v>10115101</v>
      </c>
      <c r="AM280" s="63">
        <v>8092080</v>
      </c>
      <c r="AN280" s="63">
        <v>2023020</v>
      </c>
      <c r="AO280" s="63">
        <v>0</v>
      </c>
      <c r="AP280" s="63">
        <v>20230201</v>
      </c>
      <c r="AQ280" s="63">
        <v>125449</v>
      </c>
      <c r="AR280" s="63">
        <v>125449</v>
      </c>
      <c r="AS280" s="63">
        <v>0</v>
      </c>
      <c r="AT280" s="63">
        <v>0</v>
      </c>
      <c r="AU280" s="63">
        <v>0</v>
      </c>
      <c r="AV280" s="63">
        <v>0</v>
      </c>
      <c r="AW280" s="63">
        <v>0</v>
      </c>
      <c r="AX280" s="63">
        <v>0</v>
      </c>
      <c r="AY280" s="63">
        <v>0</v>
      </c>
      <c r="AZ280" s="63">
        <v>0</v>
      </c>
      <c r="BA280" s="63">
        <v>0</v>
      </c>
      <c r="BB280" s="63">
        <v>0</v>
      </c>
      <c r="BC280" s="63">
        <v>0</v>
      </c>
      <c r="BD280" s="63">
        <v>0</v>
      </c>
      <c r="BE280" s="63">
        <v>0</v>
      </c>
      <c r="BF280" s="63">
        <v>0</v>
      </c>
      <c r="BG280" s="63">
        <v>0</v>
      </c>
      <c r="BH280" s="63">
        <v>124494</v>
      </c>
      <c r="BI280" s="63">
        <v>99595</v>
      </c>
      <c r="BJ280" s="63">
        <v>24899</v>
      </c>
      <c r="BK280" s="63">
        <v>0</v>
      </c>
      <c r="BL280" s="63">
        <v>248988</v>
      </c>
      <c r="BM280" s="63">
        <v>10239595</v>
      </c>
      <c r="BN280" s="63">
        <v>8317124</v>
      </c>
      <c r="BO280" s="63">
        <v>2047919</v>
      </c>
      <c r="BP280" s="63">
        <v>0</v>
      </c>
      <c r="BQ280" s="63">
        <v>20604638</v>
      </c>
      <c r="BR280" s="63">
        <v>117034</v>
      </c>
      <c r="BS280" s="63">
        <v>29259</v>
      </c>
      <c r="BT280" s="63">
        <v>0</v>
      </c>
      <c r="BU280" s="63">
        <v>146293</v>
      </c>
      <c r="BV280" s="63">
        <v>427712</v>
      </c>
      <c r="BW280" s="63">
        <v>106928</v>
      </c>
      <c r="BX280" s="63">
        <v>0</v>
      </c>
      <c r="BY280" s="63">
        <v>534640</v>
      </c>
      <c r="BZ280" s="63">
        <v>1164</v>
      </c>
      <c r="CA280" s="63">
        <v>291</v>
      </c>
      <c r="CB280" s="63">
        <v>0</v>
      </c>
      <c r="CC280" s="63">
        <v>1455</v>
      </c>
      <c r="CD280" s="63">
        <v>0</v>
      </c>
      <c r="CE280" s="63">
        <v>0</v>
      </c>
      <c r="CF280" s="63">
        <v>0</v>
      </c>
      <c r="CG280" s="63">
        <v>0</v>
      </c>
      <c r="CH280" s="63">
        <v>0</v>
      </c>
      <c r="CI280" s="63">
        <v>0</v>
      </c>
      <c r="CJ280" s="63">
        <v>0</v>
      </c>
      <c r="CK280" s="63">
        <v>0</v>
      </c>
      <c r="CL280" s="63">
        <v>1623</v>
      </c>
      <c r="CM280" s="63">
        <v>406</v>
      </c>
      <c r="CN280" s="63">
        <v>0</v>
      </c>
      <c r="CO280" s="63">
        <v>2029</v>
      </c>
      <c r="CP280" s="63">
        <v>547533</v>
      </c>
      <c r="CQ280" s="63">
        <v>136884</v>
      </c>
      <c r="CR280" s="63">
        <v>0</v>
      </c>
      <c r="CS280" s="63">
        <v>684417</v>
      </c>
      <c r="CU280" s="141" t="s">
        <v>396</v>
      </c>
      <c r="CV280" s="157" t="s">
        <v>978</v>
      </c>
      <c r="CW280" s="156" t="s">
        <v>928</v>
      </c>
      <c r="CX280" s="345"/>
      <c r="CY280" s="345"/>
      <c r="CZ280" s="345"/>
    </row>
    <row r="281" spans="1:104" ht="12.75" x14ac:dyDescent="0.2">
      <c r="A281" s="90">
        <v>274</v>
      </c>
      <c r="B281" s="129" t="s">
        <v>399</v>
      </c>
      <c r="C281" s="130" t="s">
        <v>742</v>
      </c>
      <c r="D281" s="131" t="s">
        <v>751</v>
      </c>
      <c r="E281" s="132" t="s">
        <v>398</v>
      </c>
      <c r="F281" s="63">
        <v>41190907</v>
      </c>
      <c r="G281" s="63">
        <v>0</v>
      </c>
      <c r="H281" s="63">
        <v>0</v>
      </c>
      <c r="I281" s="63">
        <v>165399</v>
      </c>
      <c r="J281" s="63">
        <v>0</v>
      </c>
      <c r="K281" s="63">
        <v>165399</v>
      </c>
      <c r="L281" s="63">
        <v>0</v>
      </c>
      <c r="M281" s="63">
        <v>0</v>
      </c>
      <c r="N281" s="63">
        <v>197557</v>
      </c>
      <c r="O281" s="63">
        <v>197557</v>
      </c>
      <c r="P281" s="63">
        <v>0</v>
      </c>
      <c r="Q281" s="63">
        <v>40827951</v>
      </c>
      <c r="R281" s="474">
        <v>0.5</v>
      </c>
      <c r="S281" s="474">
        <v>0.4</v>
      </c>
      <c r="T281" s="474">
        <v>0.09</v>
      </c>
      <c r="U281" s="474">
        <v>0.01</v>
      </c>
      <c r="V281" s="474">
        <v>1</v>
      </c>
      <c r="W281" s="63">
        <v>20413975</v>
      </c>
      <c r="X281" s="63">
        <v>16331180</v>
      </c>
      <c r="Y281" s="63">
        <v>3674516</v>
      </c>
      <c r="Z281" s="63">
        <v>408280</v>
      </c>
      <c r="AA281" s="63">
        <v>40827951</v>
      </c>
      <c r="AB281" s="63">
        <v>0</v>
      </c>
      <c r="AC281" s="63">
        <v>0</v>
      </c>
      <c r="AD281" s="63">
        <v>0</v>
      </c>
      <c r="AE281" s="63">
        <v>0</v>
      </c>
      <c r="AF281" s="63">
        <v>0</v>
      </c>
      <c r="AG281" s="63">
        <v>0</v>
      </c>
      <c r="AH281" s="63">
        <v>0</v>
      </c>
      <c r="AI281" s="63">
        <v>0</v>
      </c>
      <c r="AJ281" s="63">
        <v>0</v>
      </c>
      <c r="AK281" s="63">
        <v>0</v>
      </c>
      <c r="AL281" s="63">
        <v>20413975</v>
      </c>
      <c r="AM281" s="63">
        <v>16331180</v>
      </c>
      <c r="AN281" s="63">
        <v>3674516</v>
      </c>
      <c r="AO281" s="63">
        <v>408280</v>
      </c>
      <c r="AP281" s="63">
        <v>40827951</v>
      </c>
      <c r="AQ281" s="63">
        <v>165399</v>
      </c>
      <c r="AR281" s="63">
        <v>165399</v>
      </c>
      <c r="AS281" s="63">
        <v>0</v>
      </c>
      <c r="AT281" s="63">
        <v>0</v>
      </c>
      <c r="AU281" s="63">
        <v>197557</v>
      </c>
      <c r="AV281" s="63">
        <v>0</v>
      </c>
      <c r="AW281" s="63">
        <v>197557</v>
      </c>
      <c r="AX281" s="63">
        <v>0</v>
      </c>
      <c r="AY281" s="63">
        <v>0</v>
      </c>
      <c r="AZ281" s="63">
        <v>0</v>
      </c>
      <c r="BA281" s="63">
        <v>0</v>
      </c>
      <c r="BB281" s="63">
        <v>0</v>
      </c>
      <c r="BC281" s="63">
        <v>0</v>
      </c>
      <c r="BD281" s="63">
        <v>0</v>
      </c>
      <c r="BE281" s="63">
        <v>0</v>
      </c>
      <c r="BF281" s="63">
        <v>0</v>
      </c>
      <c r="BG281" s="63">
        <v>0</v>
      </c>
      <c r="BH281" s="63">
        <v>-239585</v>
      </c>
      <c r="BI281" s="63">
        <v>-191668</v>
      </c>
      <c r="BJ281" s="63">
        <v>-43125</v>
      </c>
      <c r="BK281" s="63">
        <v>-4792</v>
      </c>
      <c r="BL281" s="63">
        <v>-479170</v>
      </c>
      <c r="BM281" s="63">
        <v>20174390</v>
      </c>
      <c r="BN281" s="63">
        <v>16502468</v>
      </c>
      <c r="BO281" s="63">
        <v>3631391</v>
      </c>
      <c r="BP281" s="63">
        <v>403488</v>
      </c>
      <c r="BQ281" s="63">
        <v>40711737</v>
      </c>
      <c r="BR281" s="63">
        <v>239052</v>
      </c>
      <c r="BS281" s="63">
        <v>53144</v>
      </c>
      <c r="BT281" s="63">
        <v>5905</v>
      </c>
      <c r="BU281" s="63">
        <v>298101</v>
      </c>
      <c r="BV281" s="63">
        <v>495851</v>
      </c>
      <c r="BW281" s="63">
        <v>111566</v>
      </c>
      <c r="BX281" s="63">
        <v>12396</v>
      </c>
      <c r="BY281" s="63">
        <v>619813</v>
      </c>
      <c r="BZ281" s="63">
        <v>0</v>
      </c>
      <c r="CA281" s="63">
        <v>0</v>
      </c>
      <c r="CB281" s="63">
        <v>0</v>
      </c>
      <c r="CC281" s="63">
        <v>0</v>
      </c>
      <c r="CD281" s="63">
        <v>5286</v>
      </c>
      <c r="CE281" s="63">
        <v>1189</v>
      </c>
      <c r="CF281" s="63">
        <v>132</v>
      </c>
      <c r="CG281" s="63">
        <v>6607</v>
      </c>
      <c r="CH281" s="63">
        <v>0</v>
      </c>
      <c r="CI281" s="63">
        <v>0</v>
      </c>
      <c r="CJ281" s="63">
        <v>0</v>
      </c>
      <c r="CK281" s="63">
        <v>0</v>
      </c>
      <c r="CL281" s="63">
        <v>8522</v>
      </c>
      <c r="CM281" s="63">
        <v>1917</v>
      </c>
      <c r="CN281" s="63">
        <v>213</v>
      </c>
      <c r="CO281" s="63">
        <v>10652</v>
      </c>
      <c r="CP281" s="63">
        <v>748711</v>
      </c>
      <c r="CQ281" s="63">
        <v>167816</v>
      </c>
      <c r="CR281" s="63">
        <v>18646</v>
      </c>
      <c r="CS281" s="63">
        <v>935173</v>
      </c>
      <c r="CU281" s="141" t="s">
        <v>398</v>
      </c>
      <c r="CV281" s="157" t="s">
        <v>982</v>
      </c>
      <c r="CW281" s="156" t="s">
        <v>975</v>
      </c>
      <c r="CX281" s="345"/>
      <c r="CY281" s="345"/>
      <c r="CZ281" s="345"/>
    </row>
    <row r="282" spans="1:104" ht="12.75" x14ac:dyDescent="0.2">
      <c r="A282" s="90">
        <v>275</v>
      </c>
      <c r="B282" s="129" t="s">
        <v>401</v>
      </c>
      <c r="C282" s="130" t="s">
        <v>742</v>
      </c>
      <c r="D282" s="131" t="s">
        <v>751</v>
      </c>
      <c r="E282" s="132" t="s">
        <v>400</v>
      </c>
      <c r="F282" s="63">
        <v>34010498</v>
      </c>
      <c r="G282" s="63">
        <v>0</v>
      </c>
      <c r="H282" s="63">
        <v>0</v>
      </c>
      <c r="I282" s="63">
        <v>191736</v>
      </c>
      <c r="J282" s="63">
        <v>0</v>
      </c>
      <c r="K282" s="63">
        <v>191736</v>
      </c>
      <c r="L282" s="63">
        <v>0</v>
      </c>
      <c r="M282" s="63">
        <v>0</v>
      </c>
      <c r="N282" s="63">
        <v>66946</v>
      </c>
      <c r="O282" s="63">
        <v>66946</v>
      </c>
      <c r="P282" s="63">
        <v>0</v>
      </c>
      <c r="Q282" s="63">
        <v>33751816</v>
      </c>
      <c r="R282" s="474">
        <v>0.5</v>
      </c>
      <c r="S282" s="474">
        <v>0.4</v>
      </c>
      <c r="T282" s="474">
        <v>0.09</v>
      </c>
      <c r="U282" s="474">
        <v>0.01</v>
      </c>
      <c r="V282" s="474">
        <v>1</v>
      </c>
      <c r="W282" s="63">
        <v>16875909</v>
      </c>
      <c r="X282" s="63">
        <v>13500726</v>
      </c>
      <c r="Y282" s="63">
        <v>3037663</v>
      </c>
      <c r="Z282" s="63">
        <v>337518</v>
      </c>
      <c r="AA282" s="63">
        <v>33751816</v>
      </c>
      <c r="AB282" s="63">
        <v>0</v>
      </c>
      <c r="AC282" s="63">
        <v>0</v>
      </c>
      <c r="AD282" s="63">
        <v>0</v>
      </c>
      <c r="AE282" s="63">
        <v>0</v>
      </c>
      <c r="AF282" s="63">
        <v>0</v>
      </c>
      <c r="AG282" s="63">
        <v>0</v>
      </c>
      <c r="AH282" s="63">
        <v>0</v>
      </c>
      <c r="AI282" s="63">
        <v>0</v>
      </c>
      <c r="AJ282" s="63">
        <v>0</v>
      </c>
      <c r="AK282" s="63">
        <v>0</v>
      </c>
      <c r="AL282" s="63">
        <v>16875909</v>
      </c>
      <c r="AM282" s="63">
        <v>13500726</v>
      </c>
      <c r="AN282" s="63">
        <v>3037663</v>
      </c>
      <c r="AO282" s="63">
        <v>337518</v>
      </c>
      <c r="AP282" s="63">
        <v>33751816</v>
      </c>
      <c r="AQ282" s="63">
        <v>191736</v>
      </c>
      <c r="AR282" s="63">
        <v>191736</v>
      </c>
      <c r="AS282" s="63">
        <v>0</v>
      </c>
      <c r="AT282" s="63">
        <v>0</v>
      </c>
      <c r="AU282" s="63">
        <v>66946</v>
      </c>
      <c r="AV282" s="63">
        <v>0</v>
      </c>
      <c r="AW282" s="63">
        <v>66946</v>
      </c>
      <c r="AX282" s="63">
        <v>0</v>
      </c>
      <c r="AY282" s="63">
        <v>0</v>
      </c>
      <c r="AZ282" s="63">
        <v>0</v>
      </c>
      <c r="BA282" s="63">
        <v>0</v>
      </c>
      <c r="BB282" s="63">
        <v>0</v>
      </c>
      <c r="BC282" s="63">
        <v>0</v>
      </c>
      <c r="BD282" s="63">
        <v>0</v>
      </c>
      <c r="BE282" s="63">
        <v>0</v>
      </c>
      <c r="BF282" s="63">
        <v>0</v>
      </c>
      <c r="BG282" s="63">
        <v>0</v>
      </c>
      <c r="BH282" s="63">
        <v>-681878</v>
      </c>
      <c r="BI282" s="63">
        <v>-545502</v>
      </c>
      <c r="BJ282" s="63">
        <v>-122738</v>
      </c>
      <c r="BK282" s="63">
        <v>-13638</v>
      </c>
      <c r="BL282" s="63">
        <v>-1363756</v>
      </c>
      <c r="BM282" s="63">
        <v>16194031</v>
      </c>
      <c r="BN282" s="63">
        <v>13213906</v>
      </c>
      <c r="BO282" s="63">
        <v>2914925</v>
      </c>
      <c r="BP282" s="63">
        <v>323880</v>
      </c>
      <c r="BQ282" s="63">
        <v>32646742</v>
      </c>
      <c r="BR282" s="63">
        <v>196227</v>
      </c>
      <c r="BS282" s="63">
        <v>43933</v>
      </c>
      <c r="BT282" s="63">
        <v>4881</v>
      </c>
      <c r="BU282" s="63">
        <v>245041</v>
      </c>
      <c r="BV282" s="63">
        <v>771746</v>
      </c>
      <c r="BW282" s="63">
        <v>173643</v>
      </c>
      <c r="BX282" s="63">
        <v>19294</v>
      </c>
      <c r="BY282" s="63">
        <v>964683</v>
      </c>
      <c r="BZ282" s="63">
        <v>1135</v>
      </c>
      <c r="CA282" s="63">
        <v>255</v>
      </c>
      <c r="CB282" s="63">
        <v>28</v>
      </c>
      <c r="CC282" s="63">
        <v>1418</v>
      </c>
      <c r="CD282" s="63">
        <v>0</v>
      </c>
      <c r="CE282" s="63">
        <v>0</v>
      </c>
      <c r="CF282" s="63">
        <v>0</v>
      </c>
      <c r="CG282" s="63">
        <v>0</v>
      </c>
      <c r="CH282" s="63">
        <v>0</v>
      </c>
      <c r="CI282" s="63">
        <v>0</v>
      </c>
      <c r="CJ282" s="63">
        <v>0</v>
      </c>
      <c r="CK282" s="63">
        <v>0</v>
      </c>
      <c r="CL282" s="63">
        <v>10633</v>
      </c>
      <c r="CM282" s="63">
        <v>2392</v>
      </c>
      <c r="CN282" s="63">
        <v>266</v>
      </c>
      <c r="CO282" s="63">
        <v>13291</v>
      </c>
      <c r="CP282" s="63">
        <v>979741</v>
      </c>
      <c r="CQ282" s="63">
        <v>220223</v>
      </c>
      <c r="CR282" s="63">
        <v>24469</v>
      </c>
      <c r="CS282" s="63">
        <v>1224433</v>
      </c>
      <c r="CU282" s="141" t="s">
        <v>400</v>
      </c>
      <c r="CV282" s="157" t="s">
        <v>974</v>
      </c>
      <c r="CW282" s="156" t="s">
        <v>975</v>
      </c>
      <c r="CX282" s="345"/>
      <c r="CY282" s="345"/>
      <c r="CZ282" s="345"/>
    </row>
    <row r="283" spans="1:104" ht="12.75" x14ac:dyDescent="0.2">
      <c r="A283" s="90">
        <v>276</v>
      </c>
      <c r="B283" s="129" t="s">
        <v>402</v>
      </c>
      <c r="C283" s="130" t="s">
        <v>501</v>
      </c>
      <c r="D283" s="131" t="s">
        <v>752</v>
      </c>
      <c r="E283" s="132" t="s">
        <v>547</v>
      </c>
      <c r="F283" s="63">
        <v>69083017</v>
      </c>
      <c r="G283" s="63">
        <v>0</v>
      </c>
      <c r="H283" s="63">
        <v>0</v>
      </c>
      <c r="I283" s="63">
        <v>217929</v>
      </c>
      <c r="J283" s="63">
        <v>0</v>
      </c>
      <c r="K283" s="63">
        <v>217929</v>
      </c>
      <c r="L283" s="63">
        <v>0</v>
      </c>
      <c r="M283" s="63">
        <v>0</v>
      </c>
      <c r="N283" s="63">
        <v>15780</v>
      </c>
      <c r="O283" s="63">
        <v>15780</v>
      </c>
      <c r="P283" s="63">
        <v>0</v>
      </c>
      <c r="Q283" s="63">
        <v>68849308</v>
      </c>
      <c r="R283" s="474">
        <v>0.5</v>
      </c>
      <c r="S283" s="474">
        <v>0.49</v>
      </c>
      <c r="T283" s="474">
        <v>0</v>
      </c>
      <c r="U283" s="474">
        <v>0.01</v>
      </c>
      <c r="V283" s="474">
        <v>1</v>
      </c>
      <c r="W283" s="63">
        <v>34424654</v>
      </c>
      <c r="X283" s="63">
        <v>33736161</v>
      </c>
      <c r="Y283" s="63">
        <v>0</v>
      </c>
      <c r="Z283" s="63">
        <v>688493</v>
      </c>
      <c r="AA283" s="63">
        <v>68849308</v>
      </c>
      <c r="AB283" s="63">
        <v>0</v>
      </c>
      <c r="AC283" s="63">
        <v>0</v>
      </c>
      <c r="AD283" s="63">
        <v>0</v>
      </c>
      <c r="AE283" s="63">
        <v>0</v>
      </c>
      <c r="AF283" s="63">
        <v>0</v>
      </c>
      <c r="AG283" s="63">
        <v>0</v>
      </c>
      <c r="AH283" s="63">
        <v>0</v>
      </c>
      <c r="AI283" s="63">
        <v>0</v>
      </c>
      <c r="AJ283" s="63">
        <v>0</v>
      </c>
      <c r="AK283" s="63">
        <v>0</v>
      </c>
      <c r="AL283" s="63">
        <v>34424654</v>
      </c>
      <c r="AM283" s="63">
        <v>33736161</v>
      </c>
      <c r="AN283" s="63">
        <v>0</v>
      </c>
      <c r="AO283" s="63">
        <v>688493</v>
      </c>
      <c r="AP283" s="63">
        <v>68849308</v>
      </c>
      <c r="AQ283" s="63">
        <v>217929</v>
      </c>
      <c r="AR283" s="63">
        <v>217929</v>
      </c>
      <c r="AS283" s="63">
        <v>0</v>
      </c>
      <c r="AT283" s="63">
        <v>0</v>
      </c>
      <c r="AU283" s="63">
        <v>15780</v>
      </c>
      <c r="AV283" s="63">
        <v>0</v>
      </c>
      <c r="AW283" s="63">
        <v>15780</v>
      </c>
      <c r="AX283" s="63">
        <v>0</v>
      </c>
      <c r="AY283" s="63">
        <v>0</v>
      </c>
      <c r="AZ283" s="63">
        <v>0</v>
      </c>
      <c r="BA283" s="63">
        <v>0</v>
      </c>
      <c r="BB283" s="63">
        <v>0</v>
      </c>
      <c r="BC283" s="63">
        <v>0</v>
      </c>
      <c r="BD283" s="63">
        <v>0</v>
      </c>
      <c r="BE283" s="63">
        <v>0</v>
      </c>
      <c r="BF283" s="63">
        <v>0</v>
      </c>
      <c r="BG283" s="63">
        <v>0</v>
      </c>
      <c r="BH283" s="63">
        <v>1342544</v>
      </c>
      <c r="BI283" s="63">
        <v>1315694</v>
      </c>
      <c r="BJ283" s="63">
        <v>0</v>
      </c>
      <c r="BK283" s="63">
        <v>26851</v>
      </c>
      <c r="BL283" s="63">
        <v>2685089</v>
      </c>
      <c r="BM283" s="63">
        <v>35767198</v>
      </c>
      <c r="BN283" s="63">
        <v>35285564</v>
      </c>
      <c r="BO283" s="63">
        <v>0</v>
      </c>
      <c r="BP283" s="63">
        <v>715344</v>
      </c>
      <c r="BQ283" s="63">
        <v>71768106</v>
      </c>
      <c r="BR283" s="63">
        <v>488148</v>
      </c>
      <c r="BS283" s="63">
        <v>0</v>
      </c>
      <c r="BT283" s="63">
        <v>9958</v>
      </c>
      <c r="BU283" s="63">
        <v>498106</v>
      </c>
      <c r="BV283" s="63">
        <v>705236</v>
      </c>
      <c r="BW283" s="63">
        <v>0</v>
      </c>
      <c r="BX283" s="63">
        <v>14393</v>
      </c>
      <c r="BY283" s="63">
        <v>719629</v>
      </c>
      <c r="BZ283" s="63">
        <v>4069</v>
      </c>
      <c r="CA283" s="63">
        <v>0</v>
      </c>
      <c r="CB283" s="63">
        <v>83</v>
      </c>
      <c r="CC283" s="63">
        <v>4152</v>
      </c>
      <c r="CD283" s="63">
        <v>9759</v>
      </c>
      <c r="CE283" s="63">
        <v>0</v>
      </c>
      <c r="CF283" s="63">
        <v>199</v>
      </c>
      <c r="CG283" s="63">
        <v>9958</v>
      </c>
      <c r="CH283" s="63">
        <v>15472</v>
      </c>
      <c r="CI283" s="63">
        <v>0</v>
      </c>
      <c r="CJ283" s="63">
        <v>316</v>
      </c>
      <c r="CK283" s="63">
        <v>15788</v>
      </c>
      <c r="CL283" s="63">
        <v>4760</v>
      </c>
      <c r="CM283" s="63">
        <v>0</v>
      </c>
      <c r="CN283" s="63">
        <v>97</v>
      </c>
      <c r="CO283" s="63">
        <v>4857</v>
      </c>
      <c r="CP283" s="63">
        <v>1227444</v>
      </c>
      <c r="CQ283" s="63">
        <v>0</v>
      </c>
      <c r="CR283" s="63">
        <v>25046</v>
      </c>
      <c r="CS283" s="63">
        <v>1252490</v>
      </c>
      <c r="CU283" s="141" t="s">
        <v>547</v>
      </c>
      <c r="CV283" s="157" t="s">
        <v>501</v>
      </c>
      <c r="CW283" s="156" t="s">
        <v>984</v>
      </c>
      <c r="CX283" s="345"/>
      <c r="CY283" s="345"/>
      <c r="CZ283" s="345"/>
    </row>
    <row r="284" spans="1:104" ht="12.75" x14ac:dyDescent="0.2">
      <c r="A284" s="90">
        <v>277</v>
      </c>
      <c r="B284" s="129" t="s">
        <v>404</v>
      </c>
      <c r="C284" s="130" t="s">
        <v>742</v>
      </c>
      <c r="D284" s="131" t="s">
        <v>746</v>
      </c>
      <c r="E284" s="132" t="s">
        <v>403</v>
      </c>
      <c r="F284" s="63">
        <v>26462508</v>
      </c>
      <c r="G284" s="63">
        <v>0</v>
      </c>
      <c r="H284" s="63">
        <v>0</v>
      </c>
      <c r="I284" s="63">
        <v>295093</v>
      </c>
      <c r="J284" s="63">
        <v>0</v>
      </c>
      <c r="K284" s="63">
        <v>295093</v>
      </c>
      <c r="L284" s="63">
        <v>0</v>
      </c>
      <c r="M284" s="63">
        <v>0</v>
      </c>
      <c r="N284" s="63">
        <v>229117</v>
      </c>
      <c r="O284" s="63">
        <v>229117</v>
      </c>
      <c r="P284" s="63">
        <v>0</v>
      </c>
      <c r="Q284" s="63">
        <v>25938298</v>
      </c>
      <c r="R284" s="474">
        <v>0.5</v>
      </c>
      <c r="S284" s="474">
        <v>0.4</v>
      </c>
      <c r="T284" s="474">
        <v>0.09</v>
      </c>
      <c r="U284" s="474">
        <v>0.01</v>
      </c>
      <c r="V284" s="474">
        <v>1</v>
      </c>
      <c r="W284" s="63">
        <v>12969149</v>
      </c>
      <c r="X284" s="63">
        <v>10375319</v>
      </c>
      <c r="Y284" s="63">
        <v>2334447</v>
      </c>
      <c r="Z284" s="63">
        <v>259383</v>
      </c>
      <c r="AA284" s="63">
        <v>25938298</v>
      </c>
      <c r="AB284" s="63">
        <v>0</v>
      </c>
      <c r="AC284" s="63">
        <v>0</v>
      </c>
      <c r="AD284" s="63">
        <v>0</v>
      </c>
      <c r="AE284" s="63">
        <v>0</v>
      </c>
      <c r="AF284" s="63">
        <v>0</v>
      </c>
      <c r="AG284" s="63">
        <v>0</v>
      </c>
      <c r="AH284" s="63">
        <v>0</v>
      </c>
      <c r="AI284" s="63">
        <v>0</v>
      </c>
      <c r="AJ284" s="63">
        <v>0</v>
      </c>
      <c r="AK284" s="63">
        <v>0</v>
      </c>
      <c r="AL284" s="63">
        <v>12969149</v>
      </c>
      <c r="AM284" s="63">
        <v>10375319</v>
      </c>
      <c r="AN284" s="63">
        <v>2334447</v>
      </c>
      <c r="AO284" s="63">
        <v>259383</v>
      </c>
      <c r="AP284" s="63">
        <v>25938298</v>
      </c>
      <c r="AQ284" s="63">
        <v>295093</v>
      </c>
      <c r="AR284" s="63">
        <v>295093</v>
      </c>
      <c r="AS284" s="63">
        <v>0</v>
      </c>
      <c r="AT284" s="63">
        <v>0</v>
      </c>
      <c r="AU284" s="63">
        <v>229117</v>
      </c>
      <c r="AV284" s="63">
        <v>0</v>
      </c>
      <c r="AW284" s="63">
        <v>229117</v>
      </c>
      <c r="AX284" s="63">
        <v>0</v>
      </c>
      <c r="AY284" s="63">
        <v>0</v>
      </c>
      <c r="AZ284" s="63">
        <v>0</v>
      </c>
      <c r="BA284" s="63">
        <v>0</v>
      </c>
      <c r="BB284" s="63">
        <v>0</v>
      </c>
      <c r="BC284" s="63">
        <v>0</v>
      </c>
      <c r="BD284" s="63">
        <v>0</v>
      </c>
      <c r="BE284" s="63">
        <v>0</v>
      </c>
      <c r="BF284" s="63">
        <v>0</v>
      </c>
      <c r="BG284" s="63">
        <v>0</v>
      </c>
      <c r="BH284" s="63">
        <v>-515053</v>
      </c>
      <c r="BI284" s="63">
        <v>-412042</v>
      </c>
      <c r="BJ284" s="63">
        <v>-92710</v>
      </c>
      <c r="BK284" s="63">
        <v>-10301</v>
      </c>
      <c r="BL284" s="63">
        <v>-1030106</v>
      </c>
      <c r="BM284" s="63">
        <v>12454096</v>
      </c>
      <c r="BN284" s="63">
        <v>10487487</v>
      </c>
      <c r="BO284" s="63">
        <v>2241737</v>
      </c>
      <c r="BP284" s="63">
        <v>249082</v>
      </c>
      <c r="BQ284" s="63">
        <v>25432402</v>
      </c>
      <c r="BR284" s="63">
        <v>153370</v>
      </c>
      <c r="BS284" s="63">
        <v>33763</v>
      </c>
      <c r="BT284" s="63">
        <v>3751</v>
      </c>
      <c r="BU284" s="63">
        <v>190884</v>
      </c>
      <c r="BV284" s="63">
        <v>936805</v>
      </c>
      <c r="BW284" s="63">
        <v>210781</v>
      </c>
      <c r="BX284" s="63">
        <v>23420</v>
      </c>
      <c r="BY284" s="63">
        <v>1171006</v>
      </c>
      <c r="BZ284" s="63">
        <v>1046</v>
      </c>
      <c r="CA284" s="63">
        <v>235</v>
      </c>
      <c r="CB284" s="63">
        <v>26</v>
      </c>
      <c r="CC284" s="63">
        <v>1307</v>
      </c>
      <c r="CD284" s="63">
        <v>0</v>
      </c>
      <c r="CE284" s="63">
        <v>0</v>
      </c>
      <c r="CF284" s="63">
        <v>0</v>
      </c>
      <c r="CG284" s="63">
        <v>0</v>
      </c>
      <c r="CH284" s="63">
        <v>7886</v>
      </c>
      <c r="CI284" s="63">
        <v>1774</v>
      </c>
      <c r="CJ284" s="63">
        <v>197</v>
      </c>
      <c r="CK284" s="63">
        <v>9857</v>
      </c>
      <c r="CL284" s="63">
        <v>0</v>
      </c>
      <c r="CM284" s="63">
        <v>0</v>
      </c>
      <c r="CN284" s="63">
        <v>0</v>
      </c>
      <c r="CO284" s="63">
        <v>0</v>
      </c>
      <c r="CP284" s="63">
        <v>1099107</v>
      </c>
      <c r="CQ284" s="63">
        <v>246553</v>
      </c>
      <c r="CR284" s="63">
        <v>27394</v>
      </c>
      <c r="CS284" s="63">
        <v>1373054</v>
      </c>
      <c r="CU284" s="141" t="s">
        <v>403</v>
      </c>
      <c r="CV284" s="157" t="s">
        <v>943</v>
      </c>
      <c r="CW284" s="156" t="s">
        <v>944</v>
      </c>
      <c r="CX284" s="345"/>
      <c r="CY284" s="345"/>
      <c r="CZ284" s="345"/>
    </row>
    <row r="285" spans="1:104" ht="12.75" x14ac:dyDescent="0.2">
      <c r="A285" s="90">
        <v>278</v>
      </c>
      <c r="B285" s="129" t="s">
        <v>406</v>
      </c>
      <c r="C285" s="130" t="s">
        <v>742</v>
      </c>
      <c r="D285" s="131" t="s">
        <v>743</v>
      </c>
      <c r="E285" s="132" t="s">
        <v>405</v>
      </c>
      <c r="F285" s="63">
        <v>49627550</v>
      </c>
      <c r="G285" s="63">
        <v>0</v>
      </c>
      <c r="H285" s="63">
        <v>0</v>
      </c>
      <c r="I285" s="63">
        <v>188777</v>
      </c>
      <c r="J285" s="63">
        <v>0</v>
      </c>
      <c r="K285" s="63">
        <v>188777</v>
      </c>
      <c r="L285" s="63">
        <v>0</v>
      </c>
      <c r="M285" s="63">
        <v>0</v>
      </c>
      <c r="N285" s="63">
        <v>23359</v>
      </c>
      <c r="O285" s="63">
        <v>23359</v>
      </c>
      <c r="P285" s="63">
        <v>0</v>
      </c>
      <c r="Q285" s="63">
        <v>49415414</v>
      </c>
      <c r="R285" s="474">
        <v>0.5</v>
      </c>
      <c r="S285" s="474">
        <v>0.4</v>
      </c>
      <c r="T285" s="474">
        <v>0.09</v>
      </c>
      <c r="U285" s="474">
        <v>0.01</v>
      </c>
      <c r="V285" s="474">
        <v>1</v>
      </c>
      <c r="W285" s="63">
        <v>24707707</v>
      </c>
      <c r="X285" s="63">
        <v>19766166</v>
      </c>
      <c r="Y285" s="63">
        <v>4447387</v>
      </c>
      <c r="Z285" s="63">
        <v>494154</v>
      </c>
      <c r="AA285" s="63">
        <v>49415414</v>
      </c>
      <c r="AB285" s="63">
        <v>0</v>
      </c>
      <c r="AC285" s="63">
        <v>0</v>
      </c>
      <c r="AD285" s="63">
        <v>0</v>
      </c>
      <c r="AE285" s="63">
        <v>0</v>
      </c>
      <c r="AF285" s="63">
        <v>0</v>
      </c>
      <c r="AG285" s="63">
        <v>0</v>
      </c>
      <c r="AH285" s="63">
        <v>0</v>
      </c>
      <c r="AI285" s="63">
        <v>0</v>
      </c>
      <c r="AJ285" s="63">
        <v>0</v>
      </c>
      <c r="AK285" s="63">
        <v>0</v>
      </c>
      <c r="AL285" s="63">
        <v>24707707</v>
      </c>
      <c r="AM285" s="63">
        <v>19766166</v>
      </c>
      <c r="AN285" s="63">
        <v>4447387</v>
      </c>
      <c r="AO285" s="63">
        <v>494154</v>
      </c>
      <c r="AP285" s="63">
        <v>49415414</v>
      </c>
      <c r="AQ285" s="63">
        <v>188777</v>
      </c>
      <c r="AR285" s="63">
        <v>188777</v>
      </c>
      <c r="AS285" s="63">
        <v>0</v>
      </c>
      <c r="AT285" s="63">
        <v>0</v>
      </c>
      <c r="AU285" s="63">
        <v>23359</v>
      </c>
      <c r="AV285" s="63">
        <v>0</v>
      </c>
      <c r="AW285" s="63">
        <v>23359</v>
      </c>
      <c r="AX285" s="63">
        <v>0</v>
      </c>
      <c r="AY285" s="63">
        <v>0</v>
      </c>
      <c r="AZ285" s="63">
        <v>0</v>
      </c>
      <c r="BA285" s="63">
        <v>0</v>
      </c>
      <c r="BB285" s="63">
        <v>0</v>
      </c>
      <c r="BC285" s="63">
        <v>0</v>
      </c>
      <c r="BD285" s="63">
        <v>0</v>
      </c>
      <c r="BE285" s="63">
        <v>0</v>
      </c>
      <c r="BF285" s="63">
        <v>0</v>
      </c>
      <c r="BG285" s="63">
        <v>0</v>
      </c>
      <c r="BH285" s="63">
        <v>1549951</v>
      </c>
      <c r="BI285" s="63">
        <v>1239961</v>
      </c>
      <c r="BJ285" s="63">
        <v>278991</v>
      </c>
      <c r="BK285" s="63">
        <v>30999</v>
      </c>
      <c r="BL285" s="63">
        <v>3099902</v>
      </c>
      <c r="BM285" s="63">
        <v>26257658</v>
      </c>
      <c r="BN285" s="63">
        <v>21218263</v>
      </c>
      <c r="BO285" s="63">
        <v>4726378</v>
      </c>
      <c r="BP285" s="63">
        <v>525153</v>
      </c>
      <c r="BQ285" s="63">
        <v>52727452</v>
      </c>
      <c r="BR285" s="63">
        <v>286212</v>
      </c>
      <c r="BS285" s="63">
        <v>64322</v>
      </c>
      <c r="BT285" s="63">
        <v>7147</v>
      </c>
      <c r="BU285" s="63">
        <v>357681</v>
      </c>
      <c r="BV285" s="63">
        <v>536506</v>
      </c>
      <c r="BW285" s="63">
        <v>120714</v>
      </c>
      <c r="BX285" s="63">
        <v>13413</v>
      </c>
      <c r="BY285" s="63">
        <v>670633</v>
      </c>
      <c r="BZ285" s="63">
        <v>973</v>
      </c>
      <c r="CA285" s="63">
        <v>219</v>
      </c>
      <c r="CB285" s="63">
        <v>24</v>
      </c>
      <c r="CC285" s="63">
        <v>1216</v>
      </c>
      <c r="CD285" s="63">
        <v>0</v>
      </c>
      <c r="CE285" s="63">
        <v>0</v>
      </c>
      <c r="CF285" s="63">
        <v>0</v>
      </c>
      <c r="CG285" s="63">
        <v>0</v>
      </c>
      <c r="CH285" s="63">
        <v>8506</v>
      </c>
      <c r="CI285" s="63">
        <v>1914</v>
      </c>
      <c r="CJ285" s="63">
        <v>213</v>
      </c>
      <c r="CK285" s="63">
        <v>10633</v>
      </c>
      <c r="CL285" s="63">
        <v>0</v>
      </c>
      <c r="CM285" s="63">
        <v>0</v>
      </c>
      <c r="CN285" s="63">
        <v>0</v>
      </c>
      <c r="CO285" s="63">
        <v>0</v>
      </c>
      <c r="CP285" s="63">
        <v>832197</v>
      </c>
      <c r="CQ285" s="63">
        <v>187169</v>
      </c>
      <c r="CR285" s="63">
        <v>20797</v>
      </c>
      <c r="CS285" s="63">
        <v>1040163</v>
      </c>
      <c r="CU285" s="141" t="s">
        <v>405</v>
      </c>
      <c r="CV285" s="157" t="s">
        <v>945</v>
      </c>
      <c r="CW285" s="156" t="s">
        <v>946</v>
      </c>
      <c r="CX285" s="345"/>
      <c r="CY285" s="345"/>
      <c r="CZ285" s="345"/>
    </row>
    <row r="286" spans="1:104" ht="12.75" x14ac:dyDescent="0.2">
      <c r="A286" s="90">
        <v>279</v>
      </c>
      <c r="B286" s="129" t="s">
        <v>408</v>
      </c>
      <c r="C286" s="130" t="s">
        <v>742</v>
      </c>
      <c r="D286" s="131" t="s">
        <v>751</v>
      </c>
      <c r="E286" s="132" t="s">
        <v>407</v>
      </c>
      <c r="F286" s="63">
        <v>34480030</v>
      </c>
      <c r="G286" s="63">
        <v>0</v>
      </c>
      <c r="H286" s="63">
        <v>0</v>
      </c>
      <c r="I286" s="63">
        <v>124501</v>
      </c>
      <c r="J286" s="63">
        <v>0</v>
      </c>
      <c r="K286" s="63">
        <v>124501</v>
      </c>
      <c r="L286" s="63">
        <v>0</v>
      </c>
      <c r="M286" s="63">
        <v>0</v>
      </c>
      <c r="N286" s="63">
        <v>0</v>
      </c>
      <c r="O286" s="63">
        <v>0</v>
      </c>
      <c r="P286" s="63">
        <v>0</v>
      </c>
      <c r="Q286" s="63">
        <v>34355529</v>
      </c>
      <c r="R286" s="474">
        <v>0.5</v>
      </c>
      <c r="S286" s="474">
        <v>0.4</v>
      </c>
      <c r="T286" s="474">
        <v>0.1</v>
      </c>
      <c r="U286" s="474">
        <v>0</v>
      </c>
      <c r="V286" s="474">
        <v>1</v>
      </c>
      <c r="W286" s="63">
        <v>17177764</v>
      </c>
      <c r="X286" s="63">
        <v>13742212</v>
      </c>
      <c r="Y286" s="63">
        <v>3435553</v>
      </c>
      <c r="Z286" s="63">
        <v>0</v>
      </c>
      <c r="AA286" s="63">
        <v>34355529</v>
      </c>
      <c r="AB286" s="63">
        <v>0</v>
      </c>
      <c r="AC286" s="63">
        <v>0</v>
      </c>
      <c r="AD286" s="63">
        <v>0</v>
      </c>
      <c r="AE286" s="63">
        <v>0</v>
      </c>
      <c r="AF286" s="63">
        <v>0</v>
      </c>
      <c r="AG286" s="63">
        <v>0</v>
      </c>
      <c r="AH286" s="63">
        <v>0</v>
      </c>
      <c r="AI286" s="63">
        <v>0</v>
      </c>
      <c r="AJ286" s="63">
        <v>0</v>
      </c>
      <c r="AK286" s="63">
        <v>0</v>
      </c>
      <c r="AL286" s="63">
        <v>17177764</v>
      </c>
      <c r="AM286" s="63">
        <v>13742212</v>
      </c>
      <c r="AN286" s="63">
        <v>3435553</v>
      </c>
      <c r="AO286" s="63">
        <v>0</v>
      </c>
      <c r="AP286" s="63">
        <v>34355529</v>
      </c>
      <c r="AQ286" s="63">
        <v>124501</v>
      </c>
      <c r="AR286" s="63">
        <v>124501</v>
      </c>
      <c r="AS286" s="63">
        <v>0</v>
      </c>
      <c r="AT286" s="63">
        <v>0</v>
      </c>
      <c r="AU286" s="63">
        <v>0</v>
      </c>
      <c r="AV286" s="63">
        <v>0</v>
      </c>
      <c r="AW286" s="63">
        <v>0</v>
      </c>
      <c r="AX286" s="63">
        <v>0</v>
      </c>
      <c r="AY286" s="63">
        <v>0</v>
      </c>
      <c r="AZ286" s="63">
        <v>0</v>
      </c>
      <c r="BA286" s="63">
        <v>0</v>
      </c>
      <c r="BB286" s="63">
        <v>0</v>
      </c>
      <c r="BC286" s="63">
        <v>0</v>
      </c>
      <c r="BD286" s="63">
        <v>0</v>
      </c>
      <c r="BE286" s="63">
        <v>0</v>
      </c>
      <c r="BF286" s="63">
        <v>0</v>
      </c>
      <c r="BG286" s="63">
        <v>0</v>
      </c>
      <c r="BH286" s="63">
        <v>-4642614</v>
      </c>
      <c r="BI286" s="63">
        <v>-3714092</v>
      </c>
      <c r="BJ286" s="63">
        <v>-928523</v>
      </c>
      <c r="BK286" s="63">
        <v>0</v>
      </c>
      <c r="BL286" s="63">
        <v>-9285229</v>
      </c>
      <c r="BM286" s="63">
        <v>12535150</v>
      </c>
      <c r="BN286" s="63">
        <v>10152621</v>
      </c>
      <c r="BO286" s="63">
        <v>2507030</v>
      </c>
      <c r="BP286" s="63">
        <v>0</v>
      </c>
      <c r="BQ286" s="63">
        <v>25194801</v>
      </c>
      <c r="BR286" s="63">
        <v>198751</v>
      </c>
      <c r="BS286" s="63">
        <v>49688</v>
      </c>
      <c r="BT286" s="63">
        <v>0</v>
      </c>
      <c r="BU286" s="63">
        <v>248439</v>
      </c>
      <c r="BV286" s="63">
        <v>375710</v>
      </c>
      <c r="BW286" s="63">
        <v>93927</v>
      </c>
      <c r="BX286" s="63">
        <v>0</v>
      </c>
      <c r="BY286" s="63">
        <v>469637</v>
      </c>
      <c r="BZ286" s="63">
        <v>0</v>
      </c>
      <c r="CA286" s="63">
        <v>0</v>
      </c>
      <c r="CB286" s="63">
        <v>0</v>
      </c>
      <c r="CC286" s="63">
        <v>0</v>
      </c>
      <c r="CD286" s="63">
        <v>0</v>
      </c>
      <c r="CE286" s="63">
        <v>0</v>
      </c>
      <c r="CF286" s="63">
        <v>0</v>
      </c>
      <c r="CG286" s="63">
        <v>0</v>
      </c>
      <c r="CH286" s="63">
        <v>8647</v>
      </c>
      <c r="CI286" s="63">
        <v>2162</v>
      </c>
      <c r="CJ286" s="63">
        <v>0</v>
      </c>
      <c r="CK286" s="63">
        <v>10809</v>
      </c>
      <c r="CL286" s="63">
        <v>1689</v>
      </c>
      <c r="CM286" s="63">
        <v>422</v>
      </c>
      <c r="CN286" s="63">
        <v>0</v>
      </c>
      <c r="CO286" s="63">
        <v>2111</v>
      </c>
      <c r="CP286" s="63">
        <v>584797</v>
      </c>
      <c r="CQ286" s="63">
        <v>146199</v>
      </c>
      <c r="CR286" s="63">
        <v>0</v>
      </c>
      <c r="CS286" s="63">
        <v>730996</v>
      </c>
      <c r="CU286" s="141" t="s">
        <v>407</v>
      </c>
      <c r="CV286" s="157" t="s">
        <v>966</v>
      </c>
      <c r="CW286" s="156" t="s">
        <v>928</v>
      </c>
      <c r="CX286" s="345"/>
      <c r="CY286" s="345"/>
      <c r="CZ286" s="345"/>
    </row>
    <row r="287" spans="1:104" ht="12.75" x14ac:dyDescent="0.2">
      <c r="A287" s="90">
        <v>280</v>
      </c>
      <c r="B287" s="129" t="s">
        <v>410</v>
      </c>
      <c r="C287" s="130" t="s">
        <v>742</v>
      </c>
      <c r="D287" s="131" t="s">
        <v>743</v>
      </c>
      <c r="E287" s="132" t="s">
        <v>409</v>
      </c>
      <c r="F287" s="63">
        <v>30280124</v>
      </c>
      <c r="G287" s="63">
        <v>0</v>
      </c>
      <c r="H287" s="63">
        <v>0</v>
      </c>
      <c r="I287" s="63">
        <v>192176</v>
      </c>
      <c r="J287" s="63">
        <v>0</v>
      </c>
      <c r="K287" s="63">
        <v>192176</v>
      </c>
      <c r="L287" s="63">
        <v>0</v>
      </c>
      <c r="M287" s="63">
        <v>0</v>
      </c>
      <c r="N287" s="63">
        <v>0</v>
      </c>
      <c r="O287" s="63">
        <v>0</v>
      </c>
      <c r="P287" s="63">
        <v>0</v>
      </c>
      <c r="Q287" s="63">
        <v>30087948</v>
      </c>
      <c r="R287" s="474">
        <v>0.5</v>
      </c>
      <c r="S287" s="474">
        <v>0.4</v>
      </c>
      <c r="T287" s="474">
        <v>0.09</v>
      </c>
      <c r="U287" s="474">
        <v>0.01</v>
      </c>
      <c r="V287" s="474">
        <v>1</v>
      </c>
      <c r="W287" s="63">
        <v>15043975</v>
      </c>
      <c r="X287" s="63">
        <v>12035179</v>
      </c>
      <c r="Y287" s="63">
        <v>2707915</v>
      </c>
      <c r="Z287" s="63">
        <v>300879</v>
      </c>
      <c r="AA287" s="63">
        <v>30087948</v>
      </c>
      <c r="AB287" s="63">
        <v>0</v>
      </c>
      <c r="AC287" s="63">
        <v>0</v>
      </c>
      <c r="AD287" s="63">
        <v>0</v>
      </c>
      <c r="AE287" s="63">
        <v>0</v>
      </c>
      <c r="AF287" s="63">
        <v>0</v>
      </c>
      <c r="AG287" s="63">
        <v>0</v>
      </c>
      <c r="AH287" s="63">
        <v>0</v>
      </c>
      <c r="AI287" s="63">
        <v>0</v>
      </c>
      <c r="AJ287" s="63">
        <v>0</v>
      </c>
      <c r="AK287" s="63">
        <v>0</v>
      </c>
      <c r="AL287" s="63">
        <v>15043975</v>
      </c>
      <c r="AM287" s="63">
        <v>12035179</v>
      </c>
      <c r="AN287" s="63">
        <v>2707915</v>
      </c>
      <c r="AO287" s="63">
        <v>300879</v>
      </c>
      <c r="AP287" s="63">
        <v>30087948</v>
      </c>
      <c r="AQ287" s="63">
        <v>192176</v>
      </c>
      <c r="AR287" s="63">
        <v>192176</v>
      </c>
      <c r="AS287" s="63">
        <v>0</v>
      </c>
      <c r="AT287" s="63">
        <v>0</v>
      </c>
      <c r="AU287" s="63">
        <v>0</v>
      </c>
      <c r="AV287" s="63">
        <v>0</v>
      </c>
      <c r="AW287" s="63">
        <v>0</v>
      </c>
      <c r="AX287" s="63">
        <v>0</v>
      </c>
      <c r="AY287" s="63">
        <v>0</v>
      </c>
      <c r="AZ287" s="63">
        <v>0</v>
      </c>
      <c r="BA287" s="63">
        <v>0</v>
      </c>
      <c r="BB287" s="63">
        <v>0</v>
      </c>
      <c r="BC287" s="63">
        <v>0</v>
      </c>
      <c r="BD287" s="63">
        <v>0</v>
      </c>
      <c r="BE287" s="63">
        <v>0</v>
      </c>
      <c r="BF287" s="63">
        <v>0</v>
      </c>
      <c r="BG287" s="63">
        <v>0</v>
      </c>
      <c r="BH287" s="63">
        <v>-1503228</v>
      </c>
      <c r="BI287" s="63">
        <v>-1202582</v>
      </c>
      <c r="BJ287" s="63">
        <v>-270581</v>
      </c>
      <c r="BK287" s="63">
        <v>-30065</v>
      </c>
      <c r="BL287" s="63">
        <v>-3006456</v>
      </c>
      <c r="BM287" s="63">
        <v>13540747</v>
      </c>
      <c r="BN287" s="63">
        <v>11024773</v>
      </c>
      <c r="BO287" s="63">
        <v>2437334</v>
      </c>
      <c r="BP287" s="63">
        <v>270814</v>
      </c>
      <c r="BQ287" s="63">
        <v>27273668</v>
      </c>
      <c r="BR287" s="63">
        <v>174063</v>
      </c>
      <c r="BS287" s="63">
        <v>39164</v>
      </c>
      <c r="BT287" s="63">
        <v>4352</v>
      </c>
      <c r="BU287" s="63">
        <v>217579</v>
      </c>
      <c r="BV287" s="63">
        <v>784323</v>
      </c>
      <c r="BW287" s="63">
        <v>176473</v>
      </c>
      <c r="BX287" s="63">
        <v>19608</v>
      </c>
      <c r="BY287" s="63">
        <v>980404</v>
      </c>
      <c r="BZ287" s="63">
        <v>1619</v>
      </c>
      <c r="CA287" s="63">
        <v>364</v>
      </c>
      <c r="CB287" s="63">
        <v>40</v>
      </c>
      <c r="CC287" s="63">
        <v>2023</v>
      </c>
      <c r="CD287" s="63">
        <v>10310</v>
      </c>
      <c r="CE287" s="63">
        <v>2320</v>
      </c>
      <c r="CF287" s="63">
        <v>258</v>
      </c>
      <c r="CG287" s="63">
        <v>12888</v>
      </c>
      <c r="CH287" s="63">
        <v>10657</v>
      </c>
      <c r="CI287" s="63">
        <v>2398</v>
      </c>
      <c r="CJ287" s="63">
        <v>266</v>
      </c>
      <c r="CK287" s="63">
        <v>13321</v>
      </c>
      <c r="CL287" s="63">
        <v>4144</v>
      </c>
      <c r="CM287" s="63">
        <v>933</v>
      </c>
      <c r="CN287" s="63">
        <v>104</v>
      </c>
      <c r="CO287" s="63">
        <v>5181</v>
      </c>
      <c r="CP287" s="63">
        <v>985116</v>
      </c>
      <c r="CQ287" s="63">
        <v>221652</v>
      </c>
      <c r="CR287" s="63">
        <v>24628</v>
      </c>
      <c r="CS287" s="63">
        <v>1231396</v>
      </c>
      <c r="CU287" s="141" t="s">
        <v>409</v>
      </c>
      <c r="CV287" s="157" t="s">
        <v>934</v>
      </c>
      <c r="CW287" s="156" t="s">
        <v>935</v>
      </c>
      <c r="CX287" s="345"/>
      <c r="CY287" s="345"/>
      <c r="CZ287" s="345"/>
    </row>
    <row r="288" spans="1:104" ht="12.75" x14ac:dyDescent="0.2">
      <c r="A288" s="90">
        <v>281</v>
      </c>
      <c r="B288" s="129" t="s">
        <v>412</v>
      </c>
      <c r="C288" s="130" t="s">
        <v>742</v>
      </c>
      <c r="D288" s="131" t="s">
        <v>746</v>
      </c>
      <c r="E288" s="132" t="s">
        <v>411</v>
      </c>
      <c r="F288" s="63">
        <v>29326872</v>
      </c>
      <c r="G288" s="63">
        <v>0</v>
      </c>
      <c r="H288" s="63">
        <v>0</v>
      </c>
      <c r="I288" s="63">
        <v>94955</v>
      </c>
      <c r="J288" s="63">
        <v>0</v>
      </c>
      <c r="K288" s="63">
        <v>94955</v>
      </c>
      <c r="L288" s="63">
        <v>0</v>
      </c>
      <c r="M288" s="63">
        <v>0</v>
      </c>
      <c r="N288" s="63">
        <v>0</v>
      </c>
      <c r="O288" s="63">
        <v>0</v>
      </c>
      <c r="P288" s="63">
        <v>0</v>
      </c>
      <c r="Q288" s="63">
        <v>29231917</v>
      </c>
      <c r="R288" s="474">
        <v>0.5</v>
      </c>
      <c r="S288" s="474">
        <v>0.4</v>
      </c>
      <c r="T288" s="474">
        <v>0.1</v>
      </c>
      <c r="U288" s="474">
        <v>0</v>
      </c>
      <c r="V288" s="474">
        <v>1</v>
      </c>
      <c r="W288" s="63">
        <v>14615958</v>
      </c>
      <c r="X288" s="63">
        <v>11692767</v>
      </c>
      <c r="Y288" s="63">
        <v>2923192</v>
      </c>
      <c r="Z288" s="63">
        <v>0</v>
      </c>
      <c r="AA288" s="63">
        <v>29231917</v>
      </c>
      <c r="AB288" s="63">
        <v>0</v>
      </c>
      <c r="AC288" s="63">
        <v>0</v>
      </c>
      <c r="AD288" s="63">
        <v>0</v>
      </c>
      <c r="AE288" s="63">
        <v>0</v>
      </c>
      <c r="AF288" s="63">
        <v>0</v>
      </c>
      <c r="AG288" s="63">
        <v>0</v>
      </c>
      <c r="AH288" s="63">
        <v>0</v>
      </c>
      <c r="AI288" s="63">
        <v>0</v>
      </c>
      <c r="AJ288" s="63">
        <v>0</v>
      </c>
      <c r="AK288" s="63">
        <v>0</v>
      </c>
      <c r="AL288" s="63">
        <v>14615958</v>
      </c>
      <c r="AM288" s="63">
        <v>11692767</v>
      </c>
      <c r="AN288" s="63">
        <v>2923192</v>
      </c>
      <c r="AO288" s="63">
        <v>0</v>
      </c>
      <c r="AP288" s="63">
        <v>29231917</v>
      </c>
      <c r="AQ288" s="63">
        <v>94955</v>
      </c>
      <c r="AR288" s="63">
        <v>94955</v>
      </c>
      <c r="AS288" s="63">
        <v>0</v>
      </c>
      <c r="AT288" s="63">
        <v>0</v>
      </c>
      <c r="AU288" s="63">
        <v>0</v>
      </c>
      <c r="AV288" s="63">
        <v>0</v>
      </c>
      <c r="AW288" s="63">
        <v>0</v>
      </c>
      <c r="AX288" s="63">
        <v>0</v>
      </c>
      <c r="AY288" s="63">
        <v>0</v>
      </c>
      <c r="AZ288" s="63">
        <v>0</v>
      </c>
      <c r="BA288" s="63">
        <v>0</v>
      </c>
      <c r="BB288" s="63">
        <v>0</v>
      </c>
      <c r="BC288" s="63">
        <v>0</v>
      </c>
      <c r="BD288" s="63">
        <v>0</v>
      </c>
      <c r="BE288" s="63">
        <v>0</v>
      </c>
      <c r="BF288" s="63">
        <v>0</v>
      </c>
      <c r="BG288" s="63">
        <v>0</v>
      </c>
      <c r="BH288" s="63">
        <v>3665213</v>
      </c>
      <c r="BI288" s="63">
        <v>2932171</v>
      </c>
      <c r="BJ288" s="63">
        <v>733043</v>
      </c>
      <c r="BK288" s="63">
        <v>0</v>
      </c>
      <c r="BL288" s="63">
        <v>7330427</v>
      </c>
      <c r="BM288" s="63">
        <v>18281171</v>
      </c>
      <c r="BN288" s="63">
        <v>14719893</v>
      </c>
      <c r="BO288" s="63">
        <v>3656235</v>
      </c>
      <c r="BP288" s="63">
        <v>0</v>
      </c>
      <c r="BQ288" s="63">
        <v>36657299</v>
      </c>
      <c r="BR288" s="63">
        <v>169110</v>
      </c>
      <c r="BS288" s="63">
        <v>42278</v>
      </c>
      <c r="BT288" s="63">
        <v>0</v>
      </c>
      <c r="BU288" s="63">
        <v>211388</v>
      </c>
      <c r="BV288" s="63">
        <v>188285</v>
      </c>
      <c r="BW288" s="63">
        <v>47071</v>
      </c>
      <c r="BX288" s="63">
        <v>0</v>
      </c>
      <c r="BY288" s="63">
        <v>235356</v>
      </c>
      <c r="BZ288" s="63">
        <v>0</v>
      </c>
      <c r="CA288" s="63">
        <v>0</v>
      </c>
      <c r="CB288" s="63">
        <v>0</v>
      </c>
      <c r="CC288" s="63">
        <v>0</v>
      </c>
      <c r="CD288" s="63">
        <v>0</v>
      </c>
      <c r="CE288" s="63">
        <v>0</v>
      </c>
      <c r="CF288" s="63">
        <v>0</v>
      </c>
      <c r="CG288" s="63">
        <v>0</v>
      </c>
      <c r="CH288" s="63">
        <v>0</v>
      </c>
      <c r="CI288" s="63">
        <v>0</v>
      </c>
      <c r="CJ288" s="63">
        <v>0</v>
      </c>
      <c r="CK288" s="63">
        <v>0</v>
      </c>
      <c r="CL288" s="63">
        <v>0</v>
      </c>
      <c r="CM288" s="63">
        <v>0</v>
      </c>
      <c r="CN288" s="63">
        <v>0</v>
      </c>
      <c r="CO288" s="63">
        <v>0</v>
      </c>
      <c r="CP288" s="63">
        <v>357395</v>
      </c>
      <c r="CQ288" s="63">
        <v>89349</v>
      </c>
      <c r="CR288" s="63">
        <v>0</v>
      </c>
      <c r="CS288" s="63">
        <v>446744</v>
      </c>
      <c r="CU288" s="141" t="s">
        <v>411</v>
      </c>
      <c r="CV288" s="157" t="s">
        <v>960</v>
      </c>
      <c r="CW288" s="156" t="s">
        <v>928</v>
      </c>
      <c r="CX288" s="345"/>
      <c r="CY288" s="345"/>
      <c r="CZ288" s="345"/>
    </row>
    <row r="289" spans="1:104" ht="12.75" x14ac:dyDescent="0.2">
      <c r="A289" s="90">
        <v>282</v>
      </c>
      <c r="B289" s="129" t="s">
        <v>413</v>
      </c>
      <c r="C289" s="130" t="s">
        <v>501</v>
      </c>
      <c r="D289" s="131" t="s">
        <v>746</v>
      </c>
      <c r="E289" s="132" t="s">
        <v>529</v>
      </c>
      <c r="F289" s="63">
        <v>112036303</v>
      </c>
      <c r="G289" s="63">
        <v>0</v>
      </c>
      <c r="H289" s="63">
        <v>0</v>
      </c>
      <c r="I289" s="63">
        <v>234481</v>
      </c>
      <c r="J289" s="63">
        <v>0</v>
      </c>
      <c r="K289" s="63">
        <v>234481</v>
      </c>
      <c r="L289" s="63">
        <v>0</v>
      </c>
      <c r="M289" s="63">
        <v>0</v>
      </c>
      <c r="N289" s="63">
        <v>0</v>
      </c>
      <c r="O289" s="63">
        <v>0</v>
      </c>
      <c r="P289" s="63">
        <v>0</v>
      </c>
      <c r="Q289" s="63">
        <v>111801822</v>
      </c>
      <c r="R289" s="474">
        <v>0.5</v>
      </c>
      <c r="S289" s="474">
        <v>0.49</v>
      </c>
      <c r="T289" s="474">
        <v>0</v>
      </c>
      <c r="U289" s="474">
        <v>0.01</v>
      </c>
      <c r="V289" s="474">
        <v>1</v>
      </c>
      <c r="W289" s="63">
        <v>55900911</v>
      </c>
      <c r="X289" s="63">
        <v>54782893</v>
      </c>
      <c r="Y289" s="63">
        <v>0</v>
      </c>
      <c r="Z289" s="63">
        <v>1118018</v>
      </c>
      <c r="AA289" s="63">
        <v>111801822</v>
      </c>
      <c r="AB289" s="63">
        <v>0</v>
      </c>
      <c r="AC289" s="63">
        <v>0</v>
      </c>
      <c r="AD289" s="63">
        <v>0</v>
      </c>
      <c r="AE289" s="63">
        <v>0</v>
      </c>
      <c r="AF289" s="63">
        <v>0</v>
      </c>
      <c r="AG289" s="63">
        <v>0</v>
      </c>
      <c r="AH289" s="63">
        <v>0</v>
      </c>
      <c r="AI289" s="63">
        <v>0</v>
      </c>
      <c r="AJ289" s="63">
        <v>0</v>
      </c>
      <c r="AK289" s="63">
        <v>0</v>
      </c>
      <c r="AL289" s="63">
        <v>55900911</v>
      </c>
      <c r="AM289" s="63">
        <v>54782893</v>
      </c>
      <c r="AN289" s="63">
        <v>0</v>
      </c>
      <c r="AO289" s="63">
        <v>1118018</v>
      </c>
      <c r="AP289" s="63">
        <v>111801822</v>
      </c>
      <c r="AQ289" s="63">
        <v>234481</v>
      </c>
      <c r="AR289" s="63">
        <v>234481</v>
      </c>
      <c r="AS289" s="63">
        <v>0</v>
      </c>
      <c r="AT289" s="63">
        <v>0</v>
      </c>
      <c r="AU289" s="63">
        <v>0</v>
      </c>
      <c r="AV289" s="63">
        <v>0</v>
      </c>
      <c r="AW289" s="63">
        <v>0</v>
      </c>
      <c r="AX289" s="63">
        <v>0</v>
      </c>
      <c r="AY289" s="63">
        <v>0</v>
      </c>
      <c r="AZ289" s="63">
        <v>0</v>
      </c>
      <c r="BA289" s="63">
        <v>0</v>
      </c>
      <c r="BB289" s="63">
        <v>0</v>
      </c>
      <c r="BC289" s="63">
        <v>0</v>
      </c>
      <c r="BD289" s="63">
        <v>0</v>
      </c>
      <c r="BE289" s="63">
        <v>0</v>
      </c>
      <c r="BF289" s="63">
        <v>0</v>
      </c>
      <c r="BG289" s="63">
        <v>0</v>
      </c>
      <c r="BH289" s="63">
        <v>-2880542</v>
      </c>
      <c r="BI289" s="63">
        <v>-2822932</v>
      </c>
      <c r="BJ289" s="63">
        <v>0</v>
      </c>
      <c r="BK289" s="63">
        <v>-57611</v>
      </c>
      <c r="BL289" s="63">
        <v>-5761085</v>
      </c>
      <c r="BM289" s="63">
        <v>53020369</v>
      </c>
      <c r="BN289" s="63">
        <v>52194442</v>
      </c>
      <c r="BO289" s="63">
        <v>0</v>
      </c>
      <c r="BP289" s="63">
        <v>1060407</v>
      </c>
      <c r="BQ289" s="63">
        <v>106275218</v>
      </c>
      <c r="BR289" s="63">
        <v>792315</v>
      </c>
      <c r="BS289" s="63">
        <v>0</v>
      </c>
      <c r="BT289" s="63">
        <v>16170</v>
      </c>
      <c r="BU289" s="63">
        <v>808485</v>
      </c>
      <c r="BV289" s="63">
        <v>569652</v>
      </c>
      <c r="BW289" s="63">
        <v>0</v>
      </c>
      <c r="BX289" s="63">
        <v>11626</v>
      </c>
      <c r="BY289" s="63">
        <v>581278</v>
      </c>
      <c r="BZ289" s="63">
        <v>6659</v>
      </c>
      <c r="CA289" s="63">
        <v>0</v>
      </c>
      <c r="CB289" s="63">
        <v>136</v>
      </c>
      <c r="CC289" s="63">
        <v>6795</v>
      </c>
      <c r="CD289" s="63">
        <v>0</v>
      </c>
      <c r="CE289" s="63">
        <v>0</v>
      </c>
      <c r="CF289" s="63">
        <v>0</v>
      </c>
      <c r="CG289" s="63">
        <v>0</v>
      </c>
      <c r="CH289" s="63">
        <v>0</v>
      </c>
      <c r="CI289" s="63">
        <v>0</v>
      </c>
      <c r="CJ289" s="63">
        <v>0</v>
      </c>
      <c r="CK289" s="63">
        <v>0</v>
      </c>
      <c r="CL289" s="63">
        <v>7769</v>
      </c>
      <c r="CM289" s="63">
        <v>0</v>
      </c>
      <c r="CN289" s="63">
        <v>159</v>
      </c>
      <c r="CO289" s="63">
        <v>7928</v>
      </c>
      <c r="CP289" s="63">
        <v>1376395</v>
      </c>
      <c r="CQ289" s="63">
        <v>0</v>
      </c>
      <c r="CR289" s="63">
        <v>28091</v>
      </c>
      <c r="CS289" s="63">
        <v>1404486</v>
      </c>
      <c r="CU289" s="141" t="s">
        <v>529</v>
      </c>
      <c r="CV289" s="157" t="s">
        <v>501</v>
      </c>
      <c r="CW289" s="156" t="s">
        <v>944</v>
      </c>
      <c r="CX289" s="345"/>
      <c r="CY289" s="345"/>
      <c r="CZ289" s="345"/>
    </row>
    <row r="290" spans="1:104" ht="12.75" x14ac:dyDescent="0.2">
      <c r="A290" s="90">
        <v>283</v>
      </c>
      <c r="B290" s="129" t="s">
        <v>414</v>
      </c>
      <c r="C290" s="130" t="s">
        <v>742</v>
      </c>
      <c r="D290" s="131" t="s">
        <v>743</v>
      </c>
      <c r="E290" s="132" t="s">
        <v>537</v>
      </c>
      <c r="F290" s="63">
        <v>53970002</v>
      </c>
      <c r="G290" s="63">
        <v>0</v>
      </c>
      <c r="H290" s="63">
        <v>0</v>
      </c>
      <c r="I290" s="63">
        <v>165827</v>
      </c>
      <c r="J290" s="63">
        <v>0</v>
      </c>
      <c r="K290" s="63">
        <v>165827</v>
      </c>
      <c r="L290" s="63">
        <v>0</v>
      </c>
      <c r="M290" s="63">
        <v>0</v>
      </c>
      <c r="N290" s="63">
        <v>0</v>
      </c>
      <c r="O290" s="63">
        <v>0</v>
      </c>
      <c r="P290" s="63">
        <v>0</v>
      </c>
      <c r="Q290" s="63">
        <v>53804175</v>
      </c>
      <c r="R290" s="474">
        <v>0.5</v>
      </c>
      <c r="S290" s="474">
        <v>0.4</v>
      </c>
      <c r="T290" s="474">
        <v>0.09</v>
      </c>
      <c r="U290" s="474">
        <v>0.01</v>
      </c>
      <c r="V290" s="474">
        <v>1</v>
      </c>
      <c r="W290" s="63">
        <v>26902087</v>
      </c>
      <c r="X290" s="63">
        <v>21521670</v>
      </c>
      <c r="Y290" s="63">
        <v>4842376</v>
      </c>
      <c r="Z290" s="63">
        <v>538042</v>
      </c>
      <c r="AA290" s="63">
        <v>53804175</v>
      </c>
      <c r="AB290" s="63">
        <v>0</v>
      </c>
      <c r="AC290" s="63">
        <v>0</v>
      </c>
      <c r="AD290" s="63">
        <v>0</v>
      </c>
      <c r="AE290" s="63">
        <v>0</v>
      </c>
      <c r="AF290" s="63">
        <v>0</v>
      </c>
      <c r="AG290" s="63">
        <v>0</v>
      </c>
      <c r="AH290" s="63">
        <v>0</v>
      </c>
      <c r="AI290" s="63">
        <v>0</v>
      </c>
      <c r="AJ290" s="63">
        <v>0</v>
      </c>
      <c r="AK290" s="63">
        <v>0</v>
      </c>
      <c r="AL290" s="63">
        <v>26902087</v>
      </c>
      <c r="AM290" s="63">
        <v>21521670</v>
      </c>
      <c r="AN290" s="63">
        <v>4842376</v>
      </c>
      <c r="AO290" s="63">
        <v>538042</v>
      </c>
      <c r="AP290" s="63">
        <v>53804175</v>
      </c>
      <c r="AQ290" s="63">
        <v>165827</v>
      </c>
      <c r="AR290" s="63">
        <v>165827</v>
      </c>
      <c r="AS290" s="63">
        <v>0</v>
      </c>
      <c r="AT290" s="63">
        <v>0</v>
      </c>
      <c r="AU290" s="63">
        <v>0</v>
      </c>
      <c r="AV290" s="63">
        <v>0</v>
      </c>
      <c r="AW290" s="63">
        <v>0</v>
      </c>
      <c r="AX290" s="63">
        <v>0</v>
      </c>
      <c r="AY290" s="63">
        <v>0</v>
      </c>
      <c r="AZ290" s="63">
        <v>0</v>
      </c>
      <c r="BA290" s="63">
        <v>0</v>
      </c>
      <c r="BB290" s="63">
        <v>0</v>
      </c>
      <c r="BC290" s="63">
        <v>0</v>
      </c>
      <c r="BD290" s="63">
        <v>0</v>
      </c>
      <c r="BE290" s="63">
        <v>0</v>
      </c>
      <c r="BF290" s="63">
        <v>0</v>
      </c>
      <c r="BG290" s="63">
        <v>0</v>
      </c>
      <c r="BH290" s="63">
        <v>-2486558</v>
      </c>
      <c r="BI290" s="63">
        <v>-1989247</v>
      </c>
      <c r="BJ290" s="63">
        <v>-447581</v>
      </c>
      <c r="BK290" s="63">
        <v>-49731</v>
      </c>
      <c r="BL290" s="63">
        <v>-4973117</v>
      </c>
      <c r="BM290" s="63">
        <v>24415529</v>
      </c>
      <c r="BN290" s="63">
        <v>19698250</v>
      </c>
      <c r="BO290" s="63">
        <v>4394795</v>
      </c>
      <c r="BP290" s="63">
        <v>488311</v>
      </c>
      <c r="BQ290" s="63">
        <v>48996885</v>
      </c>
      <c r="BR290" s="63">
        <v>311264</v>
      </c>
      <c r="BS290" s="63">
        <v>70034</v>
      </c>
      <c r="BT290" s="63">
        <v>7782</v>
      </c>
      <c r="BU290" s="63">
        <v>389080</v>
      </c>
      <c r="BV290" s="63">
        <v>371727</v>
      </c>
      <c r="BW290" s="63">
        <v>83639</v>
      </c>
      <c r="BX290" s="63">
        <v>9293</v>
      </c>
      <c r="BY290" s="63">
        <v>464659</v>
      </c>
      <c r="BZ290" s="63">
        <v>0</v>
      </c>
      <c r="CA290" s="63">
        <v>0</v>
      </c>
      <c r="CB290" s="63">
        <v>0</v>
      </c>
      <c r="CC290" s="63">
        <v>0</v>
      </c>
      <c r="CD290" s="63">
        <v>80512</v>
      </c>
      <c r="CE290" s="63">
        <v>18115</v>
      </c>
      <c r="CF290" s="63">
        <v>2013</v>
      </c>
      <c r="CG290" s="63">
        <v>100640</v>
      </c>
      <c r="CH290" s="63">
        <v>8371</v>
      </c>
      <c r="CI290" s="63">
        <v>1884</v>
      </c>
      <c r="CJ290" s="63">
        <v>209</v>
      </c>
      <c r="CK290" s="63">
        <v>10464</v>
      </c>
      <c r="CL290" s="63">
        <v>0</v>
      </c>
      <c r="CM290" s="63">
        <v>0</v>
      </c>
      <c r="CN290" s="63">
        <v>0</v>
      </c>
      <c r="CO290" s="63">
        <v>0</v>
      </c>
      <c r="CP290" s="63">
        <v>771874</v>
      </c>
      <c r="CQ290" s="63">
        <v>173672</v>
      </c>
      <c r="CR290" s="63">
        <v>19297</v>
      </c>
      <c r="CS290" s="63">
        <v>964843</v>
      </c>
      <c r="CU290" s="141" t="s">
        <v>537</v>
      </c>
      <c r="CV290" s="157" t="s">
        <v>934</v>
      </c>
      <c r="CW290" s="156" t="s">
        <v>935</v>
      </c>
      <c r="CX290" s="345"/>
      <c r="CY290" s="345"/>
      <c r="CZ290" s="345"/>
    </row>
    <row r="291" spans="1:104" ht="12.75" x14ac:dyDescent="0.2">
      <c r="A291" s="90">
        <v>284</v>
      </c>
      <c r="B291" s="129" t="s">
        <v>415</v>
      </c>
      <c r="C291" s="130" t="s">
        <v>501</v>
      </c>
      <c r="D291" s="131" t="s">
        <v>751</v>
      </c>
      <c r="E291" s="132" t="s">
        <v>523</v>
      </c>
      <c r="F291" s="63">
        <v>37513766</v>
      </c>
      <c r="G291" s="63">
        <v>0</v>
      </c>
      <c r="H291" s="63">
        <v>0</v>
      </c>
      <c r="I291" s="63">
        <v>201543</v>
      </c>
      <c r="J291" s="63">
        <v>0</v>
      </c>
      <c r="K291" s="63">
        <v>201543</v>
      </c>
      <c r="L291" s="63">
        <v>0</v>
      </c>
      <c r="M291" s="63">
        <v>0</v>
      </c>
      <c r="N291" s="63">
        <v>0</v>
      </c>
      <c r="O291" s="63">
        <v>0</v>
      </c>
      <c r="P291" s="63">
        <v>0</v>
      </c>
      <c r="Q291" s="63">
        <v>37312223</v>
      </c>
      <c r="R291" s="474">
        <v>0.5</v>
      </c>
      <c r="S291" s="474">
        <v>0.49</v>
      </c>
      <c r="T291" s="474">
        <v>0</v>
      </c>
      <c r="U291" s="474">
        <v>0.01</v>
      </c>
      <c r="V291" s="474">
        <v>1</v>
      </c>
      <c r="W291" s="63">
        <v>18656112</v>
      </c>
      <c r="X291" s="63">
        <v>18282989</v>
      </c>
      <c r="Y291" s="63">
        <v>0</v>
      </c>
      <c r="Z291" s="63">
        <v>373122</v>
      </c>
      <c r="AA291" s="63">
        <v>37312223</v>
      </c>
      <c r="AB291" s="63">
        <v>0</v>
      </c>
      <c r="AC291" s="63">
        <v>0</v>
      </c>
      <c r="AD291" s="63">
        <v>0</v>
      </c>
      <c r="AE291" s="63">
        <v>0</v>
      </c>
      <c r="AF291" s="63">
        <v>0</v>
      </c>
      <c r="AG291" s="63">
        <v>0</v>
      </c>
      <c r="AH291" s="63">
        <v>0</v>
      </c>
      <c r="AI291" s="63">
        <v>0</v>
      </c>
      <c r="AJ291" s="63">
        <v>0</v>
      </c>
      <c r="AK291" s="63">
        <v>0</v>
      </c>
      <c r="AL291" s="63">
        <v>18656112</v>
      </c>
      <c r="AM291" s="63">
        <v>18282989</v>
      </c>
      <c r="AN291" s="63">
        <v>0</v>
      </c>
      <c r="AO291" s="63">
        <v>373122</v>
      </c>
      <c r="AP291" s="63">
        <v>37312223</v>
      </c>
      <c r="AQ291" s="63">
        <v>201543</v>
      </c>
      <c r="AR291" s="63">
        <v>201543</v>
      </c>
      <c r="AS291" s="63">
        <v>0</v>
      </c>
      <c r="AT291" s="63">
        <v>0</v>
      </c>
      <c r="AU291" s="63">
        <v>0</v>
      </c>
      <c r="AV291" s="63">
        <v>0</v>
      </c>
      <c r="AW291" s="63">
        <v>0</v>
      </c>
      <c r="AX291" s="63">
        <v>0</v>
      </c>
      <c r="AY291" s="63">
        <v>0</v>
      </c>
      <c r="AZ291" s="63">
        <v>0</v>
      </c>
      <c r="BA291" s="63">
        <v>0</v>
      </c>
      <c r="BB291" s="63">
        <v>0</v>
      </c>
      <c r="BC291" s="63">
        <v>0</v>
      </c>
      <c r="BD291" s="63">
        <v>0</v>
      </c>
      <c r="BE291" s="63">
        <v>0</v>
      </c>
      <c r="BF291" s="63">
        <v>0</v>
      </c>
      <c r="BG291" s="63">
        <v>0</v>
      </c>
      <c r="BH291" s="63">
        <v>-998722</v>
      </c>
      <c r="BI291" s="63">
        <v>-978747</v>
      </c>
      <c r="BJ291" s="63">
        <v>0</v>
      </c>
      <c r="BK291" s="63">
        <v>-19974</v>
      </c>
      <c r="BL291" s="63">
        <v>-1997443</v>
      </c>
      <c r="BM291" s="63">
        <v>17657390</v>
      </c>
      <c r="BN291" s="63">
        <v>17505785</v>
      </c>
      <c r="BO291" s="63">
        <v>0</v>
      </c>
      <c r="BP291" s="63">
        <v>353148</v>
      </c>
      <c r="BQ291" s="63">
        <v>35516323</v>
      </c>
      <c r="BR291" s="63">
        <v>264423</v>
      </c>
      <c r="BS291" s="63">
        <v>0</v>
      </c>
      <c r="BT291" s="63">
        <v>5396</v>
      </c>
      <c r="BU291" s="63">
        <v>269819</v>
      </c>
      <c r="BV291" s="63">
        <v>1071008</v>
      </c>
      <c r="BW291" s="63">
        <v>0</v>
      </c>
      <c r="BX291" s="63">
        <v>21857</v>
      </c>
      <c r="BY291" s="63">
        <v>1092865</v>
      </c>
      <c r="BZ291" s="63">
        <v>0</v>
      </c>
      <c r="CA291" s="63">
        <v>0</v>
      </c>
      <c r="CB291" s="63">
        <v>0</v>
      </c>
      <c r="CC291" s="63">
        <v>0</v>
      </c>
      <c r="CD291" s="63">
        <v>29327</v>
      </c>
      <c r="CE291" s="63">
        <v>0</v>
      </c>
      <c r="CF291" s="63">
        <v>599</v>
      </c>
      <c r="CG291" s="63">
        <v>29926</v>
      </c>
      <c r="CH291" s="63">
        <v>25202</v>
      </c>
      <c r="CI291" s="63">
        <v>0</v>
      </c>
      <c r="CJ291" s="63">
        <v>514</v>
      </c>
      <c r="CK291" s="63">
        <v>25716</v>
      </c>
      <c r="CL291" s="63">
        <v>8794</v>
      </c>
      <c r="CM291" s="63">
        <v>0</v>
      </c>
      <c r="CN291" s="63">
        <v>179</v>
      </c>
      <c r="CO291" s="63">
        <v>8973</v>
      </c>
      <c r="CP291" s="63">
        <v>1398754</v>
      </c>
      <c r="CQ291" s="63">
        <v>0</v>
      </c>
      <c r="CR291" s="63">
        <v>28545</v>
      </c>
      <c r="CS291" s="63">
        <v>1427299</v>
      </c>
      <c r="CU291" s="141" t="s">
        <v>523</v>
      </c>
      <c r="CV291" s="157" t="s">
        <v>501</v>
      </c>
      <c r="CW291" s="156" t="s">
        <v>975</v>
      </c>
      <c r="CX291" s="345"/>
      <c r="CY291" s="345"/>
      <c r="CZ291" s="345"/>
    </row>
    <row r="292" spans="1:104" ht="12.75" x14ac:dyDescent="0.2">
      <c r="A292" s="90">
        <v>285</v>
      </c>
      <c r="B292" s="129" t="s">
        <v>417</v>
      </c>
      <c r="C292" s="130" t="s">
        <v>742</v>
      </c>
      <c r="D292" s="131" t="s">
        <v>751</v>
      </c>
      <c r="E292" s="132" t="s">
        <v>416</v>
      </c>
      <c r="F292" s="63">
        <v>11215082</v>
      </c>
      <c r="G292" s="63">
        <v>0</v>
      </c>
      <c r="H292" s="63">
        <v>0</v>
      </c>
      <c r="I292" s="63">
        <v>131975</v>
      </c>
      <c r="J292" s="63">
        <v>0</v>
      </c>
      <c r="K292" s="63">
        <v>131975</v>
      </c>
      <c r="L292" s="63">
        <v>0</v>
      </c>
      <c r="M292" s="63">
        <v>0</v>
      </c>
      <c r="N292" s="63">
        <v>542595</v>
      </c>
      <c r="O292" s="63">
        <v>542595</v>
      </c>
      <c r="P292" s="63">
        <v>0</v>
      </c>
      <c r="Q292" s="63">
        <v>10540512</v>
      </c>
      <c r="R292" s="474">
        <v>0.5</v>
      </c>
      <c r="S292" s="474">
        <v>0.4</v>
      </c>
      <c r="T292" s="474">
        <v>0.09</v>
      </c>
      <c r="U292" s="474">
        <v>0.01</v>
      </c>
      <c r="V292" s="474">
        <v>1</v>
      </c>
      <c r="W292" s="63">
        <v>5270256</v>
      </c>
      <c r="X292" s="63">
        <v>4216205</v>
      </c>
      <c r="Y292" s="63">
        <v>948646</v>
      </c>
      <c r="Z292" s="63">
        <v>105405</v>
      </c>
      <c r="AA292" s="63">
        <v>10540512</v>
      </c>
      <c r="AB292" s="63">
        <v>0</v>
      </c>
      <c r="AC292" s="63">
        <v>0</v>
      </c>
      <c r="AD292" s="63">
        <v>0</v>
      </c>
      <c r="AE292" s="63">
        <v>0</v>
      </c>
      <c r="AF292" s="63">
        <v>0</v>
      </c>
      <c r="AG292" s="63">
        <v>0</v>
      </c>
      <c r="AH292" s="63">
        <v>0</v>
      </c>
      <c r="AI292" s="63">
        <v>0</v>
      </c>
      <c r="AJ292" s="63">
        <v>0</v>
      </c>
      <c r="AK292" s="63">
        <v>0</v>
      </c>
      <c r="AL292" s="63">
        <v>5270256</v>
      </c>
      <c r="AM292" s="63">
        <v>4216205</v>
      </c>
      <c r="AN292" s="63">
        <v>948646</v>
      </c>
      <c r="AO292" s="63">
        <v>105405</v>
      </c>
      <c r="AP292" s="63">
        <v>10540512</v>
      </c>
      <c r="AQ292" s="63">
        <v>131975</v>
      </c>
      <c r="AR292" s="63">
        <v>131975</v>
      </c>
      <c r="AS292" s="63">
        <v>0</v>
      </c>
      <c r="AT292" s="63">
        <v>0</v>
      </c>
      <c r="AU292" s="63">
        <v>542595</v>
      </c>
      <c r="AV292" s="63">
        <v>0</v>
      </c>
      <c r="AW292" s="63">
        <v>542595</v>
      </c>
      <c r="AX292" s="63">
        <v>0</v>
      </c>
      <c r="AY292" s="63">
        <v>0</v>
      </c>
      <c r="AZ292" s="63">
        <v>0</v>
      </c>
      <c r="BA292" s="63">
        <v>0</v>
      </c>
      <c r="BB292" s="63">
        <v>0</v>
      </c>
      <c r="BC292" s="63">
        <v>0</v>
      </c>
      <c r="BD292" s="63">
        <v>0</v>
      </c>
      <c r="BE292" s="63">
        <v>0</v>
      </c>
      <c r="BF292" s="63">
        <v>0</v>
      </c>
      <c r="BG292" s="63">
        <v>0</v>
      </c>
      <c r="BH292" s="63">
        <v>-1031397</v>
      </c>
      <c r="BI292" s="63">
        <v>-825118</v>
      </c>
      <c r="BJ292" s="63">
        <v>-185651</v>
      </c>
      <c r="BK292" s="63">
        <v>-20628</v>
      </c>
      <c r="BL292" s="63">
        <v>-2062794</v>
      </c>
      <c r="BM292" s="63">
        <v>4238859</v>
      </c>
      <c r="BN292" s="63">
        <v>4065657</v>
      </c>
      <c r="BO292" s="63">
        <v>762995</v>
      </c>
      <c r="BP292" s="63">
        <v>84777</v>
      </c>
      <c r="BQ292" s="63">
        <v>9152288</v>
      </c>
      <c r="BR292" s="63">
        <v>68826</v>
      </c>
      <c r="BS292" s="63">
        <v>13720</v>
      </c>
      <c r="BT292" s="63">
        <v>1524</v>
      </c>
      <c r="BU292" s="63">
        <v>84070</v>
      </c>
      <c r="BV292" s="63">
        <v>595248</v>
      </c>
      <c r="BW292" s="63">
        <v>133931</v>
      </c>
      <c r="BX292" s="63">
        <v>14881</v>
      </c>
      <c r="BY292" s="63">
        <v>744060</v>
      </c>
      <c r="BZ292" s="63">
        <v>0</v>
      </c>
      <c r="CA292" s="63">
        <v>0</v>
      </c>
      <c r="CB292" s="63">
        <v>0</v>
      </c>
      <c r="CC292" s="63">
        <v>0</v>
      </c>
      <c r="CD292" s="63">
        <v>0</v>
      </c>
      <c r="CE292" s="63">
        <v>0</v>
      </c>
      <c r="CF292" s="63">
        <v>0</v>
      </c>
      <c r="CG292" s="63">
        <v>0</v>
      </c>
      <c r="CH292" s="63">
        <v>4009</v>
      </c>
      <c r="CI292" s="63">
        <v>902</v>
      </c>
      <c r="CJ292" s="63">
        <v>100</v>
      </c>
      <c r="CK292" s="63">
        <v>5011</v>
      </c>
      <c r="CL292" s="63">
        <v>3477</v>
      </c>
      <c r="CM292" s="63">
        <v>782</v>
      </c>
      <c r="CN292" s="63">
        <v>87</v>
      </c>
      <c r="CO292" s="63">
        <v>4346</v>
      </c>
      <c r="CP292" s="63">
        <v>671560</v>
      </c>
      <c r="CQ292" s="63">
        <v>149335</v>
      </c>
      <c r="CR292" s="63">
        <v>16592</v>
      </c>
      <c r="CS292" s="63">
        <v>837487</v>
      </c>
      <c r="CU292" s="141" t="s">
        <v>416</v>
      </c>
      <c r="CV292" s="157" t="s">
        <v>974</v>
      </c>
      <c r="CW292" s="156" t="s">
        <v>975</v>
      </c>
      <c r="CX292" s="345"/>
      <c r="CY292" s="345"/>
      <c r="CZ292" s="345"/>
    </row>
    <row r="293" spans="1:104" ht="12.75" x14ac:dyDescent="0.2">
      <c r="A293" s="90">
        <v>286</v>
      </c>
      <c r="B293" s="129" t="s">
        <v>419</v>
      </c>
      <c r="C293" s="130" t="s">
        <v>754</v>
      </c>
      <c r="D293" s="131" t="s">
        <v>748</v>
      </c>
      <c r="E293" s="132" t="s">
        <v>418</v>
      </c>
      <c r="F293" s="63">
        <v>394901164</v>
      </c>
      <c r="G293" s="63">
        <v>0</v>
      </c>
      <c r="H293" s="63">
        <v>0</v>
      </c>
      <c r="I293" s="63">
        <v>962576</v>
      </c>
      <c r="J293" s="63">
        <v>0</v>
      </c>
      <c r="K293" s="63">
        <v>962576</v>
      </c>
      <c r="L293" s="63">
        <v>0</v>
      </c>
      <c r="M293" s="63">
        <v>0</v>
      </c>
      <c r="N293" s="63">
        <v>0</v>
      </c>
      <c r="O293" s="63">
        <v>0</v>
      </c>
      <c r="P293" s="63">
        <v>0</v>
      </c>
      <c r="Q293" s="63">
        <v>393938588</v>
      </c>
      <c r="R293" s="474">
        <v>0.5</v>
      </c>
      <c r="S293" s="474">
        <v>0.3</v>
      </c>
      <c r="T293" s="474">
        <v>0.2</v>
      </c>
      <c r="U293" s="474">
        <v>0</v>
      </c>
      <c r="V293" s="474">
        <v>1</v>
      </c>
      <c r="W293" s="63">
        <v>196969294</v>
      </c>
      <c r="X293" s="63">
        <v>118181576</v>
      </c>
      <c r="Y293" s="63">
        <v>78787718</v>
      </c>
      <c r="Z293" s="63">
        <v>0</v>
      </c>
      <c r="AA293" s="63">
        <v>393938588</v>
      </c>
      <c r="AB293" s="63">
        <v>0</v>
      </c>
      <c r="AC293" s="63">
        <v>0</v>
      </c>
      <c r="AD293" s="63">
        <v>0</v>
      </c>
      <c r="AE293" s="63">
        <v>0</v>
      </c>
      <c r="AF293" s="63">
        <v>0</v>
      </c>
      <c r="AG293" s="63">
        <v>0</v>
      </c>
      <c r="AH293" s="63">
        <v>0</v>
      </c>
      <c r="AI293" s="63">
        <v>0</v>
      </c>
      <c r="AJ293" s="63">
        <v>0</v>
      </c>
      <c r="AK293" s="63">
        <v>0</v>
      </c>
      <c r="AL293" s="63">
        <v>196969294</v>
      </c>
      <c r="AM293" s="63">
        <v>118181576</v>
      </c>
      <c r="AN293" s="63">
        <v>78787718</v>
      </c>
      <c r="AO293" s="63">
        <v>0</v>
      </c>
      <c r="AP293" s="63">
        <v>393938588</v>
      </c>
      <c r="AQ293" s="63">
        <v>962576</v>
      </c>
      <c r="AR293" s="63">
        <v>962576</v>
      </c>
      <c r="AS293" s="63">
        <v>0</v>
      </c>
      <c r="AT293" s="63">
        <v>0</v>
      </c>
      <c r="AU293" s="63">
        <v>0</v>
      </c>
      <c r="AV293" s="63">
        <v>0</v>
      </c>
      <c r="AW293" s="63">
        <v>0</v>
      </c>
      <c r="AX293" s="63">
        <v>0</v>
      </c>
      <c r="AY293" s="63">
        <v>0</v>
      </c>
      <c r="AZ293" s="63">
        <v>0</v>
      </c>
      <c r="BA293" s="63">
        <v>0</v>
      </c>
      <c r="BB293" s="63">
        <v>0</v>
      </c>
      <c r="BC293" s="63">
        <v>0</v>
      </c>
      <c r="BD293" s="63">
        <v>0</v>
      </c>
      <c r="BE293" s="63">
        <v>0</v>
      </c>
      <c r="BF293" s="63">
        <v>0</v>
      </c>
      <c r="BG293" s="63">
        <v>0</v>
      </c>
      <c r="BH293" s="63">
        <v>1012716</v>
      </c>
      <c r="BI293" s="63">
        <v>607630</v>
      </c>
      <c r="BJ293" s="63">
        <v>405087</v>
      </c>
      <c r="BK293" s="63">
        <v>0</v>
      </c>
      <c r="BL293" s="63">
        <v>2025433</v>
      </c>
      <c r="BM293" s="63">
        <v>197982010</v>
      </c>
      <c r="BN293" s="63">
        <v>119751782</v>
      </c>
      <c r="BO293" s="63">
        <v>79192805</v>
      </c>
      <c r="BP293" s="63">
        <v>0</v>
      </c>
      <c r="BQ293" s="63">
        <v>396926597</v>
      </c>
      <c r="BR293" s="63">
        <v>1709238</v>
      </c>
      <c r="BS293" s="63">
        <v>1139492</v>
      </c>
      <c r="BT293" s="63">
        <v>0</v>
      </c>
      <c r="BU293" s="63">
        <v>2848730</v>
      </c>
      <c r="BV293" s="63">
        <v>982174</v>
      </c>
      <c r="BW293" s="63">
        <v>654782</v>
      </c>
      <c r="BX293" s="63">
        <v>0</v>
      </c>
      <c r="BY293" s="63">
        <v>1636956</v>
      </c>
      <c r="BZ293" s="63">
        <v>0</v>
      </c>
      <c r="CA293" s="63">
        <v>0</v>
      </c>
      <c r="CB293" s="63">
        <v>0</v>
      </c>
      <c r="CC293" s="63">
        <v>0</v>
      </c>
      <c r="CD293" s="63">
        <v>4411</v>
      </c>
      <c r="CE293" s="63">
        <v>2941</v>
      </c>
      <c r="CF293" s="63">
        <v>0</v>
      </c>
      <c r="CG293" s="63">
        <v>7352</v>
      </c>
      <c r="CH293" s="63">
        <v>7807</v>
      </c>
      <c r="CI293" s="63">
        <v>5205</v>
      </c>
      <c r="CJ293" s="63">
        <v>0</v>
      </c>
      <c r="CK293" s="63">
        <v>13012</v>
      </c>
      <c r="CL293" s="63">
        <v>24699</v>
      </c>
      <c r="CM293" s="63">
        <v>16467</v>
      </c>
      <c r="CN293" s="63">
        <v>0</v>
      </c>
      <c r="CO293" s="63">
        <v>41166</v>
      </c>
      <c r="CP293" s="63">
        <v>2728329</v>
      </c>
      <c r="CQ293" s="63">
        <v>1818887</v>
      </c>
      <c r="CR293" s="63">
        <v>0</v>
      </c>
      <c r="CS293" s="63">
        <v>4547216</v>
      </c>
      <c r="CU293" s="141" t="s">
        <v>418</v>
      </c>
      <c r="CV293" s="157" t="s">
        <v>939</v>
      </c>
      <c r="CW293" s="157" t="s">
        <v>940</v>
      </c>
      <c r="CX293" s="345"/>
      <c r="CY293" s="345"/>
      <c r="CZ293" s="345"/>
    </row>
    <row r="294" spans="1:104" ht="12.75" x14ac:dyDescent="0.2">
      <c r="A294" s="90">
        <v>287</v>
      </c>
      <c r="B294" s="129" t="s">
        <v>421</v>
      </c>
      <c r="C294" s="130" t="s">
        <v>749</v>
      </c>
      <c r="D294" s="131" t="s">
        <v>744</v>
      </c>
      <c r="E294" s="132" t="s">
        <v>420</v>
      </c>
      <c r="F294" s="63">
        <v>170639781</v>
      </c>
      <c r="G294" s="63">
        <v>0</v>
      </c>
      <c r="H294" s="63">
        <v>0</v>
      </c>
      <c r="I294" s="63">
        <v>460679</v>
      </c>
      <c r="J294" s="63">
        <v>0</v>
      </c>
      <c r="K294" s="63">
        <v>460679</v>
      </c>
      <c r="L294" s="63">
        <v>0</v>
      </c>
      <c r="M294" s="63">
        <v>0</v>
      </c>
      <c r="N294" s="63">
        <v>77532</v>
      </c>
      <c r="O294" s="63">
        <v>77532</v>
      </c>
      <c r="P294" s="63">
        <v>0</v>
      </c>
      <c r="Q294" s="63">
        <v>170101570</v>
      </c>
      <c r="R294" s="474">
        <v>0.5</v>
      </c>
      <c r="S294" s="474">
        <v>0.49</v>
      </c>
      <c r="T294" s="474">
        <v>0</v>
      </c>
      <c r="U294" s="474">
        <v>0.01</v>
      </c>
      <c r="V294" s="474">
        <v>1</v>
      </c>
      <c r="W294" s="63">
        <v>85050785</v>
      </c>
      <c r="X294" s="63">
        <v>83349769</v>
      </c>
      <c r="Y294" s="63">
        <v>0</v>
      </c>
      <c r="Z294" s="63">
        <v>1701016</v>
      </c>
      <c r="AA294" s="63">
        <v>170101570</v>
      </c>
      <c r="AB294" s="63">
        <v>0</v>
      </c>
      <c r="AC294" s="63">
        <v>0</v>
      </c>
      <c r="AD294" s="63">
        <v>0</v>
      </c>
      <c r="AE294" s="63">
        <v>0</v>
      </c>
      <c r="AF294" s="63">
        <v>0</v>
      </c>
      <c r="AG294" s="63">
        <v>0</v>
      </c>
      <c r="AH294" s="63">
        <v>0</v>
      </c>
      <c r="AI294" s="63">
        <v>0</v>
      </c>
      <c r="AJ294" s="63">
        <v>0</v>
      </c>
      <c r="AK294" s="63">
        <v>0</v>
      </c>
      <c r="AL294" s="63">
        <v>85050785</v>
      </c>
      <c r="AM294" s="63">
        <v>83349769</v>
      </c>
      <c r="AN294" s="63">
        <v>0</v>
      </c>
      <c r="AO294" s="63">
        <v>1701016</v>
      </c>
      <c r="AP294" s="63">
        <v>170101570</v>
      </c>
      <c r="AQ294" s="63">
        <v>460679</v>
      </c>
      <c r="AR294" s="63">
        <v>460679</v>
      </c>
      <c r="AS294" s="63">
        <v>0</v>
      </c>
      <c r="AT294" s="63">
        <v>0</v>
      </c>
      <c r="AU294" s="63">
        <v>77532</v>
      </c>
      <c r="AV294" s="63">
        <v>0</v>
      </c>
      <c r="AW294" s="63">
        <v>77532</v>
      </c>
      <c r="AX294" s="63">
        <v>0</v>
      </c>
      <c r="AY294" s="63">
        <v>0</v>
      </c>
      <c r="AZ294" s="63">
        <v>0</v>
      </c>
      <c r="BA294" s="63">
        <v>0</v>
      </c>
      <c r="BB294" s="63">
        <v>0</v>
      </c>
      <c r="BC294" s="63">
        <v>0</v>
      </c>
      <c r="BD294" s="63">
        <v>0</v>
      </c>
      <c r="BE294" s="63">
        <v>0</v>
      </c>
      <c r="BF294" s="63">
        <v>0</v>
      </c>
      <c r="BG294" s="63">
        <v>0</v>
      </c>
      <c r="BH294" s="63">
        <v>16778</v>
      </c>
      <c r="BI294" s="63">
        <v>16442</v>
      </c>
      <c r="BJ294" s="63">
        <v>0</v>
      </c>
      <c r="BK294" s="63">
        <v>336</v>
      </c>
      <c r="BL294" s="63">
        <v>33556</v>
      </c>
      <c r="BM294" s="63">
        <v>85067563</v>
      </c>
      <c r="BN294" s="63">
        <v>83904422</v>
      </c>
      <c r="BO294" s="63">
        <v>0</v>
      </c>
      <c r="BP294" s="63">
        <v>1701352</v>
      </c>
      <c r="BQ294" s="63">
        <v>170673337</v>
      </c>
      <c r="BR294" s="63">
        <v>1206593</v>
      </c>
      <c r="BS294" s="63">
        <v>0</v>
      </c>
      <c r="BT294" s="63">
        <v>24601</v>
      </c>
      <c r="BU294" s="63">
        <v>1231194</v>
      </c>
      <c r="BV294" s="63">
        <v>1102579</v>
      </c>
      <c r="BW294" s="63">
        <v>0</v>
      </c>
      <c r="BX294" s="63">
        <v>22502</v>
      </c>
      <c r="BY294" s="63">
        <v>1125081</v>
      </c>
      <c r="BZ294" s="63">
        <v>0</v>
      </c>
      <c r="CA294" s="63">
        <v>0</v>
      </c>
      <c r="CB294" s="63">
        <v>0</v>
      </c>
      <c r="CC294" s="63">
        <v>0</v>
      </c>
      <c r="CD294" s="63">
        <v>0</v>
      </c>
      <c r="CE294" s="63">
        <v>0</v>
      </c>
      <c r="CF294" s="63">
        <v>0</v>
      </c>
      <c r="CG294" s="63">
        <v>0</v>
      </c>
      <c r="CH294" s="63">
        <v>24691</v>
      </c>
      <c r="CI294" s="63">
        <v>0</v>
      </c>
      <c r="CJ294" s="63">
        <v>504</v>
      </c>
      <c r="CK294" s="63">
        <v>25195</v>
      </c>
      <c r="CL294" s="63">
        <v>1752</v>
      </c>
      <c r="CM294" s="63">
        <v>0</v>
      </c>
      <c r="CN294" s="63">
        <v>36</v>
      </c>
      <c r="CO294" s="63">
        <v>1788</v>
      </c>
      <c r="CP294" s="63">
        <v>2335615</v>
      </c>
      <c r="CQ294" s="63">
        <v>0</v>
      </c>
      <c r="CR294" s="63">
        <v>47643</v>
      </c>
      <c r="CS294" s="63">
        <v>2383258</v>
      </c>
      <c r="CU294" s="141" t="s">
        <v>420</v>
      </c>
      <c r="CV294" s="157" t="s">
        <v>941</v>
      </c>
      <c r="CW294" s="156" t="s">
        <v>953</v>
      </c>
      <c r="CX294" s="345"/>
      <c r="CY294" s="345"/>
      <c r="CZ294" s="345"/>
    </row>
    <row r="295" spans="1:104" ht="12.75" x14ac:dyDescent="0.2">
      <c r="A295" s="90">
        <v>288</v>
      </c>
      <c r="B295" s="129" t="s">
        <v>423</v>
      </c>
      <c r="C295" s="130" t="s">
        <v>742</v>
      </c>
      <c r="D295" s="131" t="s">
        <v>743</v>
      </c>
      <c r="E295" s="132" t="s">
        <v>422</v>
      </c>
      <c r="F295" s="63">
        <v>52611802</v>
      </c>
      <c r="G295" s="63">
        <v>0</v>
      </c>
      <c r="H295" s="63">
        <v>0</v>
      </c>
      <c r="I295" s="63">
        <v>176880</v>
      </c>
      <c r="J295" s="63">
        <v>0</v>
      </c>
      <c r="K295" s="63">
        <v>176880</v>
      </c>
      <c r="L295" s="63">
        <v>0</v>
      </c>
      <c r="M295" s="63">
        <v>0</v>
      </c>
      <c r="N295" s="63">
        <v>0</v>
      </c>
      <c r="O295" s="63">
        <v>0</v>
      </c>
      <c r="P295" s="63">
        <v>0</v>
      </c>
      <c r="Q295" s="63">
        <v>52434922</v>
      </c>
      <c r="R295" s="474">
        <v>0.5</v>
      </c>
      <c r="S295" s="474">
        <v>0.4</v>
      </c>
      <c r="T295" s="474">
        <v>0.09</v>
      </c>
      <c r="U295" s="474">
        <v>0.01</v>
      </c>
      <c r="V295" s="474">
        <v>1</v>
      </c>
      <c r="W295" s="63">
        <v>26217461</v>
      </c>
      <c r="X295" s="63">
        <v>20973969</v>
      </c>
      <c r="Y295" s="63">
        <v>4719143</v>
      </c>
      <c r="Z295" s="63">
        <v>524349</v>
      </c>
      <c r="AA295" s="63">
        <v>52434922</v>
      </c>
      <c r="AB295" s="63">
        <v>0</v>
      </c>
      <c r="AC295" s="63">
        <v>0</v>
      </c>
      <c r="AD295" s="63">
        <v>0</v>
      </c>
      <c r="AE295" s="63">
        <v>0</v>
      </c>
      <c r="AF295" s="63">
        <v>0</v>
      </c>
      <c r="AG295" s="63">
        <v>0</v>
      </c>
      <c r="AH295" s="63">
        <v>0</v>
      </c>
      <c r="AI295" s="63">
        <v>0</v>
      </c>
      <c r="AJ295" s="63">
        <v>0</v>
      </c>
      <c r="AK295" s="63">
        <v>0</v>
      </c>
      <c r="AL295" s="63">
        <v>26217461</v>
      </c>
      <c r="AM295" s="63">
        <v>20973969</v>
      </c>
      <c r="AN295" s="63">
        <v>4719143</v>
      </c>
      <c r="AO295" s="63">
        <v>524349</v>
      </c>
      <c r="AP295" s="63">
        <v>52434922</v>
      </c>
      <c r="AQ295" s="63">
        <v>176880</v>
      </c>
      <c r="AR295" s="63">
        <v>176880</v>
      </c>
      <c r="AS295" s="63">
        <v>0</v>
      </c>
      <c r="AT295" s="63">
        <v>0</v>
      </c>
      <c r="AU295" s="63">
        <v>0</v>
      </c>
      <c r="AV295" s="63">
        <v>0</v>
      </c>
      <c r="AW295" s="63">
        <v>0</v>
      </c>
      <c r="AX295" s="63">
        <v>0</v>
      </c>
      <c r="AY295" s="63">
        <v>0</v>
      </c>
      <c r="AZ295" s="63">
        <v>0</v>
      </c>
      <c r="BA295" s="63">
        <v>0</v>
      </c>
      <c r="BB295" s="63">
        <v>0</v>
      </c>
      <c r="BC295" s="63">
        <v>0</v>
      </c>
      <c r="BD295" s="63">
        <v>0</v>
      </c>
      <c r="BE295" s="63">
        <v>0</v>
      </c>
      <c r="BF295" s="63">
        <v>0</v>
      </c>
      <c r="BG295" s="63">
        <v>0</v>
      </c>
      <c r="BH295" s="63">
        <v>-79500</v>
      </c>
      <c r="BI295" s="63">
        <v>-63600</v>
      </c>
      <c r="BJ295" s="63">
        <v>-14310</v>
      </c>
      <c r="BK295" s="63">
        <v>-1590</v>
      </c>
      <c r="BL295" s="63">
        <v>-159000</v>
      </c>
      <c r="BM295" s="63">
        <v>26137961</v>
      </c>
      <c r="BN295" s="63">
        <v>21087249</v>
      </c>
      <c r="BO295" s="63">
        <v>4704833</v>
      </c>
      <c r="BP295" s="63">
        <v>522759</v>
      </c>
      <c r="BQ295" s="63">
        <v>52452802</v>
      </c>
      <c r="BR295" s="63">
        <v>303343</v>
      </c>
      <c r="BS295" s="63">
        <v>68252</v>
      </c>
      <c r="BT295" s="63">
        <v>7584</v>
      </c>
      <c r="BU295" s="63">
        <v>379179</v>
      </c>
      <c r="BV295" s="63">
        <v>484968</v>
      </c>
      <c r="BW295" s="63">
        <v>109118</v>
      </c>
      <c r="BX295" s="63">
        <v>12124</v>
      </c>
      <c r="BY295" s="63">
        <v>606210</v>
      </c>
      <c r="BZ295" s="63">
        <v>1347</v>
      </c>
      <c r="CA295" s="63">
        <v>303</v>
      </c>
      <c r="CB295" s="63">
        <v>34</v>
      </c>
      <c r="CC295" s="63">
        <v>1684</v>
      </c>
      <c r="CD295" s="63">
        <v>0</v>
      </c>
      <c r="CE295" s="63">
        <v>0</v>
      </c>
      <c r="CF295" s="63">
        <v>0</v>
      </c>
      <c r="CG295" s="63">
        <v>0</v>
      </c>
      <c r="CH295" s="63">
        <v>12135</v>
      </c>
      <c r="CI295" s="63">
        <v>2730</v>
      </c>
      <c r="CJ295" s="63">
        <v>303</v>
      </c>
      <c r="CK295" s="63">
        <v>15168</v>
      </c>
      <c r="CL295" s="63">
        <v>2781</v>
      </c>
      <c r="CM295" s="63">
        <v>625</v>
      </c>
      <c r="CN295" s="63">
        <v>69</v>
      </c>
      <c r="CO295" s="63">
        <v>3475</v>
      </c>
      <c r="CP295" s="63">
        <v>804574</v>
      </c>
      <c r="CQ295" s="63">
        <v>181028</v>
      </c>
      <c r="CR295" s="63">
        <v>20114</v>
      </c>
      <c r="CS295" s="63">
        <v>1005716</v>
      </c>
      <c r="CU295" s="141" t="s">
        <v>422</v>
      </c>
      <c r="CV295" s="157" t="s">
        <v>934</v>
      </c>
      <c r="CW295" s="156" t="s">
        <v>935</v>
      </c>
      <c r="CX295" s="345"/>
      <c r="CY295" s="345"/>
      <c r="CZ295" s="345"/>
    </row>
    <row r="296" spans="1:104" ht="12.75" x14ac:dyDescent="0.2">
      <c r="A296" s="90">
        <v>289</v>
      </c>
      <c r="B296" s="129" t="s">
        <v>425</v>
      </c>
      <c r="C296" s="130" t="s">
        <v>742</v>
      </c>
      <c r="D296" s="131" t="s">
        <v>746</v>
      </c>
      <c r="E296" s="132" t="s">
        <v>424</v>
      </c>
      <c r="F296" s="63">
        <v>43305960</v>
      </c>
      <c r="G296" s="63">
        <v>0</v>
      </c>
      <c r="H296" s="63">
        <v>0</v>
      </c>
      <c r="I296" s="63">
        <v>137627</v>
      </c>
      <c r="J296" s="63">
        <v>0</v>
      </c>
      <c r="K296" s="63">
        <v>137627</v>
      </c>
      <c r="L296" s="63">
        <v>0</v>
      </c>
      <c r="M296" s="63">
        <v>0</v>
      </c>
      <c r="N296" s="63">
        <v>133817</v>
      </c>
      <c r="O296" s="63">
        <v>133817</v>
      </c>
      <c r="P296" s="63">
        <v>0</v>
      </c>
      <c r="Q296" s="63">
        <v>43034516</v>
      </c>
      <c r="R296" s="474">
        <v>0.5</v>
      </c>
      <c r="S296" s="474">
        <v>0.4</v>
      </c>
      <c r="T296" s="474">
        <v>0.09</v>
      </c>
      <c r="U296" s="474">
        <v>0.01</v>
      </c>
      <c r="V296" s="474">
        <v>1</v>
      </c>
      <c r="W296" s="63">
        <v>21517259</v>
      </c>
      <c r="X296" s="63">
        <v>17213806</v>
      </c>
      <c r="Y296" s="63">
        <v>3873106</v>
      </c>
      <c r="Z296" s="63">
        <v>430345</v>
      </c>
      <c r="AA296" s="63">
        <v>43034516</v>
      </c>
      <c r="AB296" s="63">
        <v>0</v>
      </c>
      <c r="AC296" s="63">
        <v>0</v>
      </c>
      <c r="AD296" s="63">
        <v>0</v>
      </c>
      <c r="AE296" s="63">
        <v>0</v>
      </c>
      <c r="AF296" s="63">
        <v>0</v>
      </c>
      <c r="AG296" s="63">
        <v>0</v>
      </c>
      <c r="AH296" s="63">
        <v>0</v>
      </c>
      <c r="AI296" s="63">
        <v>0</v>
      </c>
      <c r="AJ296" s="63">
        <v>0</v>
      </c>
      <c r="AK296" s="63">
        <v>0</v>
      </c>
      <c r="AL296" s="63">
        <v>21517259</v>
      </c>
      <c r="AM296" s="63">
        <v>17213806</v>
      </c>
      <c r="AN296" s="63">
        <v>3873106</v>
      </c>
      <c r="AO296" s="63">
        <v>430345</v>
      </c>
      <c r="AP296" s="63">
        <v>43034516</v>
      </c>
      <c r="AQ296" s="63">
        <v>137627</v>
      </c>
      <c r="AR296" s="63">
        <v>137627</v>
      </c>
      <c r="AS296" s="63">
        <v>0</v>
      </c>
      <c r="AT296" s="63">
        <v>0</v>
      </c>
      <c r="AU296" s="63">
        <v>133817</v>
      </c>
      <c r="AV296" s="63">
        <v>0</v>
      </c>
      <c r="AW296" s="63">
        <v>133817</v>
      </c>
      <c r="AX296" s="63">
        <v>0</v>
      </c>
      <c r="AY296" s="63">
        <v>0</v>
      </c>
      <c r="AZ296" s="63">
        <v>0</v>
      </c>
      <c r="BA296" s="63">
        <v>0</v>
      </c>
      <c r="BB296" s="63">
        <v>0</v>
      </c>
      <c r="BC296" s="63">
        <v>0</v>
      </c>
      <c r="BD296" s="63">
        <v>0</v>
      </c>
      <c r="BE296" s="63">
        <v>0</v>
      </c>
      <c r="BF296" s="63">
        <v>0</v>
      </c>
      <c r="BG296" s="63">
        <v>0</v>
      </c>
      <c r="BH296" s="63">
        <v>288291</v>
      </c>
      <c r="BI296" s="63">
        <v>230634</v>
      </c>
      <c r="BJ296" s="63">
        <v>51893</v>
      </c>
      <c r="BK296" s="63">
        <v>5766</v>
      </c>
      <c r="BL296" s="63">
        <v>576584</v>
      </c>
      <c r="BM296" s="63">
        <v>21805550</v>
      </c>
      <c r="BN296" s="63">
        <v>17715884</v>
      </c>
      <c r="BO296" s="63">
        <v>3924999</v>
      </c>
      <c r="BP296" s="63">
        <v>436111</v>
      </c>
      <c r="BQ296" s="63">
        <v>43882544</v>
      </c>
      <c r="BR296" s="63">
        <v>250895</v>
      </c>
      <c r="BS296" s="63">
        <v>56016</v>
      </c>
      <c r="BT296" s="63">
        <v>6224</v>
      </c>
      <c r="BU296" s="63">
        <v>313135</v>
      </c>
      <c r="BV296" s="63">
        <v>401956</v>
      </c>
      <c r="BW296" s="63">
        <v>90440</v>
      </c>
      <c r="BX296" s="63">
        <v>10049</v>
      </c>
      <c r="BY296" s="63">
        <v>502445</v>
      </c>
      <c r="BZ296" s="63">
        <v>2153</v>
      </c>
      <c r="CA296" s="63">
        <v>484</v>
      </c>
      <c r="CB296" s="63">
        <v>54</v>
      </c>
      <c r="CC296" s="63">
        <v>2691</v>
      </c>
      <c r="CD296" s="63">
        <v>0</v>
      </c>
      <c r="CE296" s="63">
        <v>0</v>
      </c>
      <c r="CF296" s="63">
        <v>0</v>
      </c>
      <c r="CG296" s="63">
        <v>0</v>
      </c>
      <c r="CH296" s="63">
        <v>2017</v>
      </c>
      <c r="CI296" s="63">
        <v>454</v>
      </c>
      <c r="CJ296" s="63">
        <v>50</v>
      </c>
      <c r="CK296" s="63">
        <v>2521</v>
      </c>
      <c r="CL296" s="63">
        <v>4869</v>
      </c>
      <c r="CM296" s="63">
        <v>1096</v>
      </c>
      <c r="CN296" s="63">
        <v>122</v>
      </c>
      <c r="CO296" s="63">
        <v>6087</v>
      </c>
      <c r="CP296" s="63">
        <v>661890</v>
      </c>
      <c r="CQ296" s="63">
        <v>148490</v>
      </c>
      <c r="CR296" s="63">
        <v>16499</v>
      </c>
      <c r="CS296" s="63">
        <v>826879</v>
      </c>
      <c r="CU296" s="141" t="s">
        <v>424</v>
      </c>
      <c r="CV296" s="157" t="s">
        <v>943</v>
      </c>
      <c r="CW296" s="156" t="s">
        <v>944</v>
      </c>
      <c r="CX296" s="345"/>
      <c r="CY296" s="345"/>
      <c r="CZ296" s="345"/>
    </row>
    <row r="297" spans="1:104" ht="12.75" x14ac:dyDescent="0.2">
      <c r="A297" s="90">
        <v>290</v>
      </c>
      <c r="B297" s="129" t="s">
        <v>427</v>
      </c>
      <c r="C297" s="130" t="s">
        <v>742</v>
      </c>
      <c r="D297" s="131" t="s">
        <v>743</v>
      </c>
      <c r="E297" s="132" t="s">
        <v>426</v>
      </c>
      <c r="F297" s="63">
        <v>58475854</v>
      </c>
      <c r="G297" s="63">
        <v>0</v>
      </c>
      <c r="H297" s="63">
        <v>0</v>
      </c>
      <c r="I297" s="63">
        <v>184498</v>
      </c>
      <c r="J297" s="63">
        <v>0</v>
      </c>
      <c r="K297" s="63">
        <v>184498</v>
      </c>
      <c r="L297" s="63">
        <v>0</v>
      </c>
      <c r="M297" s="63">
        <v>1381480</v>
      </c>
      <c r="N297" s="63">
        <v>237069</v>
      </c>
      <c r="O297" s="63">
        <v>237069</v>
      </c>
      <c r="P297" s="63">
        <v>0</v>
      </c>
      <c r="Q297" s="63">
        <v>56672807</v>
      </c>
      <c r="R297" s="474">
        <v>0.5</v>
      </c>
      <c r="S297" s="474">
        <v>0.4</v>
      </c>
      <c r="T297" s="474">
        <v>0.1</v>
      </c>
      <c r="U297" s="474">
        <v>0</v>
      </c>
      <c r="V297" s="474">
        <v>1</v>
      </c>
      <c r="W297" s="63">
        <v>28336403</v>
      </c>
      <c r="X297" s="63">
        <v>22669123</v>
      </c>
      <c r="Y297" s="63">
        <v>5667281</v>
      </c>
      <c r="Z297" s="63">
        <v>0</v>
      </c>
      <c r="AA297" s="63">
        <v>56672807</v>
      </c>
      <c r="AB297" s="63">
        <v>521956</v>
      </c>
      <c r="AC297" s="63">
        <v>0</v>
      </c>
      <c r="AD297" s="63">
        <v>0</v>
      </c>
      <c r="AE297" s="63">
        <v>0</v>
      </c>
      <c r="AF297" s="63">
        <v>521956</v>
      </c>
      <c r="AG297" s="63">
        <v>0</v>
      </c>
      <c r="AH297" s="63">
        <v>0</v>
      </c>
      <c r="AI297" s="63">
        <v>0</v>
      </c>
      <c r="AJ297" s="63">
        <v>0</v>
      </c>
      <c r="AK297" s="63">
        <v>0</v>
      </c>
      <c r="AL297" s="63">
        <v>27814447</v>
      </c>
      <c r="AM297" s="63">
        <v>22669123</v>
      </c>
      <c r="AN297" s="63">
        <v>5667281</v>
      </c>
      <c r="AO297" s="63">
        <v>0</v>
      </c>
      <c r="AP297" s="63">
        <v>56150851</v>
      </c>
      <c r="AQ297" s="63">
        <v>184498</v>
      </c>
      <c r="AR297" s="63">
        <v>184498</v>
      </c>
      <c r="AS297" s="63">
        <v>1381480</v>
      </c>
      <c r="AT297" s="63">
        <v>1381480</v>
      </c>
      <c r="AU297" s="63">
        <v>237069</v>
      </c>
      <c r="AV297" s="63">
        <v>0</v>
      </c>
      <c r="AW297" s="63">
        <v>237069</v>
      </c>
      <c r="AX297" s="63">
        <v>521956</v>
      </c>
      <c r="AY297" s="63">
        <v>0</v>
      </c>
      <c r="AZ297" s="63">
        <v>0</v>
      </c>
      <c r="BA297" s="63">
        <v>521956</v>
      </c>
      <c r="BB297" s="63">
        <v>0</v>
      </c>
      <c r="BC297" s="63">
        <v>0</v>
      </c>
      <c r="BD297" s="63">
        <v>0</v>
      </c>
      <c r="BE297" s="63">
        <v>0</v>
      </c>
      <c r="BF297" s="63">
        <v>0</v>
      </c>
      <c r="BG297" s="63">
        <v>0</v>
      </c>
      <c r="BH297" s="63">
        <v>-1587133</v>
      </c>
      <c r="BI297" s="63">
        <v>-1269706</v>
      </c>
      <c r="BJ297" s="63">
        <v>-317427</v>
      </c>
      <c r="BK297" s="63">
        <v>0</v>
      </c>
      <c r="BL297" s="63">
        <v>-3174266</v>
      </c>
      <c r="BM297" s="63">
        <v>26227314</v>
      </c>
      <c r="BN297" s="63">
        <v>23724420</v>
      </c>
      <c r="BO297" s="63">
        <v>5349854</v>
      </c>
      <c r="BP297" s="63">
        <v>0</v>
      </c>
      <c r="BQ297" s="63">
        <v>55301588</v>
      </c>
      <c r="BR297" s="63">
        <v>358817</v>
      </c>
      <c r="BS297" s="63">
        <v>81965</v>
      </c>
      <c r="BT297" s="63">
        <v>0</v>
      </c>
      <c r="BU297" s="63">
        <v>440782</v>
      </c>
      <c r="BV297" s="63">
        <v>360080</v>
      </c>
      <c r="BW297" s="63">
        <v>84083</v>
      </c>
      <c r="BX297" s="63">
        <v>0</v>
      </c>
      <c r="BY297" s="63">
        <v>444163</v>
      </c>
      <c r="BZ297" s="63">
        <v>1139</v>
      </c>
      <c r="CA297" s="63">
        <v>285</v>
      </c>
      <c r="CB297" s="63">
        <v>0</v>
      </c>
      <c r="CC297" s="63">
        <v>1424</v>
      </c>
      <c r="CD297" s="63">
        <v>0</v>
      </c>
      <c r="CE297" s="63">
        <v>0</v>
      </c>
      <c r="CF297" s="63">
        <v>0</v>
      </c>
      <c r="CG297" s="63">
        <v>0</v>
      </c>
      <c r="CH297" s="63">
        <v>0</v>
      </c>
      <c r="CI297" s="63">
        <v>0</v>
      </c>
      <c r="CJ297" s="63">
        <v>0</v>
      </c>
      <c r="CK297" s="63">
        <v>0</v>
      </c>
      <c r="CL297" s="63">
        <v>1702</v>
      </c>
      <c r="CM297" s="63">
        <v>426</v>
      </c>
      <c r="CN297" s="63">
        <v>0</v>
      </c>
      <c r="CO297" s="63">
        <v>2128</v>
      </c>
      <c r="CP297" s="63">
        <v>721738</v>
      </c>
      <c r="CQ297" s="63">
        <v>166759</v>
      </c>
      <c r="CR297" s="63">
        <v>0</v>
      </c>
      <c r="CS297" s="63">
        <v>888497</v>
      </c>
      <c r="CU297" s="141" t="s">
        <v>426</v>
      </c>
      <c r="CV297" s="157" t="s">
        <v>967</v>
      </c>
      <c r="CW297" s="156" t="s">
        <v>928</v>
      </c>
      <c r="CX297" s="345"/>
      <c r="CY297" s="345"/>
      <c r="CZ297" s="345"/>
    </row>
    <row r="298" spans="1:104" ht="12.75" x14ac:dyDescent="0.2">
      <c r="A298" s="90">
        <v>291</v>
      </c>
      <c r="B298" s="129" t="s">
        <v>429</v>
      </c>
      <c r="C298" s="130" t="s">
        <v>749</v>
      </c>
      <c r="D298" s="131" t="s">
        <v>750</v>
      </c>
      <c r="E298" s="132" t="s">
        <v>428</v>
      </c>
      <c r="F298" s="63">
        <v>124780987</v>
      </c>
      <c r="G298" s="63">
        <v>0</v>
      </c>
      <c r="H298" s="63">
        <v>0</v>
      </c>
      <c r="I298" s="63">
        <v>462307</v>
      </c>
      <c r="J298" s="63">
        <v>0</v>
      </c>
      <c r="K298" s="63">
        <v>462307</v>
      </c>
      <c r="L298" s="63">
        <v>0</v>
      </c>
      <c r="M298" s="63">
        <v>0</v>
      </c>
      <c r="N298" s="63">
        <v>0</v>
      </c>
      <c r="O298" s="63">
        <v>0</v>
      </c>
      <c r="P298" s="63">
        <v>0</v>
      </c>
      <c r="Q298" s="63">
        <v>124318680</v>
      </c>
      <c r="R298" s="474">
        <v>0.5</v>
      </c>
      <c r="S298" s="474">
        <v>0.49</v>
      </c>
      <c r="T298" s="474">
        <v>0</v>
      </c>
      <c r="U298" s="474">
        <v>0.01</v>
      </c>
      <c r="V298" s="474">
        <v>1</v>
      </c>
      <c r="W298" s="63">
        <v>62159340</v>
      </c>
      <c r="X298" s="63">
        <v>60916153</v>
      </c>
      <c r="Y298" s="63">
        <v>0</v>
      </c>
      <c r="Z298" s="63">
        <v>1243187</v>
      </c>
      <c r="AA298" s="63">
        <v>124318680</v>
      </c>
      <c r="AB298" s="63">
        <v>0</v>
      </c>
      <c r="AC298" s="63">
        <v>0</v>
      </c>
      <c r="AD298" s="63">
        <v>0</v>
      </c>
      <c r="AE298" s="63">
        <v>0</v>
      </c>
      <c r="AF298" s="63">
        <v>0</v>
      </c>
      <c r="AG298" s="63">
        <v>0</v>
      </c>
      <c r="AH298" s="63">
        <v>0</v>
      </c>
      <c r="AI298" s="63">
        <v>0</v>
      </c>
      <c r="AJ298" s="63">
        <v>0</v>
      </c>
      <c r="AK298" s="63">
        <v>0</v>
      </c>
      <c r="AL298" s="63">
        <v>62159340</v>
      </c>
      <c r="AM298" s="63">
        <v>60916153</v>
      </c>
      <c r="AN298" s="63">
        <v>0</v>
      </c>
      <c r="AO298" s="63">
        <v>1243187</v>
      </c>
      <c r="AP298" s="63">
        <v>124318680</v>
      </c>
      <c r="AQ298" s="63">
        <v>462307</v>
      </c>
      <c r="AR298" s="63">
        <v>462307</v>
      </c>
      <c r="AS298" s="63">
        <v>0</v>
      </c>
      <c r="AT298" s="63">
        <v>0</v>
      </c>
      <c r="AU298" s="63">
        <v>0</v>
      </c>
      <c r="AV298" s="63">
        <v>0</v>
      </c>
      <c r="AW298" s="63">
        <v>0</v>
      </c>
      <c r="AX298" s="63">
        <v>0</v>
      </c>
      <c r="AY298" s="63">
        <v>0</v>
      </c>
      <c r="AZ298" s="63">
        <v>0</v>
      </c>
      <c r="BA298" s="63">
        <v>0</v>
      </c>
      <c r="BB298" s="63">
        <v>0</v>
      </c>
      <c r="BC298" s="63">
        <v>0</v>
      </c>
      <c r="BD298" s="63">
        <v>0</v>
      </c>
      <c r="BE298" s="63">
        <v>0</v>
      </c>
      <c r="BF298" s="63">
        <v>0</v>
      </c>
      <c r="BG298" s="63">
        <v>0</v>
      </c>
      <c r="BH298" s="63">
        <v>-2548648</v>
      </c>
      <c r="BI298" s="63">
        <v>-2497675</v>
      </c>
      <c r="BJ298" s="63">
        <v>0</v>
      </c>
      <c r="BK298" s="63">
        <v>-50973</v>
      </c>
      <c r="BL298" s="63">
        <v>-5097296</v>
      </c>
      <c r="BM298" s="63">
        <v>59610692</v>
      </c>
      <c r="BN298" s="63">
        <v>58880785</v>
      </c>
      <c r="BO298" s="63">
        <v>0</v>
      </c>
      <c r="BP298" s="63">
        <v>1192214</v>
      </c>
      <c r="BQ298" s="63">
        <v>119683691</v>
      </c>
      <c r="BR298" s="63">
        <v>881019</v>
      </c>
      <c r="BS298" s="63">
        <v>0</v>
      </c>
      <c r="BT298" s="63">
        <v>17980</v>
      </c>
      <c r="BU298" s="63">
        <v>898999</v>
      </c>
      <c r="BV298" s="63">
        <v>1985861</v>
      </c>
      <c r="BW298" s="63">
        <v>0</v>
      </c>
      <c r="BX298" s="63">
        <v>40528</v>
      </c>
      <c r="BY298" s="63">
        <v>2026389</v>
      </c>
      <c r="BZ298" s="63">
        <v>4971</v>
      </c>
      <c r="CA298" s="63">
        <v>0</v>
      </c>
      <c r="CB298" s="63">
        <v>101</v>
      </c>
      <c r="CC298" s="63">
        <v>5072</v>
      </c>
      <c r="CD298" s="63">
        <v>646</v>
      </c>
      <c r="CE298" s="63">
        <v>0</v>
      </c>
      <c r="CF298" s="63">
        <v>13</v>
      </c>
      <c r="CG298" s="63">
        <v>659</v>
      </c>
      <c r="CH298" s="63">
        <v>49063</v>
      </c>
      <c r="CI298" s="63">
        <v>0</v>
      </c>
      <c r="CJ298" s="63">
        <v>1001</v>
      </c>
      <c r="CK298" s="63">
        <v>50064</v>
      </c>
      <c r="CL298" s="63">
        <v>9942</v>
      </c>
      <c r="CM298" s="63">
        <v>0</v>
      </c>
      <c r="CN298" s="63">
        <v>203</v>
      </c>
      <c r="CO298" s="63">
        <v>10145</v>
      </c>
      <c r="CP298" s="63">
        <v>2931502</v>
      </c>
      <c r="CQ298" s="63">
        <v>0</v>
      </c>
      <c r="CR298" s="63">
        <v>59826</v>
      </c>
      <c r="CS298" s="63">
        <v>2991328</v>
      </c>
      <c r="CU298" s="141" t="s">
        <v>428</v>
      </c>
      <c r="CV298" s="157" t="s">
        <v>941</v>
      </c>
      <c r="CW298" s="156" t="s">
        <v>957</v>
      </c>
      <c r="CX298" s="345"/>
      <c r="CY298" s="345"/>
      <c r="CZ298" s="345"/>
    </row>
    <row r="299" spans="1:104" ht="12.75" x14ac:dyDescent="0.2">
      <c r="A299" s="90">
        <v>292</v>
      </c>
      <c r="B299" s="129" t="s">
        <v>431</v>
      </c>
      <c r="C299" s="130" t="s">
        <v>749</v>
      </c>
      <c r="D299" s="131" t="s">
        <v>752</v>
      </c>
      <c r="E299" s="132" t="s">
        <v>430</v>
      </c>
      <c r="F299" s="63">
        <v>70820464</v>
      </c>
      <c r="G299" s="63">
        <v>0</v>
      </c>
      <c r="H299" s="63">
        <v>0</v>
      </c>
      <c r="I299" s="63">
        <v>339364</v>
      </c>
      <c r="J299" s="63">
        <v>0</v>
      </c>
      <c r="K299" s="63">
        <v>339364</v>
      </c>
      <c r="L299" s="63">
        <v>0</v>
      </c>
      <c r="M299" s="63">
        <v>14737</v>
      </c>
      <c r="N299" s="63">
        <v>0</v>
      </c>
      <c r="O299" s="63">
        <v>0</v>
      </c>
      <c r="P299" s="63">
        <v>0</v>
      </c>
      <c r="Q299" s="63">
        <v>70466363</v>
      </c>
      <c r="R299" s="474">
        <v>0.5</v>
      </c>
      <c r="S299" s="474">
        <v>0.49</v>
      </c>
      <c r="T299" s="474">
        <v>0</v>
      </c>
      <c r="U299" s="474">
        <v>0.01</v>
      </c>
      <c r="V299" s="474">
        <v>1</v>
      </c>
      <c r="W299" s="63">
        <v>35233181</v>
      </c>
      <c r="X299" s="63">
        <v>34528518</v>
      </c>
      <c r="Y299" s="63">
        <v>0</v>
      </c>
      <c r="Z299" s="63">
        <v>704664</v>
      </c>
      <c r="AA299" s="63">
        <v>70466363</v>
      </c>
      <c r="AB299" s="63">
        <v>0</v>
      </c>
      <c r="AC299" s="63">
        <v>0</v>
      </c>
      <c r="AD299" s="63">
        <v>0</v>
      </c>
      <c r="AE299" s="63">
        <v>0</v>
      </c>
      <c r="AF299" s="63">
        <v>0</v>
      </c>
      <c r="AG299" s="63">
        <v>0</v>
      </c>
      <c r="AH299" s="63">
        <v>0</v>
      </c>
      <c r="AI299" s="63">
        <v>0</v>
      </c>
      <c r="AJ299" s="63">
        <v>0</v>
      </c>
      <c r="AK299" s="63">
        <v>0</v>
      </c>
      <c r="AL299" s="63">
        <v>35233181</v>
      </c>
      <c r="AM299" s="63">
        <v>34528518</v>
      </c>
      <c r="AN299" s="63">
        <v>0</v>
      </c>
      <c r="AO299" s="63">
        <v>704664</v>
      </c>
      <c r="AP299" s="63">
        <v>70466363</v>
      </c>
      <c r="AQ299" s="63">
        <v>339364</v>
      </c>
      <c r="AR299" s="63">
        <v>339364</v>
      </c>
      <c r="AS299" s="63">
        <v>14737</v>
      </c>
      <c r="AT299" s="63">
        <v>14737</v>
      </c>
      <c r="AU299" s="63">
        <v>0</v>
      </c>
      <c r="AV299" s="63">
        <v>0</v>
      </c>
      <c r="AW299" s="63">
        <v>0</v>
      </c>
      <c r="AX299" s="63">
        <v>0</v>
      </c>
      <c r="AY299" s="63">
        <v>0</v>
      </c>
      <c r="AZ299" s="63">
        <v>0</v>
      </c>
      <c r="BA299" s="63">
        <v>0</v>
      </c>
      <c r="BB299" s="63">
        <v>0</v>
      </c>
      <c r="BC299" s="63">
        <v>0</v>
      </c>
      <c r="BD299" s="63">
        <v>0</v>
      </c>
      <c r="BE299" s="63">
        <v>0</v>
      </c>
      <c r="BF299" s="63">
        <v>0</v>
      </c>
      <c r="BG299" s="63">
        <v>0</v>
      </c>
      <c r="BH299" s="63">
        <v>-4664366</v>
      </c>
      <c r="BI299" s="63">
        <v>-4571079</v>
      </c>
      <c r="BJ299" s="63">
        <v>0</v>
      </c>
      <c r="BK299" s="63">
        <v>-93287</v>
      </c>
      <c r="BL299" s="63">
        <v>-9328732</v>
      </c>
      <c r="BM299" s="63">
        <v>30568815</v>
      </c>
      <c r="BN299" s="63">
        <v>30311540</v>
      </c>
      <c r="BO299" s="63">
        <v>0</v>
      </c>
      <c r="BP299" s="63">
        <v>611377</v>
      </c>
      <c r="BQ299" s="63">
        <v>61491732</v>
      </c>
      <c r="BR299" s="63">
        <v>499593</v>
      </c>
      <c r="BS299" s="63">
        <v>0</v>
      </c>
      <c r="BT299" s="63">
        <v>10191</v>
      </c>
      <c r="BU299" s="63">
        <v>509784</v>
      </c>
      <c r="BV299" s="63">
        <v>1458033</v>
      </c>
      <c r="BW299" s="63">
        <v>0</v>
      </c>
      <c r="BX299" s="63">
        <v>29747</v>
      </c>
      <c r="BY299" s="63">
        <v>1487780</v>
      </c>
      <c r="BZ299" s="63">
        <v>6595</v>
      </c>
      <c r="CA299" s="63">
        <v>0</v>
      </c>
      <c r="CB299" s="63">
        <v>135</v>
      </c>
      <c r="CC299" s="63">
        <v>6730</v>
      </c>
      <c r="CD299" s="63">
        <v>0</v>
      </c>
      <c r="CE299" s="63">
        <v>0</v>
      </c>
      <c r="CF299" s="63">
        <v>0</v>
      </c>
      <c r="CG299" s="63">
        <v>0</v>
      </c>
      <c r="CH299" s="63">
        <v>26503</v>
      </c>
      <c r="CI299" s="63">
        <v>0</v>
      </c>
      <c r="CJ299" s="63">
        <v>541</v>
      </c>
      <c r="CK299" s="63">
        <v>27044</v>
      </c>
      <c r="CL299" s="63">
        <v>0</v>
      </c>
      <c r="CM299" s="63">
        <v>0</v>
      </c>
      <c r="CN299" s="63">
        <v>0</v>
      </c>
      <c r="CO299" s="63">
        <v>0</v>
      </c>
      <c r="CP299" s="63">
        <v>1990724</v>
      </c>
      <c r="CQ299" s="63">
        <v>0</v>
      </c>
      <c r="CR299" s="63">
        <v>40614</v>
      </c>
      <c r="CS299" s="63">
        <v>2031338</v>
      </c>
      <c r="CU299" s="141" t="s">
        <v>430</v>
      </c>
      <c r="CV299" s="157" t="s">
        <v>941</v>
      </c>
      <c r="CW299" s="156" t="s">
        <v>949</v>
      </c>
      <c r="CX299" s="345"/>
      <c r="CY299" s="345"/>
      <c r="CZ299" s="345"/>
    </row>
    <row r="300" spans="1:104" ht="12.75" x14ac:dyDescent="0.2">
      <c r="A300" s="90">
        <v>293</v>
      </c>
      <c r="B300" s="129" t="s">
        <v>433</v>
      </c>
      <c r="C300" s="130" t="s">
        <v>747</v>
      </c>
      <c r="D300" s="131" t="s">
        <v>748</v>
      </c>
      <c r="E300" s="132" t="s">
        <v>432</v>
      </c>
      <c r="F300" s="63">
        <v>57135995</v>
      </c>
      <c r="G300" s="63">
        <v>0</v>
      </c>
      <c r="H300" s="63">
        <v>0</v>
      </c>
      <c r="I300" s="63">
        <v>288618</v>
      </c>
      <c r="J300" s="63">
        <v>0</v>
      </c>
      <c r="K300" s="63">
        <v>288618</v>
      </c>
      <c r="L300" s="63">
        <v>0</v>
      </c>
      <c r="M300" s="63">
        <v>0</v>
      </c>
      <c r="N300" s="63">
        <v>0</v>
      </c>
      <c r="O300" s="63">
        <v>0</v>
      </c>
      <c r="P300" s="63">
        <v>0</v>
      </c>
      <c r="Q300" s="63">
        <v>56847377</v>
      </c>
      <c r="R300" s="474">
        <v>0.5</v>
      </c>
      <c r="S300" s="474">
        <v>0.3</v>
      </c>
      <c r="T300" s="474">
        <v>0.2</v>
      </c>
      <c r="U300" s="474">
        <v>0</v>
      </c>
      <c r="V300" s="474">
        <v>1</v>
      </c>
      <c r="W300" s="63">
        <v>28423689</v>
      </c>
      <c r="X300" s="63">
        <v>17054213</v>
      </c>
      <c r="Y300" s="63">
        <v>11369475</v>
      </c>
      <c r="Z300" s="63">
        <v>0</v>
      </c>
      <c r="AA300" s="63">
        <v>56847377</v>
      </c>
      <c r="AB300" s="63">
        <v>0</v>
      </c>
      <c r="AC300" s="63">
        <v>0</v>
      </c>
      <c r="AD300" s="63">
        <v>0</v>
      </c>
      <c r="AE300" s="63">
        <v>0</v>
      </c>
      <c r="AF300" s="63">
        <v>0</v>
      </c>
      <c r="AG300" s="63">
        <v>0</v>
      </c>
      <c r="AH300" s="63">
        <v>0</v>
      </c>
      <c r="AI300" s="63">
        <v>0</v>
      </c>
      <c r="AJ300" s="63">
        <v>0</v>
      </c>
      <c r="AK300" s="63">
        <v>0</v>
      </c>
      <c r="AL300" s="63">
        <v>28423689</v>
      </c>
      <c r="AM300" s="63">
        <v>17054213</v>
      </c>
      <c r="AN300" s="63">
        <v>11369475</v>
      </c>
      <c r="AO300" s="63">
        <v>0</v>
      </c>
      <c r="AP300" s="63">
        <v>56847377</v>
      </c>
      <c r="AQ300" s="63">
        <v>288618</v>
      </c>
      <c r="AR300" s="63">
        <v>288618</v>
      </c>
      <c r="AS300" s="63">
        <v>0</v>
      </c>
      <c r="AT300" s="63">
        <v>0</v>
      </c>
      <c r="AU300" s="63">
        <v>0</v>
      </c>
      <c r="AV300" s="63">
        <v>0</v>
      </c>
      <c r="AW300" s="63">
        <v>0</v>
      </c>
      <c r="AX300" s="63">
        <v>0</v>
      </c>
      <c r="AY300" s="63">
        <v>0</v>
      </c>
      <c r="AZ300" s="63">
        <v>0</v>
      </c>
      <c r="BA300" s="63">
        <v>0</v>
      </c>
      <c r="BB300" s="63">
        <v>0</v>
      </c>
      <c r="BC300" s="63">
        <v>0</v>
      </c>
      <c r="BD300" s="63">
        <v>0</v>
      </c>
      <c r="BE300" s="63">
        <v>0</v>
      </c>
      <c r="BF300" s="63">
        <v>0</v>
      </c>
      <c r="BG300" s="63">
        <v>0</v>
      </c>
      <c r="BH300" s="63">
        <v>-753976</v>
      </c>
      <c r="BI300" s="63">
        <v>-452386</v>
      </c>
      <c r="BJ300" s="63">
        <v>-301590</v>
      </c>
      <c r="BK300" s="63">
        <v>0</v>
      </c>
      <c r="BL300" s="63">
        <v>-1507952</v>
      </c>
      <c r="BM300" s="63">
        <v>27669713</v>
      </c>
      <c r="BN300" s="63">
        <v>16890445</v>
      </c>
      <c r="BO300" s="63">
        <v>11067885</v>
      </c>
      <c r="BP300" s="63">
        <v>0</v>
      </c>
      <c r="BQ300" s="63">
        <v>55628043</v>
      </c>
      <c r="BR300" s="63">
        <v>246652</v>
      </c>
      <c r="BS300" s="63">
        <v>164435</v>
      </c>
      <c r="BT300" s="63">
        <v>0</v>
      </c>
      <c r="BU300" s="63">
        <v>411087</v>
      </c>
      <c r="BV300" s="63">
        <v>844151</v>
      </c>
      <c r="BW300" s="63">
        <v>562767</v>
      </c>
      <c r="BX300" s="63">
        <v>0</v>
      </c>
      <c r="BY300" s="63">
        <v>1406918</v>
      </c>
      <c r="BZ300" s="63">
        <v>608</v>
      </c>
      <c r="CA300" s="63">
        <v>406</v>
      </c>
      <c r="CB300" s="63">
        <v>0</v>
      </c>
      <c r="CC300" s="63">
        <v>1014</v>
      </c>
      <c r="CD300" s="63">
        <v>9130</v>
      </c>
      <c r="CE300" s="63">
        <v>6087</v>
      </c>
      <c r="CF300" s="63">
        <v>0</v>
      </c>
      <c r="CG300" s="63">
        <v>15217</v>
      </c>
      <c r="CH300" s="63">
        <v>3043</v>
      </c>
      <c r="CI300" s="63">
        <v>2029</v>
      </c>
      <c r="CJ300" s="63">
        <v>0</v>
      </c>
      <c r="CK300" s="63">
        <v>5072</v>
      </c>
      <c r="CL300" s="63">
        <v>4565</v>
      </c>
      <c r="CM300" s="63">
        <v>3043</v>
      </c>
      <c r="CN300" s="63">
        <v>0</v>
      </c>
      <c r="CO300" s="63">
        <v>7608</v>
      </c>
      <c r="CP300" s="63">
        <v>1108149</v>
      </c>
      <c r="CQ300" s="63">
        <v>738767</v>
      </c>
      <c r="CR300" s="63">
        <v>0</v>
      </c>
      <c r="CS300" s="63">
        <v>1846916</v>
      </c>
      <c r="CU300" s="141" t="s">
        <v>432</v>
      </c>
      <c r="CV300" s="157" t="s">
        <v>939</v>
      </c>
      <c r="CW300" s="157" t="s">
        <v>940</v>
      </c>
      <c r="CX300" s="345"/>
      <c r="CY300" s="345"/>
      <c r="CZ300" s="345"/>
    </row>
    <row r="301" spans="1:104" ht="12.75" x14ac:dyDescent="0.2">
      <c r="A301" s="90">
        <v>294</v>
      </c>
      <c r="B301" s="129" t="s">
        <v>435</v>
      </c>
      <c r="C301" s="130" t="s">
        <v>754</v>
      </c>
      <c r="D301" s="131" t="s">
        <v>748</v>
      </c>
      <c r="E301" s="132" t="s">
        <v>434</v>
      </c>
      <c r="F301" s="63">
        <v>105136326</v>
      </c>
      <c r="G301" s="63">
        <v>0</v>
      </c>
      <c r="H301" s="63">
        <v>0</v>
      </c>
      <c r="I301" s="63">
        <v>462876</v>
      </c>
      <c r="J301" s="63">
        <v>0</v>
      </c>
      <c r="K301" s="63">
        <v>462876</v>
      </c>
      <c r="L301" s="63">
        <v>0</v>
      </c>
      <c r="M301" s="63">
        <v>0</v>
      </c>
      <c r="N301" s="63">
        <v>0</v>
      </c>
      <c r="O301" s="63">
        <v>0</v>
      </c>
      <c r="P301" s="63">
        <v>0</v>
      </c>
      <c r="Q301" s="63">
        <v>104673450</v>
      </c>
      <c r="R301" s="474">
        <v>0.5</v>
      </c>
      <c r="S301" s="474">
        <v>0.3</v>
      </c>
      <c r="T301" s="474">
        <v>0.2</v>
      </c>
      <c r="U301" s="474">
        <v>0</v>
      </c>
      <c r="V301" s="474">
        <v>1</v>
      </c>
      <c r="W301" s="63">
        <v>52336725</v>
      </c>
      <c r="X301" s="63">
        <v>31402035</v>
      </c>
      <c r="Y301" s="63">
        <v>20934690</v>
      </c>
      <c r="Z301" s="63">
        <v>0</v>
      </c>
      <c r="AA301" s="63">
        <v>104673450</v>
      </c>
      <c r="AB301" s="63">
        <v>0</v>
      </c>
      <c r="AC301" s="63">
        <v>0</v>
      </c>
      <c r="AD301" s="63">
        <v>0</v>
      </c>
      <c r="AE301" s="63">
        <v>0</v>
      </c>
      <c r="AF301" s="63">
        <v>0</v>
      </c>
      <c r="AG301" s="63">
        <v>0</v>
      </c>
      <c r="AH301" s="63">
        <v>0</v>
      </c>
      <c r="AI301" s="63">
        <v>0</v>
      </c>
      <c r="AJ301" s="63">
        <v>0</v>
      </c>
      <c r="AK301" s="63">
        <v>0</v>
      </c>
      <c r="AL301" s="63">
        <v>52336725</v>
      </c>
      <c r="AM301" s="63">
        <v>31402035</v>
      </c>
      <c r="AN301" s="63">
        <v>20934690</v>
      </c>
      <c r="AO301" s="63">
        <v>0</v>
      </c>
      <c r="AP301" s="63">
        <v>104673450</v>
      </c>
      <c r="AQ301" s="63">
        <v>462876</v>
      </c>
      <c r="AR301" s="63">
        <v>462876</v>
      </c>
      <c r="AS301" s="63">
        <v>0</v>
      </c>
      <c r="AT301" s="63">
        <v>0</v>
      </c>
      <c r="AU301" s="63">
        <v>0</v>
      </c>
      <c r="AV301" s="63">
        <v>0</v>
      </c>
      <c r="AW301" s="63">
        <v>0</v>
      </c>
      <c r="AX301" s="63">
        <v>0</v>
      </c>
      <c r="AY301" s="63">
        <v>0</v>
      </c>
      <c r="AZ301" s="63">
        <v>0</v>
      </c>
      <c r="BA301" s="63">
        <v>0</v>
      </c>
      <c r="BB301" s="63">
        <v>0</v>
      </c>
      <c r="BC301" s="63">
        <v>0</v>
      </c>
      <c r="BD301" s="63">
        <v>0</v>
      </c>
      <c r="BE301" s="63">
        <v>0</v>
      </c>
      <c r="BF301" s="63">
        <v>0</v>
      </c>
      <c r="BG301" s="63">
        <v>0</v>
      </c>
      <c r="BH301" s="63">
        <v>-4549844</v>
      </c>
      <c r="BI301" s="63">
        <v>-2729906</v>
      </c>
      <c r="BJ301" s="63">
        <v>-1819938</v>
      </c>
      <c r="BK301" s="63">
        <v>0</v>
      </c>
      <c r="BL301" s="63">
        <v>-9099688</v>
      </c>
      <c r="BM301" s="63">
        <v>47786881</v>
      </c>
      <c r="BN301" s="63">
        <v>29135005</v>
      </c>
      <c r="BO301" s="63">
        <v>19114752</v>
      </c>
      <c r="BP301" s="63">
        <v>0</v>
      </c>
      <c r="BQ301" s="63">
        <v>96036638</v>
      </c>
      <c r="BR301" s="63">
        <v>454162</v>
      </c>
      <c r="BS301" s="63">
        <v>302774</v>
      </c>
      <c r="BT301" s="63">
        <v>0</v>
      </c>
      <c r="BU301" s="63">
        <v>756936</v>
      </c>
      <c r="BV301" s="63">
        <v>637030</v>
      </c>
      <c r="BW301" s="63">
        <v>376914</v>
      </c>
      <c r="BX301" s="63">
        <v>0</v>
      </c>
      <c r="BY301" s="63">
        <v>1013944</v>
      </c>
      <c r="BZ301" s="63">
        <v>8193</v>
      </c>
      <c r="CA301" s="63">
        <v>4317</v>
      </c>
      <c r="CB301" s="63">
        <v>0</v>
      </c>
      <c r="CC301" s="63">
        <v>12510</v>
      </c>
      <c r="CD301" s="63">
        <v>0</v>
      </c>
      <c r="CE301" s="63">
        <v>0</v>
      </c>
      <c r="CF301" s="63">
        <v>0</v>
      </c>
      <c r="CG301" s="63">
        <v>0</v>
      </c>
      <c r="CH301" s="63">
        <v>8600</v>
      </c>
      <c r="CI301" s="63">
        <v>5734</v>
      </c>
      <c r="CJ301" s="63">
        <v>0</v>
      </c>
      <c r="CK301" s="63">
        <v>14334</v>
      </c>
      <c r="CL301" s="63">
        <v>6866</v>
      </c>
      <c r="CM301" s="63">
        <v>4577</v>
      </c>
      <c r="CN301" s="63">
        <v>0</v>
      </c>
      <c r="CO301" s="63">
        <v>11443</v>
      </c>
      <c r="CP301" s="63">
        <v>1114851</v>
      </c>
      <c r="CQ301" s="63">
        <v>694316</v>
      </c>
      <c r="CR301" s="63">
        <v>0</v>
      </c>
      <c r="CS301" s="63">
        <v>1809167</v>
      </c>
      <c r="CU301" s="141" t="s">
        <v>434</v>
      </c>
      <c r="CV301" s="157" t="s">
        <v>939</v>
      </c>
      <c r="CW301" s="157" t="s">
        <v>940</v>
      </c>
      <c r="CX301" s="345"/>
      <c r="CY301" s="345"/>
      <c r="CZ301" s="345"/>
    </row>
    <row r="302" spans="1:104" ht="12.75" x14ac:dyDescent="0.2">
      <c r="A302" s="90">
        <v>295</v>
      </c>
      <c r="B302" s="129" t="s">
        <v>436</v>
      </c>
      <c r="C302" s="130" t="s">
        <v>501</v>
      </c>
      <c r="D302" s="131" t="s">
        <v>744</v>
      </c>
      <c r="E302" s="132" t="s">
        <v>514</v>
      </c>
      <c r="F302" s="63">
        <v>115994797</v>
      </c>
      <c r="G302" s="63">
        <v>0</v>
      </c>
      <c r="H302" s="63">
        <v>0</v>
      </c>
      <c r="I302" s="63">
        <v>308089</v>
      </c>
      <c r="J302" s="63">
        <v>0</v>
      </c>
      <c r="K302" s="63">
        <v>308089</v>
      </c>
      <c r="L302" s="63">
        <v>0</v>
      </c>
      <c r="M302" s="63">
        <v>1120059</v>
      </c>
      <c r="N302" s="63">
        <v>0</v>
      </c>
      <c r="O302" s="63">
        <v>0</v>
      </c>
      <c r="P302" s="63">
        <v>0</v>
      </c>
      <c r="Q302" s="63">
        <v>114566649</v>
      </c>
      <c r="R302" s="474">
        <v>0.5</v>
      </c>
      <c r="S302" s="474">
        <v>0.49</v>
      </c>
      <c r="T302" s="474">
        <v>0</v>
      </c>
      <c r="U302" s="474">
        <v>0.01</v>
      </c>
      <c r="V302" s="474">
        <v>1</v>
      </c>
      <c r="W302" s="63">
        <v>57283325</v>
      </c>
      <c r="X302" s="63">
        <v>56137658</v>
      </c>
      <c r="Y302" s="63">
        <v>0</v>
      </c>
      <c r="Z302" s="63">
        <v>1145666</v>
      </c>
      <c r="AA302" s="63">
        <v>114566649</v>
      </c>
      <c r="AB302" s="63">
        <v>0</v>
      </c>
      <c r="AC302" s="63">
        <v>0</v>
      </c>
      <c r="AD302" s="63">
        <v>0</v>
      </c>
      <c r="AE302" s="63">
        <v>0</v>
      </c>
      <c r="AF302" s="63">
        <v>0</v>
      </c>
      <c r="AG302" s="63">
        <v>0</v>
      </c>
      <c r="AH302" s="63">
        <v>0</v>
      </c>
      <c r="AI302" s="63">
        <v>0</v>
      </c>
      <c r="AJ302" s="63">
        <v>0</v>
      </c>
      <c r="AK302" s="63">
        <v>0</v>
      </c>
      <c r="AL302" s="63">
        <v>57283325</v>
      </c>
      <c r="AM302" s="63">
        <v>56137658</v>
      </c>
      <c r="AN302" s="63">
        <v>0</v>
      </c>
      <c r="AO302" s="63">
        <v>1145666</v>
      </c>
      <c r="AP302" s="63">
        <v>114566649</v>
      </c>
      <c r="AQ302" s="63">
        <v>308089</v>
      </c>
      <c r="AR302" s="63">
        <v>308089</v>
      </c>
      <c r="AS302" s="63">
        <v>1120059</v>
      </c>
      <c r="AT302" s="63">
        <v>1120059</v>
      </c>
      <c r="AU302" s="63">
        <v>0</v>
      </c>
      <c r="AV302" s="63">
        <v>0</v>
      </c>
      <c r="AW302" s="63">
        <v>0</v>
      </c>
      <c r="AX302" s="63">
        <v>0</v>
      </c>
      <c r="AY302" s="63">
        <v>0</v>
      </c>
      <c r="AZ302" s="63">
        <v>0</v>
      </c>
      <c r="BA302" s="63">
        <v>0</v>
      </c>
      <c r="BB302" s="63">
        <v>0</v>
      </c>
      <c r="BC302" s="63">
        <v>0</v>
      </c>
      <c r="BD302" s="63">
        <v>0</v>
      </c>
      <c r="BE302" s="63">
        <v>0</v>
      </c>
      <c r="BF302" s="63">
        <v>0</v>
      </c>
      <c r="BG302" s="63">
        <v>0</v>
      </c>
      <c r="BH302" s="63">
        <v>-3826479</v>
      </c>
      <c r="BI302" s="63">
        <v>-3749950</v>
      </c>
      <c r="BJ302" s="63">
        <v>0</v>
      </c>
      <c r="BK302" s="63">
        <v>-76530</v>
      </c>
      <c r="BL302" s="63">
        <v>-7652959</v>
      </c>
      <c r="BM302" s="63">
        <v>53456846</v>
      </c>
      <c r="BN302" s="63">
        <v>53815856</v>
      </c>
      <c r="BO302" s="63">
        <v>0</v>
      </c>
      <c r="BP302" s="63">
        <v>1069136</v>
      </c>
      <c r="BQ302" s="63">
        <v>108341838</v>
      </c>
      <c r="BR302" s="63">
        <v>828107</v>
      </c>
      <c r="BS302" s="63">
        <v>0</v>
      </c>
      <c r="BT302" s="63">
        <v>16570</v>
      </c>
      <c r="BU302" s="63">
        <v>844677</v>
      </c>
      <c r="BV302" s="63">
        <v>785844</v>
      </c>
      <c r="BW302" s="63">
        <v>0</v>
      </c>
      <c r="BX302" s="63">
        <v>16015</v>
      </c>
      <c r="BY302" s="63">
        <v>801859</v>
      </c>
      <c r="BZ302" s="63">
        <v>0</v>
      </c>
      <c r="CA302" s="63">
        <v>0</v>
      </c>
      <c r="CB302" s="63">
        <v>0</v>
      </c>
      <c r="CC302" s="63">
        <v>0</v>
      </c>
      <c r="CD302" s="63">
        <v>6772</v>
      </c>
      <c r="CE302" s="63">
        <v>0</v>
      </c>
      <c r="CF302" s="63">
        <v>138</v>
      </c>
      <c r="CG302" s="63">
        <v>6910</v>
      </c>
      <c r="CH302" s="63">
        <v>0</v>
      </c>
      <c r="CI302" s="63">
        <v>0</v>
      </c>
      <c r="CJ302" s="63">
        <v>0</v>
      </c>
      <c r="CK302" s="63">
        <v>0</v>
      </c>
      <c r="CL302" s="63">
        <v>6089</v>
      </c>
      <c r="CM302" s="63">
        <v>0</v>
      </c>
      <c r="CN302" s="63">
        <v>124</v>
      </c>
      <c r="CO302" s="63">
        <v>6213</v>
      </c>
      <c r="CP302" s="63">
        <v>1626812</v>
      </c>
      <c r="CQ302" s="63">
        <v>0</v>
      </c>
      <c r="CR302" s="63">
        <v>32847</v>
      </c>
      <c r="CS302" s="63">
        <v>1659659</v>
      </c>
      <c r="CU302" s="141" t="s">
        <v>514</v>
      </c>
      <c r="CV302" s="157" t="s">
        <v>501</v>
      </c>
      <c r="CW302" s="156" t="s">
        <v>968</v>
      </c>
      <c r="CX302" s="345"/>
      <c r="CY302" s="345"/>
      <c r="CZ302" s="345"/>
    </row>
    <row r="303" spans="1:104" ht="12.75" x14ac:dyDescent="0.2">
      <c r="A303" s="90">
        <v>296</v>
      </c>
      <c r="B303" s="129" t="s">
        <v>438</v>
      </c>
      <c r="C303" s="130" t="s">
        <v>742</v>
      </c>
      <c r="D303" s="131" t="s">
        <v>752</v>
      </c>
      <c r="E303" s="132" t="s">
        <v>437</v>
      </c>
      <c r="F303" s="63">
        <v>67457844.590000004</v>
      </c>
      <c r="G303" s="63">
        <v>0</v>
      </c>
      <c r="H303" s="63">
        <v>0</v>
      </c>
      <c r="I303" s="63">
        <v>214443</v>
      </c>
      <c r="J303" s="63">
        <v>0</v>
      </c>
      <c r="K303" s="63">
        <v>214443</v>
      </c>
      <c r="L303" s="63">
        <v>0</v>
      </c>
      <c r="M303" s="63">
        <v>0</v>
      </c>
      <c r="N303" s="63">
        <v>30000</v>
      </c>
      <c r="O303" s="63">
        <v>30000</v>
      </c>
      <c r="P303" s="63">
        <v>0</v>
      </c>
      <c r="Q303" s="63">
        <v>67213402</v>
      </c>
      <c r="R303" s="474">
        <v>0.5</v>
      </c>
      <c r="S303" s="474">
        <v>0.4</v>
      </c>
      <c r="T303" s="474">
        <v>0.1</v>
      </c>
      <c r="U303" s="474">
        <v>0</v>
      </c>
      <c r="V303" s="474">
        <v>1</v>
      </c>
      <c r="W303" s="63">
        <v>33606701</v>
      </c>
      <c r="X303" s="63">
        <v>26885361</v>
      </c>
      <c r="Y303" s="63">
        <v>6721340</v>
      </c>
      <c r="Z303" s="63">
        <v>0</v>
      </c>
      <c r="AA303" s="63">
        <v>67213402</v>
      </c>
      <c r="AB303" s="63">
        <v>0</v>
      </c>
      <c r="AC303" s="63">
        <v>0</v>
      </c>
      <c r="AD303" s="63">
        <v>0</v>
      </c>
      <c r="AE303" s="63">
        <v>0</v>
      </c>
      <c r="AF303" s="63">
        <v>0</v>
      </c>
      <c r="AG303" s="63">
        <v>0</v>
      </c>
      <c r="AH303" s="63">
        <v>0</v>
      </c>
      <c r="AI303" s="63">
        <v>0</v>
      </c>
      <c r="AJ303" s="63">
        <v>0</v>
      </c>
      <c r="AK303" s="63">
        <v>0</v>
      </c>
      <c r="AL303" s="63">
        <v>33606701</v>
      </c>
      <c r="AM303" s="63">
        <v>26885361</v>
      </c>
      <c r="AN303" s="63">
        <v>6721340</v>
      </c>
      <c r="AO303" s="63">
        <v>0</v>
      </c>
      <c r="AP303" s="63">
        <v>67213402</v>
      </c>
      <c r="AQ303" s="63">
        <v>214443</v>
      </c>
      <c r="AR303" s="63">
        <v>214443</v>
      </c>
      <c r="AS303" s="63">
        <v>0</v>
      </c>
      <c r="AT303" s="63">
        <v>0</v>
      </c>
      <c r="AU303" s="63">
        <v>30000</v>
      </c>
      <c r="AV303" s="63">
        <v>0</v>
      </c>
      <c r="AW303" s="63">
        <v>30000</v>
      </c>
      <c r="AX303" s="63">
        <v>0</v>
      </c>
      <c r="AY303" s="63">
        <v>0</v>
      </c>
      <c r="AZ303" s="63">
        <v>0</v>
      </c>
      <c r="BA303" s="63">
        <v>0</v>
      </c>
      <c r="BB303" s="63">
        <v>0</v>
      </c>
      <c r="BC303" s="63">
        <v>0</v>
      </c>
      <c r="BD303" s="63">
        <v>0</v>
      </c>
      <c r="BE303" s="63">
        <v>0</v>
      </c>
      <c r="BF303" s="63">
        <v>0</v>
      </c>
      <c r="BG303" s="63">
        <v>0</v>
      </c>
      <c r="BH303" s="63">
        <v>-4515305</v>
      </c>
      <c r="BI303" s="63">
        <v>-3612244</v>
      </c>
      <c r="BJ303" s="63">
        <v>-903061</v>
      </c>
      <c r="BK303" s="63">
        <v>0</v>
      </c>
      <c r="BL303" s="63">
        <v>-9030610</v>
      </c>
      <c r="BM303" s="63">
        <v>29091396</v>
      </c>
      <c r="BN303" s="63">
        <v>23517560</v>
      </c>
      <c r="BO303" s="63">
        <v>5818279</v>
      </c>
      <c r="BP303" s="63">
        <v>0</v>
      </c>
      <c r="BQ303" s="63">
        <v>58427235</v>
      </c>
      <c r="BR303" s="63">
        <v>389272</v>
      </c>
      <c r="BS303" s="63">
        <v>97209</v>
      </c>
      <c r="BT303" s="63">
        <v>0</v>
      </c>
      <c r="BU303" s="63">
        <v>486481</v>
      </c>
      <c r="BV303" s="63">
        <v>460652</v>
      </c>
      <c r="BW303" s="63">
        <v>115163</v>
      </c>
      <c r="BX303" s="63">
        <v>0</v>
      </c>
      <c r="BY303" s="63">
        <v>575815</v>
      </c>
      <c r="BZ303" s="63">
        <v>6086</v>
      </c>
      <c r="CA303" s="63">
        <v>1522</v>
      </c>
      <c r="CB303" s="63">
        <v>0</v>
      </c>
      <c r="CC303" s="63">
        <v>7608</v>
      </c>
      <c r="CD303" s="63">
        <v>0</v>
      </c>
      <c r="CE303" s="63">
        <v>0</v>
      </c>
      <c r="CF303" s="63">
        <v>0</v>
      </c>
      <c r="CG303" s="63">
        <v>0</v>
      </c>
      <c r="CH303" s="63">
        <v>12174</v>
      </c>
      <c r="CI303" s="63">
        <v>3043</v>
      </c>
      <c r="CJ303" s="63">
        <v>0</v>
      </c>
      <c r="CK303" s="63">
        <v>15217</v>
      </c>
      <c r="CL303" s="63">
        <v>4058</v>
      </c>
      <c r="CM303" s="63">
        <v>1014</v>
      </c>
      <c r="CN303" s="63">
        <v>0</v>
      </c>
      <c r="CO303" s="63">
        <v>5072</v>
      </c>
      <c r="CP303" s="63">
        <v>872242</v>
      </c>
      <c r="CQ303" s="63">
        <v>217951</v>
      </c>
      <c r="CR303" s="63">
        <v>0</v>
      </c>
      <c r="CS303" s="63">
        <v>1090193</v>
      </c>
      <c r="CU303" s="141" t="s">
        <v>437</v>
      </c>
      <c r="CV303" s="157" t="s">
        <v>983</v>
      </c>
      <c r="CW303" s="156" t="s">
        <v>928</v>
      </c>
      <c r="CX303" s="345"/>
      <c r="CY303" s="345"/>
      <c r="CZ303" s="345"/>
    </row>
    <row r="304" spans="1:104" ht="12.75" x14ac:dyDescent="0.2">
      <c r="A304" s="90">
        <v>297</v>
      </c>
      <c r="B304" s="129" t="s">
        <v>440</v>
      </c>
      <c r="C304" s="130" t="s">
        <v>742</v>
      </c>
      <c r="D304" s="131" t="s">
        <v>746</v>
      </c>
      <c r="E304" s="132" t="s">
        <v>439</v>
      </c>
      <c r="F304" s="63">
        <v>64187465</v>
      </c>
      <c r="G304" s="63">
        <v>0</v>
      </c>
      <c r="H304" s="63">
        <v>0</v>
      </c>
      <c r="I304" s="63">
        <v>171747</v>
      </c>
      <c r="J304" s="63">
        <v>0</v>
      </c>
      <c r="K304" s="63">
        <v>171747</v>
      </c>
      <c r="L304" s="63">
        <v>0</v>
      </c>
      <c r="M304" s="63">
        <v>0</v>
      </c>
      <c r="N304" s="63">
        <v>0</v>
      </c>
      <c r="O304" s="63">
        <v>0</v>
      </c>
      <c r="P304" s="63">
        <v>0</v>
      </c>
      <c r="Q304" s="63">
        <v>64015718</v>
      </c>
      <c r="R304" s="474">
        <v>0.5</v>
      </c>
      <c r="S304" s="474">
        <v>0.4</v>
      </c>
      <c r="T304" s="474">
        <v>0.1</v>
      </c>
      <c r="U304" s="474">
        <v>0</v>
      </c>
      <c r="V304" s="474">
        <v>1</v>
      </c>
      <c r="W304" s="63">
        <v>32007859</v>
      </c>
      <c r="X304" s="63">
        <v>25606287</v>
      </c>
      <c r="Y304" s="63">
        <v>6401572</v>
      </c>
      <c r="Z304" s="63">
        <v>0</v>
      </c>
      <c r="AA304" s="63">
        <v>64015718</v>
      </c>
      <c r="AB304" s="63">
        <v>0</v>
      </c>
      <c r="AC304" s="63">
        <v>0</v>
      </c>
      <c r="AD304" s="63">
        <v>0</v>
      </c>
      <c r="AE304" s="63">
        <v>0</v>
      </c>
      <c r="AF304" s="63">
        <v>0</v>
      </c>
      <c r="AG304" s="63">
        <v>0</v>
      </c>
      <c r="AH304" s="63">
        <v>0</v>
      </c>
      <c r="AI304" s="63">
        <v>0</v>
      </c>
      <c r="AJ304" s="63">
        <v>0</v>
      </c>
      <c r="AK304" s="63">
        <v>0</v>
      </c>
      <c r="AL304" s="63">
        <v>32007859</v>
      </c>
      <c r="AM304" s="63">
        <v>25606287</v>
      </c>
      <c r="AN304" s="63">
        <v>6401572</v>
      </c>
      <c r="AO304" s="63">
        <v>0</v>
      </c>
      <c r="AP304" s="63">
        <v>64015718</v>
      </c>
      <c r="AQ304" s="63">
        <v>171747</v>
      </c>
      <c r="AR304" s="63">
        <v>171747</v>
      </c>
      <c r="AS304" s="63">
        <v>0</v>
      </c>
      <c r="AT304" s="63">
        <v>0</v>
      </c>
      <c r="AU304" s="63">
        <v>0</v>
      </c>
      <c r="AV304" s="63">
        <v>0</v>
      </c>
      <c r="AW304" s="63">
        <v>0</v>
      </c>
      <c r="AX304" s="63">
        <v>0</v>
      </c>
      <c r="AY304" s="63">
        <v>0</v>
      </c>
      <c r="AZ304" s="63">
        <v>0</v>
      </c>
      <c r="BA304" s="63">
        <v>0</v>
      </c>
      <c r="BB304" s="63">
        <v>0</v>
      </c>
      <c r="BC304" s="63">
        <v>0</v>
      </c>
      <c r="BD304" s="63">
        <v>0</v>
      </c>
      <c r="BE304" s="63">
        <v>0</v>
      </c>
      <c r="BF304" s="63">
        <v>0</v>
      </c>
      <c r="BG304" s="63">
        <v>0</v>
      </c>
      <c r="BH304" s="63">
        <v>-6677976</v>
      </c>
      <c r="BI304" s="63">
        <v>-5342381</v>
      </c>
      <c r="BJ304" s="63">
        <v>-1335595</v>
      </c>
      <c r="BK304" s="63">
        <v>0</v>
      </c>
      <c r="BL304" s="63">
        <v>-13355952</v>
      </c>
      <c r="BM304" s="63">
        <v>25329883</v>
      </c>
      <c r="BN304" s="63">
        <v>20435653</v>
      </c>
      <c r="BO304" s="63">
        <v>5065977</v>
      </c>
      <c r="BP304" s="63">
        <v>0</v>
      </c>
      <c r="BQ304" s="63">
        <v>50831513</v>
      </c>
      <c r="BR304" s="63">
        <v>370339</v>
      </c>
      <c r="BS304" s="63">
        <v>92585</v>
      </c>
      <c r="BT304" s="63">
        <v>0</v>
      </c>
      <c r="BU304" s="63">
        <v>462924</v>
      </c>
      <c r="BV304" s="63">
        <v>271004</v>
      </c>
      <c r="BW304" s="63">
        <v>67751</v>
      </c>
      <c r="BX304" s="63">
        <v>0</v>
      </c>
      <c r="BY304" s="63">
        <v>338755</v>
      </c>
      <c r="BZ304" s="63">
        <v>973</v>
      </c>
      <c r="CA304" s="63">
        <v>243</v>
      </c>
      <c r="CB304" s="63">
        <v>0</v>
      </c>
      <c r="CC304" s="63">
        <v>1216</v>
      </c>
      <c r="CD304" s="63">
        <v>0</v>
      </c>
      <c r="CE304" s="63">
        <v>0</v>
      </c>
      <c r="CF304" s="63">
        <v>0</v>
      </c>
      <c r="CG304" s="63">
        <v>0</v>
      </c>
      <c r="CH304" s="63">
        <v>15403</v>
      </c>
      <c r="CI304" s="63">
        <v>3851</v>
      </c>
      <c r="CJ304" s="63">
        <v>0</v>
      </c>
      <c r="CK304" s="63">
        <v>19254</v>
      </c>
      <c r="CL304" s="63">
        <v>5500</v>
      </c>
      <c r="CM304" s="63">
        <v>1375</v>
      </c>
      <c r="CN304" s="63">
        <v>0</v>
      </c>
      <c r="CO304" s="63">
        <v>6875</v>
      </c>
      <c r="CP304" s="63">
        <v>663219</v>
      </c>
      <c r="CQ304" s="63">
        <v>165805</v>
      </c>
      <c r="CR304" s="63">
        <v>0</v>
      </c>
      <c r="CS304" s="63">
        <v>829024</v>
      </c>
      <c r="CU304" s="141" t="s">
        <v>439</v>
      </c>
      <c r="CV304" s="157" t="s">
        <v>960</v>
      </c>
      <c r="CW304" s="156" t="s">
        <v>928</v>
      </c>
      <c r="CX304" s="345"/>
      <c r="CY304" s="345"/>
      <c r="CZ304" s="345"/>
    </row>
    <row r="305" spans="1:104" ht="12.75" x14ac:dyDescent="0.2">
      <c r="A305" s="90">
        <v>298</v>
      </c>
      <c r="B305" s="129" t="s">
        <v>442</v>
      </c>
      <c r="C305" s="130" t="s">
        <v>742</v>
      </c>
      <c r="D305" s="131" t="s">
        <v>746</v>
      </c>
      <c r="E305" s="132" t="s">
        <v>441</v>
      </c>
      <c r="F305" s="63">
        <v>27408872</v>
      </c>
      <c r="G305" s="63">
        <v>0</v>
      </c>
      <c r="H305" s="63">
        <v>0</v>
      </c>
      <c r="I305" s="63">
        <v>204024</v>
      </c>
      <c r="J305" s="63">
        <v>0</v>
      </c>
      <c r="K305" s="63">
        <v>204024</v>
      </c>
      <c r="L305" s="63">
        <v>0</v>
      </c>
      <c r="M305" s="63">
        <v>238982</v>
      </c>
      <c r="N305" s="63">
        <v>118783</v>
      </c>
      <c r="O305" s="63">
        <v>118783</v>
      </c>
      <c r="P305" s="63">
        <v>0</v>
      </c>
      <c r="Q305" s="63">
        <v>26847083</v>
      </c>
      <c r="R305" s="474">
        <v>0.5</v>
      </c>
      <c r="S305" s="474">
        <v>0.4</v>
      </c>
      <c r="T305" s="474">
        <v>0.1</v>
      </c>
      <c r="U305" s="474">
        <v>0</v>
      </c>
      <c r="V305" s="474">
        <v>1</v>
      </c>
      <c r="W305" s="63">
        <v>13423542</v>
      </c>
      <c r="X305" s="63">
        <v>10738833</v>
      </c>
      <c r="Y305" s="63">
        <v>2684708</v>
      </c>
      <c r="Z305" s="63">
        <v>0</v>
      </c>
      <c r="AA305" s="63">
        <v>26847083</v>
      </c>
      <c r="AB305" s="63">
        <v>140090</v>
      </c>
      <c r="AC305" s="63">
        <v>0</v>
      </c>
      <c r="AD305" s="63">
        <v>0</v>
      </c>
      <c r="AE305" s="63">
        <v>0</v>
      </c>
      <c r="AF305" s="63">
        <v>140090</v>
      </c>
      <c r="AG305" s="63">
        <v>0</v>
      </c>
      <c r="AH305" s="63">
        <v>0</v>
      </c>
      <c r="AI305" s="63">
        <v>0</v>
      </c>
      <c r="AJ305" s="63">
        <v>0</v>
      </c>
      <c r="AK305" s="63">
        <v>0</v>
      </c>
      <c r="AL305" s="63">
        <v>13283452</v>
      </c>
      <c r="AM305" s="63">
        <v>10738833</v>
      </c>
      <c r="AN305" s="63">
        <v>2684708</v>
      </c>
      <c r="AO305" s="63">
        <v>0</v>
      </c>
      <c r="AP305" s="63">
        <v>26706993</v>
      </c>
      <c r="AQ305" s="63">
        <v>204024</v>
      </c>
      <c r="AR305" s="63">
        <v>204024</v>
      </c>
      <c r="AS305" s="63">
        <v>238982</v>
      </c>
      <c r="AT305" s="63">
        <v>238982</v>
      </c>
      <c r="AU305" s="63">
        <v>118783</v>
      </c>
      <c r="AV305" s="63">
        <v>0</v>
      </c>
      <c r="AW305" s="63">
        <v>118783</v>
      </c>
      <c r="AX305" s="63">
        <v>140090</v>
      </c>
      <c r="AY305" s="63">
        <v>0</v>
      </c>
      <c r="AZ305" s="63">
        <v>0</v>
      </c>
      <c r="BA305" s="63">
        <v>140090</v>
      </c>
      <c r="BB305" s="63">
        <v>0</v>
      </c>
      <c r="BC305" s="63">
        <v>0</v>
      </c>
      <c r="BD305" s="63">
        <v>0</v>
      </c>
      <c r="BE305" s="63">
        <v>0</v>
      </c>
      <c r="BF305" s="63">
        <v>0</v>
      </c>
      <c r="BG305" s="63">
        <v>0</v>
      </c>
      <c r="BH305" s="63">
        <v>-821397</v>
      </c>
      <c r="BI305" s="63">
        <v>-657118</v>
      </c>
      <c r="BJ305" s="63">
        <v>-164279</v>
      </c>
      <c r="BK305" s="63">
        <v>0</v>
      </c>
      <c r="BL305" s="63">
        <v>-1642794</v>
      </c>
      <c r="BM305" s="63">
        <v>12462055</v>
      </c>
      <c r="BN305" s="63">
        <v>10783594</v>
      </c>
      <c r="BO305" s="63">
        <v>2520429</v>
      </c>
      <c r="BP305" s="63">
        <v>0</v>
      </c>
      <c r="BQ305" s="63">
        <v>25766078</v>
      </c>
      <c r="BR305" s="63">
        <v>162514</v>
      </c>
      <c r="BS305" s="63">
        <v>38828</v>
      </c>
      <c r="BT305" s="63">
        <v>0</v>
      </c>
      <c r="BU305" s="63">
        <v>201342</v>
      </c>
      <c r="BV305" s="63">
        <v>671381</v>
      </c>
      <c r="BW305" s="63">
        <v>167845</v>
      </c>
      <c r="BX305" s="63">
        <v>0</v>
      </c>
      <c r="BY305" s="63">
        <v>839226</v>
      </c>
      <c r="BZ305" s="63">
        <v>186</v>
      </c>
      <c r="CA305" s="63">
        <v>47</v>
      </c>
      <c r="CB305" s="63">
        <v>0</v>
      </c>
      <c r="CC305" s="63">
        <v>233</v>
      </c>
      <c r="CD305" s="63">
        <v>0</v>
      </c>
      <c r="CE305" s="63">
        <v>0</v>
      </c>
      <c r="CF305" s="63">
        <v>0</v>
      </c>
      <c r="CG305" s="63">
        <v>0</v>
      </c>
      <c r="CH305" s="63">
        <v>4765</v>
      </c>
      <c r="CI305" s="63">
        <v>1191</v>
      </c>
      <c r="CJ305" s="63">
        <v>0</v>
      </c>
      <c r="CK305" s="63">
        <v>5956</v>
      </c>
      <c r="CL305" s="63">
        <v>1726</v>
      </c>
      <c r="CM305" s="63">
        <v>432</v>
      </c>
      <c r="CN305" s="63">
        <v>0</v>
      </c>
      <c r="CO305" s="63">
        <v>2158</v>
      </c>
      <c r="CP305" s="63">
        <v>840572</v>
      </c>
      <c r="CQ305" s="63">
        <v>208343</v>
      </c>
      <c r="CR305" s="63">
        <v>0</v>
      </c>
      <c r="CS305" s="63">
        <v>1048915</v>
      </c>
      <c r="CU305" s="141" t="s">
        <v>441</v>
      </c>
      <c r="CV305" s="157" t="s">
        <v>938</v>
      </c>
      <c r="CW305" s="156" t="s">
        <v>928</v>
      </c>
      <c r="CX305" s="345"/>
      <c r="CY305" s="345"/>
      <c r="CZ305" s="345"/>
    </row>
    <row r="306" spans="1:104" ht="12.75" x14ac:dyDescent="0.2">
      <c r="A306" s="90">
        <v>299</v>
      </c>
      <c r="B306" s="129" t="s">
        <v>444</v>
      </c>
      <c r="C306" s="130" t="s">
        <v>742</v>
      </c>
      <c r="D306" s="131" t="s">
        <v>743</v>
      </c>
      <c r="E306" s="132" t="s">
        <v>443</v>
      </c>
      <c r="F306" s="63">
        <v>37796186</v>
      </c>
      <c r="G306" s="63">
        <v>0</v>
      </c>
      <c r="H306" s="63">
        <v>0</v>
      </c>
      <c r="I306" s="63">
        <v>179430</v>
      </c>
      <c r="J306" s="63">
        <v>0</v>
      </c>
      <c r="K306" s="63">
        <v>179430</v>
      </c>
      <c r="L306" s="63">
        <v>0</v>
      </c>
      <c r="M306" s="63">
        <v>0</v>
      </c>
      <c r="N306" s="63">
        <v>0</v>
      </c>
      <c r="O306" s="63">
        <v>0</v>
      </c>
      <c r="P306" s="63">
        <v>0</v>
      </c>
      <c r="Q306" s="63">
        <v>37616756</v>
      </c>
      <c r="R306" s="474">
        <v>0.5</v>
      </c>
      <c r="S306" s="474">
        <v>0.4</v>
      </c>
      <c r="T306" s="474">
        <v>0.1</v>
      </c>
      <c r="U306" s="474">
        <v>0</v>
      </c>
      <c r="V306" s="474">
        <v>1</v>
      </c>
      <c r="W306" s="63">
        <v>18808378</v>
      </c>
      <c r="X306" s="63">
        <v>15046702</v>
      </c>
      <c r="Y306" s="63">
        <v>3761676</v>
      </c>
      <c r="Z306" s="63">
        <v>0</v>
      </c>
      <c r="AA306" s="63">
        <v>37616756</v>
      </c>
      <c r="AB306" s="63">
        <v>0</v>
      </c>
      <c r="AC306" s="63">
        <v>0</v>
      </c>
      <c r="AD306" s="63">
        <v>0</v>
      </c>
      <c r="AE306" s="63">
        <v>0</v>
      </c>
      <c r="AF306" s="63">
        <v>0</v>
      </c>
      <c r="AG306" s="63">
        <v>0</v>
      </c>
      <c r="AH306" s="63">
        <v>0</v>
      </c>
      <c r="AI306" s="63">
        <v>0</v>
      </c>
      <c r="AJ306" s="63">
        <v>0</v>
      </c>
      <c r="AK306" s="63">
        <v>0</v>
      </c>
      <c r="AL306" s="63">
        <v>18808378</v>
      </c>
      <c r="AM306" s="63">
        <v>15046702</v>
      </c>
      <c r="AN306" s="63">
        <v>3761676</v>
      </c>
      <c r="AO306" s="63">
        <v>0</v>
      </c>
      <c r="AP306" s="63">
        <v>37616756</v>
      </c>
      <c r="AQ306" s="63">
        <v>179430</v>
      </c>
      <c r="AR306" s="63">
        <v>179430</v>
      </c>
      <c r="AS306" s="63">
        <v>0</v>
      </c>
      <c r="AT306" s="63">
        <v>0</v>
      </c>
      <c r="AU306" s="63">
        <v>0</v>
      </c>
      <c r="AV306" s="63">
        <v>0</v>
      </c>
      <c r="AW306" s="63">
        <v>0</v>
      </c>
      <c r="AX306" s="63">
        <v>0</v>
      </c>
      <c r="AY306" s="63">
        <v>0</v>
      </c>
      <c r="AZ306" s="63">
        <v>0</v>
      </c>
      <c r="BA306" s="63">
        <v>0</v>
      </c>
      <c r="BB306" s="63">
        <v>0</v>
      </c>
      <c r="BC306" s="63">
        <v>0</v>
      </c>
      <c r="BD306" s="63">
        <v>0</v>
      </c>
      <c r="BE306" s="63">
        <v>0</v>
      </c>
      <c r="BF306" s="63">
        <v>0</v>
      </c>
      <c r="BG306" s="63">
        <v>0</v>
      </c>
      <c r="BH306" s="63">
        <v>-988888</v>
      </c>
      <c r="BI306" s="63">
        <v>-791110</v>
      </c>
      <c r="BJ306" s="63">
        <v>-197778</v>
      </c>
      <c r="BK306" s="63">
        <v>0</v>
      </c>
      <c r="BL306" s="63">
        <v>-1977776</v>
      </c>
      <c r="BM306" s="63">
        <v>17819490</v>
      </c>
      <c r="BN306" s="63">
        <v>14435022</v>
      </c>
      <c r="BO306" s="63">
        <v>3563898</v>
      </c>
      <c r="BP306" s="63">
        <v>0</v>
      </c>
      <c r="BQ306" s="63">
        <v>35818410</v>
      </c>
      <c r="BR306" s="63">
        <v>217618</v>
      </c>
      <c r="BS306" s="63">
        <v>54404</v>
      </c>
      <c r="BT306" s="63">
        <v>0</v>
      </c>
      <c r="BU306" s="63">
        <v>272022</v>
      </c>
      <c r="BV306" s="63">
        <v>452276</v>
      </c>
      <c r="BW306" s="63">
        <v>113069</v>
      </c>
      <c r="BX306" s="63">
        <v>0</v>
      </c>
      <c r="BY306" s="63">
        <v>565345</v>
      </c>
      <c r="BZ306" s="63">
        <v>1058</v>
      </c>
      <c r="CA306" s="63">
        <v>264</v>
      </c>
      <c r="CB306" s="63">
        <v>0</v>
      </c>
      <c r="CC306" s="63">
        <v>1322</v>
      </c>
      <c r="CD306" s="63">
        <v>0</v>
      </c>
      <c r="CE306" s="63">
        <v>0</v>
      </c>
      <c r="CF306" s="63">
        <v>0</v>
      </c>
      <c r="CG306" s="63">
        <v>0</v>
      </c>
      <c r="CH306" s="63">
        <v>5259</v>
      </c>
      <c r="CI306" s="63">
        <v>1315</v>
      </c>
      <c r="CJ306" s="63">
        <v>0</v>
      </c>
      <c r="CK306" s="63">
        <v>6574</v>
      </c>
      <c r="CL306" s="63">
        <v>164</v>
      </c>
      <c r="CM306" s="63">
        <v>41</v>
      </c>
      <c r="CN306" s="63">
        <v>0</v>
      </c>
      <c r="CO306" s="63">
        <v>205</v>
      </c>
      <c r="CP306" s="63">
        <v>676375</v>
      </c>
      <c r="CQ306" s="63">
        <v>169093</v>
      </c>
      <c r="CR306" s="63">
        <v>0</v>
      </c>
      <c r="CS306" s="63">
        <v>845468</v>
      </c>
      <c r="CU306" s="141" t="s">
        <v>443</v>
      </c>
      <c r="CV306" s="157" t="s">
        <v>978</v>
      </c>
      <c r="CW306" s="156" t="s">
        <v>928</v>
      </c>
      <c r="CX306" s="345"/>
      <c r="CY306" s="345"/>
      <c r="CZ306" s="345"/>
    </row>
    <row r="307" spans="1:104" ht="12.75" x14ac:dyDescent="0.2">
      <c r="A307" s="90">
        <v>300</v>
      </c>
      <c r="B307" s="129" t="s">
        <v>446</v>
      </c>
      <c r="C307" s="130" t="s">
        <v>742</v>
      </c>
      <c r="D307" s="131" t="s">
        <v>743</v>
      </c>
      <c r="E307" s="132" t="s">
        <v>445</v>
      </c>
      <c r="F307" s="63">
        <v>31207683</v>
      </c>
      <c r="G307" s="63">
        <v>0</v>
      </c>
      <c r="H307" s="63">
        <v>0</v>
      </c>
      <c r="I307" s="63">
        <v>211815</v>
      </c>
      <c r="J307" s="63">
        <v>0</v>
      </c>
      <c r="K307" s="63">
        <v>211815</v>
      </c>
      <c r="L307" s="63">
        <v>0</v>
      </c>
      <c r="M307" s="63">
        <v>0</v>
      </c>
      <c r="N307" s="63">
        <v>160507</v>
      </c>
      <c r="O307" s="63">
        <v>160507</v>
      </c>
      <c r="P307" s="63">
        <v>0</v>
      </c>
      <c r="Q307" s="63">
        <v>30835361</v>
      </c>
      <c r="R307" s="474">
        <v>0.5</v>
      </c>
      <c r="S307" s="474">
        <v>0.4</v>
      </c>
      <c r="T307" s="474">
        <v>0.09</v>
      </c>
      <c r="U307" s="474">
        <v>0.01</v>
      </c>
      <c r="V307" s="474">
        <v>1</v>
      </c>
      <c r="W307" s="63">
        <v>15417681</v>
      </c>
      <c r="X307" s="63">
        <v>12334144</v>
      </c>
      <c r="Y307" s="63">
        <v>2775182</v>
      </c>
      <c r="Z307" s="63">
        <v>308354</v>
      </c>
      <c r="AA307" s="63">
        <v>30835361</v>
      </c>
      <c r="AB307" s="63">
        <v>0</v>
      </c>
      <c r="AC307" s="63">
        <v>0</v>
      </c>
      <c r="AD307" s="63">
        <v>0</v>
      </c>
      <c r="AE307" s="63">
        <v>0</v>
      </c>
      <c r="AF307" s="63">
        <v>0</v>
      </c>
      <c r="AG307" s="63">
        <v>0</v>
      </c>
      <c r="AH307" s="63">
        <v>0</v>
      </c>
      <c r="AI307" s="63">
        <v>0</v>
      </c>
      <c r="AJ307" s="63">
        <v>0</v>
      </c>
      <c r="AK307" s="63">
        <v>0</v>
      </c>
      <c r="AL307" s="63">
        <v>15417681</v>
      </c>
      <c r="AM307" s="63">
        <v>12334144</v>
      </c>
      <c r="AN307" s="63">
        <v>2775182</v>
      </c>
      <c r="AO307" s="63">
        <v>308354</v>
      </c>
      <c r="AP307" s="63">
        <v>30835361</v>
      </c>
      <c r="AQ307" s="63">
        <v>211815</v>
      </c>
      <c r="AR307" s="63">
        <v>211815</v>
      </c>
      <c r="AS307" s="63">
        <v>0</v>
      </c>
      <c r="AT307" s="63">
        <v>0</v>
      </c>
      <c r="AU307" s="63">
        <v>160507</v>
      </c>
      <c r="AV307" s="63">
        <v>0</v>
      </c>
      <c r="AW307" s="63">
        <v>160507</v>
      </c>
      <c r="AX307" s="63">
        <v>0</v>
      </c>
      <c r="AY307" s="63">
        <v>0</v>
      </c>
      <c r="AZ307" s="63">
        <v>0</v>
      </c>
      <c r="BA307" s="63">
        <v>0</v>
      </c>
      <c r="BB307" s="63">
        <v>0</v>
      </c>
      <c r="BC307" s="63">
        <v>0</v>
      </c>
      <c r="BD307" s="63">
        <v>0</v>
      </c>
      <c r="BE307" s="63">
        <v>0</v>
      </c>
      <c r="BF307" s="63">
        <v>0</v>
      </c>
      <c r="BG307" s="63">
        <v>0</v>
      </c>
      <c r="BH307" s="63">
        <v>1318</v>
      </c>
      <c r="BI307" s="63">
        <v>1054</v>
      </c>
      <c r="BJ307" s="63">
        <v>237</v>
      </c>
      <c r="BK307" s="63">
        <v>26</v>
      </c>
      <c r="BL307" s="63">
        <v>2635</v>
      </c>
      <c r="BM307" s="63">
        <v>15418999</v>
      </c>
      <c r="BN307" s="63">
        <v>12707520</v>
      </c>
      <c r="BO307" s="63">
        <v>2775419</v>
      </c>
      <c r="BP307" s="63">
        <v>308380</v>
      </c>
      <c r="BQ307" s="63">
        <v>31210318</v>
      </c>
      <c r="BR307" s="63">
        <v>180708</v>
      </c>
      <c r="BS307" s="63">
        <v>40137</v>
      </c>
      <c r="BT307" s="63">
        <v>4460</v>
      </c>
      <c r="BU307" s="63">
        <v>225305</v>
      </c>
      <c r="BV307" s="63">
        <v>991204</v>
      </c>
      <c r="BW307" s="63">
        <v>223021</v>
      </c>
      <c r="BX307" s="63">
        <v>24780</v>
      </c>
      <c r="BY307" s="63">
        <v>1239005</v>
      </c>
      <c r="BZ307" s="63">
        <v>989</v>
      </c>
      <c r="CA307" s="63">
        <v>223</v>
      </c>
      <c r="CB307" s="63">
        <v>25</v>
      </c>
      <c r="CC307" s="63">
        <v>1237</v>
      </c>
      <c r="CD307" s="63">
        <v>0</v>
      </c>
      <c r="CE307" s="63">
        <v>0</v>
      </c>
      <c r="CF307" s="63">
        <v>0</v>
      </c>
      <c r="CG307" s="63">
        <v>0</v>
      </c>
      <c r="CH307" s="63">
        <v>623</v>
      </c>
      <c r="CI307" s="63">
        <v>140</v>
      </c>
      <c r="CJ307" s="63">
        <v>16</v>
      </c>
      <c r="CK307" s="63">
        <v>779</v>
      </c>
      <c r="CL307" s="63">
        <v>3617</v>
      </c>
      <c r="CM307" s="63">
        <v>814</v>
      </c>
      <c r="CN307" s="63">
        <v>90</v>
      </c>
      <c r="CO307" s="63">
        <v>4521</v>
      </c>
      <c r="CP307" s="63">
        <v>1177141</v>
      </c>
      <c r="CQ307" s="63">
        <v>264335</v>
      </c>
      <c r="CR307" s="63">
        <v>29371</v>
      </c>
      <c r="CS307" s="63">
        <v>1470847</v>
      </c>
      <c r="CU307" s="141" t="s">
        <v>445</v>
      </c>
      <c r="CV307" s="157" t="s">
        <v>977</v>
      </c>
      <c r="CW307" s="156" t="s">
        <v>959</v>
      </c>
      <c r="CX307" s="345"/>
      <c r="CY307" s="345"/>
      <c r="CZ307" s="345"/>
    </row>
    <row r="308" spans="1:104" ht="12.75" x14ac:dyDescent="0.2">
      <c r="A308" s="90">
        <v>301</v>
      </c>
      <c r="B308" s="129" t="s">
        <v>448</v>
      </c>
      <c r="C308" s="130" t="s">
        <v>742</v>
      </c>
      <c r="D308" s="131" t="s">
        <v>745</v>
      </c>
      <c r="E308" s="132" t="s">
        <v>447</v>
      </c>
      <c r="F308" s="63">
        <v>30403758</v>
      </c>
      <c r="G308" s="63">
        <v>0</v>
      </c>
      <c r="H308" s="63">
        <v>0</v>
      </c>
      <c r="I308" s="63">
        <v>111171</v>
      </c>
      <c r="J308" s="63">
        <v>0</v>
      </c>
      <c r="K308" s="63">
        <v>111171</v>
      </c>
      <c r="L308" s="63">
        <v>0</v>
      </c>
      <c r="M308" s="63">
        <v>0</v>
      </c>
      <c r="N308" s="63">
        <v>33987</v>
      </c>
      <c r="O308" s="63">
        <v>33987</v>
      </c>
      <c r="P308" s="63">
        <v>0</v>
      </c>
      <c r="Q308" s="63">
        <v>30258600</v>
      </c>
      <c r="R308" s="474">
        <v>0.5</v>
      </c>
      <c r="S308" s="474">
        <v>0.4</v>
      </c>
      <c r="T308" s="474">
        <v>0.1</v>
      </c>
      <c r="U308" s="474">
        <v>0</v>
      </c>
      <c r="V308" s="474">
        <v>1</v>
      </c>
      <c r="W308" s="63">
        <v>15129300</v>
      </c>
      <c r="X308" s="63">
        <v>12103440</v>
      </c>
      <c r="Y308" s="63">
        <v>3025860</v>
      </c>
      <c r="Z308" s="63">
        <v>0</v>
      </c>
      <c r="AA308" s="63">
        <v>30258600</v>
      </c>
      <c r="AB308" s="63">
        <v>0</v>
      </c>
      <c r="AC308" s="63">
        <v>0</v>
      </c>
      <c r="AD308" s="63">
        <v>0</v>
      </c>
      <c r="AE308" s="63">
        <v>0</v>
      </c>
      <c r="AF308" s="63">
        <v>0</v>
      </c>
      <c r="AG308" s="63">
        <v>0</v>
      </c>
      <c r="AH308" s="63">
        <v>0</v>
      </c>
      <c r="AI308" s="63">
        <v>0</v>
      </c>
      <c r="AJ308" s="63">
        <v>0</v>
      </c>
      <c r="AK308" s="63">
        <v>0</v>
      </c>
      <c r="AL308" s="63">
        <v>15129300</v>
      </c>
      <c r="AM308" s="63">
        <v>12103440</v>
      </c>
      <c r="AN308" s="63">
        <v>3025860</v>
      </c>
      <c r="AO308" s="63">
        <v>0</v>
      </c>
      <c r="AP308" s="63">
        <v>30258600</v>
      </c>
      <c r="AQ308" s="63">
        <v>111171</v>
      </c>
      <c r="AR308" s="63">
        <v>111171</v>
      </c>
      <c r="AS308" s="63">
        <v>0</v>
      </c>
      <c r="AT308" s="63">
        <v>0</v>
      </c>
      <c r="AU308" s="63">
        <v>33987</v>
      </c>
      <c r="AV308" s="63">
        <v>0</v>
      </c>
      <c r="AW308" s="63">
        <v>33987</v>
      </c>
      <c r="AX308" s="63">
        <v>0</v>
      </c>
      <c r="AY308" s="63">
        <v>0</v>
      </c>
      <c r="AZ308" s="63">
        <v>0</v>
      </c>
      <c r="BA308" s="63">
        <v>0</v>
      </c>
      <c r="BB308" s="63">
        <v>0</v>
      </c>
      <c r="BC308" s="63">
        <v>0</v>
      </c>
      <c r="BD308" s="63">
        <v>0</v>
      </c>
      <c r="BE308" s="63">
        <v>0</v>
      </c>
      <c r="BF308" s="63">
        <v>0</v>
      </c>
      <c r="BG308" s="63">
        <v>0</v>
      </c>
      <c r="BH308" s="63">
        <v>-848863</v>
      </c>
      <c r="BI308" s="63">
        <v>-679090</v>
      </c>
      <c r="BJ308" s="63">
        <v>-169773</v>
      </c>
      <c r="BK308" s="63">
        <v>0</v>
      </c>
      <c r="BL308" s="63">
        <v>-1697726</v>
      </c>
      <c r="BM308" s="63">
        <v>14280437</v>
      </c>
      <c r="BN308" s="63">
        <v>11569508</v>
      </c>
      <c r="BO308" s="63">
        <v>2856087</v>
      </c>
      <c r="BP308" s="63">
        <v>0</v>
      </c>
      <c r="BQ308" s="63">
        <v>28706032</v>
      </c>
      <c r="BR308" s="63">
        <v>175541</v>
      </c>
      <c r="BS308" s="63">
        <v>43762</v>
      </c>
      <c r="BT308" s="63">
        <v>0</v>
      </c>
      <c r="BU308" s="63">
        <v>219303</v>
      </c>
      <c r="BV308" s="63">
        <v>406526</v>
      </c>
      <c r="BW308" s="63">
        <v>101631</v>
      </c>
      <c r="BX308" s="63">
        <v>0</v>
      </c>
      <c r="BY308" s="63">
        <v>508157</v>
      </c>
      <c r="BZ308" s="63">
        <v>0</v>
      </c>
      <c r="CA308" s="63">
        <v>0</v>
      </c>
      <c r="CB308" s="63">
        <v>0</v>
      </c>
      <c r="CC308" s="63">
        <v>0</v>
      </c>
      <c r="CD308" s="63">
        <v>0</v>
      </c>
      <c r="CE308" s="63">
        <v>0</v>
      </c>
      <c r="CF308" s="63">
        <v>0</v>
      </c>
      <c r="CG308" s="63">
        <v>0</v>
      </c>
      <c r="CH308" s="63">
        <v>23174</v>
      </c>
      <c r="CI308" s="63">
        <v>5793</v>
      </c>
      <c r="CJ308" s="63">
        <v>0</v>
      </c>
      <c r="CK308" s="63">
        <v>28967</v>
      </c>
      <c r="CL308" s="63">
        <v>0</v>
      </c>
      <c r="CM308" s="63">
        <v>0</v>
      </c>
      <c r="CN308" s="63">
        <v>0</v>
      </c>
      <c r="CO308" s="63">
        <v>0</v>
      </c>
      <c r="CP308" s="63">
        <v>605241</v>
      </c>
      <c r="CQ308" s="63">
        <v>151186</v>
      </c>
      <c r="CR308" s="63">
        <v>0</v>
      </c>
      <c r="CS308" s="63">
        <v>756427</v>
      </c>
      <c r="CU308" s="141" t="s">
        <v>447</v>
      </c>
      <c r="CV308" s="157" t="s">
        <v>971</v>
      </c>
      <c r="CW308" s="156" t="s">
        <v>928</v>
      </c>
      <c r="CX308" s="345"/>
      <c r="CY308" s="345"/>
      <c r="CZ308" s="345"/>
    </row>
    <row r="309" spans="1:104" ht="12.75" x14ac:dyDescent="0.2">
      <c r="A309" s="90">
        <v>302</v>
      </c>
      <c r="B309" s="129" t="s">
        <v>450</v>
      </c>
      <c r="C309" s="130" t="s">
        <v>742</v>
      </c>
      <c r="D309" s="131" t="s">
        <v>746</v>
      </c>
      <c r="E309" s="132" t="s">
        <v>449</v>
      </c>
      <c r="F309" s="63">
        <v>60283361</v>
      </c>
      <c r="G309" s="63">
        <v>0</v>
      </c>
      <c r="H309" s="63">
        <v>0</v>
      </c>
      <c r="I309" s="63">
        <v>154290</v>
      </c>
      <c r="J309" s="63">
        <v>0</v>
      </c>
      <c r="K309" s="63">
        <v>154290</v>
      </c>
      <c r="L309" s="63">
        <v>0</v>
      </c>
      <c r="M309" s="63">
        <v>0</v>
      </c>
      <c r="N309" s="63">
        <v>0</v>
      </c>
      <c r="O309" s="63">
        <v>0</v>
      </c>
      <c r="P309" s="63">
        <v>0</v>
      </c>
      <c r="Q309" s="63">
        <v>60129071</v>
      </c>
      <c r="R309" s="474">
        <v>0.5</v>
      </c>
      <c r="S309" s="474">
        <v>0.4</v>
      </c>
      <c r="T309" s="474">
        <v>0.1</v>
      </c>
      <c r="U309" s="474">
        <v>0</v>
      </c>
      <c r="V309" s="474">
        <v>1</v>
      </c>
      <c r="W309" s="63">
        <v>30064536</v>
      </c>
      <c r="X309" s="63">
        <v>24051628</v>
      </c>
      <c r="Y309" s="63">
        <v>6012907</v>
      </c>
      <c r="Z309" s="63">
        <v>0</v>
      </c>
      <c r="AA309" s="63">
        <v>60129071</v>
      </c>
      <c r="AB309" s="63">
        <v>0</v>
      </c>
      <c r="AC309" s="63">
        <v>0</v>
      </c>
      <c r="AD309" s="63">
        <v>0</v>
      </c>
      <c r="AE309" s="63">
        <v>0</v>
      </c>
      <c r="AF309" s="63">
        <v>0</v>
      </c>
      <c r="AG309" s="63">
        <v>0</v>
      </c>
      <c r="AH309" s="63">
        <v>0</v>
      </c>
      <c r="AI309" s="63">
        <v>0</v>
      </c>
      <c r="AJ309" s="63">
        <v>0</v>
      </c>
      <c r="AK309" s="63">
        <v>0</v>
      </c>
      <c r="AL309" s="63">
        <v>30064536</v>
      </c>
      <c r="AM309" s="63">
        <v>24051628</v>
      </c>
      <c r="AN309" s="63">
        <v>6012907</v>
      </c>
      <c r="AO309" s="63">
        <v>0</v>
      </c>
      <c r="AP309" s="63">
        <v>60129071</v>
      </c>
      <c r="AQ309" s="63">
        <v>154290</v>
      </c>
      <c r="AR309" s="63">
        <v>154290</v>
      </c>
      <c r="AS309" s="63">
        <v>0</v>
      </c>
      <c r="AT309" s="63">
        <v>0</v>
      </c>
      <c r="AU309" s="63">
        <v>0</v>
      </c>
      <c r="AV309" s="63">
        <v>0</v>
      </c>
      <c r="AW309" s="63">
        <v>0</v>
      </c>
      <c r="AX309" s="63">
        <v>0</v>
      </c>
      <c r="AY309" s="63">
        <v>0</v>
      </c>
      <c r="AZ309" s="63">
        <v>0</v>
      </c>
      <c r="BA309" s="63">
        <v>0</v>
      </c>
      <c r="BB309" s="63">
        <v>0</v>
      </c>
      <c r="BC309" s="63">
        <v>0</v>
      </c>
      <c r="BD309" s="63">
        <v>0</v>
      </c>
      <c r="BE309" s="63">
        <v>0</v>
      </c>
      <c r="BF309" s="63">
        <v>0</v>
      </c>
      <c r="BG309" s="63">
        <v>0</v>
      </c>
      <c r="BH309" s="63">
        <v>642203</v>
      </c>
      <c r="BI309" s="63">
        <v>513763</v>
      </c>
      <c r="BJ309" s="63">
        <v>128441</v>
      </c>
      <c r="BK309" s="63">
        <v>0</v>
      </c>
      <c r="BL309" s="63">
        <v>1284407</v>
      </c>
      <c r="BM309" s="63">
        <v>30706739</v>
      </c>
      <c r="BN309" s="63">
        <v>24719681</v>
      </c>
      <c r="BO309" s="63">
        <v>6141348</v>
      </c>
      <c r="BP309" s="63">
        <v>0</v>
      </c>
      <c r="BQ309" s="63">
        <v>61567768</v>
      </c>
      <c r="BR309" s="63">
        <v>347854</v>
      </c>
      <c r="BS309" s="63">
        <v>86964</v>
      </c>
      <c r="BT309" s="63">
        <v>0</v>
      </c>
      <c r="BU309" s="63">
        <v>434818</v>
      </c>
      <c r="BV309" s="63">
        <v>270202</v>
      </c>
      <c r="BW309" s="63">
        <v>67550</v>
      </c>
      <c r="BX309" s="63">
        <v>0</v>
      </c>
      <c r="BY309" s="63">
        <v>337752</v>
      </c>
      <c r="BZ309" s="63">
        <v>0</v>
      </c>
      <c r="CA309" s="63">
        <v>0</v>
      </c>
      <c r="CB309" s="63">
        <v>0</v>
      </c>
      <c r="CC309" s="63">
        <v>0</v>
      </c>
      <c r="CD309" s="63">
        <v>0</v>
      </c>
      <c r="CE309" s="63">
        <v>0</v>
      </c>
      <c r="CF309" s="63">
        <v>0</v>
      </c>
      <c r="CG309" s="63">
        <v>0</v>
      </c>
      <c r="CH309" s="63">
        <v>5319</v>
      </c>
      <c r="CI309" s="63">
        <v>1330</v>
      </c>
      <c r="CJ309" s="63">
        <v>0</v>
      </c>
      <c r="CK309" s="63">
        <v>6649</v>
      </c>
      <c r="CL309" s="63">
        <v>1466</v>
      </c>
      <c r="CM309" s="63">
        <v>366</v>
      </c>
      <c r="CN309" s="63">
        <v>0</v>
      </c>
      <c r="CO309" s="63">
        <v>1832</v>
      </c>
      <c r="CP309" s="63">
        <v>624841</v>
      </c>
      <c r="CQ309" s="63">
        <v>156210</v>
      </c>
      <c r="CR309" s="63">
        <v>0</v>
      </c>
      <c r="CS309" s="63">
        <v>781051</v>
      </c>
      <c r="CU309" s="141" t="s">
        <v>449</v>
      </c>
      <c r="CV309" s="157" t="s">
        <v>960</v>
      </c>
      <c r="CW309" s="156" t="s">
        <v>928</v>
      </c>
      <c r="CX309" s="345"/>
      <c r="CY309" s="345"/>
      <c r="CZ309" s="345"/>
    </row>
    <row r="310" spans="1:104" ht="12.75" x14ac:dyDescent="0.2">
      <c r="A310" s="90">
        <v>303</v>
      </c>
      <c r="B310" s="129" t="s">
        <v>451</v>
      </c>
      <c r="C310" s="130" t="s">
        <v>501</v>
      </c>
      <c r="D310" s="131" t="s">
        <v>743</v>
      </c>
      <c r="E310" s="132" t="s">
        <v>506</v>
      </c>
      <c r="F310" s="63">
        <v>87667610</v>
      </c>
      <c r="G310" s="63">
        <v>0</v>
      </c>
      <c r="H310" s="63">
        <v>0</v>
      </c>
      <c r="I310" s="63">
        <v>259093</v>
      </c>
      <c r="J310" s="63">
        <v>0</v>
      </c>
      <c r="K310" s="63">
        <v>259093</v>
      </c>
      <c r="L310" s="63">
        <v>0</v>
      </c>
      <c r="M310" s="63">
        <v>0</v>
      </c>
      <c r="N310" s="63">
        <v>0</v>
      </c>
      <c r="O310" s="63">
        <v>0</v>
      </c>
      <c r="P310" s="63">
        <v>0</v>
      </c>
      <c r="Q310" s="63">
        <v>87408517</v>
      </c>
      <c r="R310" s="474">
        <v>0.5</v>
      </c>
      <c r="S310" s="474">
        <v>0.49</v>
      </c>
      <c r="T310" s="474">
        <v>0</v>
      </c>
      <c r="U310" s="474">
        <v>0.01</v>
      </c>
      <c r="V310" s="474">
        <v>1</v>
      </c>
      <c r="W310" s="63">
        <v>43704259</v>
      </c>
      <c r="X310" s="63">
        <v>42830173</v>
      </c>
      <c r="Y310" s="63">
        <v>0</v>
      </c>
      <c r="Z310" s="63">
        <v>874085</v>
      </c>
      <c r="AA310" s="63">
        <v>87408517</v>
      </c>
      <c r="AB310" s="63">
        <v>0</v>
      </c>
      <c r="AC310" s="63">
        <v>0</v>
      </c>
      <c r="AD310" s="63">
        <v>0</v>
      </c>
      <c r="AE310" s="63">
        <v>0</v>
      </c>
      <c r="AF310" s="63">
        <v>0</v>
      </c>
      <c r="AG310" s="63">
        <v>0</v>
      </c>
      <c r="AH310" s="63">
        <v>0</v>
      </c>
      <c r="AI310" s="63">
        <v>0</v>
      </c>
      <c r="AJ310" s="63">
        <v>0</v>
      </c>
      <c r="AK310" s="63">
        <v>0</v>
      </c>
      <c r="AL310" s="63">
        <v>43704259</v>
      </c>
      <c r="AM310" s="63">
        <v>42830173</v>
      </c>
      <c r="AN310" s="63">
        <v>0</v>
      </c>
      <c r="AO310" s="63">
        <v>874085</v>
      </c>
      <c r="AP310" s="63">
        <v>87408517</v>
      </c>
      <c r="AQ310" s="63">
        <v>259093</v>
      </c>
      <c r="AR310" s="63">
        <v>259093</v>
      </c>
      <c r="AS310" s="63">
        <v>0</v>
      </c>
      <c r="AT310" s="63">
        <v>0</v>
      </c>
      <c r="AU310" s="63">
        <v>0</v>
      </c>
      <c r="AV310" s="63">
        <v>0</v>
      </c>
      <c r="AW310" s="63">
        <v>0</v>
      </c>
      <c r="AX310" s="63">
        <v>0</v>
      </c>
      <c r="AY310" s="63">
        <v>0</v>
      </c>
      <c r="AZ310" s="63">
        <v>0</v>
      </c>
      <c r="BA310" s="63">
        <v>0</v>
      </c>
      <c r="BB310" s="63">
        <v>0</v>
      </c>
      <c r="BC310" s="63">
        <v>0</v>
      </c>
      <c r="BD310" s="63">
        <v>0</v>
      </c>
      <c r="BE310" s="63">
        <v>0</v>
      </c>
      <c r="BF310" s="63">
        <v>0</v>
      </c>
      <c r="BG310" s="63">
        <v>0</v>
      </c>
      <c r="BH310" s="63">
        <v>-1656672</v>
      </c>
      <c r="BI310" s="63">
        <v>-1623538</v>
      </c>
      <c r="BJ310" s="63">
        <v>0</v>
      </c>
      <c r="BK310" s="63">
        <v>-33133</v>
      </c>
      <c r="BL310" s="63">
        <v>-3313343</v>
      </c>
      <c r="BM310" s="63">
        <v>42047587</v>
      </c>
      <c r="BN310" s="63">
        <v>41465728</v>
      </c>
      <c r="BO310" s="63">
        <v>0</v>
      </c>
      <c r="BP310" s="63">
        <v>840952</v>
      </c>
      <c r="BQ310" s="63">
        <v>84354267</v>
      </c>
      <c r="BR310" s="63">
        <v>619445</v>
      </c>
      <c r="BS310" s="63">
        <v>0</v>
      </c>
      <c r="BT310" s="63">
        <v>12642</v>
      </c>
      <c r="BU310" s="63">
        <v>632087</v>
      </c>
      <c r="BV310" s="63">
        <v>589691</v>
      </c>
      <c r="BW310" s="63">
        <v>0</v>
      </c>
      <c r="BX310" s="63">
        <v>12035</v>
      </c>
      <c r="BY310" s="63">
        <v>601726</v>
      </c>
      <c r="BZ310" s="63">
        <v>4010</v>
      </c>
      <c r="CA310" s="63">
        <v>0</v>
      </c>
      <c r="CB310" s="63">
        <v>82</v>
      </c>
      <c r="CC310" s="63">
        <v>4092</v>
      </c>
      <c r="CD310" s="63">
        <v>0</v>
      </c>
      <c r="CE310" s="63">
        <v>0</v>
      </c>
      <c r="CF310" s="63">
        <v>0</v>
      </c>
      <c r="CG310" s="63">
        <v>0</v>
      </c>
      <c r="CH310" s="63">
        <v>0</v>
      </c>
      <c r="CI310" s="63">
        <v>0</v>
      </c>
      <c r="CJ310" s="63">
        <v>0</v>
      </c>
      <c r="CK310" s="63">
        <v>0</v>
      </c>
      <c r="CL310" s="63">
        <v>0</v>
      </c>
      <c r="CM310" s="63">
        <v>0</v>
      </c>
      <c r="CN310" s="63">
        <v>0</v>
      </c>
      <c r="CO310" s="63">
        <v>0</v>
      </c>
      <c r="CP310" s="63">
        <v>1213146</v>
      </c>
      <c r="CQ310" s="63">
        <v>0</v>
      </c>
      <c r="CR310" s="63">
        <v>24759</v>
      </c>
      <c r="CS310" s="63">
        <v>1237905</v>
      </c>
      <c r="CU310" s="141" t="s">
        <v>506</v>
      </c>
      <c r="CV310" s="157" t="s">
        <v>501</v>
      </c>
      <c r="CW310" s="156" t="s">
        <v>956</v>
      </c>
      <c r="CX310" s="345"/>
      <c r="CY310" s="345"/>
      <c r="CZ310" s="345"/>
    </row>
    <row r="311" spans="1:104" ht="12.75" x14ac:dyDescent="0.2">
      <c r="A311" s="90">
        <v>304</v>
      </c>
      <c r="B311" s="129" t="s">
        <v>453</v>
      </c>
      <c r="C311" s="130" t="s">
        <v>742</v>
      </c>
      <c r="D311" s="131" t="s">
        <v>751</v>
      </c>
      <c r="E311" s="132" t="s">
        <v>452</v>
      </c>
      <c r="F311" s="63">
        <v>10763086</v>
      </c>
      <c r="G311" s="63">
        <v>0</v>
      </c>
      <c r="H311" s="63">
        <v>0</v>
      </c>
      <c r="I311" s="63">
        <v>85017</v>
      </c>
      <c r="J311" s="63">
        <v>0</v>
      </c>
      <c r="K311" s="63">
        <v>85017</v>
      </c>
      <c r="L311" s="63">
        <v>0</v>
      </c>
      <c r="M311" s="63">
        <v>0</v>
      </c>
      <c r="N311" s="63">
        <v>0</v>
      </c>
      <c r="O311" s="63">
        <v>0</v>
      </c>
      <c r="P311" s="63">
        <v>0</v>
      </c>
      <c r="Q311" s="63">
        <v>10678069</v>
      </c>
      <c r="R311" s="474">
        <v>0.5</v>
      </c>
      <c r="S311" s="474">
        <v>0.4</v>
      </c>
      <c r="T311" s="474">
        <v>0.09</v>
      </c>
      <c r="U311" s="474">
        <v>0.01</v>
      </c>
      <c r="V311" s="474">
        <v>1</v>
      </c>
      <c r="W311" s="63">
        <v>5339034</v>
      </c>
      <c r="X311" s="63">
        <v>4271228</v>
      </c>
      <c r="Y311" s="63">
        <v>961026</v>
      </c>
      <c r="Z311" s="63">
        <v>106781</v>
      </c>
      <c r="AA311" s="63">
        <v>10678069</v>
      </c>
      <c r="AB311" s="63">
        <v>0</v>
      </c>
      <c r="AC311" s="63">
        <v>0</v>
      </c>
      <c r="AD311" s="63">
        <v>0</v>
      </c>
      <c r="AE311" s="63">
        <v>0</v>
      </c>
      <c r="AF311" s="63">
        <v>0</v>
      </c>
      <c r="AG311" s="63">
        <v>0</v>
      </c>
      <c r="AH311" s="63">
        <v>0</v>
      </c>
      <c r="AI311" s="63">
        <v>0</v>
      </c>
      <c r="AJ311" s="63">
        <v>0</v>
      </c>
      <c r="AK311" s="63">
        <v>0</v>
      </c>
      <c r="AL311" s="63">
        <v>5339034</v>
      </c>
      <c r="AM311" s="63">
        <v>4271228</v>
      </c>
      <c r="AN311" s="63">
        <v>961026</v>
      </c>
      <c r="AO311" s="63">
        <v>106781</v>
      </c>
      <c r="AP311" s="63">
        <v>10678069</v>
      </c>
      <c r="AQ311" s="63">
        <v>85017</v>
      </c>
      <c r="AR311" s="63">
        <v>85017</v>
      </c>
      <c r="AS311" s="63">
        <v>0</v>
      </c>
      <c r="AT311" s="63">
        <v>0</v>
      </c>
      <c r="AU311" s="63">
        <v>0</v>
      </c>
      <c r="AV311" s="63">
        <v>0</v>
      </c>
      <c r="AW311" s="63">
        <v>0</v>
      </c>
      <c r="AX311" s="63">
        <v>0</v>
      </c>
      <c r="AY311" s="63">
        <v>0</v>
      </c>
      <c r="AZ311" s="63">
        <v>0</v>
      </c>
      <c r="BA311" s="63">
        <v>0</v>
      </c>
      <c r="BB311" s="63">
        <v>0</v>
      </c>
      <c r="BC311" s="63">
        <v>0</v>
      </c>
      <c r="BD311" s="63">
        <v>0</v>
      </c>
      <c r="BE311" s="63">
        <v>0</v>
      </c>
      <c r="BF311" s="63">
        <v>0</v>
      </c>
      <c r="BG311" s="63">
        <v>0</v>
      </c>
      <c r="BH311" s="63">
        <v>-701044</v>
      </c>
      <c r="BI311" s="63">
        <v>-560835</v>
      </c>
      <c r="BJ311" s="63">
        <v>-126188</v>
      </c>
      <c r="BK311" s="63">
        <v>-14021</v>
      </c>
      <c r="BL311" s="63">
        <v>-1402088</v>
      </c>
      <c r="BM311" s="63">
        <v>4637990</v>
      </c>
      <c r="BN311" s="63">
        <v>3795410</v>
      </c>
      <c r="BO311" s="63">
        <v>834838</v>
      </c>
      <c r="BP311" s="63">
        <v>92760</v>
      </c>
      <c r="BQ311" s="63">
        <v>9360998</v>
      </c>
      <c r="BR311" s="63">
        <v>61774</v>
      </c>
      <c r="BS311" s="63">
        <v>13899</v>
      </c>
      <c r="BT311" s="63">
        <v>1544</v>
      </c>
      <c r="BU311" s="63">
        <v>77217</v>
      </c>
      <c r="BV311" s="63">
        <v>344858</v>
      </c>
      <c r="BW311" s="63">
        <v>77593</v>
      </c>
      <c r="BX311" s="63">
        <v>8621</v>
      </c>
      <c r="BY311" s="63">
        <v>431072</v>
      </c>
      <c r="BZ311" s="63">
        <v>0</v>
      </c>
      <c r="CA311" s="63">
        <v>0</v>
      </c>
      <c r="CB311" s="63">
        <v>0</v>
      </c>
      <c r="CC311" s="63">
        <v>0</v>
      </c>
      <c r="CD311" s="63">
        <v>4058</v>
      </c>
      <c r="CE311" s="63">
        <v>913</v>
      </c>
      <c r="CF311" s="63">
        <v>101</v>
      </c>
      <c r="CG311" s="63">
        <v>5072</v>
      </c>
      <c r="CH311" s="63">
        <v>2028</v>
      </c>
      <c r="CI311" s="63">
        <v>457</v>
      </c>
      <c r="CJ311" s="63">
        <v>51</v>
      </c>
      <c r="CK311" s="63">
        <v>2536</v>
      </c>
      <c r="CL311" s="63">
        <v>6242</v>
      </c>
      <c r="CM311" s="63">
        <v>1404</v>
      </c>
      <c r="CN311" s="63">
        <v>156</v>
      </c>
      <c r="CO311" s="63">
        <v>7802</v>
      </c>
      <c r="CP311" s="63">
        <v>418960</v>
      </c>
      <c r="CQ311" s="63">
        <v>94266</v>
      </c>
      <c r="CR311" s="63">
        <v>10473</v>
      </c>
      <c r="CS311" s="63">
        <v>523699</v>
      </c>
      <c r="CU311" s="141" t="s">
        <v>452</v>
      </c>
      <c r="CV311" s="157" t="s">
        <v>974</v>
      </c>
      <c r="CW311" s="156" t="s">
        <v>975</v>
      </c>
      <c r="CX311" s="345"/>
      <c r="CY311" s="345"/>
      <c r="CZ311" s="345"/>
    </row>
    <row r="312" spans="1:104" ht="12.75" x14ac:dyDescent="0.2">
      <c r="A312" s="90">
        <v>305</v>
      </c>
      <c r="B312" s="129" t="s">
        <v>455</v>
      </c>
      <c r="C312" s="130" t="s">
        <v>742</v>
      </c>
      <c r="D312" s="131" t="s">
        <v>751</v>
      </c>
      <c r="E312" s="132" t="s">
        <v>454</v>
      </c>
      <c r="F312" s="63">
        <v>29132481</v>
      </c>
      <c r="G312" s="63">
        <v>0</v>
      </c>
      <c r="H312" s="63">
        <v>0</v>
      </c>
      <c r="I312" s="63">
        <v>209221</v>
      </c>
      <c r="J312" s="63">
        <v>0</v>
      </c>
      <c r="K312" s="63">
        <v>209221</v>
      </c>
      <c r="L312" s="63">
        <v>0</v>
      </c>
      <c r="M312" s="63">
        <v>0</v>
      </c>
      <c r="N312" s="63">
        <v>92069</v>
      </c>
      <c r="O312" s="63">
        <v>92069</v>
      </c>
      <c r="P312" s="63">
        <v>0</v>
      </c>
      <c r="Q312" s="63">
        <v>28831191</v>
      </c>
      <c r="R312" s="474">
        <v>0.5</v>
      </c>
      <c r="S312" s="474">
        <v>0.4</v>
      </c>
      <c r="T312" s="474">
        <v>0.09</v>
      </c>
      <c r="U312" s="474">
        <v>0.01</v>
      </c>
      <c r="V312" s="474">
        <v>1</v>
      </c>
      <c r="W312" s="63">
        <v>14415596</v>
      </c>
      <c r="X312" s="63">
        <v>11532476</v>
      </c>
      <c r="Y312" s="63">
        <v>2594807</v>
      </c>
      <c r="Z312" s="63">
        <v>288312</v>
      </c>
      <c r="AA312" s="63">
        <v>28831191</v>
      </c>
      <c r="AB312" s="63">
        <v>0</v>
      </c>
      <c r="AC312" s="63">
        <v>0</v>
      </c>
      <c r="AD312" s="63">
        <v>0</v>
      </c>
      <c r="AE312" s="63">
        <v>0</v>
      </c>
      <c r="AF312" s="63">
        <v>0</v>
      </c>
      <c r="AG312" s="63">
        <v>0</v>
      </c>
      <c r="AH312" s="63">
        <v>0</v>
      </c>
      <c r="AI312" s="63">
        <v>0</v>
      </c>
      <c r="AJ312" s="63">
        <v>0</v>
      </c>
      <c r="AK312" s="63">
        <v>0</v>
      </c>
      <c r="AL312" s="63">
        <v>14415596</v>
      </c>
      <c r="AM312" s="63">
        <v>11532476</v>
      </c>
      <c r="AN312" s="63">
        <v>2594807</v>
      </c>
      <c r="AO312" s="63">
        <v>288312</v>
      </c>
      <c r="AP312" s="63">
        <v>28831191</v>
      </c>
      <c r="AQ312" s="63">
        <v>209221</v>
      </c>
      <c r="AR312" s="63">
        <v>209221</v>
      </c>
      <c r="AS312" s="63">
        <v>0</v>
      </c>
      <c r="AT312" s="63">
        <v>0</v>
      </c>
      <c r="AU312" s="63">
        <v>92069</v>
      </c>
      <c r="AV312" s="63">
        <v>0</v>
      </c>
      <c r="AW312" s="63">
        <v>92069</v>
      </c>
      <c r="AX312" s="63">
        <v>0</v>
      </c>
      <c r="AY312" s="63">
        <v>0</v>
      </c>
      <c r="AZ312" s="63">
        <v>0</v>
      </c>
      <c r="BA312" s="63">
        <v>0</v>
      </c>
      <c r="BB312" s="63">
        <v>0</v>
      </c>
      <c r="BC312" s="63">
        <v>0</v>
      </c>
      <c r="BD312" s="63">
        <v>0</v>
      </c>
      <c r="BE312" s="63">
        <v>0</v>
      </c>
      <c r="BF312" s="63">
        <v>0</v>
      </c>
      <c r="BG312" s="63">
        <v>0</v>
      </c>
      <c r="BH312" s="63">
        <v>5660</v>
      </c>
      <c r="BI312" s="63">
        <v>4528</v>
      </c>
      <c r="BJ312" s="63">
        <v>1019</v>
      </c>
      <c r="BK312" s="63">
        <v>113</v>
      </c>
      <c r="BL312" s="63">
        <v>11320</v>
      </c>
      <c r="BM312" s="63">
        <v>14421256</v>
      </c>
      <c r="BN312" s="63">
        <v>11838294</v>
      </c>
      <c r="BO312" s="63">
        <v>2595826</v>
      </c>
      <c r="BP312" s="63">
        <v>288425</v>
      </c>
      <c r="BQ312" s="63">
        <v>29143801</v>
      </c>
      <c r="BR312" s="63">
        <v>168124</v>
      </c>
      <c r="BS312" s="63">
        <v>37528</v>
      </c>
      <c r="BT312" s="63">
        <v>4170</v>
      </c>
      <c r="BU312" s="63">
        <v>209822</v>
      </c>
      <c r="BV312" s="63">
        <v>800045</v>
      </c>
      <c r="BW312" s="63">
        <v>180010</v>
      </c>
      <c r="BX312" s="63">
        <v>20001</v>
      </c>
      <c r="BY312" s="63">
        <v>1000056</v>
      </c>
      <c r="BZ312" s="63">
        <v>1694</v>
      </c>
      <c r="CA312" s="63">
        <v>381</v>
      </c>
      <c r="CB312" s="63">
        <v>42</v>
      </c>
      <c r="CC312" s="63">
        <v>2117</v>
      </c>
      <c r="CD312" s="63">
        <v>2419</v>
      </c>
      <c r="CE312" s="63">
        <v>545</v>
      </c>
      <c r="CF312" s="63">
        <v>61</v>
      </c>
      <c r="CG312" s="63">
        <v>3025</v>
      </c>
      <c r="CH312" s="63">
        <v>5226</v>
      </c>
      <c r="CI312" s="63">
        <v>1176</v>
      </c>
      <c r="CJ312" s="63">
        <v>131</v>
      </c>
      <c r="CK312" s="63">
        <v>6533</v>
      </c>
      <c r="CL312" s="63">
        <v>3845</v>
      </c>
      <c r="CM312" s="63">
        <v>865</v>
      </c>
      <c r="CN312" s="63">
        <v>96</v>
      </c>
      <c r="CO312" s="63">
        <v>4806</v>
      </c>
      <c r="CP312" s="63">
        <v>981353</v>
      </c>
      <c r="CQ312" s="63">
        <v>220505</v>
      </c>
      <c r="CR312" s="63">
        <v>24501</v>
      </c>
      <c r="CS312" s="63">
        <v>1226359</v>
      </c>
      <c r="CU312" s="141" t="s">
        <v>454</v>
      </c>
      <c r="CV312" s="157" t="s">
        <v>969</v>
      </c>
      <c r="CW312" s="156" t="s">
        <v>955</v>
      </c>
      <c r="CX312" s="345"/>
      <c r="CY312" s="345"/>
      <c r="CZ312" s="345"/>
    </row>
    <row r="313" spans="1:104" ht="12.75" x14ac:dyDescent="0.2">
      <c r="A313" s="90">
        <v>306</v>
      </c>
      <c r="B313" s="129" t="s">
        <v>457</v>
      </c>
      <c r="C313" s="130" t="s">
        <v>742</v>
      </c>
      <c r="D313" s="131" t="s">
        <v>744</v>
      </c>
      <c r="E313" s="132" t="s">
        <v>456</v>
      </c>
      <c r="F313" s="63">
        <v>32433164</v>
      </c>
      <c r="G313" s="63">
        <v>0</v>
      </c>
      <c r="H313" s="63">
        <v>0</v>
      </c>
      <c r="I313" s="63">
        <v>132268</v>
      </c>
      <c r="J313" s="63">
        <v>0</v>
      </c>
      <c r="K313" s="63">
        <v>132268</v>
      </c>
      <c r="L313" s="63">
        <v>0</v>
      </c>
      <c r="M313" s="63">
        <v>0</v>
      </c>
      <c r="N313" s="63">
        <v>0</v>
      </c>
      <c r="O313" s="63">
        <v>0</v>
      </c>
      <c r="P313" s="63">
        <v>0</v>
      </c>
      <c r="Q313" s="63">
        <v>32300896</v>
      </c>
      <c r="R313" s="474">
        <v>0.5</v>
      </c>
      <c r="S313" s="474">
        <v>0.4</v>
      </c>
      <c r="T313" s="474">
        <v>0.09</v>
      </c>
      <c r="U313" s="474">
        <v>0.01</v>
      </c>
      <c r="V313" s="474">
        <v>1</v>
      </c>
      <c r="W313" s="63">
        <v>16150448</v>
      </c>
      <c r="X313" s="63">
        <v>12920358</v>
      </c>
      <c r="Y313" s="63">
        <v>2907081</v>
      </c>
      <c r="Z313" s="63">
        <v>323009</v>
      </c>
      <c r="AA313" s="63">
        <v>32300896</v>
      </c>
      <c r="AB313" s="63">
        <v>0</v>
      </c>
      <c r="AC313" s="63">
        <v>0</v>
      </c>
      <c r="AD313" s="63">
        <v>0</v>
      </c>
      <c r="AE313" s="63">
        <v>0</v>
      </c>
      <c r="AF313" s="63">
        <v>0</v>
      </c>
      <c r="AG313" s="63">
        <v>0</v>
      </c>
      <c r="AH313" s="63">
        <v>0</v>
      </c>
      <c r="AI313" s="63">
        <v>0</v>
      </c>
      <c r="AJ313" s="63">
        <v>0</v>
      </c>
      <c r="AK313" s="63">
        <v>0</v>
      </c>
      <c r="AL313" s="63">
        <v>16150448</v>
      </c>
      <c r="AM313" s="63">
        <v>12920358</v>
      </c>
      <c r="AN313" s="63">
        <v>2907081</v>
      </c>
      <c r="AO313" s="63">
        <v>323009</v>
      </c>
      <c r="AP313" s="63">
        <v>32300896</v>
      </c>
      <c r="AQ313" s="63">
        <v>132268</v>
      </c>
      <c r="AR313" s="63">
        <v>132268</v>
      </c>
      <c r="AS313" s="63">
        <v>0</v>
      </c>
      <c r="AT313" s="63">
        <v>0</v>
      </c>
      <c r="AU313" s="63">
        <v>0</v>
      </c>
      <c r="AV313" s="63">
        <v>0</v>
      </c>
      <c r="AW313" s="63">
        <v>0</v>
      </c>
      <c r="AX313" s="63">
        <v>0</v>
      </c>
      <c r="AY313" s="63">
        <v>0</v>
      </c>
      <c r="AZ313" s="63">
        <v>0</v>
      </c>
      <c r="BA313" s="63">
        <v>0</v>
      </c>
      <c r="BB313" s="63">
        <v>0</v>
      </c>
      <c r="BC313" s="63">
        <v>0</v>
      </c>
      <c r="BD313" s="63">
        <v>0</v>
      </c>
      <c r="BE313" s="63">
        <v>0</v>
      </c>
      <c r="BF313" s="63">
        <v>0</v>
      </c>
      <c r="BG313" s="63">
        <v>0</v>
      </c>
      <c r="BH313" s="63">
        <v>-688341</v>
      </c>
      <c r="BI313" s="63">
        <v>-550673</v>
      </c>
      <c r="BJ313" s="63">
        <v>-123901</v>
      </c>
      <c r="BK313" s="63">
        <v>-13767</v>
      </c>
      <c r="BL313" s="63">
        <v>-1376682</v>
      </c>
      <c r="BM313" s="63">
        <v>15462107</v>
      </c>
      <c r="BN313" s="63">
        <v>12501953</v>
      </c>
      <c r="BO313" s="63">
        <v>2783180</v>
      </c>
      <c r="BP313" s="63">
        <v>309242</v>
      </c>
      <c r="BQ313" s="63">
        <v>31056482</v>
      </c>
      <c r="BR313" s="63">
        <v>186865</v>
      </c>
      <c r="BS313" s="63">
        <v>42045</v>
      </c>
      <c r="BT313" s="63">
        <v>4672</v>
      </c>
      <c r="BU313" s="63">
        <v>233582</v>
      </c>
      <c r="BV313" s="63">
        <v>437965</v>
      </c>
      <c r="BW313" s="63">
        <v>98542</v>
      </c>
      <c r="BX313" s="63">
        <v>10949</v>
      </c>
      <c r="BY313" s="63">
        <v>547456</v>
      </c>
      <c r="BZ313" s="63">
        <v>3051</v>
      </c>
      <c r="CA313" s="63">
        <v>686</v>
      </c>
      <c r="CB313" s="63">
        <v>76</v>
      </c>
      <c r="CC313" s="63">
        <v>3813</v>
      </c>
      <c r="CD313" s="63">
        <v>0</v>
      </c>
      <c r="CE313" s="63">
        <v>0</v>
      </c>
      <c r="CF313" s="63">
        <v>0</v>
      </c>
      <c r="CG313" s="63">
        <v>0</v>
      </c>
      <c r="CH313" s="63">
        <v>2028</v>
      </c>
      <c r="CI313" s="63">
        <v>457</v>
      </c>
      <c r="CJ313" s="63">
        <v>51</v>
      </c>
      <c r="CK313" s="63">
        <v>2536</v>
      </c>
      <c r="CL313" s="63">
        <v>3497</v>
      </c>
      <c r="CM313" s="63">
        <v>787</v>
      </c>
      <c r="CN313" s="63">
        <v>87</v>
      </c>
      <c r="CO313" s="63">
        <v>4371</v>
      </c>
      <c r="CP313" s="63">
        <v>633406</v>
      </c>
      <c r="CQ313" s="63">
        <v>142517</v>
      </c>
      <c r="CR313" s="63">
        <v>15835</v>
      </c>
      <c r="CS313" s="63">
        <v>791758</v>
      </c>
      <c r="CU313" s="141" t="s">
        <v>456</v>
      </c>
      <c r="CV313" s="157" t="s">
        <v>961</v>
      </c>
      <c r="CW313" s="156" t="s">
        <v>952</v>
      </c>
      <c r="CX313" s="345"/>
      <c r="CY313" s="345"/>
      <c r="CZ313" s="345"/>
    </row>
    <row r="314" spans="1:104" ht="12.75" x14ac:dyDescent="0.2">
      <c r="A314" s="90">
        <v>307</v>
      </c>
      <c r="B314" s="129" t="s">
        <v>459</v>
      </c>
      <c r="C314" s="130" t="s">
        <v>742</v>
      </c>
      <c r="D314" s="131" t="s">
        <v>745</v>
      </c>
      <c r="E314" s="132" t="s">
        <v>458</v>
      </c>
      <c r="F314" s="63">
        <v>16758905</v>
      </c>
      <c r="G314" s="63">
        <v>0</v>
      </c>
      <c r="H314" s="63">
        <v>0</v>
      </c>
      <c r="I314" s="63">
        <v>106298</v>
      </c>
      <c r="J314" s="63">
        <v>0</v>
      </c>
      <c r="K314" s="63">
        <v>106298</v>
      </c>
      <c r="L314" s="63">
        <v>0</v>
      </c>
      <c r="M314" s="63">
        <v>0</v>
      </c>
      <c r="N314" s="63">
        <v>20244</v>
      </c>
      <c r="O314" s="63">
        <v>20244</v>
      </c>
      <c r="P314" s="63">
        <v>0</v>
      </c>
      <c r="Q314" s="63">
        <v>16632363</v>
      </c>
      <c r="R314" s="474">
        <v>0.5</v>
      </c>
      <c r="S314" s="474">
        <v>0.4</v>
      </c>
      <c r="T314" s="474">
        <v>0.1</v>
      </c>
      <c r="U314" s="474">
        <v>0</v>
      </c>
      <c r="V314" s="474">
        <v>1</v>
      </c>
      <c r="W314" s="63">
        <v>8316182</v>
      </c>
      <c r="X314" s="63">
        <v>6652945</v>
      </c>
      <c r="Y314" s="63">
        <v>1663236</v>
      </c>
      <c r="Z314" s="63">
        <v>0</v>
      </c>
      <c r="AA314" s="63">
        <v>16632363</v>
      </c>
      <c r="AB314" s="63">
        <v>0</v>
      </c>
      <c r="AC314" s="63">
        <v>0</v>
      </c>
      <c r="AD314" s="63">
        <v>0</v>
      </c>
      <c r="AE314" s="63">
        <v>0</v>
      </c>
      <c r="AF314" s="63">
        <v>0</v>
      </c>
      <c r="AG314" s="63">
        <v>0</v>
      </c>
      <c r="AH314" s="63">
        <v>0</v>
      </c>
      <c r="AI314" s="63">
        <v>0</v>
      </c>
      <c r="AJ314" s="63">
        <v>0</v>
      </c>
      <c r="AK314" s="63">
        <v>0</v>
      </c>
      <c r="AL314" s="63">
        <v>8316182</v>
      </c>
      <c r="AM314" s="63">
        <v>6652945</v>
      </c>
      <c r="AN314" s="63">
        <v>1663236</v>
      </c>
      <c r="AO314" s="63">
        <v>0</v>
      </c>
      <c r="AP314" s="63">
        <v>16632363</v>
      </c>
      <c r="AQ314" s="63">
        <v>106298</v>
      </c>
      <c r="AR314" s="63">
        <v>106298</v>
      </c>
      <c r="AS314" s="63">
        <v>0</v>
      </c>
      <c r="AT314" s="63">
        <v>0</v>
      </c>
      <c r="AU314" s="63">
        <v>20244</v>
      </c>
      <c r="AV314" s="63">
        <v>0</v>
      </c>
      <c r="AW314" s="63">
        <v>20244</v>
      </c>
      <c r="AX314" s="63">
        <v>0</v>
      </c>
      <c r="AY314" s="63">
        <v>0</v>
      </c>
      <c r="AZ314" s="63">
        <v>0</v>
      </c>
      <c r="BA314" s="63">
        <v>0</v>
      </c>
      <c r="BB314" s="63">
        <v>0</v>
      </c>
      <c r="BC314" s="63">
        <v>0</v>
      </c>
      <c r="BD314" s="63">
        <v>0</v>
      </c>
      <c r="BE314" s="63">
        <v>0</v>
      </c>
      <c r="BF314" s="63">
        <v>0</v>
      </c>
      <c r="BG314" s="63">
        <v>0</v>
      </c>
      <c r="BH314" s="63">
        <v>-183065</v>
      </c>
      <c r="BI314" s="63">
        <v>-146452</v>
      </c>
      <c r="BJ314" s="63">
        <v>-36613</v>
      </c>
      <c r="BK314" s="63">
        <v>0</v>
      </c>
      <c r="BL314" s="63">
        <v>-366130</v>
      </c>
      <c r="BM314" s="63">
        <v>8133117</v>
      </c>
      <c r="BN314" s="63">
        <v>6633035</v>
      </c>
      <c r="BO314" s="63">
        <v>1626623</v>
      </c>
      <c r="BP314" s="63">
        <v>0</v>
      </c>
      <c r="BQ314" s="63">
        <v>16392775</v>
      </c>
      <c r="BR314" s="63">
        <v>96513</v>
      </c>
      <c r="BS314" s="63">
        <v>24055</v>
      </c>
      <c r="BT314" s="63">
        <v>0</v>
      </c>
      <c r="BU314" s="63">
        <v>120568</v>
      </c>
      <c r="BV314" s="63">
        <v>365135</v>
      </c>
      <c r="BW314" s="63">
        <v>91284</v>
      </c>
      <c r="BX314" s="63">
        <v>0</v>
      </c>
      <c r="BY314" s="63">
        <v>456419</v>
      </c>
      <c r="BZ314" s="63">
        <v>0</v>
      </c>
      <c r="CA314" s="63">
        <v>0</v>
      </c>
      <c r="CB314" s="63">
        <v>0</v>
      </c>
      <c r="CC314" s="63">
        <v>0</v>
      </c>
      <c r="CD314" s="63">
        <v>24654</v>
      </c>
      <c r="CE314" s="63">
        <v>6164</v>
      </c>
      <c r="CF314" s="63">
        <v>0</v>
      </c>
      <c r="CG314" s="63">
        <v>30818</v>
      </c>
      <c r="CH314" s="63">
        <v>3782</v>
      </c>
      <c r="CI314" s="63">
        <v>945</v>
      </c>
      <c r="CJ314" s="63">
        <v>0</v>
      </c>
      <c r="CK314" s="63">
        <v>4727</v>
      </c>
      <c r="CL314" s="63">
        <v>0</v>
      </c>
      <c r="CM314" s="63">
        <v>0</v>
      </c>
      <c r="CN314" s="63">
        <v>0</v>
      </c>
      <c r="CO314" s="63">
        <v>0</v>
      </c>
      <c r="CP314" s="63">
        <v>490084</v>
      </c>
      <c r="CQ314" s="63">
        <v>122448</v>
      </c>
      <c r="CR314" s="63">
        <v>0</v>
      </c>
      <c r="CS314" s="63">
        <v>612532</v>
      </c>
      <c r="CU314" s="141" t="s">
        <v>458</v>
      </c>
      <c r="CV314" s="157" t="s">
        <v>954</v>
      </c>
      <c r="CW314" s="156" t="s">
        <v>928</v>
      </c>
      <c r="CX314" s="345"/>
      <c r="CY314" s="345"/>
      <c r="CZ314" s="345"/>
    </row>
    <row r="315" spans="1:104" ht="12.75" x14ac:dyDescent="0.2">
      <c r="A315" s="90">
        <v>308</v>
      </c>
      <c r="B315" s="129" t="s">
        <v>461</v>
      </c>
      <c r="C315" s="130" t="s">
        <v>742</v>
      </c>
      <c r="D315" s="131" t="s">
        <v>743</v>
      </c>
      <c r="E315" s="132" t="s">
        <v>460</v>
      </c>
      <c r="F315" s="63">
        <v>33974667</v>
      </c>
      <c r="G315" s="63">
        <v>0</v>
      </c>
      <c r="H315" s="63">
        <v>0</v>
      </c>
      <c r="I315" s="63">
        <v>164154</v>
      </c>
      <c r="J315" s="63">
        <v>0</v>
      </c>
      <c r="K315" s="63">
        <v>164154</v>
      </c>
      <c r="L315" s="63">
        <v>0</v>
      </c>
      <c r="M315" s="63">
        <v>0</v>
      </c>
      <c r="N315" s="63">
        <v>251358</v>
      </c>
      <c r="O315" s="63">
        <v>251358</v>
      </c>
      <c r="P315" s="63">
        <v>0</v>
      </c>
      <c r="Q315" s="63">
        <v>33559155</v>
      </c>
      <c r="R315" s="474">
        <v>0.5</v>
      </c>
      <c r="S315" s="474">
        <v>0.4</v>
      </c>
      <c r="T315" s="474">
        <v>0.1</v>
      </c>
      <c r="U315" s="474">
        <v>0</v>
      </c>
      <c r="V315" s="474">
        <v>1</v>
      </c>
      <c r="W315" s="63">
        <v>16779577</v>
      </c>
      <c r="X315" s="63">
        <v>13423662</v>
      </c>
      <c r="Y315" s="63">
        <v>3355916</v>
      </c>
      <c r="Z315" s="63">
        <v>0</v>
      </c>
      <c r="AA315" s="63">
        <v>33559155</v>
      </c>
      <c r="AB315" s="63">
        <v>0</v>
      </c>
      <c r="AC315" s="63">
        <v>0</v>
      </c>
      <c r="AD315" s="63">
        <v>0</v>
      </c>
      <c r="AE315" s="63">
        <v>0</v>
      </c>
      <c r="AF315" s="63">
        <v>0</v>
      </c>
      <c r="AG315" s="63">
        <v>0</v>
      </c>
      <c r="AH315" s="63">
        <v>0</v>
      </c>
      <c r="AI315" s="63">
        <v>0</v>
      </c>
      <c r="AJ315" s="63">
        <v>0</v>
      </c>
      <c r="AK315" s="63">
        <v>0</v>
      </c>
      <c r="AL315" s="63">
        <v>16779577</v>
      </c>
      <c r="AM315" s="63">
        <v>13423662</v>
      </c>
      <c r="AN315" s="63">
        <v>3355916</v>
      </c>
      <c r="AO315" s="63">
        <v>0</v>
      </c>
      <c r="AP315" s="63">
        <v>33559155</v>
      </c>
      <c r="AQ315" s="63">
        <v>164154</v>
      </c>
      <c r="AR315" s="63">
        <v>164154</v>
      </c>
      <c r="AS315" s="63">
        <v>0</v>
      </c>
      <c r="AT315" s="63">
        <v>0</v>
      </c>
      <c r="AU315" s="63">
        <v>251358</v>
      </c>
      <c r="AV315" s="63">
        <v>0</v>
      </c>
      <c r="AW315" s="63">
        <v>251358</v>
      </c>
      <c r="AX315" s="63">
        <v>0</v>
      </c>
      <c r="AY315" s="63">
        <v>0</v>
      </c>
      <c r="AZ315" s="63">
        <v>0</v>
      </c>
      <c r="BA315" s="63">
        <v>0</v>
      </c>
      <c r="BB315" s="63">
        <v>0</v>
      </c>
      <c r="BC315" s="63">
        <v>0</v>
      </c>
      <c r="BD315" s="63">
        <v>0</v>
      </c>
      <c r="BE315" s="63">
        <v>0</v>
      </c>
      <c r="BF315" s="63">
        <v>0</v>
      </c>
      <c r="BG315" s="63">
        <v>0</v>
      </c>
      <c r="BH315" s="63">
        <v>-1357890</v>
      </c>
      <c r="BI315" s="63">
        <v>-1086312</v>
      </c>
      <c r="BJ315" s="63">
        <v>-271578</v>
      </c>
      <c r="BK315" s="63">
        <v>0</v>
      </c>
      <c r="BL315" s="63">
        <v>-2715780</v>
      </c>
      <c r="BM315" s="63">
        <v>15421687</v>
      </c>
      <c r="BN315" s="63">
        <v>12752862</v>
      </c>
      <c r="BO315" s="63">
        <v>3084338</v>
      </c>
      <c r="BP315" s="63">
        <v>0</v>
      </c>
      <c r="BQ315" s="63">
        <v>31258887</v>
      </c>
      <c r="BR315" s="63">
        <v>197779</v>
      </c>
      <c r="BS315" s="63">
        <v>48536</v>
      </c>
      <c r="BT315" s="63">
        <v>0</v>
      </c>
      <c r="BU315" s="63">
        <v>246315</v>
      </c>
      <c r="BV315" s="63">
        <v>514792</v>
      </c>
      <c r="BW315" s="63">
        <v>128698</v>
      </c>
      <c r="BX315" s="63">
        <v>0</v>
      </c>
      <c r="BY315" s="63">
        <v>643490</v>
      </c>
      <c r="BZ315" s="63">
        <v>3424</v>
      </c>
      <c r="CA315" s="63">
        <v>856</v>
      </c>
      <c r="CB315" s="63">
        <v>0</v>
      </c>
      <c r="CC315" s="63">
        <v>4280</v>
      </c>
      <c r="CD315" s="63">
        <v>0</v>
      </c>
      <c r="CE315" s="63">
        <v>0</v>
      </c>
      <c r="CF315" s="63">
        <v>0</v>
      </c>
      <c r="CG315" s="63">
        <v>0</v>
      </c>
      <c r="CH315" s="63">
        <v>1428</v>
      </c>
      <c r="CI315" s="63">
        <v>357</v>
      </c>
      <c r="CJ315" s="63">
        <v>0</v>
      </c>
      <c r="CK315" s="63">
        <v>1785</v>
      </c>
      <c r="CL315" s="63">
        <v>2314</v>
      </c>
      <c r="CM315" s="63">
        <v>579</v>
      </c>
      <c r="CN315" s="63">
        <v>0</v>
      </c>
      <c r="CO315" s="63">
        <v>2893</v>
      </c>
      <c r="CP315" s="63">
        <v>719737</v>
      </c>
      <c r="CQ315" s="63">
        <v>179026</v>
      </c>
      <c r="CR315" s="63">
        <v>0</v>
      </c>
      <c r="CS315" s="63">
        <v>898763</v>
      </c>
      <c r="CU315" s="141" t="s">
        <v>460</v>
      </c>
      <c r="CV315" s="157" t="s">
        <v>967</v>
      </c>
      <c r="CW315" s="156" t="s">
        <v>928</v>
      </c>
      <c r="CX315" s="345"/>
      <c r="CY315" s="345"/>
      <c r="CZ315" s="345"/>
    </row>
    <row r="316" spans="1:104" ht="12.75" x14ac:dyDescent="0.2">
      <c r="A316" s="90">
        <v>309</v>
      </c>
      <c r="B316" s="129" t="s">
        <v>463</v>
      </c>
      <c r="C316" s="130" t="s">
        <v>742</v>
      </c>
      <c r="D316" s="131" t="s">
        <v>751</v>
      </c>
      <c r="E316" s="132" t="s">
        <v>462</v>
      </c>
      <c r="F316" s="63">
        <v>11038205</v>
      </c>
      <c r="G316" s="63">
        <v>0</v>
      </c>
      <c r="H316" s="63">
        <v>0</v>
      </c>
      <c r="I316" s="63">
        <v>73383</v>
      </c>
      <c r="J316" s="63">
        <v>0</v>
      </c>
      <c r="K316" s="63">
        <v>73383</v>
      </c>
      <c r="L316" s="63">
        <v>0</v>
      </c>
      <c r="M316" s="63">
        <v>0</v>
      </c>
      <c r="N316" s="63">
        <v>50000</v>
      </c>
      <c r="O316" s="63">
        <v>50000</v>
      </c>
      <c r="P316" s="63">
        <v>0</v>
      </c>
      <c r="Q316" s="63">
        <v>10914822</v>
      </c>
      <c r="R316" s="474">
        <v>0.5</v>
      </c>
      <c r="S316" s="474">
        <v>0.4</v>
      </c>
      <c r="T316" s="474">
        <v>0.09</v>
      </c>
      <c r="U316" s="474">
        <v>0.01</v>
      </c>
      <c r="V316" s="474">
        <v>1</v>
      </c>
      <c r="W316" s="63">
        <v>5457411</v>
      </c>
      <c r="X316" s="63">
        <v>4365929</v>
      </c>
      <c r="Y316" s="63">
        <v>982334</v>
      </c>
      <c r="Z316" s="63">
        <v>109148</v>
      </c>
      <c r="AA316" s="63">
        <v>10914822</v>
      </c>
      <c r="AB316" s="63">
        <v>0</v>
      </c>
      <c r="AC316" s="63">
        <v>0</v>
      </c>
      <c r="AD316" s="63">
        <v>0</v>
      </c>
      <c r="AE316" s="63">
        <v>0</v>
      </c>
      <c r="AF316" s="63">
        <v>0</v>
      </c>
      <c r="AG316" s="63">
        <v>0</v>
      </c>
      <c r="AH316" s="63">
        <v>0</v>
      </c>
      <c r="AI316" s="63">
        <v>0</v>
      </c>
      <c r="AJ316" s="63">
        <v>0</v>
      </c>
      <c r="AK316" s="63">
        <v>0</v>
      </c>
      <c r="AL316" s="63">
        <v>5457411</v>
      </c>
      <c r="AM316" s="63">
        <v>4365929</v>
      </c>
      <c r="AN316" s="63">
        <v>982334</v>
      </c>
      <c r="AO316" s="63">
        <v>109148</v>
      </c>
      <c r="AP316" s="63">
        <v>10914822</v>
      </c>
      <c r="AQ316" s="63">
        <v>73383</v>
      </c>
      <c r="AR316" s="63">
        <v>73383</v>
      </c>
      <c r="AS316" s="63">
        <v>0</v>
      </c>
      <c r="AT316" s="63">
        <v>0</v>
      </c>
      <c r="AU316" s="63">
        <v>50000</v>
      </c>
      <c r="AV316" s="63">
        <v>0</v>
      </c>
      <c r="AW316" s="63">
        <v>50000</v>
      </c>
      <c r="AX316" s="63">
        <v>0</v>
      </c>
      <c r="AY316" s="63">
        <v>0</v>
      </c>
      <c r="AZ316" s="63">
        <v>0</v>
      </c>
      <c r="BA316" s="63">
        <v>0</v>
      </c>
      <c r="BB316" s="63">
        <v>0</v>
      </c>
      <c r="BC316" s="63">
        <v>0</v>
      </c>
      <c r="BD316" s="63">
        <v>0</v>
      </c>
      <c r="BE316" s="63">
        <v>0</v>
      </c>
      <c r="BF316" s="63">
        <v>0</v>
      </c>
      <c r="BG316" s="63">
        <v>0</v>
      </c>
      <c r="BH316" s="63">
        <v>-3411329</v>
      </c>
      <c r="BI316" s="63">
        <v>-2729063</v>
      </c>
      <c r="BJ316" s="63">
        <v>-614039</v>
      </c>
      <c r="BK316" s="63">
        <v>-68227</v>
      </c>
      <c r="BL316" s="63">
        <v>-6822658</v>
      </c>
      <c r="BM316" s="63">
        <v>2046082</v>
      </c>
      <c r="BN316" s="63">
        <v>1760249</v>
      </c>
      <c r="BO316" s="63">
        <v>368295</v>
      </c>
      <c r="BP316" s="63">
        <v>40921</v>
      </c>
      <c r="BQ316" s="63">
        <v>4215547</v>
      </c>
      <c r="BR316" s="63">
        <v>63867</v>
      </c>
      <c r="BS316" s="63">
        <v>14207</v>
      </c>
      <c r="BT316" s="63">
        <v>1579</v>
      </c>
      <c r="BU316" s="63">
        <v>79653</v>
      </c>
      <c r="BV316" s="63">
        <v>287397</v>
      </c>
      <c r="BW316" s="63">
        <v>64664</v>
      </c>
      <c r="BX316" s="63">
        <v>7185</v>
      </c>
      <c r="BY316" s="63">
        <v>359246</v>
      </c>
      <c r="BZ316" s="63">
        <v>811</v>
      </c>
      <c r="CA316" s="63">
        <v>183</v>
      </c>
      <c r="CB316" s="63">
        <v>20</v>
      </c>
      <c r="CC316" s="63">
        <v>1014</v>
      </c>
      <c r="CD316" s="63">
        <v>7602</v>
      </c>
      <c r="CE316" s="63">
        <v>1710</v>
      </c>
      <c r="CF316" s="63">
        <v>190</v>
      </c>
      <c r="CG316" s="63">
        <v>9502</v>
      </c>
      <c r="CH316" s="63">
        <v>0</v>
      </c>
      <c r="CI316" s="63">
        <v>0</v>
      </c>
      <c r="CJ316" s="63">
        <v>0</v>
      </c>
      <c r="CK316" s="63">
        <v>0</v>
      </c>
      <c r="CL316" s="63">
        <v>5884</v>
      </c>
      <c r="CM316" s="63">
        <v>1324</v>
      </c>
      <c r="CN316" s="63">
        <v>147</v>
      </c>
      <c r="CO316" s="63">
        <v>7355</v>
      </c>
      <c r="CP316" s="63">
        <v>365561</v>
      </c>
      <c r="CQ316" s="63">
        <v>82088</v>
      </c>
      <c r="CR316" s="63">
        <v>9121</v>
      </c>
      <c r="CS316" s="63">
        <v>456770</v>
      </c>
      <c r="CU316" s="141" t="s">
        <v>462</v>
      </c>
      <c r="CV316" s="157" t="s">
        <v>982</v>
      </c>
      <c r="CW316" s="156" t="s">
        <v>975</v>
      </c>
      <c r="CX316" s="345"/>
      <c r="CY316" s="345"/>
      <c r="CZ316" s="345"/>
    </row>
    <row r="317" spans="1:104" ht="12.75" x14ac:dyDescent="0.2">
      <c r="A317" s="90">
        <v>310</v>
      </c>
      <c r="B317" s="129" t="s">
        <v>465</v>
      </c>
      <c r="C317" s="130" t="s">
        <v>754</v>
      </c>
      <c r="D317" s="131" t="s">
        <v>748</v>
      </c>
      <c r="E317" s="132" t="s">
        <v>464</v>
      </c>
      <c r="F317" s="63">
        <v>1758736858</v>
      </c>
      <c r="G317" s="63">
        <v>0</v>
      </c>
      <c r="H317" s="63">
        <v>0</v>
      </c>
      <c r="I317" s="63">
        <v>3097183</v>
      </c>
      <c r="J317" s="63">
        <v>0</v>
      </c>
      <c r="K317" s="63">
        <v>3097183</v>
      </c>
      <c r="L317" s="63">
        <v>0</v>
      </c>
      <c r="M317" s="63">
        <v>0</v>
      </c>
      <c r="N317" s="63">
        <v>0</v>
      </c>
      <c r="O317" s="63">
        <v>0</v>
      </c>
      <c r="P317" s="63">
        <v>0</v>
      </c>
      <c r="Q317" s="63">
        <v>1755639675</v>
      </c>
      <c r="R317" s="474">
        <v>0.5</v>
      </c>
      <c r="S317" s="474">
        <v>0.3</v>
      </c>
      <c r="T317" s="474">
        <v>0.2</v>
      </c>
      <c r="U317" s="474">
        <v>0</v>
      </c>
      <c r="V317" s="474">
        <v>1</v>
      </c>
      <c r="W317" s="63">
        <v>877819837</v>
      </c>
      <c r="X317" s="63">
        <v>526691903</v>
      </c>
      <c r="Y317" s="63">
        <v>351127935</v>
      </c>
      <c r="Z317" s="63">
        <v>0</v>
      </c>
      <c r="AA317" s="63">
        <v>1755639675</v>
      </c>
      <c r="AB317" s="63">
        <v>0</v>
      </c>
      <c r="AC317" s="63">
        <v>0</v>
      </c>
      <c r="AD317" s="63">
        <v>0</v>
      </c>
      <c r="AE317" s="63">
        <v>0</v>
      </c>
      <c r="AF317" s="63">
        <v>0</v>
      </c>
      <c r="AG317" s="63">
        <v>0</v>
      </c>
      <c r="AH317" s="63">
        <v>0</v>
      </c>
      <c r="AI317" s="63">
        <v>0</v>
      </c>
      <c r="AJ317" s="63">
        <v>0</v>
      </c>
      <c r="AK317" s="63">
        <v>0</v>
      </c>
      <c r="AL317" s="63">
        <v>877819837</v>
      </c>
      <c r="AM317" s="63">
        <v>526691903</v>
      </c>
      <c r="AN317" s="63">
        <v>351127935</v>
      </c>
      <c r="AO317" s="63">
        <v>0</v>
      </c>
      <c r="AP317" s="63">
        <v>1755639675</v>
      </c>
      <c r="AQ317" s="63">
        <v>3097183</v>
      </c>
      <c r="AR317" s="63">
        <v>3097183</v>
      </c>
      <c r="AS317" s="63">
        <v>0</v>
      </c>
      <c r="AT317" s="63">
        <v>0</v>
      </c>
      <c r="AU317" s="63">
        <v>0</v>
      </c>
      <c r="AV317" s="63">
        <v>0</v>
      </c>
      <c r="AW317" s="63">
        <v>0</v>
      </c>
      <c r="AX317" s="63">
        <v>0</v>
      </c>
      <c r="AY317" s="63">
        <v>0</v>
      </c>
      <c r="AZ317" s="63">
        <v>0</v>
      </c>
      <c r="BA317" s="63">
        <v>0</v>
      </c>
      <c r="BB317" s="63">
        <v>0</v>
      </c>
      <c r="BC317" s="63">
        <v>0</v>
      </c>
      <c r="BD317" s="63">
        <v>0</v>
      </c>
      <c r="BE317" s="63">
        <v>0</v>
      </c>
      <c r="BF317" s="63">
        <v>0</v>
      </c>
      <c r="BG317" s="63">
        <v>0</v>
      </c>
      <c r="BH317" s="63">
        <v>-148468361</v>
      </c>
      <c r="BI317" s="63">
        <v>-89081016</v>
      </c>
      <c r="BJ317" s="63">
        <v>-59387344</v>
      </c>
      <c r="BK317" s="63">
        <v>0</v>
      </c>
      <c r="BL317" s="63">
        <v>-296936720.60100031</v>
      </c>
      <c r="BM317" s="63">
        <v>729351476</v>
      </c>
      <c r="BN317" s="63">
        <v>440708070</v>
      </c>
      <c r="BO317" s="63">
        <v>291740591</v>
      </c>
      <c r="BP317" s="63">
        <v>0</v>
      </c>
      <c r="BQ317" s="63">
        <v>1461800137</v>
      </c>
      <c r="BR317" s="63">
        <v>7617445</v>
      </c>
      <c r="BS317" s="63">
        <v>5078297</v>
      </c>
      <c r="BT317" s="63">
        <v>0</v>
      </c>
      <c r="BU317" s="63">
        <v>12695742</v>
      </c>
      <c r="BV317" s="63">
        <v>335619</v>
      </c>
      <c r="BW317" s="63">
        <v>223746</v>
      </c>
      <c r="BX317" s="63">
        <v>0</v>
      </c>
      <c r="BY317" s="63">
        <v>559365</v>
      </c>
      <c r="BZ317" s="63">
        <v>0</v>
      </c>
      <c r="CA317" s="63">
        <v>0</v>
      </c>
      <c r="CB317" s="63">
        <v>0</v>
      </c>
      <c r="CC317" s="63">
        <v>0</v>
      </c>
      <c r="CD317" s="63">
        <v>0</v>
      </c>
      <c r="CE317" s="63">
        <v>0</v>
      </c>
      <c r="CF317" s="63">
        <v>0</v>
      </c>
      <c r="CG317" s="63">
        <v>0</v>
      </c>
      <c r="CH317" s="63">
        <v>55645</v>
      </c>
      <c r="CI317" s="63">
        <v>37096</v>
      </c>
      <c r="CJ317" s="63">
        <v>0</v>
      </c>
      <c r="CK317" s="63">
        <v>92741</v>
      </c>
      <c r="CL317" s="63">
        <v>4729</v>
      </c>
      <c r="CM317" s="63">
        <v>3153</v>
      </c>
      <c r="CN317" s="63">
        <v>0</v>
      </c>
      <c r="CO317" s="63">
        <v>7882</v>
      </c>
      <c r="CP317" s="63">
        <v>8013438</v>
      </c>
      <c r="CQ317" s="63">
        <v>5342292</v>
      </c>
      <c r="CR317" s="63">
        <v>0</v>
      </c>
      <c r="CS317" s="63">
        <v>13355730</v>
      </c>
      <c r="CU317" s="141" t="s">
        <v>464</v>
      </c>
      <c r="CV317" s="157" t="s">
        <v>939</v>
      </c>
      <c r="CW317" s="157" t="s">
        <v>940</v>
      </c>
      <c r="CX317" s="345"/>
      <c r="CY317" s="345"/>
      <c r="CZ317" s="345"/>
    </row>
    <row r="318" spans="1:104" ht="12.75" x14ac:dyDescent="0.2">
      <c r="A318" s="90">
        <v>311</v>
      </c>
      <c r="B318" s="129" t="s">
        <v>466</v>
      </c>
      <c r="C318" s="130" t="s">
        <v>742</v>
      </c>
      <c r="D318" s="131" t="s">
        <v>751</v>
      </c>
      <c r="E318" s="132" t="s">
        <v>526</v>
      </c>
      <c r="F318" s="63">
        <v>16125032</v>
      </c>
      <c r="G318" s="63">
        <v>0</v>
      </c>
      <c r="H318" s="63">
        <v>0</v>
      </c>
      <c r="I318" s="63">
        <v>107015</v>
      </c>
      <c r="J318" s="63">
        <v>0</v>
      </c>
      <c r="K318" s="63">
        <v>107015</v>
      </c>
      <c r="L318" s="63">
        <v>0</v>
      </c>
      <c r="M318" s="63">
        <v>0</v>
      </c>
      <c r="N318" s="63">
        <v>0</v>
      </c>
      <c r="O318" s="63">
        <v>0</v>
      </c>
      <c r="P318" s="63">
        <v>0</v>
      </c>
      <c r="Q318" s="63">
        <v>16018017</v>
      </c>
      <c r="R318" s="474">
        <v>0.5</v>
      </c>
      <c r="S318" s="474">
        <v>0.4</v>
      </c>
      <c r="T318" s="474">
        <v>0.09</v>
      </c>
      <c r="U318" s="474">
        <v>0.01</v>
      </c>
      <c r="V318" s="474">
        <v>1</v>
      </c>
      <c r="W318" s="63">
        <v>8009008</v>
      </c>
      <c r="X318" s="63">
        <v>6407207</v>
      </c>
      <c r="Y318" s="63">
        <v>1441622</v>
      </c>
      <c r="Z318" s="63">
        <v>160180</v>
      </c>
      <c r="AA318" s="63">
        <v>16018017</v>
      </c>
      <c r="AB318" s="63">
        <v>0</v>
      </c>
      <c r="AC318" s="63">
        <v>0</v>
      </c>
      <c r="AD318" s="63">
        <v>0</v>
      </c>
      <c r="AE318" s="63">
        <v>0</v>
      </c>
      <c r="AF318" s="63">
        <v>0</v>
      </c>
      <c r="AG318" s="63">
        <v>0</v>
      </c>
      <c r="AH318" s="63">
        <v>0</v>
      </c>
      <c r="AI318" s="63">
        <v>0</v>
      </c>
      <c r="AJ318" s="63">
        <v>0</v>
      </c>
      <c r="AK318" s="63">
        <v>0</v>
      </c>
      <c r="AL318" s="63">
        <v>8009008</v>
      </c>
      <c r="AM318" s="63">
        <v>6407207</v>
      </c>
      <c r="AN318" s="63">
        <v>1441622</v>
      </c>
      <c r="AO318" s="63">
        <v>160180</v>
      </c>
      <c r="AP318" s="63">
        <v>16018017</v>
      </c>
      <c r="AQ318" s="63">
        <v>107015</v>
      </c>
      <c r="AR318" s="63">
        <v>107015</v>
      </c>
      <c r="AS318" s="63">
        <v>0</v>
      </c>
      <c r="AT318" s="63">
        <v>0</v>
      </c>
      <c r="AU318" s="63">
        <v>0</v>
      </c>
      <c r="AV318" s="63">
        <v>0</v>
      </c>
      <c r="AW318" s="63">
        <v>0</v>
      </c>
      <c r="AX318" s="63">
        <v>0</v>
      </c>
      <c r="AY318" s="63">
        <v>0</v>
      </c>
      <c r="AZ318" s="63">
        <v>0</v>
      </c>
      <c r="BA318" s="63">
        <v>0</v>
      </c>
      <c r="BB318" s="63">
        <v>0</v>
      </c>
      <c r="BC318" s="63">
        <v>0</v>
      </c>
      <c r="BD318" s="63">
        <v>0</v>
      </c>
      <c r="BE318" s="63">
        <v>0</v>
      </c>
      <c r="BF318" s="63">
        <v>0</v>
      </c>
      <c r="BG318" s="63">
        <v>0</v>
      </c>
      <c r="BH318" s="63">
        <v>245773</v>
      </c>
      <c r="BI318" s="63">
        <v>196618</v>
      </c>
      <c r="BJ318" s="63">
        <v>44239</v>
      </c>
      <c r="BK318" s="63">
        <v>4915</v>
      </c>
      <c r="BL318" s="63">
        <v>491545</v>
      </c>
      <c r="BM318" s="63">
        <v>8254781</v>
      </c>
      <c r="BN318" s="63">
        <v>6710840</v>
      </c>
      <c r="BO318" s="63">
        <v>1485861</v>
      </c>
      <c r="BP318" s="63">
        <v>165095</v>
      </c>
      <c r="BQ318" s="63">
        <v>16616577</v>
      </c>
      <c r="BR318" s="63">
        <v>92666</v>
      </c>
      <c r="BS318" s="63">
        <v>20850</v>
      </c>
      <c r="BT318" s="63">
        <v>2317</v>
      </c>
      <c r="BU318" s="63">
        <v>115833</v>
      </c>
      <c r="BV318" s="63">
        <v>327722</v>
      </c>
      <c r="BW318" s="63">
        <v>73737</v>
      </c>
      <c r="BX318" s="63">
        <v>8193</v>
      </c>
      <c r="BY318" s="63">
        <v>409652</v>
      </c>
      <c r="BZ318" s="63">
        <v>620</v>
      </c>
      <c r="CA318" s="63">
        <v>139</v>
      </c>
      <c r="CB318" s="63">
        <v>15</v>
      </c>
      <c r="CC318" s="63">
        <v>774</v>
      </c>
      <c r="CD318" s="63">
        <v>0</v>
      </c>
      <c r="CE318" s="63">
        <v>0</v>
      </c>
      <c r="CF318" s="63">
        <v>0</v>
      </c>
      <c r="CG318" s="63">
        <v>0</v>
      </c>
      <c r="CH318" s="63">
        <v>0</v>
      </c>
      <c r="CI318" s="63">
        <v>0</v>
      </c>
      <c r="CJ318" s="63">
        <v>0</v>
      </c>
      <c r="CK318" s="63">
        <v>0</v>
      </c>
      <c r="CL318" s="63">
        <v>5</v>
      </c>
      <c r="CM318" s="63">
        <v>1</v>
      </c>
      <c r="CN318" s="63">
        <v>0</v>
      </c>
      <c r="CO318" s="63">
        <v>6</v>
      </c>
      <c r="CP318" s="63">
        <v>421013</v>
      </c>
      <c r="CQ318" s="63">
        <v>94727</v>
      </c>
      <c r="CR318" s="63">
        <v>10525</v>
      </c>
      <c r="CS318" s="63">
        <v>526265</v>
      </c>
      <c r="CU318" s="141" t="s">
        <v>526</v>
      </c>
      <c r="CV318" s="157" t="s">
        <v>969</v>
      </c>
      <c r="CW318" s="156" t="s">
        <v>955</v>
      </c>
      <c r="CX318" s="345"/>
      <c r="CY318" s="345"/>
      <c r="CZ318" s="345"/>
    </row>
    <row r="319" spans="1:104" ht="12.75" x14ac:dyDescent="0.2">
      <c r="A319" s="90">
        <v>312</v>
      </c>
      <c r="B319" s="133" t="s">
        <v>468</v>
      </c>
      <c r="C319" s="134" t="s">
        <v>749</v>
      </c>
      <c r="D319" s="135" t="s">
        <v>744</v>
      </c>
      <c r="E319" s="136" t="s">
        <v>467</v>
      </c>
      <c r="F319" s="63">
        <v>82931927</v>
      </c>
      <c r="G319" s="63">
        <v>0</v>
      </c>
      <c r="H319" s="63">
        <v>0</v>
      </c>
      <c r="I319" s="63">
        <v>385297</v>
      </c>
      <c r="J319" s="63">
        <v>0</v>
      </c>
      <c r="K319" s="63">
        <v>385297</v>
      </c>
      <c r="L319" s="63">
        <v>0</v>
      </c>
      <c r="M319" s="63">
        <v>0</v>
      </c>
      <c r="N319" s="63">
        <v>0</v>
      </c>
      <c r="O319" s="63">
        <v>0</v>
      </c>
      <c r="P319" s="63">
        <v>0</v>
      </c>
      <c r="Q319" s="63">
        <v>82546630</v>
      </c>
      <c r="R319" s="474">
        <v>0.5</v>
      </c>
      <c r="S319" s="474">
        <v>0.49</v>
      </c>
      <c r="T319" s="474">
        <v>0</v>
      </c>
      <c r="U319" s="474">
        <v>0.01</v>
      </c>
      <c r="V319" s="474">
        <v>1</v>
      </c>
      <c r="W319" s="63">
        <v>41273315</v>
      </c>
      <c r="X319" s="63">
        <v>40447849</v>
      </c>
      <c r="Y319" s="63">
        <v>0</v>
      </c>
      <c r="Z319" s="63">
        <v>825466</v>
      </c>
      <c r="AA319" s="63">
        <v>82546630</v>
      </c>
      <c r="AB319" s="63">
        <v>0</v>
      </c>
      <c r="AC319" s="63">
        <v>0</v>
      </c>
      <c r="AD319" s="63">
        <v>0</v>
      </c>
      <c r="AE319" s="63">
        <v>0</v>
      </c>
      <c r="AF319" s="63">
        <v>0</v>
      </c>
      <c r="AG319" s="63">
        <v>0</v>
      </c>
      <c r="AH319" s="63">
        <v>0</v>
      </c>
      <c r="AI319" s="63">
        <v>0</v>
      </c>
      <c r="AJ319" s="63">
        <v>0</v>
      </c>
      <c r="AK319" s="63">
        <v>0</v>
      </c>
      <c r="AL319" s="63">
        <v>41273315</v>
      </c>
      <c r="AM319" s="63">
        <v>40447849</v>
      </c>
      <c r="AN319" s="63">
        <v>0</v>
      </c>
      <c r="AO319" s="63">
        <v>825466</v>
      </c>
      <c r="AP319" s="63">
        <v>82546630</v>
      </c>
      <c r="AQ319" s="63">
        <v>385297</v>
      </c>
      <c r="AR319" s="63">
        <v>385297</v>
      </c>
      <c r="AS319" s="63">
        <v>0</v>
      </c>
      <c r="AT319" s="63">
        <v>0</v>
      </c>
      <c r="AU319" s="63">
        <v>0</v>
      </c>
      <c r="AV319" s="63">
        <v>0</v>
      </c>
      <c r="AW319" s="63">
        <v>0</v>
      </c>
      <c r="AX319" s="63">
        <v>0</v>
      </c>
      <c r="AY319" s="63">
        <v>0</v>
      </c>
      <c r="AZ319" s="63">
        <v>0</v>
      </c>
      <c r="BA319" s="63">
        <v>0</v>
      </c>
      <c r="BB319" s="63">
        <v>0</v>
      </c>
      <c r="BC319" s="63">
        <v>0</v>
      </c>
      <c r="BD319" s="63">
        <v>0</v>
      </c>
      <c r="BE319" s="63">
        <v>0</v>
      </c>
      <c r="BF319" s="63">
        <v>0</v>
      </c>
      <c r="BG319" s="63">
        <v>0</v>
      </c>
      <c r="BH319" s="63">
        <v>-2970179</v>
      </c>
      <c r="BI319" s="63">
        <v>-2910776</v>
      </c>
      <c r="BJ319" s="63">
        <v>0</v>
      </c>
      <c r="BK319" s="63">
        <v>-59404</v>
      </c>
      <c r="BL319" s="63">
        <v>-5940359</v>
      </c>
      <c r="BM319" s="63">
        <v>38303136</v>
      </c>
      <c r="BN319" s="63">
        <v>37922370</v>
      </c>
      <c r="BO319" s="63">
        <v>0</v>
      </c>
      <c r="BP319" s="63">
        <v>766062</v>
      </c>
      <c r="BQ319" s="63">
        <v>76991568</v>
      </c>
      <c r="BR319" s="63">
        <v>584990</v>
      </c>
      <c r="BS319" s="63">
        <v>0</v>
      </c>
      <c r="BT319" s="63">
        <v>11939</v>
      </c>
      <c r="BU319" s="63">
        <v>596929</v>
      </c>
      <c r="BV319" s="63">
        <v>1744567</v>
      </c>
      <c r="BW319" s="63">
        <v>0</v>
      </c>
      <c r="BX319" s="63">
        <v>35603</v>
      </c>
      <c r="BY319" s="63">
        <v>1780170</v>
      </c>
      <c r="BZ319" s="63">
        <v>16504</v>
      </c>
      <c r="CA319" s="63">
        <v>0</v>
      </c>
      <c r="CB319" s="63">
        <v>337</v>
      </c>
      <c r="CC319" s="63">
        <v>16841</v>
      </c>
      <c r="CD319" s="63">
        <v>0</v>
      </c>
      <c r="CE319" s="63">
        <v>0</v>
      </c>
      <c r="CF319" s="63">
        <v>0</v>
      </c>
      <c r="CG319" s="63">
        <v>0</v>
      </c>
      <c r="CH319" s="63">
        <v>42203</v>
      </c>
      <c r="CI319" s="63">
        <v>0</v>
      </c>
      <c r="CJ319" s="63">
        <v>861</v>
      </c>
      <c r="CK319" s="63">
        <v>43064</v>
      </c>
      <c r="CL319" s="63">
        <v>0</v>
      </c>
      <c r="CM319" s="63">
        <v>0</v>
      </c>
      <c r="CN319" s="63">
        <v>0</v>
      </c>
      <c r="CO319" s="63">
        <v>0</v>
      </c>
      <c r="CP319" s="63">
        <v>2388264</v>
      </c>
      <c r="CQ319" s="63">
        <v>0</v>
      </c>
      <c r="CR319" s="63">
        <v>48740</v>
      </c>
      <c r="CS319" s="63">
        <v>2437004</v>
      </c>
      <c r="CU319" s="141" t="s">
        <v>467</v>
      </c>
      <c r="CV319" s="157" t="s">
        <v>941</v>
      </c>
      <c r="CW319" s="156" t="s">
        <v>953</v>
      </c>
      <c r="CX319" s="345"/>
      <c r="CY319" s="345"/>
      <c r="CZ319" s="345"/>
    </row>
    <row r="320" spans="1:104" ht="12.75" x14ac:dyDescent="0.2">
      <c r="A320" s="90">
        <v>313</v>
      </c>
      <c r="B320" s="129" t="s">
        <v>470</v>
      </c>
      <c r="C320" s="130" t="s">
        <v>501</v>
      </c>
      <c r="D320" s="131" t="s">
        <v>751</v>
      </c>
      <c r="E320" s="132" t="s">
        <v>469</v>
      </c>
      <c r="F320" s="63">
        <v>145973333</v>
      </c>
      <c r="G320" s="63">
        <v>0</v>
      </c>
      <c r="H320" s="63">
        <v>0</v>
      </c>
      <c r="I320" s="63">
        <v>625526</v>
      </c>
      <c r="J320" s="63">
        <v>0</v>
      </c>
      <c r="K320" s="63">
        <v>625526</v>
      </c>
      <c r="L320" s="63">
        <v>0</v>
      </c>
      <c r="M320" s="63">
        <v>0</v>
      </c>
      <c r="N320" s="63">
        <v>691252</v>
      </c>
      <c r="O320" s="63">
        <v>691252</v>
      </c>
      <c r="P320" s="63">
        <v>0</v>
      </c>
      <c r="Q320" s="63">
        <v>144656555</v>
      </c>
      <c r="R320" s="474">
        <v>0.5</v>
      </c>
      <c r="S320" s="474">
        <v>0.49</v>
      </c>
      <c r="T320" s="474">
        <v>0</v>
      </c>
      <c r="U320" s="474">
        <v>0.01</v>
      </c>
      <c r="V320" s="474">
        <v>1</v>
      </c>
      <c r="W320" s="63">
        <v>72328277</v>
      </c>
      <c r="X320" s="63">
        <v>70881712</v>
      </c>
      <c r="Y320" s="63">
        <v>0</v>
      </c>
      <c r="Z320" s="63">
        <v>1446566</v>
      </c>
      <c r="AA320" s="63">
        <v>144656555</v>
      </c>
      <c r="AB320" s="63">
        <v>0</v>
      </c>
      <c r="AC320" s="63">
        <v>0</v>
      </c>
      <c r="AD320" s="63">
        <v>0</v>
      </c>
      <c r="AE320" s="63">
        <v>0</v>
      </c>
      <c r="AF320" s="63">
        <v>0</v>
      </c>
      <c r="AG320" s="63">
        <v>0</v>
      </c>
      <c r="AH320" s="63">
        <v>0</v>
      </c>
      <c r="AI320" s="63">
        <v>0</v>
      </c>
      <c r="AJ320" s="63">
        <v>0</v>
      </c>
      <c r="AK320" s="63">
        <v>0</v>
      </c>
      <c r="AL320" s="63">
        <v>72328277</v>
      </c>
      <c r="AM320" s="63">
        <v>70881712</v>
      </c>
      <c r="AN320" s="63">
        <v>0</v>
      </c>
      <c r="AO320" s="63">
        <v>1446566</v>
      </c>
      <c r="AP320" s="63">
        <v>144656555</v>
      </c>
      <c r="AQ320" s="63">
        <v>625526</v>
      </c>
      <c r="AR320" s="63">
        <v>625526</v>
      </c>
      <c r="AS320" s="63">
        <v>0</v>
      </c>
      <c r="AT320" s="63">
        <v>0</v>
      </c>
      <c r="AU320" s="63">
        <v>691252</v>
      </c>
      <c r="AV320" s="63">
        <v>0</v>
      </c>
      <c r="AW320" s="63">
        <v>691252</v>
      </c>
      <c r="AX320" s="63">
        <v>0</v>
      </c>
      <c r="AY320" s="63">
        <v>0</v>
      </c>
      <c r="AZ320" s="63">
        <v>0</v>
      </c>
      <c r="BA320" s="63">
        <v>0</v>
      </c>
      <c r="BB320" s="63">
        <v>0</v>
      </c>
      <c r="BC320" s="63">
        <v>0</v>
      </c>
      <c r="BD320" s="63">
        <v>0</v>
      </c>
      <c r="BE320" s="63">
        <v>0</v>
      </c>
      <c r="BF320" s="63">
        <v>0</v>
      </c>
      <c r="BG320" s="63">
        <v>0</v>
      </c>
      <c r="BH320" s="63">
        <v>-3671695</v>
      </c>
      <c r="BI320" s="63">
        <v>-3598262</v>
      </c>
      <c r="BJ320" s="63">
        <v>0</v>
      </c>
      <c r="BK320" s="63">
        <v>-73434</v>
      </c>
      <c r="BL320" s="63">
        <v>-7343391</v>
      </c>
      <c r="BM320" s="63">
        <v>68656582</v>
      </c>
      <c r="BN320" s="63">
        <v>68600228</v>
      </c>
      <c r="BO320" s="63">
        <v>0</v>
      </c>
      <c r="BP320" s="63">
        <v>1373132</v>
      </c>
      <c r="BQ320" s="63">
        <v>138629942</v>
      </c>
      <c r="BR320" s="63">
        <v>1035146</v>
      </c>
      <c r="BS320" s="63">
        <v>0</v>
      </c>
      <c r="BT320" s="63">
        <v>20921</v>
      </c>
      <c r="BU320" s="63">
        <v>1056067</v>
      </c>
      <c r="BV320" s="63">
        <v>2513692</v>
      </c>
      <c r="BW320" s="63">
        <v>0</v>
      </c>
      <c r="BX320" s="63">
        <v>51300</v>
      </c>
      <c r="BY320" s="63">
        <v>2564992</v>
      </c>
      <c r="BZ320" s="63">
        <v>13210</v>
      </c>
      <c r="CA320" s="63">
        <v>0</v>
      </c>
      <c r="CB320" s="63">
        <v>270</v>
      </c>
      <c r="CC320" s="63">
        <v>13480</v>
      </c>
      <c r="CD320" s="63">
        <v>57971</v>
      </c>
      <c r="CE320" s="63">
        <v>0</v>
      </c>
      <c r="CF320" s="63">
        <v>1183</v>
      </c>
      <c r="CG320" s="63">
        <v>59154</v>
      </c>
      <c r="CH320" s="63">
        <v>20184</v>
      </c>
      <c r="CI320" s="63">
        <v>0</v>
      </c>
      <c r="CJ320" s="63">
        <v>412</v>
      </c>
      <c r="CK320" s="63">
        <v>20596</v>
      </c>
      <c r="CL320" s="63">
        <v>0</v>
      </c>
      <c r="CM320" s="63">
        <v>0</v>
      </c>
      <c r="CN320" s="63">
        <v>0</v>
      </c>
      <c r="CO320" s="63">
        <v>0</v>
      </c>
      <c r="CP320" s="63">
        <v>3640203</v>
      </c>
      <c r="CQ320" s="63">
        <v>0</v>
      </c>
      <c r="CR320" s="63">
        <v>74086</v>
      </c>
      <c r="CS320" s="63">
        <v>3714289</v>
      </c>
      <c r="CU320" s="141" t="s">
        <v>469</v>
      </c>
      <c r="CV320" s="157" t="s">
        <v>501</v>
      </c>
      <c r="CW320" s="156" t="s">
        <v>985</v>
      </c>
      <c r="CX320" s="345"/>
      <c r="CY320" s="345"/>
      <c r="CZ320" s="345"/>
    </row>
    <row r="321" spans="1:104" ht="12.75" x14ac:dyDescent="0.2">
      <c r="A321" s="90">
        <v>314</v>
      </c>
      <c r="B321" s="129" t="s">
        <v>472</v>
      </c>
      <c r="C321" s="130" t="s">
        <v>742</v>
      </c>
      <c r="D321" s="131" t="s">
        <v>743</v>
      </c>
      <c r="E321" s="132" t="s">
        <v>471</v>
      </c>
      <c r="F321" s="63">
        <v>57296057</v>
      </c>
      <c r="G321" s="63">
        <v>0</v>
      </c>
      <c r="H321" s="63">
        <v>0</v>
      </c>
      <c r="I321" s="63">
        <v>198716</v>
      </c>
      <c r="J321" s="63">
        <v>0</v>
      </c>
      <c r="K321" s="63">
        <v>198716</v>
      </c>
      <c r="L321" s="63">
        <v>0</v>
      </c>
      <c r="M321" s="63">
        <v>0</v>
      </c>
      <c r="N321" s="63">
        <v>285743</v>
      </c>
      <c r="O321" s="63">
        <v>285743</v>
      </c>
      <c r="P321" s="63">
        <v>0</v>
      </c>
      <c r="Q321" s="63">
        <v>56811598</v>
      </c>
      <c r="R321" s="474">
        <v>0.5</v>
      </c>
      <c r="S321" s="474">
        <v>0.4</v>
      </c>
      <c r="T321" s="474">
        <v>0.09</v>
      </c>
      <c r="U321" s="474">
        <v>0.01</v>
      </c>
      <c r="V321" s="474">
        <v>1</v>
      </c>
      <c r="W321" s="63">
        <v>28405799</v>
      </c>
      <c r="X321" s="63">
        <v>22724639</v>
      </c>
      <c r="Y321" s="63">
        <v>5113044</v>
      </c>
      <c r="Z321" s="63">
        <v>568116</v>
      </c>
      <c r="AA321" s="63">
        <v>56811598</v>
      </c>
      <c r="AB321" s="63">
        <v>0</v>
      </c>
      <c r="AC321" s="63">
        <v>0</v>
      </c>
      <c r="AD321" s="63">
        <v>0</v>
      </c>
      <c r="AE321" s="63">
        <v>0</v>
      </c>
      <c r="AF321" s="63">
        <v>0</v>
      </c>
      <c r="AG321" s="63">
        <v>0</v>
      </c>
      <c r="AH321" s="63">
        <v>0</v>
      </c>
      <c r="AI321" s="63">
        <v>0</v>
      </c>
      <c r="AJ321" s="63">
        <v>0</v>
      </c>
      <c r="AK321" s="63">
        <v>0</v>
      </c>
      <c r="AL321" s="63">
        <v>28405799</v>
      </c>
      <c r="AM321" s="63">
        <v>22724639</v>
      </c>
      <c r="AN321" s="63">
        <v>5113044</v>
      </c>
      <c r="AO321" s="63">
        <v>568116</v>
      </c>
      <c r="AP321" s="63">
        <v>56811598</v>
      </c>
      <c r="AQ321" s="63">
        <v>198716</v>
      </c>
      <c r="AR321" s="63">
        <v>198716</v>
      </c>
      <c r="AS321" s="63">
        <v>0</v>
      </c>
      <c r="AT321" s="63">
        <v>0</v>
      </c>
      <c r="AU321" s="63">
        <v>285743</v>
      </c>
      <c r="AV321" s="63">
        <v>0</v>
      </c>
      <c r="AW321" s="63">
        <v>285743</v>
      </c>
      <c r="AX321" s="63">
        <v>0</v>
      </c>
      <c r="AY321" s="63">
        <v>0</v>
      </c>
      <c r="AZ321" s="63">
        <v>0</v>
      </c>
      <c r="BA321" s="63">
        <v>0</v>
      </c>
      <c r="BB321" s="63">
        <v>0</v>
      </c>
      <c r="BC321" s="63">
        <v>0</v>
      </c>
      <c r="BD321" s="63">
        <v>0</v>
      </c>
      <c r="BE321" s="63">
        <v>0</v>
      </c>
      <c r="BF321" s="63">
        <v>0</v>
      </c>
      <c r="BG321" s="63">
        <v>0</v>
      </c>
      <c r="BH321" s="63">
        <v>-3271351</v>
      </c>
      <c r="BI321" s="63">
        <v>-2617081</v>
      </c>
      <c r="BJ321" s="63">
        <v>-588843</v>
      </c>
      <c r="BK321" s="63">
        <v>-65427</v>
      </c>
      <c r="BL321" s="63">
        <v>-6542702</v>
      </c>
      <c r="BM321" s="63">
        <v>25134448</v>
      </c>
      <c r="BN321" s="63">
        <v>20592017</v>
      </c>
      <c r="BO321" s="63">
        <v>4524201</v>
      </c>
      <c r="BP321" s="63">
        <v>502689</v>
      </c>
      <c r="BQ321" s="63">
        <v>50753355</v>
      </c>
      <c r="BR321" s="63">
        <v>332795</v>
      </c>
      <c r="BS321" s="63">
        <v>73949</v>
      </c>
      <c r="BT321" s="63">
        <v>8217</v>
      </c>
      <c r="BU321" s="63">
        <v>414961</v>
      </c>
      <c r="BV321" s="63">
        <v>565557</v>
      </c>
      <c r="BW321" s="63">
        <v>127251</v>
      </c>
      <c r="BX321" s="63">
        <v>14139</v>
      </c>
      <c r="BY321" s="63">
        <v>706947</v>
      </c>
      <c r="BZ321" s="63">
        <v>1412</v>
      </c>
      <c r="CA321" s="63">
        <v>318</v>
      </c>
      <c r="CB321" s="63">
        <v>35</v>
      </c>
      <c r="CC321" s="63">
        <v>1765</v>
      </c>
      <c r="CD321" s="63">
        <v>0</v>
      </c>
      <c r="CE321" s="63">
        <v>0</v>
      </c>
      <c r="CF321" s="63">
        <v>0</v>
      </c>
      <c r="CG321" s="63">
        <v>0</v>
      </c>
      <c r="CH321" s="63">
        <v>2039</v>
      </c>
      <c r="CI321" s="63">
        <v>459</v>
      </c>
      <c r="CJ321" s="63">
        <v>51</v>
      </c>
      <c r="CK321" s="63">
        <v>2549</v>
      </c>
      <c r="CL321" s="63">
        <v>6226</v>
      </c>
      <c r="CM321" s="63">
        <v>1401</v>
      </c>
      <c r="CN321" s="63">
        <v>156</v>
      </c>
      <c r="CO321" s="63">
        <v>7783</v>
      </c>
      <c r="CP321" s="63">
        <v>908029</v>
      </c>
      <c r="CQ321" s="63">
        <v>203378</v>
      </c>
      <c r="CR321" s="63">
        <v>22598</v>
      </c>
      <c r="CS321" s="63">
        <v>1134005</v>
      </c>
      <c r="CU321" s="141" t="s">
        <v>471</v>
      </c>
      <c r="CV321" s="157" t="s">
        <v>945</v>
      </c>
      <c r="CW321" s="156" t="s">
        <v>946</v>
      </c>
      <c r="CX321" s="345"/>
      <c r="CY321" s="345"/>
      <c r="CZ321" s="345"/>
    </row>
    <row r="322" spans="1:104" ht="12.75" x14ac:dyDescent="0.2">
      <c r="A322" s="90">
        <v>315</v>
      </c>
      <c r="B322" s="129" t="s">
        <v>473</v>
      </c>
      <c r="C322" s="130" t="s">
        <v>501</v>
      </c>
      <c r="D322" s="131" t="s">
        <v>743</v>
      </c>
      <c r="E322" s="132" t="s">
        <v>509</v>
      </c>
      <c r="F322" s="63">
        <v>84011044</v>
      </c>
      <c r="G322" s="63">
        <v>0</v>
      </c>
      <c r="H322" s="63">
        <v>0</v>
      </c>
      <c r="I322" s="63">
        <v>242888</v>
      </c>
      <c r="J322" s="63">
        <v>0</v>
      </c>
      <c r="K322" s="63">
        <v>242888</v>
      </c>
      <c r="L322" s="63">
        <v>0</v>
      </c>
      <c r="M322" s="63">
        <v>0</v>
      </c>
      <c r="N322" s="63">
        <v>7296</v>
      </c>
      <c r="O322" s="63">
        <v>7296</v>
      </c>
      <c r="P322" s="63">
        <v>0</v>
      </c>
      <c r="Q322" s="63">
        <v>83760860</v>
      </c>
      <c r="R322" s="474">
        <v>0.5</v>
      </c>
      <c r="S322" s="474">
        <v>0.49</v>
      </c>
      <c r="T322" s="474">
        <v>0</v>
      </c>
      <c r="U322" s="474">
        <v>0.01</v>
      </c>
      <c r="V322" s="474">
        <v>1</v>
      </c>
      <c r="W322" s="63">
        <v>41880430</v>
      </c>
      <c r="X322" s="63">
        <v>41042821</v>
      </c>
      <c r="Y322" s="63">
        <v>0</v>
      </c>
      <c r="Z322" s="63">
        <v>837609</v>
      </c>
      <c r="AA322" s="63">
        <v>83760860</v>
      </c>
      <c r="AB322" s="63">
        <v>0</v>
      </c>
      <c r="AC322" s="63">
        <v>0</v>
      </c>
      <c r="AD322" s="63">
        <v>0</v>
      </c>
      <c r="AE322" s="63">
        <v>0</v>
      </c>
      <c r="AF322" s="63">
        <v>0</v>
      </c>
      <c r="AG322" s="63">
        <v>0</v>
      </c>
      <c r="AH322" s="63">
        <v>0</v>
      </c>
      <c r="AI322" s="63">
        <v>0</v>
      </c>
      <c r="AJ322" s="63">
        <v>0</v>
      </c>
      <c r="AK322" s="63">
        <v>0</v>
      </c>
      <c r="AL322" s="63">
        <v>41880430</v>
      </c>
      <c r="AM322" s="63">
        <v>41042821</v>
      </c>
      <c r="AN322" s="63">
        <v>0</v>
      </c>
      <c r="AO322" s="63">
        <v>837609</v>
      </c>
      <c r="AP322" s="63">
        <v>83760860</v>
      </c>
      <c r="AQ322" s="63">
        <v>242888</v>
      </c>
      <c r="AR322" s="63">
        <v>242888</v>
      </c>
      <c r="AS322" s="63">
        <v>0</v>
      </c>
      <c r="AT322" s="63">
        <v>0</v>
      </c>
      <c r="AU322" s="63">
        <v>7296</v>
      </c>
      <c r="AV322" s="63">
        <v>0</v>
      </c>
      <c r="AW322" s="63">
        <v>7296</v>
      </c>
      <c r="AX322" s="63">
        <v>0</v>
      </c>
      <c r="AY322" s="63">
        <v>0</v>
      </c>
      <c r="AZ322" s="63">
        <v>0</v>
      </c>
      <c r="BA322" s="63">
        <v>0</v>
      </c>
      <c r="BB322" s="63">
        <v>0</v>
      </c>
      <c r="BC322" s="63">
        <v>0</v>
      </c>
      <c r="BD322" s="63">
        <v>0</v>
      </c>
      <c r="BE322" s="63">
        <v>0</v>
      </c>
      <c r="BF322" s="63">
        <v>0</v>
      </c>
      <c r="BG322" s="63">
        <v>0</v>
      </c>
      <c r="BH322" s="63">
        <v>195466</v>
      </c>
      <c r="BI322" s="63">
        <v>191556</v>
      </c>
      <c r="BJ322" s="63">
        <v>0</v>
      </c>
      <c r="BK322" s="63">
        <v>3909</v>
      </c>
      <c r="BL322" s="63">
        <v>390931</v>
      </c>
      <c r="BM322" s="63">
        <v>42075896</v>
      </c>
      <c r="BN322" s="63">
        <v>41484561</v>
      </c>
      <c r="BO322" s="63">
        <v>0</v>
      </c>
      <c r="BP322" s="63">
        <v>841518</v>
      </c>
      <c r="BQ322" s="63">
        <v>84401975</v>
      </c>
      <c r="BR322" s="63">
        <v>593700</v>
      </c>
      <c r="BS322" s="63">
        <v>0</v>
      </c>
      <c r="BT322" s="63">
        <v>12114</v>
      </c>
      <c r="BU322" s="63">
        <v>605814</v>
      </c>
      <c r="BV322" s="63">
        <v>446633</v>
      </c>
      <c r="BW322" s="63">
        <v>0</v>
      </c>
      <c r="BX322" s="63">
        <v>9115</v>
      </c>
      <c r="BY322" s="63">
        <v>455748</v>
      </c>
      <c r="BZ322" s="63">
        <v>0</v>
      </c>
      <c r="CA322" s="63">
        <v>0</v>
      </c>
      <c r="CB322" s="63">
        <v>0</v>
      </c>
      <c r="CC322" s="63">
        <v>0</v>
      </c>
      <c r="CD322" s="63">
        <v>0</v>
      </c>
      <c r="CE322" s="63">
        <v>0</v>
      </c>
      <c r="CF322" s="63">
        <v>0</v>
      </c>
      <c r="CG322" s="63">
        <v>0</v>
      </c>
      <c r="CH322" s="63">
        <v>63291</v>
      </c>
      <c r="CI322" s="63">
        <v>0</v>
      </c>
      <c r="CJ322" s="63">
        <v>1292</v>
      </c>
      <c r="CK322" s="63">
        <v>64583</v>
      </c>
      <c r="CL322" s="63">
        <v>14576</v>
      </c>
      <c r="CM322" s="63">
        <v>0</v>
      </c>
      <c r="CN322" s="63">
        <v>297</v>
      </c>
      <c r="CO322" s="63">
        <v>14873</v>
      </c>
      <c r="CP322" s="63">
        <v>1118200</v>
      </c>
      <c r="CQ322" s="63">
        <v>0</v>
      </c>
      <c r="CR322" s="63">
        <v>22818</v>
      </c>
      <c r="CS322" s="63">
        <v>1141018</v>
      </c>
      <c r="CU322" s="141" t="s">
        <v>509</v>
      </c>
      <c r="CV322" s="157" t="s">
        <v>501</v>
      </c>
      <c r="CW322" s="156" t="s">
        <v>956</v>
      </c>
      <c r="CX322" s="345"/>
      <c r="CY322" s="345"/>
      <c r="CZ322" s="345"/>
    </row>
    <row r="323" spans="1:104" ht="12.75" x14ac:dyDescent="0.2">
      <c r="A323" s="90">
        <v>316</v>
      </c>
      <c r="B323" s="129" t="s">
        <v>475</v>
      </c>
      <c r="C323" s="130" t="s">
        <v>749</v>
      </c>
      <c r="D323" s="131" t="s">
        <v>744</v>
      </c>
      <c r="E323" s="132" t="s">
        <v>474</v>
      </c>
      <c r="F323" s="63">
        <v>71883566</v>
      </c>
      <c r="G323" s="63">
        <v>0</v>
      </c>
      <c r="H323" s="63">
        <v>0</v>
      </c>
      <c r="I323" s="63">
        <v>337829</v>
      </c>
      <c r="J323" s="63">
        <v>0</v>
      </c>
      <c r="K323" s="63">
        <v>337829</v>
      </c>
      <c r="L323" s="63">
        <v>0</v>
      </c>
      <c r="M323" s="63">
        <v>472369</v>
      </c>
      <c r="N323" s="63">
        <v>0</v>
      </c>
      <c r="O323" s="63">
        <v>0</v>
      </c>
      <c r="P323" s="63">
        <v>0</v>
      </c>
      <c r="Q323" s="63">
        <v>71073368</v>
      </c>
      <c r="R323" s="474">
        <v>0.5</v>
      </c>
      <c r="S323" s="474">
        <v>0.49</v>
      </c>
      <c r="T323" s="474">
        <v>0</v>
      </c>
      <c r="U323" s="474">
        <v>0.01</v>
      </c>
      <c r="V323" s="474">
        <v>1</v>
      </c>
      <c r="W323" s="63">
        <v>35536684</v>
      </c>
      <c r="X323" s="63">
        <v>34825950</v>
      </c>
      <c r="Y323" s="63">
        <v>0</v>
      </c>
      <c r="Z323" s="63">
        <v>710734</v>
      </c>
      <c r="AA323" s="63">
        <v>71073368</v>
      </c>
      <c r="AB323" s="63">
        <v>0</v>
      </c>
      <c r="AC323" s="63">
        <v>0</v>
      </c>
      <c r="AD323" s="63">
        <v>0</v>
      </c>
      <c r="AE323" s="63">
        <v>0</v>
      </c>
      <c r="AF323" s="63">
        <v>0</v>
      </c>
      <c r="AG323" s="63">
        <v>0</v>
      </c>
      <c r="AH323" s="63">
        <v>0</v>
      </c>
      <c r="AI323" s="63">
        <v>0</v>
      </c>
      <c r="AJ323" s="63">
        <v>0</v>
      </c>
      <c r="AK323" s="63">
        <v>0</v>
      </c>
      <c r="AL323" s="63">
        <v>35536684</v>
      </c>
      <c r="AM323" s="63">
        <v>34825950</v>
      </c>
      <c r="AN323" s="63">
        <v>0</v>
      </c>
      <c r="AO323" s="63">
        <v>710734</v>
      </c>
      <c r="AP323" s="63">
        <v>71073368</v>
      </c>
      <c r="AQ323" s="63">
        <v>337829</v>
      </c>
      <c r="AR323" s="63">
        <v>337829</v>
      </c>
      <c r="AS323" s="63">
        <v>472369</v>
      </c>
      <c r="AT323" s="63">
        <v>472369</v>
      </c>
      <c r="AU323" s="63">
        <v>0</v>
      </c>
      <c r="AV323" s="63">
        <v>0</v>
      </c>
      <c r="AW323" s="63">
        <v>0</v>
      </c>
      <c r="AX323" s="63">
        <v>0</v>
      </c>
      <c r="AY323" s="63">
        <v>0</v>
      </c>
      <c r="AZ323" s="63">
        <v>0</v>
      </c>
      <c r="BA323" s="63">
        <v>0</v>
      </c>
      <c r="BB323" s="63">
        <v>0</v>
      </c>
      <c r="BC323" s="63">
        <v>0</v>
      </c>
      <c r="BD323" s="63">
        <v>0</v>
      </c>
      <c r="BE323" s="63">
        <v>0</v>
      </c>
      <c r="BF323" s="63">
        <v>0</v>
      </c>
      <c r="BG323" s="63">
        <v>0</v>
      </c>
      <c r="BH323" s="63">
        <v>-2633814</v>
      </c>
      <c r="BI323" s="63">
        <v>-2581138</v>
      </c>
      <c r="BJ323" s="63">
        <v>0</v>
      </c>
      <c r="BK323" s="63">
        <v>-52676</v>
      </c>
      <c r="BL323" s="63">
        <v>-5267628</v>
      </c>
      <c r="BM323" s="63">
        <v>32902870</v>
      </c>
      <c r="BN323" s="63">
        <v>33055010</v>
      </c>
      <c r="BO323" s="63">
        <v>0</v>
      </c>
      <c r="BP323" s="63">
        <v>658058</v>
      </c>
      <c r="BQ323" s="63">
        <v>66615938</v>
      </c>
      <c r="BR323" s="63">
        <v>510513</v>
      </c>
      <c r="BS323" s="63">
        <v>0</v>
      </c>
      <c r="BT323" s="63">
        <v>10279</v>
      </c>
      <c r="BU323" s="63">
        <v>520792</v>
      </c>
      <c r="BV323" s="63">
        <v>1621179</v>
      </c>
      <c r="BW323" s="63">
        <v>0</v>
      </c>
      <c r="BX323" s="63">
        <v>32511</v>
      </c>
      <c r="BY323" s="63">
        <v>1653690</v>
      </c>
      <c r="BZ323" s="63">
        <v>7336</v>
      </c>
      <c r="CA323" s="63">
        <v>0</v>
      </c>
      <c r="CB323" s="63">
        <v>150</v>
      </c>
      <c r="CC323" s="63">
        <v>7486</v>
      </c>
      <c r="CD323" s="63">
        <v>24855</v>
      </c>
      <c r="CE323" s="63">
        <v>0</v>
      </c>
      <c r="CF323" s="63">
        <v>507</v>
      </c>
      <c r="CG323" s="63">
        <v>25362</v>
      </c>
      <c r="CH323" s="63">
        <v>11334</v>
      </c>
      <c r="CI323" s="63">
        <v>0</v>
      </c>
      <c r="CJ323" s="63">
        <v>231</v>
      </c>
      <c r="CK323" s="63">
        <v>11565</v>
      </c>
      <c r="CL323" s="63">
        <v>3243</v>
      </c>
      <c r="CM323" s="63">
        <v>0</v>
      </c>
      <c r="CN323" s="63">
        <v>66</v>
      </c>
      <c r="CO323" s="63">
        <v>3309</v>
      </c>
      <c r="CP323" s="63">
        <v>2178460</v>
      </c>
      <c r="CQ323" s="63">
        <v>0</v>
      </c>
      <c r="CR323" s="63">
        <v>43744</v>
      </c>
      <c r="CS323" s="63">
        <v>2222204</v>
      </c>
      <c r="CU323" s="141" t="s">
        <v>474</v>
      </c>
      <c r="CV323" s="157" t="s">
        <v>941</v>
      </c>
      <c r="CW323" s="156" t="s">
        <v>981</v>
      </c>
      <c r="CX323" s="345"/>
      <c r="CY323" s="345"/>
      <c r="CZ323" s="345"/>
    </row>
    <row r="324" spans="1:104" ht="12.75" x14ac:dyDescent="0.2">
      <c r="A324" s="90">
        <v>317</v>
      </c>
      <c r="B324" s="129" t="s">
        <v>477</v>
      </c>
      <c r="C324" s="130" t="s">
        <v>742</v>
      </c>
      <c r="D324" s="131" t="s">
        <v>743</v>
      </c>
      <c r="E324" s="132" t="s">
        <v>476</v>
      </c>
      <c r="F324" s="63">
        <v>47677506</v>
      </c>
      <c r="G324" s="63">
        <v>0</v>
      </c>
      <c r="H324" s="63">
        <v>0</v>
      </c>
      <c r="I324" s="63">
        <v>138353</v>
      </c>
      <c r="J324" s="63">
        <v>0</v>
      </c>
      <c r="K324" s="63">
        <v>138353</v>
      </c>
      <c r="L324" s="63">
        <v>0</v>
      </c>
      <c r="M324" s="63">
        <v>0</v>
      </c>
      <c r="N324" s="63">
        <v>0</v>
      </c>
      <c r="O324" s="63">
        <v>0</v>
      </c>
      <c r="P324" s="63">
        <v>0</v>
      </c>
      <c r="Q324" s="63">
        <v>47539153</v>
      </c>
      <c r="R324" s="474">
        <v>0.5</v>
      </c>
      <c r="S324" s="474">
        <v>0.4</v>
      </c>
      <c r="T324" s="474">
        <v>0.1</v>
      </c>
      <c r="U324" s="474">
        <v>0</v>
      </c>
      <c r="V324" s="474">
        <v>1</v>
      </c>
      <c r="W324" s="63">
        <v>23769577</v>
      </c>
      <c r="X324" s="63">
        <v>19015661</v>
      </c>
      <c r="Y324" s="63">
        <v>4753915</v>
      </c>
      <c r="Z324" s="63">
        <v>0</v>
      </c>
      <c r="AA324" s="63">
        <v>47539153</v>
      </c>
      <c r="AB324" s="63">
        <v>0</v>
      </c>
      <c r="AC324" s="63">
        <v>0</v>
      </c>
      <c r="AD324" s="63">
        <v>0</v>
      </c>
      <c r="AE324" s="63">
        <v>0</v>
      </c>
      <c r="AF324" s="63">
        <v>0</v>
      </c>
      <c r="AG324" s="63">
        <v>0</v>
      </c>
      <c r="AH324" s="63">
        <v>0</v>
      </c>
      <c r="AI324" s="63">
        <v>0</v>
      </c>
      <c r="AJ324" s="63">
        <v>0</v>
      </c>
      <c r="AK324" s="63">
        <v>0</v>
      </c>
      <c r="AL324" s="63">
        <v>23769577</v>
      </c>
      <c r="AM324" s="63">
        <v>19015661</v>
      </c>
      <c r="AN324" s="63">
        <v>4753915</v>
      </c>
      <c r="AO324" s="63">
        <v>0</v>
      </c>
      <c r="AP324" s="63">
        <v>47539153</v>
      </c>
      <c r="AQ324" s="63">
        <v>138353</v>
      </c>
      <c r="AR324" s="63">
        <v>138353</v>
      </c>
      <c r="AS324" s="63">
        <v>0</v>
      </c>
      <c r="AT324" s="63">
        <v>0</v>
      </c>
      <c r="AU324" s="63">
        <v>0</v>
      </c>
      <c r="AV324" s="63">
        <v>0</v>
      </c>
      <c r="AW324" s="63">
        <v>0</v>
      </c>
      <c r="AX324" s="63">
        <v>0</v>
      </c>
      <c r="AY324" s="63">
        <v>0</v>
      </c>
      <c r="AZ324" s="63">
        <v>0</v>
      </c>
      <c r="BA324" s="63">
        <v>0</v>
      </c>
      <c r="BB324" s="63">
        <v>0</v>
      </c>
      <c r="BC324" s="63">
        <v>0</v>
      </c>
      <c r="BD324" s="63">
        <v>0</v>
      </c>
      <c r="BE324" s="63">
        <v>0</v>
      </c>
      <c r="BF324" s="63">
        <v>0</v>
      </c>
      <c r="BG324" s="63">
        <v>0</v>
      </c>
      <c r="BH324" s="63">
        <v>138197</v>
      </c>
      <c r="BI324" s="63">
        <v>110557</v>
      </c>
      <c r="BJ324" s="63">
        <v>27639</v>
      </c>
      <c r="BK324" s="63">
        <v>0</v>
      </c>
      <c r="BL324" s="63">
        <v>276393</v>
      </c>
      <c r="BM324" s="63">
        <v>23907774</v>
      </c>
      <c r="BN324" s="63">
        <v>19264571</v>
      </c>
      <c r="BO324" s="63">
        <v>4781554</v>
      </c>
      <c r="BP324" s="63">
        <v>0</v>
      </c>
      <c r="BQ324" s="63">
        <v>47953899</v>
      </c>
      <c r="BR324" s="63">
        <v>275020</v>
      </c>
      <c r="BS324" s="63">
        <v>68755</v>
      </c>
      <c r="BT324" s="63">
        <v>0</v>
      </c>
      <c r="BU324" s="63">
        <v>343775</v>
      </c>
      <c r="BV324" s="63">
        <v>230054</v>
      </c>
      <c r="BW324" s="63">
        <v>57513</v>
      </c>
      <c r="BX324" s="63">
        <v>0</v>
      </c>
      <c r="BY324" s="63">
        <v>287567</v>
      </c>
      <c r="BZ324" s="63">
        <v>0</v>
      </c>
      <c r="CA324" s="63">
        <v>0</v>
      </c>
      <c r="CB324" s="63">
        <v>0</v>
      </c>
      <c r="CC324" s="63">
        <v>0</v>
      </c>
      <c r="CD324" s="63">
        <v>0</v>
      </c>
      <c r="CE324" s="63">
        <v>0</v>
      </c>
      <c r="CF324" s="63">
        <v>0</v>
      </c>
      <c r="CG324" s="63">
        <v>0</v>
      </c>
      <c r="CH324" s="63">
        <v>1651</v>
      </c>
      <c r="CI324" s="63">
        <v>413</v>
      </c>
      <c r="CJ324" s="63">
        <v>0</v>
      </c>
      <c r="CK324" s="63">
        <v>2064</v>
      </c>
      <c r="CL324" s="63">
        <v>0</v>
      </c>
      <c r="CM324" s="63">
        <v>0</v>
      </c>
      <c r="CN324" s="63">
        <v>0</v>
      </c>
      <c r="CO324" s="63">
        <v>0</v>
      </c>
      <c r="CP324" s="63">
        <v>506725</v>
      </c>
      <c r="CQ324" s="63">
        <v>126681</v>
      </c>
      <c r="CR324" s="63">
        <v>0</v>
      </c>
      <c r="CS324" s="63">
        <v>633406</v>
      </c>
      <c r="CU324" s="141" t="s">
        <v>476</v>
      </c>
      <c r="CV324" s="157" t="s">
        <v>978</v>
      </c>
      <c r="CW324" s="156" t="s">
        <v>928</v>
      </c>
      <c r="CX324" s="345"/>
      <c r="CY324" s="345"/>
      <c r="CZ324" s="345"/>
    </row>
    <row r="325" spans="1:104" ht="12.75" x14ac:dyDescent="0.2">
      <c r="A325" s="90">
        <v>318</v>
      </c>
      <c r="B325" s="129" t="s">
        <v>478</v>
      </c>
      <c r="C325" s="130" t="s">
        <v>501</v>
      </c>
      <c r="D325" s="131" t="s">
        <v>743</v>
      </c>
      <c r="E325" s="132" t="s">
        <v>510</v>
      </c>
      <c r="F325" s="63">
        <v>57898768</v>
      </c>
      <c r="G325" s="63">
        <v>0</v>
      </c>
      <c r="H325" s="63">
        <v>0</v>
      </c>
      <c r="I325" s="63">
        <v>183365</v>
      </c>
      <c r="J325" s="63">
        <v>0</v>
      </c>
      <c r="K325" s="63">
        <v>183365</v>
      </c>
      <c r="L325" s="63">
        <v>0</v>
      </c>
      <c r="M325" s="63">
        <v>0</v>
      </c>
      <c r="N325" s="63">
        <v>19880</v>
      </c>
      <c r="O325" s="63">
        <v>19880</v>
      </c>
      <c r="P325" s="63">
        <v>0</v>
      </c>
      <c r="Q325" s="63">
        <v>57695523</v>
      </c>
      <c r="R325" s="474">
        <v>0.5</v>
      </c>
      <c r="S325" s="474">
        <v>0.49</v>
      </c>
      <c r="T325" s="474">
        <v>0</v>
      </c>
      <c r="U325" s="474">
        <v>0.01</v>
      </c>
      <c r="V325" s="474">
        <v>1</v>
      </c>
      <c r="W325" s="63">
        <v>28847762</v>
      </c>
      <c r="X325" s="63">
        <v>28270806</v>
      </c>
      <c r="Y325" s="63">
        <v>0</v>
      </c>
      <c r="Z325" s="63">
        <v>576955</v>
      </c>
      <c r="AA325" s="63">
        <v>57695523</v>
      </c>
      <c r="AB325" s="63">
        <v>0</v>
      </c>
      <c r="AC325" s="63">
        <v>0</v>
      </c>
      <c r="AD325" s="63">
        <v>0</v>
      </c>
      <c r="AE325" s="63">
        <v>0</v>
      </c>
      <c r="AF325" s="63">
        <v>0</v>
      </c>
      <c r="AG325" s="63">
        <v>0</v>
      </c>
      <c r="AH325" s="63">
        <v>0</v>
      </c>
      <c r="AI325" s="63">
        <v>0</v>
      </c>
      <c r="AJ325" s="63">
        <v>0</v>
      </c>
      <c r="AK325" s="63">
        <v>0</v>
      </c>
      <c r="AL325" s="63">
        <v>28847762</v>
      </c>
      <c r="AM325" s="63">
        <v>28270806</v>
      </c>
      <c r="AN325" s="63">
        <v>0</v>
      </c>
      <c r="AO325" s="63">
        <v>576955</v>
      </c>
      <c r="AP325" s="63">
        <v>57695523</v>
      </c>
      <c r="AQ325" s="63">
        <v>183365</v>
      </c>
      <c r="AR325" s="63">
        <v>183365</v>
      </c>
      <c r="AS325" s="63">
        <v>0</v>
      </c>
      <c r="AT325" s="63">
        <v>0</v>
      </c>
      <c r="AU325" s="63">
        <v>19880</v>
      </c>
      <c r="AV325" s="63">
        <v>0</v>
      </c>
      <c r="AW325" s="63">
        <v>19880</v>
      </c>
      <c r="AX325" s="63">
        <v>0</v>
      </c>
      <c r="AY325" s="63">
        <v>0</v>
      </c>
      <c r="AZ325" s="63">
        <v>0</v>
      </c>
      <c r="BA325" s="63">
        <v>0</v>
      </c>
      <c r="BB325" s="63">
        <v>0</v>
      </c>
      <c r="BC325" s="63">
        <v>0</v>
      </c>
      <c r="BD325" s="63">
        <v>0</v>
      </c>
      <c r="BE325" s="63">
        <v>0</v>
      </c>
      <c r="BF325" s="63">
        <v>0</v>
      </c>
      <c r="BG325" s="63">
        <v>0</v>
      </c>
      <c r="BH325" s="63">
        <v>-1455295</v>
      </c>
      <c r="BI325" s="63">
        <v>-1426189</v>
      </c>
      <c r="BJ325" s="63">
        <v>0</v>
      </c>
      <c r="BK325" s="63">
        <v>-29106</v>
      </c>
      <c r="BL325" s="63">
        <v>-2910590</v>
      </c>
      <c r="BM325" s="63">
        <v>27392467</v>
      </c>
      <c r="BN325" s="63">
        <v>27047862</v>
      </c>
      <c r="BO325" s="63">
        <v>0</v>
      </c>
      <c r="BP325" s="63">
        <v>547849</v>
      </c>
      <c r="BQ325" s="63">
        <v>54988178</v>
      </c>
      <c r="BR325" s="63">
        <v>409163</v>
      </c>
      <c r="BS325" s="63">
        <v>0</v>
      </c>
      <c r="BT325" s="63">
        <v>8344</v>
      </c>
      <c r="BU325" s="63">
        <v>417507</v>
      </c>
      <c r="BV325" s="63">
        <v>471633</v>
      </c>
      <c r="BW325" s="63">
        <v>0</v>
      </c>
      <c r="BX325" s="63">
        <v>9625</v>
      </c>
      <c r="BY325" s="63">
        <v>481258</v>
      </c>
      <c r="BZ325" s="63">
        <v>4305</v>
      </c>
      <c r="CA325" s="63">
        <v>0</v>
      </c>
      <c r="CB325" s="63">
        <v>88</v>
      </c>
      <c r="CC325" s="63">
        <v>4393</v>
      </c>
      <c r="CD325" s="63">
        <v>0</v>
      </c>
      <c r="CE325" s="63">
        <v>0</v>
      </c>
      <c r="CF325" s="63">
        <v>0</v>
      </c>
      <c r="CG325" s="63">
        <v>0</v>
      </c>
      <c r="CH325" s="63">
        <v>18076</v>
      </c>
      <c r="CI325" s="63">
        <v>0</v>
      </c>
      <c r="CJ325" s="63">
        <v>369</v>
      </c>
      <c r="CK325" s="63">
        <v>18445</v>
      </c>
      <c r="CL325" s="63">
        <v>1032</v>
      </c>
      <c r="CM325" s="63">
        <v>0</v>
      </c>
      <c r="CN325" s="63">
        <v>21</v>
      </c>
      <c r="CO325" s="63">
        <v>1053</v>
      </c>
      <c r="CP325" s="63">
        <v>904209</v>
      </c>
      <c r="CQ325" s="63">
        <v>0</v>
      </c>
      <c r="CR325" s="63">
        <v>18447</v>
      </c>
      <c r="CS325" s="63">
        <v>922656</v>
      </c>
      <c r="CU325" s="141" t="s">
        <v>510</v>
      </c>
      <c r="CV325" s="157" t="s">
        <v>501</v>
      </c>
      <c r="CW325" s="156" t="s">
        <v>956</v>
      </c>
    </row>
    <row r="326" spans="1:104" ht="12.75" x14ac:dyDescent="0.2">
      <c r="A326" s="90">
        <v>319</v>
      </c>
      <c r="B326" s="129" t="s">
        <v>480</v>
      </c>
      <c r="C326" s="130" t="s">
        <v>749</v>
      </c>
      <c r="D326" s="131" t="s">
        <v>752</v>
      </c>
      <c r="E326" s="132" t="s">
        <v>479</v>
      </c>
      <c r="F326" s="63">
        <v>77498199</v>
      </c>
      <c r="G326" s="63">
        <v>0</v>
      </c>
      <c r="H326" s="63">
        <v>0</v>
      </c>
      <c r="I326" s="63">
        <v>344356</v>
      </c>
      <c r="J326" s="63">
        <v>0</v>
      </c>
      <c r="K326" s="63">
        <v>344356</v>
      </c>
      <c r="L326" s="63">
        <v>0</v>
      </c>
      <c r="M326" s="63">
        <v>0</v>
      </c>
      <c r="N326" s="63">
        <v>0</v>
      </c>
      <c r="O326" s="63">
        <v>0</v>
      </c>
      <c r="P326" s="63">
        <v>0</v>
      </c>
      <c r="Q326" s="63">
        <v>77153843</v>
      </c>
      <c r="R326" s="474">
        <v>0.5</v>
      </c>
      <c r="S326" s="474">
        <v>0.49</v>
      </c>
      <c r="T326" s="474">
        <v>0</v>
      </c>
      <c r="U326" s="474">
        <v>0.01</v>
      </c>
      <c r="V326" s="474">
        <v>1</v>
      </c>
      <c r="W326" s="63">
        <v>38576922</v>
      </c>
      <c r="X326" s="63">
        <v>37805383</v>
      </c>
      <c r="Y326" s="63">
        <v>0</v>
      </c>
      <c r="Z326" s="63">
        <v>771538</v>
      </c>
      <c r="AA326" s="63">
        <v>77153843</v>
      </c>
      <c r="AB326" s="63">
        <v>0</v>
      </c>
      <c r="AC326" s="63">
        <v>0</v>
      </c>
      <c r="AD326" s="63">
        <v>0</v>
      </c>
      <c r="AE326" s="63">
        <v>0</v>
      </c>
      <c r="AF326" s="63">
        <v>0</v>
      </c>
      <c r="AG326" s="63">
        <v>0</v>
      </c>
      <c r="AH326" s="63">
        <v>0</v>
      </c>
      <c r="AI326" s="63">
        <v>0</v>
      </c>
      <c r="AJ326" s="63">
        <v>0</v>
      </c>
      <c r="AK326" s="63">
        <v>0</v>
      </c>
      <c r="AL326" s="63">
        <v>38576922</v>
      </c>
      <c r="AM326" s="63">
        <v>37805383</v>
      </c>
      <c r="AN326" s="63">
        <v>0</v>
      </c>
      <c r="AO326" s="63">
        <v>771538</v>
      </c>
      <c r="AP326" s="63">
        <v>77153843</v>
      </c>
      <c r="AQ326" s="63">
        <v>344356</v>
      </c>
      <c r="AR326" s="63">
        <v>344356</v>
      </c>
      <c r="AS326" s="63">
        <v>0</v>
      </c>
      <c r="AT326" s="63">
        <v>0</v>
      </c>
      <c r="AU326" s="63">
        <v>0</v>
      </c>
      <c r="AV326" s="63">
        <v>0</v>
      </c>
      <c r="AW326" s="63">
        <v>0</v>
      </c>
      <c r="AX326" s="63">
        <v>0</v>
      </c>
      <c r="AY326" s="63">
        <v>0</v>
      </c>
      <c r="AZ326" s="63">
        <v>0</v>
      </c>
      <c r="BA326" s="63">
        <v>0</v>
      </c>
      <c r="BB326" s="63">
        <v>0</v>
      </c>
      <c r="BC326" s="63">
        <v>0</v>
      </c>
      <c r="BD326" s="63">
        <v>0</v>
      </c>
      <c r="BE326" s="63">
        <v>0</v>
      </c>
      <c r="BF326" s="63">
        <v>0</v>
      </c>
      <c r="BG326" s="63">
        <v>0</v>
      </c>
      <c r="BH326" s="63">
        <v>-4629207</v>
      </c>
      <c r="BI326" s="63">
        <v>-4536623</v>
      </c>
      <c r="BJ326" s="63">
        <v>0</v>
      </c>
      <c r="BK326" s="63">
        <v>-92584</v>
      </c>
      <c r="BL326" s="63">
        <v>-9258414</v>
      </c>
      <c r="BM326" s="63">
        <v>33947715</v>
      </c>
      <c r="BN326" s="63">
        <v>33613116</v>
      </c>
      <c r="BO326" s="63">
        <v>0</v>
      </c>
      <c r="BP326" s="63">
        <v>678954</v>
      </c>
      <c r="BQ326" s="63">
        <v>68239785</v>
      </c>
      <c r="BR326" s="63">
        <v>546772</v>
      </c>
      <c r="BS326" s="63">
        <v>0</v>
      </c>
      <c r="BT326" s="63">
        <v>11159</v>
      </c>
      <c r="BU326" s="63">
        <v>557931</v>
      </c>
      <c r="BV326" s="63">
        <v>1406816</v>
      </c>
      <c r="BW326" s="63">
        <v>0</v>
      </c>
      <c r="BX326" s="63">
        <v>28711</v>
      </c>
      <c r="BY326" s="63">
        <v>1435527</v>
      </c>
      <c r="BZ326" s="63">
        <v>7594</v>
      </c>
      <c r="CA326" s="63">
        <v>0</v>
      </c>
      <c r="CB326" s="63">
        <v>155</v>
      </c>
      <c r="CC326" s="63">
        <v>7749</v>
      </c>
      <c r="CD326" s="63">
        <v>2964</v>
      </c>
      <c r="CE326" s="63">
        <v>0</v>
      </c>
      <c r="CF326" s="63">
        <v>61</v>
      </c>
      <c r="CG326" s="63">
        <v>3025</v>
      </c>
      <c r="CH326" s="63">
        <v>12569</v>
      </c>
      <c r="CI326" s="63">
        <v>0</v>
      </c>
      <c r="CJ326" s="63">
        <v>257</v>
      </c>
      <c r="CK326" s="63">
        <v>12826</v>
      </c>
      <c r="CL326" s="63">
        <v>0</v>
      </c>
      <c r="CM326" s="63">
        <v>0</v>
      </c>
      <c r="CN326" s="63">
        <v>0</v>
      </c>
      <c r="CO326" s="63">
        <v>0</v>
      </c>
      <c r="CP326" s="63">
        <v>1976715</v>
      </c>
      <c r="CQ326" s="63">
        <v>0</v>
      </c>
      <c r="CR326" s="63">
        <v>40343</v>
      </c>
      <c r="CS326" s="63">
        <v>2017058</v>
      </c>
      <c r="CU326" s="141" t="s">
        <v>479</v>
      </c>
      <c r="CV326" s="157" t="s">
        <v>941</v>
      </c>
      <c r="CW326" s="156" t="s">
        <v>949</v>
      </c>
    </row>
    <row r="327" spans="1:104" ht="12.75" x14ac:dyDescent="0.2">
      <c r="A327" s="90">
        <v>320</v>
      </c>
      <c r="B327" s="129" t="s">
        <v>482</v>
      </c>
      <c r="C327" s="130" t="s">
        <v>742</v>
      </c>
      <c r="D327" s="131" t="s">
        <v>752</v>
      </c>
      <c r="E327" s="132" t="s">
        <v>481</v>
      </c>
      <c r="F327" s="63">
        <v>40935312</v>
      </c>
      <c r="G327" s="63">
        <v>0</v>
      </c>
      <c r="H327" s="63">
        <v>0</v>
      </c>
      <c r="I327" s="63">
        <v>136997</v>
      </c>
      <c r="J327" s="63">
        <v>0</v>
      </c>
      <c r="K327" s="63">
        <v>136997</v>
      </c>
      <c r="L327" s="63">
        <v>0</v>
      </c>
      <c r="M327" s="63">
        <v>0</v>
      </c>
      <c r="N327" s="63">
        <v>0</v>
      </c>
      <c r="O327" s="63">
        <v>0</v>
      </c>
      <c r="P327" s="63">
        <v>0</v>
      </c>
      <c r="Q327" s="63">
        <v>40798315</v>
      </c>
      <c r="R327" s="474">
        <v>0.5</v>
      </c>
      <c r="S327" s="474">
        <v>0.4</v>
      </c>
      <c r="T327" s="474">
        <v>0.09</v>
      </c>
      <c r="U327" s="474">
        <v>0.01</v>
      </c>
      <c r="V327" s="474">
        <v>1</v>
      </c>
      <c r="W327" s="63">
        <v>20399158</v>
      </c>
      <c r="X327" s="63">
        <v>16319326</v>
      </c>
      <c r="Y327" s="63">
        <v>3671848</v>
      </c>
      <c r="Z327" s="63">
        <v>407983</v>
      </c>
      <c r="AA327" s="63">
        <v>40798315</v>
      </c>
      <c r="AB327" s="63">
        <v>0</v>
      </c>
      <c r="AC327" s="63">
        <v>0</v>
      </c>
      <c r="AD327" s="63">
        <v>0</v>
      </c>
      <c r="AE327" s="63">
        <v>0</v>
      </c>
      <c r="AF327" s="63">
        <v>0</v>
      </c>
      <c r="AG327" s="63">
        <v>0</v>
      </c>
      <c r="AH327" s="63">
        <v>0</v>
      </c>
      <c r="AI327" s="63">
        <v>0</v>
      </c>
      <c r="AJ327" s="63">
        <v>0</v>
      </c>
      <c r="AK327" s="63">
        <v>0</v>
      </c>
      <c r="AL327" s="63">
        <v>20399158</v>
      </c>
      <c r="AM327" s="63">
        <v>16319326</v>
      </c>
      <c r="AN327" s="63">
        <v>3671848</v>
      </c>
      <c r="AO327" s="63">
        <v>407983</v>
      </c>
      <c r="AP327" s="63">
        <v>40798315</v>
      </c>
      <c r="AQ327" s="63">
        <v>136997</v>
      </c>
      <c r="AR327" s="63">
        <v>136997</v>
      </c>
      <c r="AS327" s="63">
        <v>0</v>
      </c>
      <c r="AT327" s="63">
        <v>0</v>
      </c>
      <c r="AU327" s="63">
        <v>0</v>
      </c>
      <c r="AV327" s="63">
        <v>0</v>
      </c>
      <c r="AW327" s="63">
        <v>0</v>
      </c>
      <c r="AX327" s="63">
        <v>0</v>
      </c>
      <c r="AY327" s="63">
        <v>0</v>
      </c>
      <c r="AZ327" s="63">
        <v>0</v>
      </c>
      <c r="BA327" s="63">
        <v>0</v>
      </c>
      <c r="BB327" s="63">
        <v>0</v>
      </c>
      <c r="BC327" s="63">
        <v>0</v>
      </c>
      <c r="BD327" s="63">
        <v>0</v>
      </c>
      <c r="BE327" s="63">
        <v>0</v>
      </c>
      <c r="BF327" s="63">
        <v>0</v>
      </c>
      <c r="BG327" s="63">
        <v>0</v>
      </c>
      <c r="BH327" s="63">
        <v>-2113175</v>
      </c>
      <c r="BI327" s="63">
        <v>-1690540</v>
      </c>
      <c r="BJ327" s="63">
        <v>-380371</v>
      </c>
      <c r="BK327" s="63">
        <v>-42263</v>
      </c>
      <c r="BL327" s="63">
        <v>-4226349</v>
      </c>
      <c r="BM327" s="63">
        <v>18285983</v>
      </c>
      <c r="BN327" s="63">
        <v>14765783</v>
      </c>
      <c r="BO327" s="63">
        <v>3291477</v>
      </c>
      <c r="BP327" s="63">
        <v>365720</v>
      </c>
      <c r="BQ327" s="63">
        <v>36708963</v>
      </c>
      <c r="BR327" s="63">
        <v>236023</v>
      </c>
      <c r="BS327" s="63">
        <v>53105</v>
      </c>
      <c r="BT327" s="63">
        <v>5901</v>
      </c>
      <c r="BU327" s="63">
        <v>295029</v>
      </c>
      <c r="BV327" s="63">
        <v>380332</v>
      </c>
      <c r="BW327" s="63">
        <v>85575</v>
      </c>
      <c r="BX327" s="63">
        <v>9508</v>
      </c>
      <c r="BY327" s="63">
        <v>475415</v>
      </c>
      <c r="BZ327" s="63">
        <v>2534</v>
      </c>
      <c r="CA327" s="63">
        <v>570</v>
      </c>
      <c r="CB327" s="63">
        <v>63</v>
      </c>
      <c r="CC327" s="63">
        <v>3167</v>
      </c>
      <c r="CD327" s="63">
        <v>20521</v>
      </c>
      <c r="CE327" s="63">
        <v>4617</v>
      </c>
      <c r="CF327" s="63">
        <v>513</v>
      </c>
      <c r="CG327" s="63">
        <v>25651</v>
      </c>
      <c r="CH327" s="63">
        <v>18814</v>
      </c>
      <c r="CI327" s="63">
        <v>4233</v>
      </c>
      <c r="CJ327" s="63">
        <v>470</v>
      </c>
      <c r="CK327" s="63">
        <v>23517</v>
      </c>
      <c r="CL327" s="63">
        <v>2723</v>
      </c>
      <c r="CM327" s="63">
        <v>613</v>
      </c>
      <c r="CN327" s="63">
        <v>68</v>
      </c>
      <c r="CO327" s="63">
        <v>3404</v>
      </c>
      <c r="CP327" s="63">
        <v>660947</v>
      </c>
      <c r="CQ327" s="63">
        <v>148713</v>
      </c>
      <c r="CR327" s="63">
        <v>16523</v>
      </c>
      <c r="CS327" s="63">
        <v>826183</v>
      </c>
      <c r="CU327" s="141" t="s">
        <v>481</v>
      </c>
      <c r="CV327" s="157" t="s">
        <v>762</v>
      </c>
      <c r="CW327" s="156" t="s">
        <v>763</v>
      </c>
    </row>
    <row r="328" spans="1:104" ht="12.75" x14ac:dyDescent="0.2">
      <c r="A328" s="90">
        <v>321</v>
      </c>
      <c r="B328" s="129" t="s">
        <v>484</v>
      </c>
      <c r="C328" s="130" t="s">
        <v>742</v>
      </c>
      <c r="D328" s="131" t="s">
        <v>743</v>
      </c>
      <c r="E328" s="132" t="s">
        <v>483</v>
      </c>
      <c r="F328" s="63">
        <v>32631759</v>
      </c>
      <c r="G328" s="63">
        <v>0</v>
      </c>
      <c r="H328" s="63">
        <v>0</v>
      </c>
      <c r="I328" s="63">
        <v>131043</v>
      </c>
      <c r="J328" s="63">
        <v>0</v>
      </c>
      <c r="K328" s="63">
        <v>131043</v>
      </c>
      <c r="L328" s="63">
        <v>0</v>
      </c>
      <c r="M328" s="63">
        <v>0</v>
      </c>
      <c r="N328" s="63">
        <v>0</v>
      </c>
      <c r="O328" s="63">
        <v>0</v>
      </c>
      <c r="P328" s="63">
        <v>0</v>
      </c>
      <c r="Q328" s="63">
        <v>32500716</v>
      </c>
      <c r="R328" s="474">
        <v>0.5</v>
      </c>
      <c r="S328" s="474">
        <v>0.4</v>
      </c>
      <c r="T328" s="474">
        <v>0.1</v>
      </c>
      <c r="U328" s="474">
        <v>0</v>
      </c>
      <c r="V328" s="474">
        <v>1</v>
      </c>
      <c r="W328" s="63">
        <v>16250358</v>
      </c>
      <c r="X328" s="63">
        <v>13000286</v>
      </c>
      <c r="Y328" s="63">
        <v>3250072</v>
      </c>
      <c r="Z328" s="63">
        <v>0</v>
      </c>
      <c r="AA328" s="63">
        <v>32500716</v>
      </c>
      <c r="AB328" s="63">
        <v>0</v>
      </c>
      <c r="AC328" s="63">
        <v>0</v>
      </c>
      <c r="AD328" s="63">
        <v>0</v>
      </c>
      <c r="AE328" s="63">
        <v>0</v>
      </c>
      <c r="AF328" s="63">
        <v>0</v>
      </c>
      <c r="AG328" s="63">
        <v>0</v>
      </c>
      <c r="AH328" s="63">
        <v>0</v>
      </c>
      <c r="AI328" s="63">
        <v>0</v>
      </c>
      <c r="AJ328" s="63">
        <v>0</v>
      </c>
      <c r="AK328" s="63">
        <v>0</v>
      </c>
      <c r="AL328" s="63">
        <v>16250358</v>
      </c>
      <c r="AM328" s="63">
        <v>13000286</v>
      </c>
      <c r="AN328" s="63">
        <v>3250072</v>
      </c>
      <c r="AO328" s="63">
        <v>0</v>
      </c>
      <c r="AP328" s="63">
        <v>32500716</v>
      </c>
      <c r="AQ328" s="63">
        <v>131043</v>
      </c>
      <c r="AR328" s="63">
        <v>131043</v>
      </c>
      <c r="AS328" s="63">
        <v>0</v>
      </c>
      <c r="AT328" s="63">
        <v>0</v>
      </c>
      <c r="AU328" s="63">
        <v>0</v>
      </c>
      <c r="AV328" s="63">
        <v>0</v>
      </c>
      <c r="AW328" s="63">
        <v>0</v>
      </c>
      <c r="AX328" s="63">
        <v>0</v>
      </c>
      <c r="AY328" s="63">
        <v>0</v>
      </c>
      <c r="AZ328" s="63">
        <v>0</v>
      </c>
      <c r="BA328" s="63">
        <v>0</v>
      </c>
      <c r="BB328" s="63">
        <v>0</v>
      </c>
      <c r="BC328" s="63">
        <v>0</v>
      </c>
      <c r="BD328" s="63">
        <v>0</v>
      </c>
      <c r="BE328" s="63">
        <v>0</v>
      </c>
      <c r="BF328" s="63">
        <v>0</v>
      </c>
      <c r="BG328" s="63">
        <v>0</v>
      </c>
      <c r="BH328" s="63">
        <v>-218486</v>
      </c>
      <c r="BI328" s="63">
        <v>-174788</v>
      </c>
      <c r="BJ328" s="63">
        <v>-43697</v>
      </c>
      <c r="BK328" s="63">
        <v>0</v>
      </c>
      <c r="BL328" s="63">
        <v>-436971</v>
      </c>
      <c r="BM328" s="63">
        <v>16031872</v>
      </c>
      <c r="BN328" s="63">
        <v>12956541</v>
      </c>
      <c r="BO328" s="63">
        <v>3206375</v>
      </c>
      <c r="BP328" s="63">
        <v>0</v>
      </c>
      <c r="BQ328" s="63">
        <v>32194788</v>
      </c>
      <c r="BR328" s="63">
        <v>188021</v>
      </c>
      <c r="BS328" s="63">
        <v>47005</v>
      </c>
      <c r="BT328" s="63">
        <v>0</v>
      </c>
      <c r="BU328" s="63">
        <v>235026</v>
      </c>
      <c r="BV328" s="63">
        <v>436729</v>
      </c>
      <c r="BW328" s="63">
        <v>109182</v>
      </c>
      <c r="BX328" s="63">
        <v>0</v>
      </c>
      <c r="BY328" s="63">
        <v>545911</v>
      </c>
      <c r="BZ328" s="63">
        <v>0</v>
      </c>
      <c r="CA328" s="63">
        <v>0</v>
      </c>
      <c r="CB328" s="63">
        <v>0</v>
      </c>
      <c r="CC328" s="63">
        <v>0</v>
      </c>
      <c r="CD328" s="63">
        <v>0</v>
      </c>
      <c r="CE328" s="63">
        <v>0</v>
      </c>
      <c r="CF328" s="63">
        <v>0</v>
      </c>
      <c r="CG328" s="63">
        <v>0</v>
      </c>
      <c r="CH328" s="63">
        <v>12896</v>
      </c>
      <c r="CI328" s="63">
        <v>3224</v>
      </c>
      <c r="CJ328" s="63">
        <v>0</v>
      </c>
      <c r="CK328" s="63">
        <v>16120</v>
      </c>
      <c r="CL328" s="63">
        <v>2990</v>
      </c>
      <c r="CM328" s="63">
        <v>747</v>
      </c>
      <c r="CN328" s="63">
        <v>0</v>
      </c>
      <c r="CO328" s="63">
        <v>3737</v>
      </c>
      <c r="CP328" s="63">
        <v>640636</v>
      </c>
      <c r="CQ328" s="63">
        <v>160158</v>
      </c>
      <c r="CR328" s="63">
        <v>0</v>
      </c>
      <c r="CS328" s="63">
        <v>800794</v>
      </c>
      <c r="CU328" s="141" t="s">
        <v>483</v>
      </c>
      <c r="CV328" s="157" t="s">
        <v>927</v>
      </c>
      <c r="CW328" s="156" t="s">
        <v>928</v>
      </c>
    </row>
    <row r="329" spans="1:104" ht="12.75" x14ac:dyDescent="0.2">
      <c r="A329" s="90">
        <v>322</v>
      </c>
      <c r="B329" s="129" t="s">
        <v>486</v>
      </c>
      <c r="C329" s="130" t="s">
        <v>742</v>
      </c>
      <c r="D329" s="131" t="s">
        <v>752</v>
      </c>
      <c r="E329" s="132" t="s">
        <v>485</v>
      </c>
      <c r="F329" s="63">
        <v>40168535</v>
      </c>
      <c r="G329" s="63">
        <v>0</v>
      </c>
      <c r="H329" s="63">
        <v>0</v>
      </c>
      <c r="I329" s="63">
        <v>187199</v>
      </c>
      <c r="J329" s="63">
        <v>0</v>
      </c>
      <c r="K329" s="63">
        <v>187199</v>
      </c>
      <c r="L329" s="63">
        <v>0</v>
      </c>
      <c r="M329" s="63">
        <v>0</v>
      </c>
      <c r="N329" s="63">
        <v>30157</v>
      </c>
      <c r="O329" s="63">
        <v>30157</v>
      </c>
      <c r="P329" s="63">
        <v>0</v>
      </c>
      <c r="Q329" s="63">
        <v>39951179</v>
      </c>
      <c r="R329" s="474">
        <v>0.5</v>
      </c>
      <c r="S329" s="474">
        <v>0.4</v>
      </c>
      <c r="T329" s="474">
        <v>0.09</v>
      </c>
      <c r="U329" s="474">
        <v>0.01</v>
      </c>
      <c r="V329" s="474">
        <v>1</v>
      </c>
      <c r="W329" s="63">
        <v>19975589</v>
      </c>
      <c r="X329" s="63">
        <v>15980472</v>
      </c>
      <c r="Y329" s="63">
        <v>3595606</v>
      </c>
      <c r="Z329" s="63">
        <v>399512</v>
      </c>
      <c r="AA329" s="63">
        <v>39951179</v>
      </c>
      <c r="AB329" s="63">
        <v>0</v>
      </c>
      <c r="AC329" s="63">
        <v>0</v>
      </c>
      <c r="AD329" s="63">
        <v>0</v>
      </c>
      <c r="AE329" s="63">
        <v>0</v>
      </c>
      <c r="AF329" s="63">
        <v>0</v>
      </c>
      <c r="AG329" s="63">
        <v>0</v>
      </c>
      <c r="AH329" s="63">
        <v>0</v>
      </c>
      <c r="AI329" s="63">
        <v>0</v>
      </c>
      <c r="AJ329" s="63">
        <v>0</v>
      </c>
      <c r="AK329" s="63">
        <v>0</v>
      </c>
      <c r="AL329" s="63">
        <v>19975589</v>
      </c>
      <c r="AM329" s="63">
        <v>15980472</v>
      </c>
      <c r="AN329" s="63">
        <v>3595606</v>
      </c>
      <c r="AO329" s="63">
        <v>399512</v>
      </c>
      <c r="AP329" s="63">
        <v>39951179</v>
      </c>
      <c r="AQ329" s="63">
        <v>187199</v>
      </c>
      <c r="AR329" s="63">
        <v>187199</v>
      </c>
      <c r="AS329" s="63">
        <v>0</v>
      </c>
      <c r="AT329" s="63">
        <v>0</v>
      </c>
      <c r="AU329" s="63">
        <v>30157</v>
      </c>
      <c r="AV329" s="63">
        <v>0</v>
      </c>
      <c r="AW329" s="63">
        <v>30157</v>
      </c>
      <c r="AX329" s="63">
        <v>0</v>
      </c>
      <c r="AY329" s="63">
        <v>0</v>
      </c>
      <c r="AZ329" s="63">
        <v>0</v>
      </c>
      <c r="BA329" s="63">
        <v>0</v>
      </c>
      <c r="BB329" s="63">
        <v>0</v>
      </c>
      <c r="BC329" s="63">
        <v>0</v>
      </c>
      <c r="BD329" s="63">
        <v>0</v>
      </c>
      <c r="BE329" s="63">
        <v>0</v>
      </c>
      <c r="BF329" s="63">
        <v>0</v>
      </c>
      <c r="BG329" s="63">
        <v>0</v>
      </c>
      <c r="BH329" s="63">
        <v>-1862883</v>
      </c>
      <c r="BI329" s="63">
        <v>-1490307</v>
      </c>
      <c r="BJ329" s="63">
        <v>-335319</v>
      </c>
      <c r="BK329" s="63">
        <v>-37258</v>
      </c>
      <c r="BL329" s="63">
        <v>-3725767</v>
      </c>
      <c r="BM329" s="63">
        <v>18112706</v>
      </c>
      <c r="BN329" s="63">
        <v>14707521</v>
      </c>
      <c r="BO329" s="63">
        <v>3260287</v>
      </c>
      <c r="BP329" s="63">
        <v>362254</v>
      </c>
      <c r="BQ329" s="63">
        <v>36442768</v>
      </c>
      <c r="BR329" s="63">
        <v>231559</v>
      </c>
      <c r="BS329" s="63">
        <v>52003</v>
      </c>
      <c r="BT329" s="63">
        <v>5778</v>
      </c>
      <c r="BU329" s="63">
        <v>289340</v>
      </c>
      <c r="BV329" s="63">
        <v>647640</v>
      </c>
      <c r="BW329" s="63">
        <v>145719</v>
      </c>
      <c r="BX329" s="63">
        <v>16191</v>
      </c>
      <c r="BY329" s="63">
        <v>809550</v>
      </c>
      <c r="BZ329" s="63">
        <v>4147</v>
      </c>
      <c r="CA329" s="63">
        <v>933</v>
      </c>
      <c r="CB329" s="63">
        <v>104</v>
      </c>
      <c r="CC329" s="63">
        <v>5184</v>
      </c>
      <c r="CD329" s="63">
        <v>0</v>
      </c>
      <c r="CE329" s="63">
        <v>0</v>
      </c>
      <c r="CF329" s="63">
        <v>0</v>
      </c>
      <c r="CG329" s="63">
        <v>0</v>
      </c>
      <c r="CH329" s="63">
        <v>12331</v>
      </c>
      <c r="CI329" s="63">
        <v>2775</v>
      </c>
      <c r="CJ329" s="63">
        <v>308</v>
      </c>
      <c r="CK329" s="63">
        <v>15414</v>
      </c>
      <c r="CL329" s="63">
        <v>4511</v>
      </c>
      <c r="CM329" s="63">
        <v>1015</v>
      </c>
      <c r="CN329" s="63">
        <v>113</v>
      </c>
      <c r="CO329" s="63">
        <v>5639</v>
      </c>
      <c r="CP329" s="63">
        <v>900188</v>
      </c>
      <c r="CQ329" s="63">
        <v>202445</v>
      </c>
      <c r="CR329" s="63">
        <v>22494</v>
      </c>
      <c r="CS329" s="63">
        <v>1125127</v>
      </c>
      <c r="CU329" s="141" t="s">
        <v>485</v>
      </c>
      <c r="CV329" s="157" t="s">
        <v>762</v>
      </c>
      <c r="CW329" s="156" t="s">
        <v>763</v>
      </c>
    </row>
    <row r="330" spans="1:104" ht="12.75" x14ac:dyDescent="0.2">
      <c r="A330" s="90">
        <v>323</v>
      </c>
      <c r="B330" s="129" t="s">
        <v>488</v>
      </c>
      <c r="C330" s="130" t="s">
        <v>742</v>
      </c>
      <c r="D330" s="131" t="s">
        <v>743</v>
      </c>
      <c r="E330" s="132" t="s">
        <v>487</v>
      </c>
      <c r="F330" s="63">
        <v>74188769</v>
      </c>
      <c r="G330" s="63">
        <v>0</v>
      </c>
      <c r="H330" s="63">
        <v>0</v>
      </c>
      <c r="I330" s="63">
        <v>240953</v>
      </c>
      <c r="J330" s="63">
        <v>0</v>
      </c>
      <c r="K330" s="63">
        <v>240953</v>
      </c>
      <c r="L330" s="63">
        <v>0</v>
      </c>
      <c r="M330" s="63">
        <v>0</v>
      </c>
      <c r="N330" s="63">
        <v>0</v>
      </c>
      <c r="O330" s="63">
        <v>0</v>
      </c>
      <c r="P330" s="63">
        <v>0</v>
      </c>
      <c r="Q330" s="63">
        <v>73947816</v>
      </c>
      <c r="R330" s="474">
        <v>0.5</v>
      </c>
      <c r="S330" s="474">
        <v>0.4</v>
      </c>
      <c r="T330" s="474">
        <v>0.09</v>
      </c>
      <c r="U330" s="474">
        <v>0.01</v>
      </c>
      <c r="V330" s="474">
        <v>1</v>
      </c>
      <c r="W330" s="63">
        <v>36973909</v>
      </c>
      <c r="X330" s="63">
        <v>29579126</v>
      </c>
      <c r="Y330" s="63">
        <v>6655303</v>
      </c>
      <c r="Z330" s="63">
        <v>739478</v>
      </c>
      <c r="AA330" s="63">
        <v>73947816</v>
      </c>
      <c r="AB330" s="63">
        <v>0</v>
      </c>
      <c r="AC330" s="63">
        <v>0</v>
      </c>
      <c r="AD330" s="63">
        <v>0</v>
      </c>
      <c r="AE330" s="63">
        <v>0</v>
      </c>
      <c r="AF330" s="63">
        <v>0</v>
      </c>
      <c r="AG330" s="63">
        <v>0</v>
      </c>
      <c r="AH330" s="63">
        <v>0</v>
      </c>
      <c r="AI330" s="63">
        <v>0</v>
      </c>
      <c r="AJ330" s="63">
        <v>0</v>
      </c>
      <c r="AK330" s="63">
        <v>0</v>
      </c>
      <c r="AL330" s="63">
        <v>36973909</v>
      </c>
      <c r="AM330" s="63">
        <v>29579126</v>
      </c>
      <c r="AN330" s="63">
        <v>6655303</v>
      </c>
      <c r="AO330" s="63">
        <v>739478</v>
      </c>
      <c r="AP330" s="63">
        <v>73947816</v>
      </c>
      <c r="AQ330" s="63">
        <v>240953</v>
      </c>
      <c r="AR330" s="63">
        <v>240953</v>
      </c>
      <c r="AS330" s="63">
        <v>0</v>
      </c>
      <c r="AT330" s="63">
        <v>0</v>
      </c>
      <c r="AU330" s="63">
        <v>0</v>
      </c>
      <c r="AV330" s="63">
        <v>0</v>
      </c>
      <c r="AW330" s="63">
        <v>0</v>
      </c>
      <c r="AX330" s="63">
        <v>0</v>
      </c>
      <c r="AY330" s="63">
        <v>0</v>
      </c>
      <c r="AZ330" s="63">
        <v>0</v>
      </c>
      <c r="BA330" s="63">
        <v>0</v>
      </c>
      <c r="BB330" s="63">
        <v>0</v>
      </c>
      <c r="BC330" s="63">
        <v>0</v>
      </c>
      <c r="BD330" s="63">
        <v>0</v>
      </c>
      <c r="BE330" s="63">
        <v>0</v>
      </c>
      <c r="BF330" s="63">
        <v>0</v>
      </c>
      <c r="BG330" s="63">
        <v>0</v>
      </c>
      <c r="BH330" s="63">
        <v>-2384007</v>
      </c>
      <c r="BI330" s="63">
        <v>-1907205</v>
      </c>
      <c r="BJ330" s="63">
        <v>-429121</v>
      </c>
      <c r="BK330" s="63">
        <v>-47680</v>
      </c>
      <c r="BL330" s="63">
        <v>-4768013</v>
      </c>
      <c r="BM330" s="63">
        <v>34589902</v>
      </c>
      <c r="BN330" s="63">
        <v>27912874</v>
      </c>
      <c r="BO330" s="63">
        <v>6226182</v>
      </c>
      <c r="BP330" s="63">
        <v>691798</v>
      </c>
      <c r="BQ330" s="63">
        <v>69420756</v>
      </c>
      <c r="BR330" s="63">
        <v>427797</v>
      </c>
      <c r="BS330" s="63">
        <v>96254</v>
      </c>
      <c r="BT330" s="63">
        <v>10695</v>
      </c>
      <c r="BU330" s="63">
        <v>534746</v>
      </c>
      <c r="BV330" s="63">
        <v>483686</v>
      </c>
      <c r="BW330" s="63">
        <v>108829</v>
      </c>
      <c r="BX330" s="63">
        <v>12092</v>
      </c>
      <c r="BY330" s="63">
        <v>604607</v>
      </c>
      <c r="BZ330" s="63">
        <v>5476</v>
      </c>
      <c r="CA330" s="63">
        <v>1232</v>
      </c>
      <c r="CB330" s="63">
        <v>137</v>
      </c>
      <c r="CC330" s="63">
        <v>6845</v>
      </c>
      <c r="CD330" s="63">
        <v>0</v>
      </c>
      <c r="CE330" s="63">
        <v>0</v>
      </c>
      <c r="CF330" s="63">
        <v>0</v>
      </c>
      <c r="CG330" s="63">
        <v>0</v>
      </c>
      <c r="CH330" s="63">
        <v>3659</v>
      </c>
      <c r="CI330" s="63">
        <v>824</v>
      </c>
      <c r="CJ330" s="63">
        <v>92</v>
      </c>
      <c r="CK330" s="63">
        <v>4575</v>
      </c>
      <c r="CL330" s="63">
        <v>8843</v>
      </c>
      <c r="CM330" s="63">
        <v>1990</v>
      </c>
      <c r="CN330" s="63">
        <v>221</v>
      </c>
      <c r="CO330" s="63">
        <v>11054</v>
      </c>
      <c r="CP330" s="63">
        <v>929461</v>
      </c>
      <c r="CQ330" s="63">
        <v>209129</v>
      </c>
      <c r="CR330" s="63">
        <v>23237</v>
      </c>
      <c r="CS330" s="63">
        <v>1161827</v>
      </c>
      <c r="CU330" s="141" t="s">
        <v>487</v>
      </c>
      <c r="CV330" s="157" t="s">
        <v>936</v>
      </c>
      <c r="CW330" s="156" t="s">
        <v>937</v>
      </c>
    </row>
    <row r="331" spans="1:104" ht="12.75" x14ac:dyDescent="0.2">
      <c r="A331" s="90">
        <v>324</v>
      </c>
      <c r="B331" s="129" t="s">
        <v>490</v>
      </c>
      <c r="C331" s="130" t="s">
        <v>742</v>
      </c>
      <c r="D331" s="131" t="s">
        <v>744</v>
      </c>
      <c r="E331" s="132" t="s">
        <v>489</v>
      </c>
      <c r="F331" s="63">
        <v>27124459</v>
      </c>
      <c r="G331" s="63">
        <v>0</v>
      </c>
      <c r="H331" s="63">
        <v>0</v>
      </c>
      <c r="I331" s="63">
        <v>153244</v>
      </c>
      <c r="J331" s="63">
        <v>0</v>
      </c>
      <c r="K331" s="63">
        <v>153244</v>
      </c>
      <c r="L331" s="63">
        <v>0</v>
      </c>
      <c r="M331" s="63">
        <v>0</v>
      </c>
      <c r="N331" s="63">
        <v>0</v>
      </c>
      <c r="O331" s="63">
        <v>0</v>
      </c>
      <c r="P331" s="63">
        <v>0</v>
      </c>
      <c r="Q331" s="63">
        <v>26971215</v>
      </c>
      <c r="R331" s="474">
        <v>0.5</v>
      </c>
      <c r="S331" s="474">
        <v>0.4</v>
      </c>
      <c r="T331" s="474">
        <v>0.09</v>
      </c>
      <c r="U331" s="474">
        <v>0.01</v>
      </c>
      <c r="V331" s="474">
        <v>1</v>
      </c>
      <c r="W331" s="63">
        <v>13485608</v>
      </c>
      <c r="X331" s="63">
        <v>10788486</v>
      </c>
      <c r="Y331" s="63">
        <v>2427409</v>
      </c>
      <c r="Z331" s="63">
        <v>269712</v>
      </c>
      <c r="AA331" s="63">
        <v>26971215</v>
      </c>
      <c r="AB331" s="63">
        <v>0</v>
      </c>
      <c r="AC331" s="63">
        <v>0</v>
      </c>
      <c r="AD331" s="63">
        <v>0</v>
      </c>
      <c r="AE331" s="63">
        <v>0</v>
      </c>
      <c r="AF331" s="63">
        <v>0</v>
      </c>
      <c r="AG331" s="63">
        <v>0</v>
      </c>
      <c r="AH331" s="63">
        <v>0</v>
      </c>
      <c r="AI331" s="63">
        <v>0</v>
      </c>
      <c r="AJ331" s="63">
        <v>0</v>
      </c>
      <c r="AK331" s="63">
        <v>0</v>
      </c>
      <c r="AL331" s="63">
        <v>13485608</v>
      </c>
      <c r="AM331" s="63">
        <v>10788486</v>
      </c>
      <c r="AN331" s="63">
        <v>2427409</v>
      </c>
      <c r="AO331" s="63">
        <v>269712</v>
      </c>
      <c r="AP331" s="63">
        <v>26971215</v>
      </c>
      <c r="AQ331" s="63">
        <v>153244</v>
      </c>
      <c r="AR331" s="63">
        <v>153244</v>
      </c>
      <c r="AS331" s="63">
        <v>0</v>
      </c>
      <c r="AT331" s="63">
        <v>0</v>
      </c>
      <c r="AU331" s="63">
        <v>0</v>
      </c>
      <c r="AV331" s="63">
        <v>0</v>
      </c>
      <c r="AW331" s="63">
        <v>0</v>
      </c>
      <c r="AX331" s="63">
        <v>0</v>
      </c>
      <c r="AY331" s="63">
        <v>0</v>
      </c>
      <c r="AZ331" s="63">
        <v>0</v>
      </c>
      <c r="BA331" s="63">
        <v>0</v>
      </c>
      <c r="BB331" s="63">
        <v>0</v>
      </c>
      <c r="BC331" s="63">
        <v>0</v>
      </c>
      <c r="BD331" s="63">
        <v>0</v>
      </c>
      <c r="BE331" s="63">
        <v>0</v>
      </c>
      <c r="BF331" s="63">
        <v>0</v>
      </c>
      <c r="BG331" s="63">
        <v>0</v>
      </c>
      <c r="BH331" s="63">
        <v>-489131</v>
      </c>
      <c r="BI331" s="63">
        <v>-391305</v>
      </c>
      <c r="BJ331" s="63">
        <v>-88044</v>
      </c>
      <c r="BK331" s="63">
        <v>-9783</v>
      </c>
      <c r="BL331" s="63">
        <v>-978263</v>
      </c>
      <c r="BM331" s="63">
        <v>12996477</v>
      </c>
      <c r="BN331" s="63">
        <v>10550425</v>
      </c>
      <c r="BO331" s="63">
        <v>2339365</v>
      </c>
      <c r="BP331" s="63">
        <v>259929</v>
      </c>
      <c r="BQ331" s="63">
        <v>26146196</v>
      </c>
      <c r="BR331" s="63">
        <v>156032</v>
      </c>
      <c r="BS331" s="63">
        <v>35107</v>
      </c>
      <c r="BT331" s="63">
        <v>3901</v>
      </c>
      <c r="BU331" s="63">
        <v>195040</v>
      </c>
      <c r="BV331" s="63">
        <v>621585</v>
      </c>
      <c r="BW331" s="63">
        <v>137428</v>
      </c>
      <c r="BX331" s="63">
        <v>15270</v>
      </c>
      <c r="BY331" s="63">
        <v>774283</v>
      </c>
      <c r="BZ331" s="63">
        <v>4300</v>
      </c>
      <c r="CA331" s="63">
        <v>967</v>
      </c>
      <c r="CB331" s="63">
        <v>107</v>
      </c>
      <c r="CC331" s="63">
        <v>5374</v>
      </c>
      <c r="CD331" s="63">
        <v>0</v>
      </c>
      <c r="CE331" s="63">
        <v>0</v>
      </c>
      <c r="CF331" s="63">
        <v>0</v>
      </c>
      <c r="CG331" s="63">
        <v>0</v>
      </c>
      <c r="CH331" s="63">
        <v>775</v>
      </c>
      <c r="CI331" s="63">
        <v>174</v>
      </c>
      <c r="CJ331" s="63">
        <v>19</v>
      </c>
      <c r="CK331" s="63">
        <v>968</v>
      </c>
      <c r="CL331" s="63">
        <v>4058</v>
      </c>
      <c r="CM331" s="63">
        <v>913</v>
      </c>
      <c r="CN331" s="63">
        <v>101</v>
      </c>
      <c r="CO331" s="63">
        <v>5072</v>
      </c>
      <c r="CP331" s="63">
        <v>786750</v>
      </c>
      <c r="CQ331" s="63">
        <v>174589</v>
      </c>
      <c r="CR331" s="63">
        <v>19398</v>
      </c>
      <c r="CS331" s="63">
        <v>980737</v>
      </c>
      <c r="CU331" s="141" t="s">
        <v>489</v>
      </c>
      <c r="CV331" s="157" t="s">
        <v>961</v>
      </c>
      <c r="CW331" s="156" t="s">
        <v>952</v>
      </c>
    </row>
    <row r="332" spans="1:104" ht="12.75" x14ac:dyDescent="0.2">
      <c r="A332" s="90">
        <v>325</v>
      </c>
      <c r="B332" s="129" t="s">
        <v>492</v>
      </c>
      <c r="C332" s="130" t="s">
        <v>742</v>
      </c>
      <c r="D332" s="131" t="s">
        <v>752</v>
      </c>
      <c r="E332" s="132" t="s">
        <v>491</v>
      </c>
      <c r="F332" s="63">
        <v>28815339</v>
      </c>
      <c r="G332" s="63">
        <v>0</v>
      </c>
      <c r="H332" s="63">
        <v>0</v>
      </c>
      <c r="I332" s="63">
        <v>134079</v>
      </c>
      <c r="J332" s="63">
        <v>0</v>
      </c>
      <c r="K332" s="63">
        <v>134079</v>
      </c>
      <c r="L332" s="63">
        <v>0</v>
      </c>
      <c r="M332" s="63">
        <v>0</v>
      </c>
      <c r="N332" s="63">
        <v>0</v>
      </c>
      <c r="O332" s="63">
        <v>0</v>
      </c>
      <c r="P332" s="63">
        <v>0</v>
      </c>
      <c r="Q332" s="63">
        <v>28681260</v>
      </c>
      <c r="R332" s="474">
        <v>0.5</v>
      </c>
      <c r="S332" s="474">
        <v>0.4</v>
      </c>
      <c r="T332" s="474">
        <v>0.09</v>
      </c>
      <c r="U332" s="474">
        <v>0.01</v>
      </c>
      <c r="V332" s="474">
        <v>1</v>
      </c>
      <c r="W332" s="63">
        <v>14340630</v>
      </c>
      <c r="X332" s="63">
        <v>11472504</v>
      </c>
      <c r="Y332" s="63">
        <v>2581313</v>
      </c>
      <c r="Z332" s="63">
        <v>286813</v>
      </c>
      <c r="AA332" s="63">
        <v>28681260</v>
      </c>
      <c r="AB332" s="63">
        <v>0</v>
      </c>
      <c r="AC332" s="63">
        <v>0</v>
      </c>
      <c r="AD332" s="63">
        <v>0</v>
      </c>
      <c r="AE332" s="63">
        <v>0</v>
      </c>
      <c r="AF332" s="63">
        <v>0</v>
      </c>
      <c r="AG332" s="63">
        <v>0</v>
      </c>
      <c r="AH332" s="63">
        <v>0</v>
      </c>
      <c r="AI332" s="63">
        <v>0</v>
      </c>
      <c r="AJ332" s="63">
        <v>0</v>
      </c>
      <c r="AK332" s="63">
        <v>0</v>
      </c>
      <c r="AL332" s="63">
        <v>14340630</v>
      </c>
      <c r="AM332" s="63">
        <v>11472504</v>
      </c>
      <c r="AN332" s="63">
        <v>2581313</v>
      </c>
      <c r="AO332" s="63">
        <v>286813</v>
      </c>
      <c r="AP332" s="63">
        <v>28681260</v>
      </c>
      <c r="AQ332" s="63">
        <v>134079</v>
      </c>
      <c r="AR332" s="63">
        <v>134079</v>
      </c>
      <c r="AS332" s="63">
        <v>0</v>
      </c>
      <c r="AT332" s="63">
        <v>0</v>
      </c>
      <c r="AU332" s="63">
        <v>0</v>
      </c>
      <c r="AV332" s="63">
        <v>0</v>
      </c>
      <c r="AW332" s="63">
        <v>0</v>
      </c>
      <c r="AX332" s="63">
        <v>0</v>
      </c>
      <c r="AY332" s="63">
        <v>0</v>
      </c>
      <c r="AZ332" s="63">
        <v>0</v>
      </c>
      <c r="BA332" s="63">
        <v>0</v>
      </c>
      <c r="BB332" s="63">
        <v>0</v>
      </c>
      <c r="BC332" s="63">
        <v>0</v>
      </c>
      <c r="BD332" s="63">
        <v>0</v>
      </c>
      <c r="BE332" s="63">
        <v>0</v>
      </c>
      <c r="BF332" s="63">
        <v>0</v>
      </c>
      <c r="BG332" s="63">
        <v>0</v>
      </c>
      <c r="BH332" s="63">
        <v>-1890730</v>
      </c>
      <c r="BI332" s="63">
        <v>-1512584</v>
      </c>
      <c r="BJ332" s="63">
        <v>-340331</v>
      </c>
      <c r="BK332" s="63">
        <v>-37815</v>
      </c>
      <c r="BL332" s="63">
        <v>-3781460</v>
      </c>
      <c r="BM332" s="63">
        <v>12449900</v>
      </c>
      <c r="BN332" s="63">
        <v>10093999</v>
      </c>
      <c r="BO332" s="63">
        <v>2240982</v>
      </c>
      <c r="BP332" s="63">
        <v>248998</v>
      </c>
      <c r="BQ332" s="63">
        <v>25033879</v>
      </c>
      <c r="BR332" s="63">
        <v>165925</v>
      </c>
      <c r="BS332" s="63">
        <v>37333</v>
      </c>
      <c r="BT332" s="63">
        <v>4148</v>
      </c>
      <c r="BU332" s="63">
        <v>207406</v>
      </c>
      <c r="BV332" s="63">
        <v>456388</v>
      </c>
      <c r="BW332" s="63">
        <v>102688</v>
      </c>
      <c r="BX332" s="63">
        <v>11410</v>
      </c>
      <c r="BY332" s="63">
        <v>570486</v>
      </c>
      <c r="BZ332" s="63">
        <v>0</v>
      </c>
      <c r="CA332" s="63">
        <v>0</v>
      </c>
      <c r="CB332" s="63">
        <v>0</v>
      </c>
      <c r="CC332" s="63">
        <v>0</v>
      </c>
      <c r="CD332" s="63">
        <v>0</v>
      </c>
      <c r="CE332" s="63">
        <v>0</v>
      </c>
      <c r="CF332" s="63">
        <v>0</v>
      </c>
      <c r="CG332" s="63">
        <v>0</v>
      </c>
      <c r="CH332" s="63">
        <v>0</v>
      </c>
      <c r="CI332" s="63">
        <v>0</v>
      </c>
      <c r="CJ332" s="63">
        <v>0</v>
      </c>
      <c r="CK332" s="63">
        <v>0</v>
      </c>
      <c r="CL332" s="63">
        <v>104</v>
      </c>
      <c r="CM332" s="63">
        <v>24</v>
      </c>
      <c r="CN332" s="63">
        <v>3</v>
      </c>
      <c r="CO332" s="63">
        <v>131</v>
      </c>
      <c r="CP332" s="63">
        <v>622417</v>
      </c>
      <c r="CQ332" s="63">
        <v>140045</v>
      </c>
      <c r="CR332" s="63">
        <v>15561</v>
      </c>
      <c r="CS332" s="63">
        <v>778023</v>
      </c>
      <c r="CU332" s="141" t="s">
        <v>491</v>
      </c>
      <c r="CV332" s="157" t="s">
        <v>762</v>
      </c>
      <c r="CW332" s="156" t="s">
        <v>763</v>
      </c>
    </row>
    <row r="333" spans="1:104" ht="13.5" thickBot="1" x14ac:dyDescent="0.25">
      <c r="A333" s="90">
        <v>326</v>
      </c>
      <c r="B333" s="129" t="s">
        <v>493</v>
      </c>
      <c r="C333" s="130" t="s">
        <v>501</v>
      </c>
      <c r="D333" s="131" t="s">
        <v>750</v>
      </c>
      <c r="E333" s="132" t="s">
        <v>544</v>
      </c>
      <c r="F333" s="63">
        <v>102947310</v>
      </c>
      <c r="G333" s="63">
        <v>0</v>
      </c>
      <c r="H333" s="63">
        <v>0</v>
      </c>
      <c r="I333" s="63">
        <v>298324</v>
      </c>
      <c r="J333" s="63">
        <v>0</v>
      </c>
      <c r="K333" s="63">
        <v>298324</v>
      </c>
      <c r="L333" s="63">
        <v>0</v>
      </c>
      <c r="M333" s="63">
        <v>0</v>
      </c>
      <c r="N333" s="63">
        <v>0</v>
      </c>
      <c r="O333" s="63">
        <v>0</v>
      </c>
      <c r="P333" s="63">
        <v>0</v>
      </c>
      <c r="Q333" s="63">
        <v>102648986</v>
      </c>
      <c r="R333" s="474">
        <v>0.5</v>
      </c>
      <c r="S333" s="474">
        <v>0.49</v>
      </c>
      <c r="T333" s="474">
        <v>0</v>
      </c>
      <c r="U333" s="474">
        <v>0.01</v>
      </c>
      <c r="V333" s="474">
        <v>1</v>
      </c>
      <c r="W333" s="63">
        <v>51324493</v>
      </c>
      <c r="X333" s="63">
        <v>50298003</v>
      </c>
      <c r="Y333" s="63">
        <v>0</v>
      </c>
      <c r="Z333" s="63">
        <v>1026490</v>
      </c>
      <c r="AA333" s="63">
        <v>102648986</v>
      </c>
      <c r="AB333" s="63">
        <v>0</v>
      </c>
      <c r="AC333" s="63">
        <v>0</v>
      </c>
      <c r="AD333" s="63">
        <v>0</v>
      </c>
      <c r="AE333" s="63">
        <v>0</v>
      </c>
      <c r="AF333" s="63">
        <v>0</v>
      </c>
      <c r="AG333" s="63">
        <v>0</v>
      </c>
      <c r="AH333" s="63">
        <v>0</v>
      </c>
      <c r="AI333" s="63">
        <v>0</v>
      </c>
      <c r="AJ333" s="63">
        <v>0</v>
      </c>
      <c r="AK333" s="63">
        <v>0</v>
      </c>
      <c r="AL333" s="63">
        <v>51324493</v>
      </c>
      <c r="AM333" s="63">
        <v>50298003</v>
      </c>
      <c r="AN333" s="63">
        <v>0</v>
      </c>
      <c r="AO333" s="63">
        <v>1026490</v>
      </c>
      <c r="AP333" s="63">
        <v>102648986</v>
      </c>
      <c r="AQ333" s="63">
        <v>298324</v>
      </c>
      <c r="AR333" s="63">
        <v>298324</v>
      </c>
      <c r="AS333" s="63">
        <v>0</v>
      </c>
      <c r="AT333" s="63">
        <v>0</v>
      </c>
      <c r="AU333" s="63">
        <v>0</v>
      </c>
      <c r="AV333" s="63">
        <v>0</v>
      </c>
      <c r="AW333" s="63">
        <v>0</v>
      </c>
      <c r="AX333" s="63">
        <v>0</v>
      </c>
      <c r="AY333" s="63">
        <v>0</v>
      </c>
      <c r="AZ333" s="63">
        <v>0</v>
      </c>
      <c r="BA333" s="63">
        <v>0</v>
      </c>
      <c r="BB333" s="63">
        <v>0</v>
      </c>
      <c r="BC333" s="63">
        <v>0</v>
      </c>
      <c r="BD333" s="63">
        <v>0</v>
      </c>
      <c r="BE333" s="63">
        <v>0</v>
      </c>
      <c r="BF333" s="63">
        <v>0</v>
      </c>
      <c r="BG333" s="63">
        <v>0</v>
      </c>
      <c r="BH333" s="63">
        <v>0</v>
      </c>
      <c r="BI333" s="63">
        <v>0</v>
      </c>
      <c r="BJ333" s="63">
        <v>0</v>
      </c>
      <c r="BK333" s="63">
        <v>0</v>
      </c>
      <c r="BL333" s="63">
        <v>0</v>
      </c>
      <c r="BM333" s="63">
        <v>51324493</v>
      </c>
      <c r="BN333" s="63">
        <v>50596327</v>
      </c>
      <c r="BO333" s="63">
        <v>0</v>
      </c>
      <c r="BP333" s="63">
        <v>1026490</v>
      </c>
      <c r="BQ333" s="63">
        <v>102947310</v>
      </c>
      <c r="BR333" s="63">
        <v>727450</v>
      </c>
      <c r="BS333" s="63">
        <v>0</v>
      </c>
      <c r="BT333" s="63">
        <v>14846</v>
      </c>
      <c r="BU333" s="63">
        <v>742296</v>
      </c>
      <c r="BV333" s="63">
        <v>889068</v>
      </c>
      <c r="BW333" s="63">
        <v>0</v>
      </c>
      <c r="BX333" s="63">
        <v>18144</v>
      </c>
      <c r="BY333" s="63">
        <v>907212</v>
      </c>
      <c r="BZ333" s="63">
        <v>13532</v>
      </c>
      <c r="CA333" s="63">
        <v>0</v>
      </c>
      <c r="CB333" s="63">
        <v>276</v>
      </c>
      <c r="CC333" s="63">
        <v>13808</v>
      </c>
      <c r="CD333" s="63">
        <v>35704</v>
      </c>
      <c r="CE333" s="63">
        <v>0</v>
      </c>
      <c r="CF333" s="63">
        <v>729</v>
      </c>
      <c r="CG333" s="63">
        <v>36433</v>
      </c>
      <c r="CH333" s="63">
        <v>70962</v>
      </c>
      <c r="CI333" s="63">
        <v>0</v>
      </c>
      <c r="CJ333" s="63">
        <v>1448</v>
      </c>
      <c r="CK333" s="63">
        <v>72410</v>
      </c>
      <c r="CL333" s="63">
        <v>0</v>
      </c>
      <c r="CM333" s="63">
        <v>0</v>
      </c>
      <c r="CN333" s="63">
        <v>0</v>
      </c>
      <c r="CO333" s="63">
        <v>0</v>
      </c>
      <c r="CP333" s="63">
        <v>1736716</v>
      </c>
      <c r="CQ333" s="63">
        <v>0</v>
      </c>
      <c r="CR333" s="63">
        <v>35443</v>
      </c>
      <c r="CS333" s="63">
        <v>1772159</v>
      </c>
      <c r="CU333" s="141" t="s">
        <v>544</v>
      </c>
      <c r="CV333" s="157" t="s">
        <v>501</v>
      </c>
      <c r="CW333" s="156" t="s">
        <v>764</v>
      </c>
    </row>
    <row r="334" spans="1:104" ht="13.5" thickBot="1" x14ac:dyDescent="0.25">
      <c r="A334" s="90">
        <v>327</v>
      </c>
      <c r="B334" s="179"/>
      <c r="C334" s="179"/>
      <c r="D334" s="82" t="s">
        <v>746</v>
      </c>
      <c r="E334" s="82" t="s">
        <v>738</v>
      </c>
      <c r="F334" s="180">
        <v>23670819562.180698</v>
      </c>
      <c r="G334" s="180">
        <v>0</v>
      </c>
      <c r="H334" s="180">
        <v>0</v>
      </c>
      <c r="I334" s="180">
        <v>84000006</v>
      </c>
      <c r="J334" s="180">
        <v>146477</v>
      </c>
      <c r="K334" s="180">
        <v>84146483</v>
      </c>
      <c r="L334" s="180">
        <v>11039000</v>
      </c>
      <c r="M334" s="180">
        <v>29459106</v>
      </c>
      <c r="N334" s="180">
        <v>39206524</v>
      </c>
      <c r="O334" s="180">
        <v>37320396</v>
      </c>
      <c r="P334" s="180">
        <v>1886128</v>
      </c>
      <c r="Q334" s="180">
        <v>23506968448</v>
      </c>
      <c r="R334" s="576" t="s">
        <v>808</v>
      </c>
      <c r="S334" s="576" t="s">
        <v>808</v>
      </c>
      <c r="T334" s="576" t="s">
        <v>808</v>
      </c>
      <c r="U334" s="576" t="s">
        <v>808</v>
      </c>
      <c r="V334" s="576" t="s">
        <v>808</v>
      </c>
      <c r="W334" s="180">
        <v>11753484229</v>
      </c>
      <c r="X334" s="180">
        <v>9525063178</v>
      </c>
      <c r="Y334" s="180">
        <v>2097741538</v>
      </c>
      <c r="Z334" s="180">
        <v>130679503</v>
      </c>
      <c r="AA334" s="180">
        <v>23506968448</v>
      </c>
      <c r="AB334" s="180">
        <v>11970206</v>
      </c>
      <c r="AC334" s="180">
        <v>0</v>
      </c>
      <c r="AD334" s="180">
        <v>0</v>
      </c>
      <c r="AE334" s="180">
        <v>0</v>
      </c>
      <c r="AF334" s="180">
        <v>11970206</v>
      </c>
      <c r="AG334" s="180">
        <v>0</v>
      </c>
      <c r="AH334" s="180">
        <v>0</v>
      </c>
      <c r="AI334" s="180">
        <v>0</v>
      </c>
      <c r="AJ334" s="180">
        <v>0</v>
      </c>
      <c r="AK334" s="180">
        <v>0</v>
      </c>
      <c r="AL334" s="180">
        <v>11741514023</v>
      </c>
      <c r="AM334" s="180">
        <v>9525063178</v>
      </c>
      <c r="AN334" s="180">
        <v>2097741538</v>
      </c>
      <c r="AO334" s="180">
        <v>130679503</v>
      </c>
      <c r="AP334" s="180">
        <v>23494998242</v>
      </c>
      <c r="AQ334" s="180">
        <v>84146483</v>
      </c>
      <c r="AR334" s="180">
        <v>84146483</v>
      </c>
      <c r="AS334" s="180">
        <v>29459106</v>
      </c>
      <c r="AT334" s="180">
        <v>29459106</v>
      </c>
      <c r="AU334" s="180">
        <v>37320396</v>
      </c>
      <c r="AV334" s="180">
        <v>1886128</v>
      </c>
      <c r="AW334" s="180">
        <v>39206524</v>
      </c>
      <c r="AX334" s="180">
        <v>11711128</v>
      </c>
      <c r="AY334" s="180">
        <v>230400</v>
      </c>
      <c r="AZ334" s="180">
        <v>28678</v>
      </c>
      <c r="BA334" s="180">
        <v>11970206</v>
      </c>
      <c r="BB334" s="180">
        <v>11039000</v>
      </c>
      <c r="BC334" s="180">
        <v>11039000</v>
      </c>
      <c r="BD334" s="180">
        <v>0</v>
      </c>
      <c r="BE334" s="180">
        <v>0</v>
      </c>
      <c r="BF334" s="180">
        <v>0</v>
      </c>
      <c r="BG334" s="180">
        <v>0</v>
      </c>
      <c r="BH334" s="180">
        <v>-631408030</v>
      </c>
      <c r="BI334" s="180">
        <v>-509910890</v>
      </c>
      <c r="BJ334" s="180">
        <v>-114334303</v>
      </c>
      <c r="BK334" s="180">
        <v>-7162859</v>
      </c>
      <c r="BL334" s="180">
        <v>-1262816081.1010003</v>
      </c>
      <c r="BM334" s="180">
        <v>11110105993</v>
      </c>
      <c r="BN334" s="180">
        <v>9188828401</v>
      </c>
      <c r="BO334" s="180">
        <v>1985523763</v>
      </c>
      <c r="BP334" s="180">
        <v>123545322</v>
      </c>
      <c r="BQ334" s="180">
        <v>22408003480</v>
      </c>
      <c r="BR334" s="180">
        <v>139054042</v>
      </c>
      <c r="BS334" s="180">
        <v>30369849</v>
      </c>
      <c r="BT334" s="180">
        <v>1890407</v>
      </c>
      <c r="BU334" s="180">
        <v>171314298</v>
      </c>
      <c r="BV334" s="180">
        <v>247066699</v>
      </c>
      <c r="BW334" s="180">
        <v>35348451</v>
      </c>
      <c r="BX334" s="180">
        <v>3979871</v>
      </c>
      <c r="BY334" s="180">
        <v>286395021</v>
      </c>
      <c r="BZ334" s="180">
        <v>1038958</v>
      </c>
      <c r="CA334" s="180">
        <v>106903</v>
      </c>
      <c r="CB334" s="180">
        <v>18791</v>
      </c>
      <c r="CC334" s="180">
        <v>1164652</v>
      </c>
      <c r="CD334" s="180">
        <v>3395974</v>
      </c>
      <c r="CE334" s="180">
        <v>658293</v>
      </c>
      <c r="CF334" s="180">
        <v>40542</v>
      </c>
      <c r="CG334" s="180">
        <v>4094809</v>
      </c>
      <c r="CH334" s="180">
        <v>4466887</v>
      </c>
      <c r="CI334" s="180">
        <v>562125</v>
      </c>
      <c r="CJ334" s="180">
        <v>71956</v>
      </c>
      <c r="CK334" s="180">
        <v>5100968</v>
      </c>
      <c r="CL334" s="180">
        <v>2993069</v>
      </c>
      <c r="CM334" s="180">
        <v>648906</v>
      </c>
      <c r="CN334" s="180">
        <v>42095</v>
      </c>
      <c r="CO334" s="180">
        <v>3684070</v>
      </c>
      <c r="CP334" s="180">
        <v>398015629</v>
      </c>
      <c r="CQ334" s="180">
        <v>67694527</v>
      </c>
      <c r="CR334" s="180">
        <v>6043662</v>
      </c>
      <c r="CS334" s="180">
        <v>471753818</v>
      </c>
      <c r="CU334" s="140" t="s">
        <v>738</v>
      </c>
      <c r="CV334" s="100" t="s">
        <v>739</v>
      </c>
      <c r="CW334" s="100" t="s">
        <v>805</v>
      </c>
    </row>
    <row r="335" spans="1:104" x14ac:dyDescent="0.2">
      <c r="D335" s="137"/>
      <c r="E335" s="138"/>
      <c r="F335" s="80"/>
      <c r="G335" s="60"/>
      <c r="H335" s="60"/>
      <c r="CU335" s="174"/>
      <c r="CV335" s="139"/>
      <c r="CW335" s="100"/>
    </row>
    <row r="336" spans="1:104" x14ac:dyDescent="0.2">
      <c r="D336" s="137"/>
      <c r="E336" s="138"/>
      <c r="CU336" s="174"/>
      <c r="CV336" s="139"/>
      <c r="CW336" s="100"/>
    </row>
    <row r="337" spans="4:101" x14ac:dyDescent="0.2">
      <c r="D337" s="137"/>
      <c r="E337" s="138"/>
      <c r="CU337" s="174"/>
      <c r="CV337" s="139"/>
      <c r="CW337" s="100"/>
    </row>
    <row r="338" spans="4:101" x14ac:dyDescent="0.2">
      <c r="D338" s="137"/>
      <c r="E338" s="138"/>
      <c r="CU338" s="174"/>
      <c r="CV338" s="139"/>
      <c r="CW338" s="100"/>
    </row>
    <row r="339" spans="4:101" x14ac:dyDescent="0.2">
      <c r="D339" s="137"/>
      <c r="E339" s="138"/>
      <c r="CU339" s="174"/>
      <c r="CV339" s="139"/>
      <c r="CW339" s="100"/>
    </row>
    <row r="340" spans="4:101" x14ac:dyDescent="0.2">
      <c r="CU340" s="36"/>
      <c r="CV340" s="36"/>
    </row>
  </sheetData>
  <mergeCells count="23">
    <mergeCell ref="BB2:BC2"/>
    <mergeCell ref="BH2:BL2"/>
    <mergeCell ref="CD2:CG2"/>
    <mergeCell ref="BR2:BU2"/>
    <mergeCell ref="BV2:BY2"/>
    <mergeCell ref="BZ2:CC2"/>
    <mergeCell ref="BM2:BQ2"/>
    <mergeCell ref="CH2:CK2"/>
    <mergeCell ref="CL2:CO2"/>
    <mergeCell ref="CP2:CS2"/>
    <mergeCell ref="F1:Q1"/>
    <mergeCell ref="R1:BL1"/>
    <mergeCell ref="BM1:CM1"/>
    <mergeCell ref="AG2:AK2"/>
    <mergeCell ref="BD2:BG2"/>
    <mergeCell ref="R2:V2"/>
    <mergeCell ref="AB2:AF2"/>
    <mergeCell ref="W2:AA2"/>
    <mergeCell ref="AL2:AP2"/>
    <mergeCell ref="AQ2:AR2"/>
    <mergeCell ref="AS2:AT2"/>
    <mergeCell ref="AU2:AW2"/>
    <mergeCell ref="AX2:BA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R339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J332" sqref="J8:J332"/>
    </sheetView>
  </sheetViews>
  <sheetFormatPr defaultRowHeight="15" x14ac:dyDescent="0.2"/>
  <cols>
    <col min="1" max="1" width="6" style="90" customWidth="1"/>
    <col min="2" max="2" width="7.42578125" style="8" bestFit="1" customWidth="1"/>
    <col min="3" max="3" width="5.7109375" style="8" bestFit="1" customWidth="1"/>
    <col min="4" max="4" width="8.140625" style="8" hidden="1" customWidth="1"/>
    <col min="5" max="5" width="27" style="8" bestFit="1" customWidth="1"/>
    <col min="6" max="6" width="14.7109375" style="8" customWidth="1"/>
    <col min="7" max="7" width="14.7109375" style="79" customWidth="1"/>
    <col min="8" max="9" width="14.7109375" style="8" customWidth="1"/>
    <col min="10" max="121" width="14.7109375" customWidth="1"/>
    <col min="122" max="122" width="11" style="90" customWidth="1"/>
  </cols>
  <sheetData>
    <row r="1" spans="1:122" ht="16.5" thickBot="1" x14ac:dyDescent="0.25">
      <c r="A1" s="142"/>
      <c r="B1" s="122"/>
      <c r="C1" s="24"/>
      <c r="D1" s="61"/>
      <c r="E1" s="94"/>
      <c r="F1" s="346"/>
      <c r="G1" s="80"/>
      <c r="H1" s="60"/>
      <c r="I1" s="60"/>
      <c r="W1" s="96"/>
    </row>
    <row r="2" spans="1:122" s="34" customFormat="1" ht="51.75" thickBot="1" x14ac:dyDescent="0.25">
      <c r="A2" s="148"/>
      <c r="B2" s="95"/>
      <c r="C2" s="25"/>
      <c r="D2" s="62"/>
      <c r="E2" s="94"/>
      <c r="F2" s="387" t="s">
        <v>922</v>
      </c>
      <c r="G2" s="718" t="s">
        <v>586</v>
      </c>
      <c r="H2" s="719"/>
      <c r="I2" s="720"/>
      <c r="J2" s="388" t="s">
        <v>837</v>
      </c>
      <c r="K2" s="721" t="s">
        <v>921</v>
      </c>
      <c r="L2" s="724"/>
      <c r="M2" s="721" t="s">
        <v>578</v>
      </c>
      <c r="N2" s="724"/>
      <c r="O2" s="721" t="s">
        <v>839</v>
      </c>
      <c r="P2" s="719"/>
      <c r="Q2" s="720"/>
      <c r="R2" s="725" t="s">
        <v>841</v>
      </c>
      <c r="S2" s="719"/>
      <c r="T2" s="719"/>
      <c r="U2" s="722" t="s">
        <v>842</v>
      </c>
      <c r="V2" s="719"/>
      <c r="W2" s="720"/>
      <c r="X2" s="722" t="s">
        <v>594</v>
      </c>
      <c r="Y2" s="720"/>
      <c r="Z2" s="722" t="s">
        <v>920</v>
      </c>
      <c r="AA2" s="724"/>
      <c r="AB2" s="722" t="s">
        <v>595</v>
      </c>
      <c r="AC2" s="719"/>
      <c r="AD2" s="720"/>
      <c r="AE2" s="722" t="s">
        <v>596</v>
      </c>
      <c r="AF2" s="723"/>
      <c r="AG2" s="724"/>
      <c r="AH2" s="721" t="s">
        <v>845</v>
      </c>
      <c r="AI2" s="719"/>
      <c r="AJ2" s="720"/>
      <c r="AK2" s="721" t="s">
        <v>585</v>
      </c>
      <c r="AL2" s="719"/>
      <c r="AM2" s="720"/>
      <c r="AN2" s="721" t="s">
        <v>726</v>
      </c>
      <c r="AO2" s="723"/>
      <c r="AP2" s="724"/>
      <c r="AQ2" s="721" t="s">
        <v>919</v>
      </c>
      <c r="AR2" s="723"/>
      <c r="AS2" s="724"/>
      <c r="AT2" s="721" t="s">
        <v>847</v>
      </c>
      <c r="AU2" s="723"/>
      <c r="AV2" s="724"/>
      <c r="AW2" s="718" t="s">
        <v>848</v>
      </c>
      <c r="AX2" s="723"/>
      <c r="AY2" s="726"/>
      <c r="AZ2" s="736" t="s">
        <v>849</v>
      </c>
      <c r="BA2" s="719"/>
      <c r="BB2" s="719"/>
      <c r="BC2" s="729" t="s">
        <v>918</v>
      </c>
      <c r="BD2" s="731"/>
      <c r="BE2" s="721" t="s">
        <v>917</v>
      </c>
      <c r="BF2" s="720"/>
      <c r="BG2" s="728" t="s">
        <v>851</v>
      </c>
      <c r="BH2" s="719"/>
      <c r="BI2" s="720"/>
      <c r="BJ2" s="729" t="s">
        <v>853</v>
      </c>
      <c r="BK2" s="730"/>
      <c r="BL2" s="731"/>
      <c r="BM2" s="729" t="s">
        <v>854</v>
      </c>
      <c r="BN2" s="730"/>
      <c r="BO2" s="731"/>
      <c r="BP2" s="729" t="s">
        <v>916</v>
      </c>
      <c r="BQ2" s="731"/>
      <c r="BR2" s="718" t="s">
        <v>915</v>
      </c>
      <c r="BS2" s="719"/>
      <c r="BT2" s="728" t="s">
        <v>856</v>
      </c>
      <c r="BU2" s="719"/>
      <c r="BV2" s="720"/>
      <c r="BW2" s="718" t="s">
        <v>857</v>
      </c>
      <c r="BX2" s="719"/>
      <c r="BY2" s="727"/>
      <c r="BZ2" s="732" t="s">
        <v>858</v>
      </c>
      <c r="CA2" s="730"/>
      <c r="CB2" s="733"/>
      <c r="CC2" s="732" t="s">
        <v>859</v>
      </c>
      <c r="CD2" s="730"/>
      <c r="CE2" s="733"/>
      <c r="CF2" s="732" t="s">
        <v>860</v>
      </c>
      <c r="CG2" s="730"/>
      <c r="CH2" s="733"/>
      <c r="CI2" s="732" t="s">
        <v>861</v>
      </c>
      <c r="CJ2" s="730"/>
      <c r="CK2" s="733"/>
      <c r="CL2" s="732" t="s">
        <v>862</v>
      </c>
      <c r="CM2" s="730"/>
      <c r="CN2" s="733"/>
      <c r="CO2" s="389" t="s">
        <v>727</v>
      </c>
      <c r="CP2" s="389" t="s">
        <v>728</v>
      </c>
      <c r="CQ2" s="721" t="s">
        <v>914</v>
      </c>
      <c r="CR2" s="720"/>
      <c r="CS2" s="734" t="s">
        <v>913</v>
      </c>
      <c r="CT2" s="733"/>
      <c r="CU2" s="735" t="s">
        <v>864</v>
      </c>
      <c r="CV2" s="719"/>
      <c r="CW2" s="727"/>
      <c r="CX2" s="736" t="s">
        <v>865</v>
      </c>
      <c r="CY2" s="719"/>
      <c r="CZ2" s="727"/>
      <c r="DA2" s="732" t="s">
        <v>866</v>
      </c>
      <c r="DB2" s="730"/>
      <c r="DC2" s="733"/>
      <c r="DD2" s="736" t="s">
        <v>867</v>
      </c>
      <c r="DE2" s="719"/>
      <c r="DF2" s="719"/>
      <c r="DG2" s="729" t="s">
        <v>868</v>
      </c>
      <c r="DH2" s="731"/>
      <c r="DI2" s="718" t="s">
        <v>912</v>
      </c>
      <c r="DJ2" s="719"/>
      <c r="DK2" s="729" t="s">
        <v>869</v>
      </c>
      <c r="DL2" s="730"/>
      <c r="DM2" s="731"/>
      <c r="DN2" s="718" t="s">
        <v>736</v>
      </c>
      <c r="DO2" s="719"/>
      <c r="DP2" s="720"/>
      <c r="DR2" s="182" t="s">
        <v>802</v>
      </c>
    </row>
    <row r="3" spans="1:122" s="345" customFormat="1" ht="13.5" thickTop="1" x14ac:dyDescent="0.2">
      <c r="A3" s="384">
        <v>1</v>
      </c>
      <c r="B3" s="385">
        <v>2</v>
      </c>
      <c r="C3" s="385">
        <v>3</v>
      </c>
      <c r="D3" s="386"/>
      <c r="E3" s="385">
        <v>5</v>
      </c>
      <c r="F3" s="392">
        <v>6</v>
      </c>
      <c r="G3" s="392">
        <v>7</v>
      </c>
      <c r="H3" s="393">
        <v>8</v>
      </c>
      <c r="I3" s="392">
        <v>9</v>
      </c>
      <c r="J3" s="392">
        <v>10</v>
      </c>
      <c r="K3" s="393">
        <v>11</v>
      </c>
      <c r="L3" s="392">
        <v>12</v>
      </c>
      <c r="M3" s="392">
        <v>13</v>
      </c>
      <c r="N3" s="393">
        <v>14</v>
      </c>
      <c r="O3" s="392">
        <v>15</v>
      </c>
      <c r="P3" s="392">
        <v>16</v>
      </c>
      <c r="Q3" s="393">
        <v>17</v>
      </c>
      <c r="R3" s="392">
        <v>18</v>
      </c>
      <c r="S3" s="392">
        <v>19</v>
      </c>
      <c r="T3" s="393">
        <v>20</v>
      </c>
      <c r="U3" s="392">
        <v>21</v>
      </c>
      <c r="V3" s="392">
        <v>22</v>
      </c>
      <c r="W3" s="393">
        <v>23</v>
      </c>
      <c r="X3" s="392">
        <v>24</v>
      </c>
      <c r="Y3" s="392">
        <v>25</v>
      </c>
      <c r="Z3" s="393">
        <v>26</v>
      </c>
      <c r="AA3" s="392">
        <v>27</v>
      </c>
      <c r="AB3" s="392">
        <v>28</v>
      </c>
      <c r="AC3" s="393">
        <v>29</v>
      </c>
      <c r="AD3" s="392">
        <v>30</v>
      </c>
      <c r="AE3" s="392">
        <v>31</v>
      </c>
      <c r="AF3" s="393">
        <v>32</v>
      </c>
      <c r="AG3" s="392">
        <v>33</v>
      </c>
      <c r="AH3" s="392">
        <v>34</v>
      </c>
      <c r="AI3" s="393">
        <v>35</v>
      </c>
      <c r="AJ3" s="392">
        <v>36</v>
      </c>
      <c r="AK3" s="401">
        <v>37</v>
      </c>
      <c r="AL3" s="401">
        <v>38</v>
      </c>
      <c r="AM3" s="401">
        <v>39</v>
      </c>
      <c r="AN3" s="401">
        <v>40</v>
      </c>
      <c r="AO3" s="401">
        <v>41</v>
      </c>
      <c r="AP3" s="401">
        <v>42</v>
      </c>
      <c r="AQ3" s="401">
        <v>43</v>
      </c>
      <c r="AR3" s="401">
        <v>44</v>
      </c>
      <c r="AS3" s="401">
        <v>45</v>
      </c>
      <c r="AT3" s="401">
        <v>46</v>
      </c>
      <c r="AU3" s="401">
        <v>47</v>
      </c>
      <c r="AV3" s="401">
        <v>48</v>
      </c>
      <c r="AW3" s="401">
        <v>49</v>
      </c>
      <c r="AX3" s="401">
        <v>50</v>
      </c>
      <c r="AY3" s="401">
        <v>51</v>
      </c>
      <c r="AZ3" s="401">
        <v>52</v>
      </c>
      <c r="BA3" s="401">
        <v>53</v>
      </c>
      <c r="BB3" s="401">
        <v>54</v>
      </c>
      <c r="BC3" s="401">
        <v>55</v>
      </c>
      <c r="BD3" s="401">
        <v>56</v>
      </c>
      <c r="BE3" s="401">
        <v>57</v>
      </c>
      <c r="BF3" s="401">
        <v>58</v>
      </c>
      <c r="BG3" s="401">
        <v>59</v>
      </c>
      <c r="BH3" s="401">
        <v>60</v>
      </c>
      <c r="BI3" s="401">
        <v>61</v>
      </c>
      <c r="BJ3" s="401">
        <v>62</v>
      </c>
      <c r="BK3" s="401">
        <v>63</v>
      </c>
      <c r="BL3" s="401">
        <v>64</v>
      </c>
      <c r="BM3" s="401">
        <v>65</v>
      </c>
      <c r="BN3" s="401">
        <v>66</v>
      </c>
      <c r="BO3" s="401">
        <v>67</v>
      </c>
      <c r="BP3" s="401">
        <v>68</v>
      </c>
      <c r="BQ3" s="401">
        <v>69</v>
      </c>
      <c r="BR3" s="401">
        <v>70</v>
      </c>
      <c r="BS3" s="401">
        <v>71</v>
      </c>
      <c r="BT3" s="401">
        <v>72</v>
      </c>
      <c r="BU3" s="401">
        <v>73</v>
      </c>
      <c r="BV3" s="401">
        <v>74</v>
      </c>
      <c r="BW3" s="401">
        <v>75</v>
      </c>
      <c r="BX3" s="401">
        <v>76</v>
      </c>
      <c r="BY3" s="401">
        <v>77</v>
      </c>
      <c r="BZ3" s="401">
        <v>78</v>
      </c>
      <c r="CA3" s="401">
        <v>79</v>
      </c>
      <c r="CB3" s="401">
        <v>80</v>
      </c>
      <c r="CC3" s="401">
        <v>81</v>
      </c>
      <c r="CD3" s="401">
        <v>82</v>
      </c>
      <c r="CE3" s="401">
        <v>83</v>
      </c>
      <c r="CF3" s="401">
        <v>84</v>
      </c>
      <c r="CG3" s="401">
        <v>85</v>
      </c>
      <c r="CH3" s="401">
        <v>86</v>
      </c>
      <c r="CI3" s="401">
        <v>87</v>
      </c>
      <c r="CJ3" s="401">
        <v>88</v>
      </c>
      <c r="CK3" s="401">
        <v>89</v>
      </c>
      <c r="CL3" s="401">
        <v>90</v>
      </c>
      <c r="CM3" s="401">
        <v>91</v>
      </c>
      <c r="CN3" s="401">
        <v>92</v>
      </c>
      <c r="CO3" s="401">
        <v>93</v>
      </c>
      <c r="CP3" s="401">
        <v>94</v>
      </c>
      <c r="CQ3" s="401">
        <v>95</v>
      </c>
      <c r="CR3" s="401">
        <v>96</v>
      </c>
      <c r="CS3" s="401">
        <v>97</v>
      </c>
      <c r="CT3" s="401">
        <v>98</v>
      </c>
      <c r="CU3" s="401">
        <v>99</v>
      </c>
      <c r="CV3" s="401">
        <v>100</v>
      </c>
      <c r="CW3" s="401">
        <v>101</v>
      </c>
      <c r="CX3" s="401">
        <v>102</v>
      </c>
      <c r="CY3" s="401">
        <v>103</v>
      </c>
      <c r="CZ3" s="401">
        <v>104</v>
      </c>
      <c r="DA3" s="401">
        <v>105</v>
      </c>
      <c r="DB3" s="401">
        <v>106</v>
      </c>
      <c r="DC3" s="401">
        <v>107</v>
      </c>
      <c r="DD3" s="401">
        <v>108</v>
      </c>
      <c r="DE3" s="401">
        <v>109</v>
      </c>
      <c r="DF3" s="401">
        <v>110</v>
      </c>
      <c r="DG3" s="401">
        <v>111</v>
      </c>
      <c r="DH3" s="401">
        <v>112</v>
      </c>
      <c r="DI3" s="401">
        <v>113</v>
      </c>
      <c r="DJ3" s="401">
        <v>114</v>
      </c>
      <c r="DK3" s="401">
        <v>115</v>
      </c>
      <c r="DL3" s="401">
        <v>116</v>
      </c>
      <c r="DM3" s="401">
        <v>117</v>
      </c>
      <c r="DN3" s="401">
        <v>118</v>
      </c>
      <c r="DO3" s="401">
        <v>119</v>
      </c>
      <c r="DP3" s="401">
        <v>120</v>
      </c>
      <c r="DQ3" s="394"/>
      <c r="DR3" s="477">
        <v>122</v>
      </c>
    </row>
    <row r="4" spans="1:122" ht="13.5" thickBot="1" x14ac:dyDescent="0.25">
      <c r="A4" s="148"/>
      <c r="B4" s="124"/>
      <c r="C4" s="27"/>
      <c r="D4" s="62"/>
      <c r="E4" s="62"/>
      <c r="F4" s="395"/>
      <c r="G4" s="395"/>
      <c r="H4" s="396"/>
      <c r="I4" s="396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8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400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2"/>
      <c r="AV4" s="402"/>
      <c r="AW4" s="402"/>
      <c r="AX4" s="402"/>
      <c r="AY4" s="402"/>
      <c r="AZ4" s="402"/>
      <c r="BA4" s="402"/>
      <c r="BB4" s="402"/>
      <c r="BC4" s="402"/>
      <c r="BD4" s="402"/>
      <c r="BE4" s="402"/>
      <c r="BF4" s="402"/>
      <c r="BG4" s="402"/>
      <c r="BH4" s="402"/>
      <c r="BI4" s="402"/>
      <c r="BJ4" s="402"/>
      <c r="BK4" s="402"/>
      <c r="BL4" s="402"/>
      <c r="BM4" s="402"/>
      <c r="BN4" s="402"/>
      <c r="BO4" s="402"/>
      <c r="BP4" s="402"/>
      <c r="BQ4" s="402"/>
      <c r="BR4" s="402"/>
      <c r="BS4" s="402"/>
      <c r="BT4" s="402"/>
      <c r="BU4" s="402"/>
      <c r="BV4" s="402"/>
      <c r="BW4" s="402"/>
      <c r="BX4" s="402"/>
      <c r="BY4" s="402"/>
      <c r="BZ4" s="402"/>
      <c r="CA4" s="402"/>
      <c r="CB4" s="402"/>
      <c r="CC4" s="402"/>
      <c r="CD4" s="402"/>
      <c r="CE4" s="402"/>
      <c r="CF4" s="402"/>
      <c r="CG4" s="402"/>
      <c r="CH4" s="402"/>
      <c r="CI4" s="402"/>
      <c r="CJ4" s="402"/>
      <c r="CK4" s="402"/>
      <c r="CL4" s="402"/>
      <c r="CM4" s="402"/>
      <c r="CN4" s="402"/>
      <c r="CO4" s="402"/>
      <c r="CP4" s="402"/>
      <c r="CQ4" s="402"/>
      <c r="CR4" s="402"/>
      <c r="CS4" s="402"/>
      <c r="CT4" s="402"/>
      <c r="CU4" s="402"/>
      <c r="CV4" s="402"/>
      <c r="CW4" s="402"/>
      <c r="CX4" s="402"/>
      <c r="CY4" s="402"/>
      <c r="CZ4" s="402"/>
      <c r="DA4" s="402"/>
      <c r="DB4" s="402"/>
      <c r="DC4" s="402"/>
      <c r="DD4" s="402"/>
      <c r="DE4" s="402"/>
      <c r="DF4" s="402"/>
      <c r="DG4" s="402"/>
      <c r="DH4" s="402"/>
      <c r="DI4" s="402"/>
      <c r="DJ4" s="402"/>
      <c r="DK4" s="402"/>
      <c r="DL4" s="402"/>
      <c r="DM4" s="402"/>
      <c r="DN4" s="402"/>
      <c r="DO4" s="402"/>
      <c r="DP4" s="402"/>
      <c r="DQ4" s="399"/>
      <c r="DR4" s="478"/>
    </row>
    <row r="5" spans="1:122" s="90" customFormat="1" ht="13.5" thickBot="1" x14ac:dyDescent="0.25">
      <c r="A5" s="148"/>
      <c r="B5" s="177" t="s">
        <v>602</v>
      </c>
      <c r="C5" s="177" t="s">
        <v>740</v>
      </c>
      <c r="D5" s="125" t="s">
        <v>741</v>
      </c>
      <c r="E5" s="177" t="s">
        <v>601</v>
      </c>
      <c r="F5" s="390">
        <v>1</v>
      </c>
      <c r="G5" s="390">
        <v>1</v>
      </c>
      <c r="H5" s="391">
        <v>1</v>
      </c>
      <c r="I5" s="391">
        <v>1</v>
      </c>
      <c r="J5" s="391">
        <v>1</v>
      </c>
      <c r="K5" s="391">
        <f>+J5+2</f>
        <v>3</v>
      </c>
      <c r="L5" s="391">
        <v>3</v>
      </c>
      <c r="M5" s="391">
        <v>4</v>
      </c>
      <c r="N5" s="391">
        <v>4</v>
      </c>
      <c r="O5" s="391">
        <f>+N5+1</f>
        <v>5</v>
      </c>
      <c r="P5" s="391">
        <f>+O5</f>
        <v>5</v>
      </c>
      <c r="Q5" s="391">
        <f>+P5</f>
        <v>5</v>
      </c>
      <c r="R5" s="391">
        <f>+Q5+1</f>
        <v>6</v>
      </c>
      <c r="S5" s="391">
        <f>+R5</f>
        <v>6</v>
      </c>
      <c r="T5" s="391">
        <f>+S5</f>
        <v>6</v>
      </c>
      <c r="U5" s="391">
        <f>+T5+1</f>
        <v>7</v>
      </c>
      <c r="V5" s="391">
        <f>+U5</f>
        <v>7</v>
      </c>
      <c r="W5" s="391">
        <f>+V5</f>
        <v>7</v>
      </c>
      <c r="X5" s="391">
        <v>8</v>
      </c>
      <c r="Y5" s="391">
        <v>8</v>
      </c>
      <c r="Z5" s="391">
        <v>9</v>
      </c>
      <c r="AA5" s="391">
        <v>9</v>
      </c>
      <c r="AB5" s="391">
        <f>+AA5+1</f>
        <v>10</v>
      </c>
      <c r="AC5" s="391">
        <f>+AB5</f>
        <v>10</v>
      </c>
      <c r="AD5" s="391">
        <f>+AC5</f>
        <v>10</v>
      </c>
      <c r="AE5" s="391">
        <f>+AD5+1</f>
        <v>11</v>
      </c>
      <c r="AF5" s="391">
        <f>+AE5</f>
        <v>11</v>
      </c>
      <c r="AG5" s="391">
        <f>+AF5</f>
        <v>11</v>
      </c>
      <c r="AH5" s="391">
        <f>+AG5+1</f>
        <v>12</v>
      </c>
      <c r="AI5" s="391">
        <f>+AH5</f>
        <v>12</v>
      </c>
      <c r="AJ5" s="391">
        <f>+AI5</f>
        <v>12</v>
      </c>
      <c r="AK5" s="391">
        <f>+AJ5+1</f>
        <v>13</v>
      </c>
      <c r="AL5" s="391">
        <f>+AK5</f>
        <v>13</v>
      </c>
      <c r="AM5" s="391">
        <f>+AL5</f>
        <v>13</v>
      </c>
      <c r="AN5" s="391">
        <f>+AM5+1</f>
        <v>14</v>
      </c>
      <c r="AO5" s="391">
        <f>+AN5</f>
        <v>14</v>
      </c>
      <c r="AP5" s="391">
        <f>+AO5</f>
        <v>14</v>
      </c>
      <c r="AQ5" s="391">
        <f>+AP5+1</f>
        <v>15</v>
      </c>
      <c r="AR5" s="391">
        <f>+AQ5</f>
        <v>15</v>
      </c>
      <c r="AS5" s="391">
        <f>+AR5</f>
        <v>15</v>
      </c>
      <c r="AT5" s="391">
        <f>+AS5+1</f>
        <v>16</v>
      </c>
      <c r="AU5" s="391">
        <f>+AT5</f>
        <v>16</v>
      </c>
      <c r="AV5" s="391">
        <f>+AU5</f>
        <v>16</v>
      </c>
      <c r="AW5" s="391">
        <f>+AV5+1</f>
        <v>17</v>
      </c>
      <c r="AX5" s="391">
        <f>+AW5</f>
        <v>17</v>
      </c>
      <c r="AY5" s="391">
        <f>+AX5</f>
        <v>17</v>
      </c>
      <c r="AZ5" s="391">
        <f>+AY5+1</f>
        <v>18</v>
      </c>
      <c r="BA5" s="391">
        <f>+AZ5</f>
        <v>18</v>
      </c>
      <c r="BB5" s="391">
        <f>+BA5</f>
        <v>18</v>
      </c>
      <c r="BC5" s="391">
        <v>19</v>
      </c>
      <c r="BD5" s="391">
        <v>19</v>
      </c>
      <c r="BE5" s="391">
        <v>20</v>
      </c>
      <c r="BF5" s="391">
        <v>20</v>
      </c>
      <c r="BG5" s="391">
        <f>+BF5+1</f>
        <v>21</v>
      </c>
      <c r="BH5" s="391">
        <f>+BG5</f>
        <v>21</v>
      </c>
      <c r="BI5" s="391">
        <f>+BH5</f>
        <v>21</v>
      </c>
      <c r="BJ5" s="391">
        <f>+BI5+1</f>
        <v>22</v>
      </c>
      <c r="BK5" s="391">
        <f>+BJ5</f>
        <v>22</v>
      </c>
      <c r="BL5" s="391">
        <f>+BK5</f>
        <v>22</v>
      </c>
      <c r="BM5" s="391">
        <f>+BL5+1</f>
        <v>23</v>
      </c>
      <c r="BN5" s="391">
        <f>+BM5</f>
        <v>23</v>
      </c>
      <c r="BO5" s="391">
        <f>+BN5</f>
        <v>23</v>
      </c>
      <c r="BP5" s="391">
        <v>24</v>
      </c>
      <c r="BQ5" s="391">
        <v>24</v>
      </c>
      <c r="BR5" s="391">
        <v>25</v>
      </c>
      <c r="BS5" s="391">
        <v>25</v>
      </c>
      <c r="BT5" s="391">
        <f>+BS5+1</f>
        <v>26</v>
      </c>
      <c r="BU5" s="391">
        <f>+BT5</f>
        <v>26</v>
      </c>
      <c r="BV5" s="391">
        <f>+BU5</f>
        <v>26</v>
      </c>
      <c r="BW5" s="391">
        <f>+BV5+1</f>
        <v>27</v>
      </c>
      <c r="BX5" s="391">
        <f>+BW5</f>
        <v>27</v>
      </c>
      <c r="BY5" s="391">
        <f>+BX5</f>
        <v>27</v>
      </c>
      <c r="BZ5" s="391">
        <f>+BY5+1</f>
        <v>28</v>
      </c>
      <c r="CA5" s="391">
        <f>+BZ5</f>
        <v>28</v>
      </c>
      <c r="CB5" s="391">
        <f>+CA5</f>
        <v>28</v>
      </c>
      <c r="CC5" s="391">
        <f>+CB5+1</f>
        <v>29</v>
      </c>
      <c r="CD5" s="391">
        <f>+CC5</f>
        <v>29</v>
      </c>
      <c r="CE5" s="391">
        <f>+CD5</f>
        <v>29</v>
      </c>
      <c r="CF5" s="391">
        <f>+CE5+1</f>
        <v>30</v>
      </c>
      <c r="CG5" s="391">
        <f>+CF5</f>
        <v>30</v>
      </c>
      <c r="CH5" s="391">
        <f>+CG5</f>
        <v>30</v>
      </c>
      <c r="CI5" s="391">
        <f>+CH5+1</f>
        <v>31</v>
      </c>
      <c r="CJ5" s="391">
        <f>+CI5</f>
        <v>31</v>
      </c>
      <c r="CK5" s="391">
        <f>+CJ5</f>
        <v>31</v>
      </c>
      <c r="CL5" s="391">
        <f>+CK5+1</f>
        <v>32</v>
      </c>
      <c r="CM5" s="391">
        <f>+CL5</f>
        <v>32</v>
      </c>
      <c r="CN5" s="391">
        <f>+CM5</f>
        <v>32</v>
      </c>
      <c r="CO5" s="391">
        <v>33</v>
      </c>
      <c r="CP5" s="391">
        <v>34</v>
      </c>
      <c r="CQ5" s="391">
        <v>35</v>
      </c>
      <c r="CR5" s="391">
        <v>35</v>
      </c>
      <c r="CS5" s="391">
        <v>36</v>
      </c>
      <c r="CT5" s="391">
        <v>36</v>
      </c>
      <c r="CU5" s="391">
        <f>+CT5+1</f>
        <v>37</v>
      </c>
      <c r="CV5" s="391">
        <f>+CU5</f>
        <v>37</v>
      </c>
      <c r="CW5" s="391">
        <f>+CV5</f>
        <v>37</v>
      </c>
      <c r="CX5" s="391">
        <f>+CW5+1</f>
        <v>38</v>
      </c>
      <c r="CY5" s="391">
        <f>+CX5</f>
        <v>38</v>
      </c>
      <c r="CZ5" s="391">
        <f>+CY5</f>
        <v>38</v>
      </c>
      <c r="DA5" s="391">
        <f>+CZ5+1</f>
        <v>39</v>
      </c>
      <c r="DB5" s="391">
        <f>+DA5</f>
        <v>39</v>
      </c>
      <c r="DC5" s="391">
        <f>+DB5</f>
        <v>39</v>
      </c>
      <c r="DD5" s="391">
        <f>+DC5+1</f>
        <v>40</v>
      </c>
      <c r="DE5" s="391">
        <f>+DD5</f>
        <v>40</v>
      </c>
      <c r="DF5" s="391">
        <f>+DE5</f>
        <v>40</v>
      </c>
      <c r="DG5" s="391">
        <f>+DF5+1</f>
        <v>41</v>
      </c>
      <c r="DH5" s="391">
        <f>+DG5</f>
        <v>41</v>
      </c>
      <c r="DI5" s="391">
        <v>42</v>
      </c>
      <c r="DJ5" s="391">
        <v>42</v>
      </c>
      <c r="DK5" s="391">
        <f>+DJ5+1</f>
        <v>43</v>
      </c>
      <c r="DL5" s="391">
        <f>+DK5</f>
        <v>43</v>
      </c>
      <c r="DM5" s="391">
        <f>+DL5</f>
        <v>43</v>
      </c>
      <c r="DN5" s="391">
        <f>+DM5+1</f>
        <v>44</v>
      </c>
      <c r="DO5" s="391">
        <f>+DN5</f>
        <v>44</v>
      </c>
      <c r="DP5" s="391">
        <f>+DO5</f>
        <v>44</v>
      </c>
      <c r="DR5" s="183" t="s">
        <v>808</v>
      </c>
    </row>
    <row r="6" spans="1:122" s="90" customFormat="1" ht="13.5" thickBot="1" x14ac:dyDescent="0.25">
      <c r="A6" s="175"/>
      <c r="B6" s="126"/>
      <c r="C6" s="92"/>
      <c r="D6" s="127"/>
      <c r="E6" s="92"/>
      <c r="F6" s="99">
        <v>1</v>
      </c>
      <c r="G6" s="99">
        <v>2</v>
      </c>
      <c r="H6" s="98">
        <v>3</v>
      </c>
      <c r="I6" s="98">
        <v>4</v>
      </c>
      <c r="J6" s="98">
        <v>1</v>
      </c>
      <c r="K6" s="98">
        <v>2</v>
      </c>
      <c r="L6" s="98">
        <v>3</v>
      </c>
      <c r="M6" s="98">
        <v>2</v>
      </c>
      <c r="N6" s="98">
        <v>3</v>
      </c>
      <c r="O6" s="98">
        <v>2</v>
      </c>
      <c r="P6" s="98">
        <v>3</v>
      </c>
      <c r="Q6" s="98">
        <f>+P6+1</f>
        <v>4</v>
      </c>
      <c r="R6" s="98">
        <f>+Q6-2</f>
        <v>2</v>
      </c>
      <c r="S6" s="98">
        <f>+R6+1</f>
        <v>3</v>
      </c>
      <c r="T6" s="98">
        <f>+S6+1</f>
        <v>4</v>
      </c>
      <c r="U6" s="98">
        <f>+T6-2</f>
        <v>2</v>
      </c>
      <c r="V6" s="98">
        <f>+U6+1</f>
        <v>3</v>
      </c>
      <c r="W6" s="98">
        <f>+V6+1</f>
        <v>4</v>
      </c>
      <c r="X6" s="98">
        <v>2</v>
      </c>
      <c r="Y6" s="98">
        <v>3</v>
      </c>
      <c r="Z6" s="98">
        <v>2</v>
      </c>
      <c r="AA6" s="98">
        <v>3</v>
      </c>
      <c r="AB6" s="98">
        <v>2</v>
      </c>
      <c r="AC6" s="98">
        <v>3</v>
      </c>
      <c r="AD6" s="98">
        <f>+AC6+1</f>
        <v>4</v>
      </c>
      <c r="AE6" s="98">
        <f>+AD6-2</f>
        <v>2</v>
      </c>
      <c r="AF6" s="98">
        <f>+AE6+1</f>
        <v>3</v>
      </c>
      <c r="AG6" s="98">
        <f>+AF6+1</f>
        <v>4</v>
      </c>
      <c r="AH6" s="98">
        <f>+AG6-2</f>
        <v>2</v>
      </c>
      <c r="AI6" s="98">
        <f>+AH6+1</f>
        <v>3</v>
      </c>
      <c r="AJ6" s="98">
        <f>+AI6+1</f>
        <v>4</v>
      </c>
      <c r="AK6" s="98">
        <f>+AJ6-2</f>
        <v>2</v>
      </c>
      <c r="AL6" s="98">
        <f>+AK6+1</f>
        <v>3</v>
      </c>
      <c r="AM6" s="98">
        <f>+AL6+1</f>
        <v>4</v>
      </c>
      <c r="AN6" s="98">
        <f>+AM6-2</f>
        <v>2</v>
      </c>
      <c r="AO6" s="98">
        <f>+AN6+1</f>
        <v>3</v>
      </c>
      <c r="AP6" s="98">
        <f>+AO6+1</f>
        <v>4</v>
      </c>
      <c r="AQ6" s="98">
        <f>+AP6-2</f>
        <v>2</v>
      </c>
      <c r="AR6" s="98">
        <f>+AQ6+1</f>
        <v>3</v>
      </c>
      <c r="AS6" s="98">
        <f>+AR6+1</f>
        <v>4</v>
      </c>
      <c r="AT6" s="98">
        <f>+AS6-2</f>
        <v>2</v>
      </c>
      <c r="AU6" s="98">
        <f>+AT6+1</f>
        <v>3</v>
      </c>
      <c r="AV6" s="98">
        <f>+AU6+1</f>
        <v>4</v>
      </c>
      <c r="AW6" s="98">
        <f>+AV6-2</f>
        <v>2</v>
      </c>
      <c r="AX6" s="98">
        <f>+AW6+1</f>
        <v>3</v>
      </c>
      <c r="AY6" s="98">
        <f>+AX6+1</f>
        <v>4</v>
      </c>
      <c r="AZ6" s="98">
        <f>+AY6-2</f>
        <v>2</v>
      </c>
      <c r="BA6" s="98">
        <f>+AZ6+1</f>
        <v>3</v>
      </c>
      <c r="BB6" s="98">
        <f>+BA6+1</f>
        <v>4</v>
      </c>
      <c r="BC6" s="98">
        <v>2</v>
      </c>
      <c r="BD6" s="98">
        <v>3</v>
      </c>
      <c r="BE6" s="98">
        <v>2</v>
      </c>
      <c r="BF6" s="98">
        <v>3</v>
      </c>
      <c r="BG6" s="98">
        <v>2</v>
      </c>
      <c r="BH6" s="98">
        <v>3</v>
      </c>
      <c r="BI6" s="98">
        <f>+BH6+1</f>
        <v>4</v>
      </c>
      <c r="BJ6" s="98">
        <f>+BI6-2</f>
        <v>2</v>
      </c>
      <c r="BK6" s="98">
        <f>+BJ6+1</f>
        <v>3</v>
      </c>
      <c r="BL6" s="98">
        <f>+BK6+1</f>
        <v>4</v>
      </c>
      <c r="BM6" s="98">
        <f>+BL6-2</f>
        <v>2</v>
      </c>
      <c r="BN6" s="98">
        <f>+BM6+1</f>
        <v>3</v>
      </c>
      <c r="BO6" s="98">
        <f>+BN6+1</f>
        <v>4</v>
      </c>
      <c r="BP6" s="98">
        <v>2</v>
      </c>
      <c r="BQ6" s="98">
        <v>3</v>
      </c>
      <c r="BR6" s="98">
        <v>2</v>
      </c>
      <c r="BS6" s="98">
        <v>3</v>
      </c>
      <c r="BT6" s="98">
        <v>2</v>
      </c>
      <c r="BU6" s="98">
        <v>3</v>
      </c>
      <c r="BV6" s="98">
        <f>+BU6+1</f>
        <v>4</v>
      </c>
      <c r="BW6" s="98">
        <f>+BV6-2</f>
        <v>2</v>
      </c>
      <c r="BX6" s="98">
        <f>+BW6+1</f>
        <v>3</v>
      </c>
      <c r="BY6" s="98">
        <f>+BX6+1</f>
        <v>4</v>
      </c>
      <c r="BZ6" s="98">
        <f>+BY6-2</f>
        <v>2</v>
      </c>
      <c r="CA6" s="98">
        <f>+BZ6+1</f>
        <v>3</v>
      </c>
      <c r="CB6" s="98">
        <f>+CA6+1</f>
        <v>4</v>
      </c>
      <c r="CC6" s="98">
        <f>+CB6-2</f>
        <v>2</v>
      </c>
      <c r="CD6" s="98">
        <f>+CC6+1</f>
        <v>3</v>
      </c>
      <c r="CE6" s="98">
        <f>+CD6+1</f>
        <v>4</v>
      </c>
      <c r="CF6" s="98">
        <f>+CE6-2</f>
        <v>2</v>
      </c>
      <c r="CG6" s="98">
        <f>+CF6+1</f>
        <v>3</v>
      </c>
      <c r="CH6" s="98">
        <f>+CG6+1</f>
        <v>4</v>
      </c>
      <c r="CI6" s="98">
        <f>+CH6-2</f>
        <v>2</v>
      </c>
      <c r="CJ6" s="98">
        <f>+CI6+1</f>
        <v>3</v>
      </c>
      <c r="CK6" s="98">
        <f>+CJ6+1</f>
        <v>4</v>
      </c>
      <c r="CL6" s="98">
        <f>+CK6-2</f>
        <v>2</v>
      </c>
      <c r="CM6" s="98">
        <f>+CL6+1</f>
        <v>3</v>
      </c>
      <c r="CN6" s="98">
        <f>+CM6+1</f>
        <v>4</v>
      </c>
      <c r="CO6" s="98">
        <v>3</v>
      </c>
      <c r="CP6" s="98">
        <v>2</v>
      </c>
      <c r="CQ6" s="98">
        <v>2</v>
      </c>
      <c r="CR6" s="98">
        <v>3</v>
      </c>
      <c r="CS6" s="98">
        <v>2</v>
      </c>
      <c r="CT6" s="98">
        <v>3</v>
      </c>
      <c r="CU6" s="98">
        <f>+CT6-2</f>
        <v>1</v>
      </c>
      <c r="CV6" s="98">
        <f>+CU6+1</f>
        <v>2</v>
      </c>
      <c r="CW6" s="98">
        <f>+CV6+1</f>
        <v>3</v>
      </c>
      <c r="CX6" s="98">
        <f>+CW6-2</f>
        <v>1</v>
      </c>
      <c r="CY6" s="98">
        <f>+CX6+1</f>
        <v>2</v>
      </c>
      <c r="CZ6" s="98">
        <f>+CY6+1</f>
        <v>3</v>
      </c>
      <c r="DA6" s="98">
        <v>2</v>
      </c>
      <c r="DB6" s="98">
        <v>3</v>
      </c>
      <c r="DC6" s="98">
        <f>+DB6+1</f>
        <v>4</v>
      </c>
      <c r="DD6" s="98">
        <f>+DC6-2</f>
        <v>2</v>
      </c>
      <c r="DE6" s="98">
        <f>+DD6+1</f>
        <v>3</v>
      </c>
      <c r="DF6" s="98">
        <f>+DE6+1</f>
        <v>4</v>
      </c>
      <c r="DG6" s="98">
        <v>2</v>
      </c>
      <c r="DH6" s="98">
        <v>3</v>
      </c>
      <c r="DI6" s="98">
        <v>2</v>
      </c>
      <c r="DJ6" s="98">
        <v>3</v>
      </c>
      <c r="DK6" s="98">
        <v>2</v>
      </c>
      <c r="DL6" s="98">
        <f>+DK6+1</f>
        <v>3</v>
      </c>
      <c r="DM6" s="98">
        <f>+DL6+1</f>
        <v>4</v>
      </c>
      <c r="DN6" s="98">
        <f>+DM6-2</f>
        <v>2</v>
      </c>
      <c r="DO6" s="98">
        <f>+DN6+1</f>
        <v>3</v>
      </c>
      <c r="DP6" s="98">
        <f>+DO6+1</f>
        <v>4</v>
      </c>
      <c r="DR6" s="183" t="s">
        <v>808</v>
      </c>
    </row>
    <row r="7" spans="1:122" ht="13.5" thickBot="1" x14ac:dyDescent="0.25">
      <c r="A7" s="176"/>
      <c r="B7" s="89"/>
      <c r="C7" s="88"/>
      <c r="D7" s="87"/>
      <c r="E7" s="128"/>
      <c r="F7" s="86"/>
      <c r="G7" s="86"/>
      <c r="H7" s="85"/>
      <c r="I7" s="85"/>
      <c r="J7" s="83"/>
      <c r="K7" s="84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R7" s="83"/>
    </row>
    <row r="8" spans="1:122" x14ac:dyDescent="0.2">
      <c r="A8" s="90">
        <v>1</v>
      </c>
      <c r="B8" s="129" t="s">
        <v>604</v>
      </c>
      <c r="C8" s="130" t="s">
        <v>742</v>
      </c>
      <c r="D8" s="131" t="s">
        <v>743</v>
      </c>
      <c r="E8" s="132" t="s">
        <v>603</v>
      </c>
      <c r="F8" s="475" t="s">
        <v>808</v>
      </c>
      <c r="G8" s="63">
        <v>45274702</v>
      </c>
      <c r="H8" s="63">
        <v>0</v>
      </c>
      <c r="I8" s="63">
        <v>45274702</v>
      </c>
      <c r="J8" s="608">
        <v>48.4</v>
      </c>
      <c r="K8" s="63">
        <v>21912956</v>
      </c>
      <c r="L8" s="63">
        <v>0</v>
      </c>
      <c r="M8" s="63">
        <v>135009</v>
      </c>
      <c r="N8" s="63">
        <v>0</v>
      </c>
      <c r="O8" s="63">
        <v>22047965</v>
      </c>
      <c r="P8" s="63">
        <v>0</v>
      </c>
      <c r="Q8" s="63">
        <v>22047965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0</v>
      </c>
      <c r="AE8" s="63">
        <v>0</v>
      </c>
      <c r="AF8" s="63">
        <v>0</v>
      </c>
      <c r="AG8" s="63">
        <v>0</v>
      </c>
      <c r="AH8" s="63">
        <v>-1289013</v>
      </c>
      <c r="AI8" s="63">
        <v>0</v>
      </c>
      <c r="AJ8" s="63">
        <v>-1289013</v>
      </c>
      <c r="AK8" s="63">
        <v>0</v>
      </c>
      <c r="AL8" s="63">
        <v>0</v>
      </c>
      <c r="AM8" s="63">
        <v>0</v>
      </c>
      <c r="AN8" s="63">
        <v>487653</v>
      </c>
      <c r="AO8" s="63">
        <v>0</v>
      </c>
      <c r="AP8" s="63">
        <v>487653</v>
      </c>
      <c r="AQ8" s="63">
        <v>-801360</v>
      </c>
      <c r="AR8" s="63">
        <v>0</v>
      </c>
      <c r="AS8" s="63">
        <v>-801360</v>
      </c>
      <c r="AT8" s="63">
        <v>-1305724</v>
      </c>
      <c r="AU8" s="63">
        <v>0</v>
      </c>
      <c r="AV8" s="63">
        <v>-1305724</v>
      </c>
      <c r="AW8" s="63">
        <v>-80864</v>
      </c>
      <c r="AX8" s="63">
        <v>0</v>
      </c>
      <c r="AY8" s="63">
        <v>-80864</v>
      </c>
      <c r="AZ8" s="63">
        <v>0</v>
      </c>
      <c r="BA8" s="63">
        <v>0</v>
      </c>
      <c r="BB8" s="63">
        <v>0</v>
      </c>
      <c r="BC8" s="63">
        <v>-2187948</v>
      </c>
      <c r="BD8" s="63">
        <v>0</v>
      </c>
      <c r="BE8" s="63">
        <v>0</v>
      </c>
      <c r="BF8" s="63">
        <v>0</v>
      </c>
      <c r="BG8" s="63">
        <v>-2187948</v>
      </c>
      <c r="BH8" s="63">
        <v>0</v>
      </c>
      <c r="BI8" s="63">
        <v>-2187948</v>
      </c>
      <c r="BJ8" s="63">
        <v>0</v>
      </c>
      <c r="BK8" s="63">
        <v>0</v>
      </c>
      <c r="BL8" s="63">
        <v>0</v>
      </c>
      <c r="BM8" s="63">
        <v>-186784</v>
      </c>
      <c r="BN8" s="63">
        <v>0</v>
      </c>
      <c r="BO8" s="63">
        <v>-186784</v>
      </c>
      <c r="BP8" s="63">
        <v>-186784</v>
      </c>
      <c r="BQ8" s="63">
        <v>0</v>
      </c>
      <c r="BR8" s="63">
        <v>0</v>
      </c>
      <c r="BS8" s="63">
        <v>0</v>
      </c>
      <c r="BT8" s="63">
        <v>-186784</v>
      </c>
      <c r="BU8" s="63">
        <v>0</v>
      </c>
      <c r="BV8" s="63">
        <v>-186784</v>
      </c>
      <c r="BW8" s="63">
        <v>-27883</v>
      </c>
      <c r="BX8" s="63">
        <v>0</v>
      </c>
      <c r="BY8" s="63">
        <v>-27883</v>
      </c>
      <c r="BZ8" s="63">
        <v>0</v>
      </c>
      <c r="CA8" s="63">
        <v>0</v>
      </c>
      <c r="CB8" s="63">
        <v>0</v>
      </c>
      <c r="CC8" s="63">
        <v>-2665</v>
      </c>
      <c r="CD8" s="63">
        <v>0</v>
      </c>
      <c r="CE8" s="63">
        <v>-2665</v>
      </c>
      <c r="CF8" s="63">
        <v>0</v>
      </c>
      <c r="CG8" s="63">
        <v>0</v>
      </c>
      <c r="CH8" s="63">
        <v>0</v>
      </c>
      <c r="CI8" s="63">
        <v>0</v>
      </c>
      <c r="CJ8" s="63">
        <v>0</v>
      </c>
      <c r="CK8" s="63">
        <v>0</v>
      </c>
      <c r="CL8" s="63">
        <v>0</v>
      </c>
      <c r="CM8" s="63">
        <v>0</v>
      </c>
      <c r="CN8" s="63">
        <v>0</v>
      </c>
      <c r="CO8" s="63">
        <v>0</v>
      </c>
      <c r="CP8" s="63">
        <v>0</v>
      </c>
      <c r="CQ8" s="63">
        <v>-30548</v>
      </c>
      <c r="CR8" s="63">
        <v>0</v>
      </c>
      <c r="CS8" s="63">
        <v>0</v>
      </c>
      <c r="CT8" s="63">
        <v>0</v>
      </c>
      <c r="CU8" s="63">
        <v>-30548</v>
      </c>
      <c r="CV8" s="63">
        <v>0</v>
      </c>
      <c r="CW8" s="63">
        <v>-30548</v>
      </c>
      <c r="CX8" s="63">
        <v>-13916</v>
      </c>
      <c r="CY8" s="63">
        <v>0</v>
      </c>
      <c r="CZ8" s="63">
        <v>-13916</v>
      </c>
      <c r="DA8" s="63">
        <v>-2105</v>
      </c>
      <c r="DB8" s="63">
        <v>0</v>
      </c>
      <c r="DC8" s="63">
        <v>-2105</v>
      </c>
      <c r="DD8" s="63">
        <v>-3112</v>
      </c>
      <c r="DE8" s="63">
        <v>0</v>
      </c>
      <c r="DF8" s="63">
        <v>-3112</v>
      </c>
      <c r="DG8" s="63">
        <v>-19133</v>
      </c>
      <c r="DH8" s="63">
        <v>0</v>
      </c>
      <c r="DI8" s="63">
        <v>0</v>
      </c>
      <c r="DJ8" s="63">
        <v>0</v>
      </c>
      <c r="DK8" s="63">
        <v>-19133</v>
      </c>
      <c r="DL8" s="63">
        <v>0</v>
      </c>
      <c r="DM8" s="63">
        <v>-19133</v>
      </c>
      <c r="DN8" s="63">
        <v>19623552</v>
      </c>
      <c r="DO8" s="63">
        <v>0</v>
      </c>
      <c r="DP8" s="63">
        <v>19623552</v>
      </c>
      <c r="DQ8" s="63"/>
      <c r="DR8" s="585"/>
    </row>
    <row r="9" spans="1:122" x14ac:dyDescent="0.2">
      <c r="A9" s="90">
        <v>2</v>
      </c>
      <c r="B9" s="129" t="s">
        <v>606</v>
      </c>
      <c r="C9" s="130" t="s">
        <v>742</v>
      </c>
      <c r="D9" s="131" t="s">
        <v>744</v>
      </c>
      <c r="E9" s="132" t="s">
        <v>605</v>
      </c>
      <c r="F9" s="475" t="s">
        <v>808</v>
      </c>
      <c r="G9" s="63">
        <v>71125862</v>
      </c>
      <c r="H9" s="63">
        <v>0</v>
      </c>
      <c r="I9" s="63">
        <v>71125862</v>
      </c>
      <c r="J9" s="608">
        <v>48.4</v>
      </c>
      <c r="K9" s="63">
        <v>34424917</v>
      </c>
      <c r="L9" s="63">
        <v>0</v>
      </c>
      <c r="M9" s="63">
        <v>67059</v>
      </c>
      <c r="N9" s="63">
        <v>0</v>
      </c>
      <c r="O9" s="63">
        <v>34491976</v>
      </c>
      <c r="P9" s="63">
        <v>0</v>
      </c>
      <c r="Q9" s="63">
        <v>34491976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0</v>
      </c>
      <c r="AE9" s="63">
        <v>0</v>
      </c>
      <c r="AF9" s="63">
        <v>0</v>
      </c>
      <c r="AG9" s="63">
        <v>0</v>
      </c>
      <c r="AH9" s="63">
        <v>-3588771</v>
      </c>
      <c r="AI9" s="63">
        <v>0</v>
      </c>
      <c r="AJ9" s="63">
        <v>-3588771</v>
      </c>
      <c r="AK9" s="63">
        <v>-10161</v>
      </c>
      <c r="AL9" s="63">
        <v>0</v>
      </c>
      <c r="AM9" s="63">
        <v>-10161</v>
      </c>
      <c r="AN9" s="63">
        <v>691627</v>
      </c>
      <c r="AO9" s="63">
        <v>0</v>
      </c>
      <c r="AP9" s="63">
        <v>691627</v>
      </c>
      <c r="AQ9" s="63">
        <v>-2897144</v>
      </c>
      <c r="AR9" s="63">
        <v>0</v>
      </c>
      <c r="AS9" s="63">
        <v>-2897144</v>
      </c>
      <c r="AT9" s="63">
        <v>-1798860</v>
      </c>
      <c r="AU9" s="63">
        <v>0</v>
      </c>
      <c r="AV9" s="63">
        <v>-1798860</v>
      </c>
      <c r="AW9" s="63">
        <v>-63629</v>
      </c>
      <c r="AX9" s="63">
        <v>0</v>
      </c>
      <c r="AY9" s="63">
        <v>-63629</v>
      </c>
      <c r="AZ9" s="63">
        <v>-38455</v>
      </c>
      <c r="BA9" s="63">
        <v>0</v>
      </c>
      <c r="BB9" s="63">
        <v>-38455</v>
      </c>
      <c r="BC9" s="63">
        <v>-4798088</v>
      </c>
      <c r="BD9" s="63">
        <v>0</v>
      </c>
      <c r="BE9" s="63">
        <v>0</v>
      </c>
      <c r="BF9" s="63">
        <v>0</v>
      </c>
      <c r="BG9" s="63">
        <v>-4798088</v>
      </c>
      <c r="BH9" s="63">
        <v>0</v>
      </c>
      <c r="BI9" s="63">
        <v>-4798088</v>
      </c>
      <c r="BJ9" s="63">
        <v>0</v>
      </c>
      <c r="BK9" s="63">
        <v>0</v>
      </c>
      <c r="BL9" s="63">
        <v>0</v>
      </c>
      <c r="BM9" s="63">
        <v>-640217</v>
      </c>
      <c r="BN9" s="63">
        <v>0</v>
      </c>
      <c r="BO9" s="63">
        <v>-640217</v>
      </c>
      <c r="BP9" s="63">
        <v>-640217</v>
      </c>
      <c r="BQ9" s="63">
        <v>0</v>
      </c>
      <c r="BR9" s="63">
        <v>0</v>
      </c>
      <c r="BS9" s="63">
        <v>0</v>
      </c>
      <c r="BT9" s="63">
        <v>-640217</v>
      </c>
      <c r="BU9" s="63">
        <v>0</v>
      </c>
      <c r="BV9" s="63">
        <v>-640217</v>
      </c>
      <c r="BW9" s="63">
        <v>-129495</v>
      </c>
      <c r="BX9" s="63">
        <v>0</v>
      </c>
      <c r="BY9" s="63">
        <v>-129495</v>
      </c>
      <c r="BZ9" s="63">
        <v>-79301</v>
      </c>
      <c r="CA9" s="63">
        <v>0</v>
      </c>
      <c r="CB9" s="63">
        <v>-79301</v>
      </c>
      <c r="CC9" s="63">
        <v>-1242</v>
      </c>
      <c r="CD9" s="63">
        <v>0</v>
      </c>
      <c r="CE9" s="63">
        <v>-1242</v>
      </c>
      <c r="CF9" s="63">
        <v>-1729</v>
      </c>
      <c r="CG9" s="63">
        <v>0</v>
      </c>
      <c r="CH9" s="63">
        <v>-1729</v>
      </c>
      <c r="CI9" s="63">
        <v>0</v>
      </c>
      <c r="CJ9" s="63">
        <v>0</v>
      </c>
      <c r="CK9" s="63">
        <v>0</v>
      </c>
      <c r="CL9" s="63">
        <v>0</v>
      </c>
      <c r="CM9" s="63">
        <v>0</v>
      </c>
      <c r="CN9" s="63">
        <v>0</v>
      </c>
      <c r="CO9" s="63">
        <v>0</v>
      </c>
      <c r="CP9" s="63">
        <v>0</v>
      </c>
      <c r="CQ9" s="63">
        <v>-211767</v>
      </c>
      <c r="CR9" s="63">
        <v>0</v>
      </c>
      <c r="CS9" s="63">
        <v>0</v>
      </c>
      <c r="CT9" s="63">
        <v>0</v>
      </c>
      <c r="CU9" s="63">
        <v>-211767</v>
      </c>
      <c r="CV9" s="63">
        <v>0</v>
      </c>
      <c r="CW9" s="63">
        <v>-211767</v>
      </c>
      <c r="CX9" s="63">
        <v>0</v>
      </c>
      <c r="CY9" s="63">
        <v>0</v>
      </c>
      <c r="CZ9" s="63">
        <v>0</v>
      </c>
      <c r="DA9" s="63">
        <v>-29562</v>
      </c>
      <c r="DB9" s="63">
        <v>0</v>
      </c>
      <c r="DC9" s="63">
        <v>-29562</v>
      </c>
      <c r="DD9" s="63">
        <v>-10000</v>
      </c>
      <c r="DE9" s="63">
        <v>0</v>
      </c>
      <c r="DF9" s="63">
        <v>-10000</v>
      </c>
      <c r="DG9" s="63">
        <v>-39562</v>
      </c>
      <c r="DH9" s="63">
        <v>0</v>
      </c>
      <c r="DI9" s="63">
        <v>0</v>
      </c>
      <c r="DJ9" s="63">
        <v>0</v>
      </c>
      <c r="DK9" s="63">
        <v>-39562</v>
      </c>
      <c r="DL9" s="63">
        <v>0</v>
      </c>
      <c r="DM9" s="63">
        <v>-39562</v>
      </c>
      <c r="DN9" s="63">
        <v>28802342</v>
      </c>
      <c r="DO9" s="63">
        <v>0</v>
      </c>
      <c r="DP9" s="63">
        <v>28802342</v>
      </c>
      <c r="DQ9" s="63"/>
      <c r="DR9" s="585"/>
    </row>
    <row r="10" spans="1:122" x14ac:dyDescent="0.2">
      <c r="A10" s="90">
        <v>3</v>
      </c>
      <c r="B10" s="129" t="s">
        <v>608</v>
      </c>
      <c r="C10" s="130" t="s">
        <v>742</v>
      </c>
      <c r="D10" s="131" t="s">
        <v>745</v>
      </c>
      <c r="E10" s="132" t="s">
        <v>607</v>
      </c>
      <c r="F10" s="475" t="s">
        <v>808</v>
      </c>
      <c r="G10" s="63">
        <v>77686301</v>
      </c>
      <c r="H10" s="63">
        <v>0</v>
      </c>
      <c r="I10" s="63">
        <v>77686301</v>
      </c>
      <c r="J10" s="608">
        <v>48.4</v>
      </c>
      <c r="K10" s="63">
        <v>37600170</v>
      </c>
      <c r="L10" s="63">
        <v>0</v>
      </c>
      <c r="M10" s="63">
        <v>0</v>
      </c>
      <c r="N10" s="63">
        <v>0</v>
      </c>
      <c r="O10" s="63">
        <v>37600170</v>
      </c>
      <c r="P10" s="63">
        <v>0</v>
      </c>
      <c r="Q10" s="63">
        <v>37600170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3">
        <v>0</v>
      </c>
      <c r="AH10" s="63">
        <v>-2682070</v>
      </c>
      <c r="AI10" s="63">
        <v>0</v>
      </c>
      <c r="AJ10" s="63">
        <v>-2682070</v>
      </c>
      <c r="AK10" s="63">
        <v>-1084</v>
      </c>
      <c r="AL10" s="63">
        <v>0</v>
      </c>
      <c r="AM10" s="63">
        <v>-1084</v>
      </c>
      <c r="AN10" s="63">
        <v>822252</v>
      </c>
      <c r="AO10" s="63">
        <v>0</v>
      </c>
      <c r="AP10" s="63">
        <v>822252</v>
      </c>
      <c r="AQ10" s="63">
        <v>-1859818</v>
      </c>
      <c r="AR10" s="63">
        <v>0</v>
      </c>
      <c r="AS10" s="63">
        <v>-1859818</v>
      </c>
      <c r="AT10" s="63">
        <v>-1421685</v>
      </c>
      <c r="AU10" s="63">
        <v>0</v>
      </c>
      <c r="AV10" s="63">
        <v>-1421685</v>
      </c>
      <c r="AW10" s="63">
        <v>-41947</v>
      </c>
      <c r="AX10" s="63">
        <v>0</v>
      </c>
      <c r="AY10" s="63">
        <v>-41947</v>
      </c>
      <c r="AZ10" s="63">
        <v>-22170</v>
      </c>
      <c r="BA10" s="63">
        <v>0</v>
      </c>
      <c r="BB10" s="63">
        <v>-22170</v>
      </c>
      <c r="BC10" s="63">
        <v>-3345620</v>
      </c>
      <c r="BD10" s="63">
        <v>0</v>
      </c>
      <c r="BE10" s="63">
        <v>0</v>
      </c>
      <c r="BF10" s="63">
        <v>0</v>
      </c>
      <c r="BG10" s="63">
        <v>-3345620</v>
      </c>
      <c r="BH10" s="63">
        <v>0</v>
      </c>
      <c r="BI10" s="63">
        <v>-3345620</v>
      </c>
      <c r="BJ10" s="63">
        <v>-38545</v>
      </c>
      <c r="BK10" s="63">
        <v>0</v>
      </c>
      <c r="BL10" s="63">
        <v>-38545</v>
      </c>
      <c r="BM10" s="63">
        <v>-954556</v>
      </c>
      <c r="BN10" s="63">
        <v>0</v>
      </c>
      <c r="BO10" s="63">
        <v>-954556</v>
      </c>
      <c r="BP10" s="63">
        <v>-993101</v>
      </c>
      <c r="BQ10" s="63">
        <v>0</v>
      </c>
      <c r="BR10" s="63">
        <v>0</v>
      </c>
      <c r="BS10" s="63">
        <v>0</v>
      </c>
      <c r="BT10" s="63">
        <v>-993101</v>
      </c>
      <c r="BU10" s="63">
        <v>0</v>
      </c>
      <c r="BV10" s="63">
        <v>-993101</v>
      </c>
      <c r="BW10" s="63">
        <v>-46854</v>
      </c>
      <c r="BX10" s="63">
        <v>0</v>
      </c>
      <c r="BY10" s="63">
        <v>-46854</v>
      </c>
      <c r="BZ10" s="63">
        <v>-363589</v>
      </c>
      <c r="CA10" s="63">
        <v>0</v>
      </c>
      <c r="CB10" s="63">
        <v>-363589</v>
      </c>
      <c r="CC10" s="63">
        <v>0</v>
      </c>
      <c r="CD10" s="63">
        <v>0</v>
      </c>
      <c r="CE10" s="63">
        <v>0</v>
      </c>
      <c r="CF10" s="63">
        <v>-22169</v>
      </c>
      <c r="CG10" s="63">
        <v>0</v>
      </c>
      <c r="CH10" s="63">
        <v>-22169</v>
      </c>
      <c r="CI10" s="63">
        <v>-2140</v>
      </c>
      <c r="CJ10" s="63">
        <v>0</v>
      </c>
      <c r="CK10" s="63">
        <v>-2140</v>
      </c>
      <c r="CL10" s="63">
        <v>0</v>
      </c>
      <c r="CM10" s="63">
        <v>0</v>
      </c>
      <c r="CN10" s="63">
        <v>0</v>
      </c>
      <c r="CO10" s="63">
        <v>0</v>
      </c>
      <c r="CP10" s="63">
        <v>0</v>
      </c>
      <c r="CQ10" s="63">
        <v>-434752</v>
      </c>
      <c r="CR10" s="63">
        <v>0</v>
      </c>
      <c r="CS10" s="63">
        <v>0</v>
      </c>
      <c r="CT10" s="63">
        <v>0</v>
      </c>
      <c r="CU10" s="63">
        <v>-434752</v>
      </c>
      <c r="CV10" s="63">
        <v>0</v>
      </c>
      <c r="CW10" s="63">
        <v>-434752</v>
      </c>
      <c r="CX10" s="63">
        <v>0</v>
      </c>
      <c r="CY10" s="63">
        <v>0</v>
      </c>
      <c r="CZ10" s="63">
        <v>0</v>
      </c>
      <c r="DA10" s="63">
        <v>-12366</v>
      </c>
      <c r="DB10" s="63">
        <v>0</v>
      </c>
      <c r="DC10" s="63">
        <v>-12366</v>
      </c>
      <c r="DD10" s="63">
        <v>-16872</v>
      </c>
      <c r="DE10" s="63">
        <v>0</v>
      </c>
      <c r="DF10" s="63">
        <v>-16872</v>
      </c>
      <c r="DG10" s="63">
        <v>-29238</v>
      </c>
      <c r="DH10" s="63">
        <v>0</v>
      </c>
      <c r="DI10" s="63">
        <v>0</v>
      </c>
      <c r="DJ10" s="63">
        <v>0</v>
      </c>
      <c r="DK10" s="63">
        <v>-29238</v>
      </c>
      <c r="DL10" s="63">
        <v>0</v>
      </c>
      <c r="DM10" s="63">
        <v>-29238</v>
      </c>
      <c r="DN10" s="63">
        <v>32797459</v>
      </c>
      <c r="DO10" s="63">
        <v>0</v>
      </c>
      <c r="DP10" s="63">
        <v>32797459</v>
      </c>
      <c r="DQ10" s="63"/>
      <c r="DR10" s="585"/>
    </row>
    <row r="11" spans="1:122" x14ac:dyDescent="0.2">
      <c r="A11" s="90">
        <v>4</v>
      </c>
      <c r="B11" s="129" t="s">
        <v>610</v>
      </c>
      <c r="C11" s="130" t="s">
        <v>742</v>
      </c>
      <c r="D11" s="131" t="s">
        <v>743</v>
      </c>
      <c r="E11" s="132" t="s">
        <v>609</v>
      </c>
      <c r="F11" s="475" t="s">
        <v>808</v>
      </c>
      <c r="G11" s="63">
        <v>86695538</v>
      </c>
      <c r="H11" s="63">
        <v>0</v>
      </c>
      <c r="I11" s="63">
        <v>86695538</v>
      </c>
      <c r="J11" s="608">
        <v>48.4</v>
      </c>
      <c r="K11" s="63">
        <v>41960640</v>
      </c>
      <c r="L11" s="63">
        <v>0</v>
      </c>
      <c r="M11" s="63">
        <v>355000</v>
      </c>
      <c r="N11" s="63">
        <v>0</v>
      </c>
      <c r="O11" s="63">
        <v>42315640</v>
      </c>
      <c r="P11" s="63">
        <v>0</v>
      </c>
      <c r="Q11" s="63">
        <v>42315640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  <c r="AG11" s="63">
        <v>0</v>
      </c>
      <c r="AH11" s="63">
        <v>-3405199</v>
      </c>
      <c r="AI11" s="63">
        <v>0</v>
      </c>
      <c r="AJ11" s="63">
        <v>-3405199</v>
      </c>
      <c r="AK11" s="63">
        <v>-13455</v>
      </c>
      <c r="AL11" s="63">
        <v>0</v>
      </c>
      <c r="AM11" s="63">
        <v>-13455</v>
      </c>
      <c r="AN11" s="63">
        <v>909566</v>
      </c>
      <c r="AO11" s="63">
        <v>0</v>
      </c>
      <c r="AP11" s="63">
        <v>909566</v>
      </c>
      <c r="AQ11" s="63">
        <v>-2495633</v>
      </c>
      <c r="AR11" s="63">
        <v>0</v>
      </c>
      <c r="AS11" s="63">
        <v>-2495633</v>
      </c>
      <c r="AT11" s="63">
        <v>-2767956</v>
      </c>
      <c r="AU11" s="63">
        <v>0</v>
      </c>
      <c r="AV11" s="63">
        <v>-2767956</v>
      </c>
      <c r="AW11" s="63">
        <v>-85478</v>
      </c>
      <c r="AX11" s="63">
        <v>0</v>
      </c>
      <c r="AY11" s="63">
        <v>-85478</v>
      </c>
      <c r="AZ11" s="63">
        <v>-6076</v>
      </c>
      <c r="BA11" s="63">
        <v>0</v>
      </c>
      <c r="BB11" s="63">
        <v>-6076</v>
      </c>
      <c r="BC11" s="63">
        <v>-5355143</v>
      </c>
      <c r="BD11" s="63">
        <v>0</v>
      </c>
      <c r="BE11" s="63">
        <v>0</v>
      </c>
      <c r="BF11" s="63">
        <v>0</v>
      </c>
      <c r="BG11" s="63">
        <v>-5355143</v>
      </c>
      <c r="BH11" s="63">
        <v>0</v>
      </c>
      <c r="BI11" s="63">
        <v>-5355143</v>
      </c>
      <c r="BJ11" s="63">
        <v>0</v>
      </c>
      <c r="BK11" s="63">
        <v>0</v>
      </c>
      <c r="BL11" s="63">
        <v>0</v>
      </c>
      <c r="BM11" s="63">
        <v>-253517</v>
      </c>
      <c r="BN11" s="63">
        <v>0</v>
      </c>
      <c r="BO11" s="63">
        <v>-253517</v>
      </c>
      <c r="BP11" s="63">
        <v>-253517</v>
      </c>
      <c r="BQ11" s="63">
        <v>0</v>
      </c>
      <c r="BR11" s="63">
        <v>0</v>
      </c>
      <c r="BS11" s="63">
        <v>0</v>
      </c>
      <c r="BT11" s="63">
        <v>-253517</v>
      </c>
      <c r="BU11" s="63">
        <v>0</v>
      </c>
      <c r="BV11" s="63">
        <v>-253517</v>
      </c>
      <c r="BW11" s="63">
        <v>-111788</v>
      </c>
      <c r="BX11" s="63">
        <v>0</v>
      </c>
      <c r="BY11" s="63">
        <v>-111788</v>
      </c>
      <c r="BZ11" s="63">
        <v>-13300</v>
      </c>
      <c r="CA11" s="63">
        <v>0</v>
      </c>
      <c r="CB11" s="63">
        <v>-13300</v>
      </c>
      <c r="CC11" s="63">
        <v>-1015</v>
      </c>
      <c r="CD11" s="63">
        <v>0</v>
      </c>
      <c r="CE11" s="63">
        <v>-1015</v>
      </c>
      <c r="CF11" s="63">
        <v>-5047</v>
      </c>
      <c r="CG11" s="63">
        <v>0</v>
      </c>
      <c r="CH11" s="63">
        <v>-5047</v>
      </c>
      <c r="CI11" s="63">
        <v>0</v>
      </c>
      <c r="CJ11" s="63">
        <v>0</v>
      </c>
      <c r="CK11" s="63">
        <v>0</v>
      </c>
      <c r="CL11" s="63">
        <v>0</v>
      </c>
      <c r="CM11" s="63">
        <v>0</v>
      </c>
      <c r="CN11" s="63">
        <v>0</v>
      </c>
      <c r="CO11" s="63">
        <v>0</v>
      </c>
      <c r="CP11" s="63">
        <v>0</v>
      </c>
      <c r="CQ11" s="63">
        <v>-131150</v>
      </c>
      <c r="CR11" s="63">
        <v>0</v>
      </c>
      <c r="CS11" s="63">
        <v>0</v>
      </c>
      <c r="CT11" s="63">
        <v>0</v>
      </c>
      <c r="CU11" s="63">
        <v>-131150</v>
      </c>
      <c r="CV11" s="63">
        <v>0</v>
      </c>
      <c r="CW11" s="63">
        <v>-131150</v>
      </c>
      <c r="CX11" s="63">
        <v>0</v>
      </c>
      <c r="CY11" s="63">
        <v>0</v>
      </c>
      <c r="CZ11" s="63">
        <v>0</v>
      </c>
      <c r="DA11" s="63">
        <v>-24890</v>
      </c>
      <c r="DB11" s="63">
        <v>0</v>
      </c>
      <c r="DC11" s="63">
        <v>-24890</v>
      </c>
      <c r="DD11" s="63">
        <v>0</v>
      </c>
      <c r="DE11" s="63">
        <v>0</v>
      </c>
      <c r="DF11" s="63">
        <v>0</v>
      </c>
      <c r="DG11" s="63">
        <v>-24890</v>
      </c>
      <c r="DH11" s="63">
        <v>0</v>
      </c>
      <c r="DI11" s="63">
        <v>0</v>
      </c>
      <c r="DJ11" s="63">
        <v>0</v>
      </c>
      <c r="DK11" s="63">
        <v>-24890</v>
      </c>
      <c r="DL11" s="63">
        <v>0</v>
      </c>
      <c r="DM11" s="63">
        <v>-24890</v>
      </c>
      <c r="DN11" s="63">
        <v>36550940</v>
      </c>
      <c r="DO11" s="63">
        <v>0</v>
      </c>
      <c r="DP11" s="63">
        <v>36550940</v>
      </c>
      <c r="DQ11" s="63"/>
      <c r="DR11" s="585"/>
    </row>
    <row r="12" spans="1:122" ht="12.75" x14ac:dyDescent="0.2">
      <c r="A12" s="90">
        <v>5</v>
      </c>
      <c r="B12" s="129" t="s">
        <v>612</v>
      </c>
      <c r="C12" s="130" t="s">
        <v>742</v>
      </c>
      <c r="D12" s="131" t="s">
        <v>745</v>
      </c>
      <c r="E12" s="132" t="s">
        <v>611</v>
      </c>
      <c r="F12" s="475" t="s">
        <v>808</v>
      </c>
      <c r="G12" s="63">
        <v>80495461</v>
      </c>
      <c r="H12" s="63">
        <v>0</v>
      </c>
      <c r="I12" s="63">
        <v>80495461</v>
      </c>
      <c r="J12" s="608">
        <v>48.4</v>
      </c>
      <c r="K12" s="63">
        <v>38959803</v>
      </c>
      <c r="L12" s="63">
        <v>0</v>
      </c>
      <c r="M12" s="63">
        <v>0</v>
      </c>
      <c r="N12" s="63">
        <v>0</v>
      </c>
      <c r="O12" s="63">
        <v>38959803</v>
      </c>
      <c r="P12" s="63">
        <v>0</v>
      </c>
      <c r="Q12" s="63">
        <v>38959803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3">
        <v>0</v>
      </c>
      <c r="AH12" s="63">
        <v>-1969333</v>
      </c>
      <c r="AI12" s="63">
        <v>0</v>
      </c>
      <c r="AJ12" s="63">
        <v>-1969333</v>
      </c>
      <c r="AK12" s="63">
        <v>0</v>
      </c>
      <c r="AL12" s="63">
        <v>0</v>
      </c>
      <c r="AM12" s="63">
        <v>0</v>
      </c>
      <c r="AN12" s="63">
        <v>910508</v>
      </c>
      <c r="AO12" s="63">
        <v>0</v>
      </c>
      <c r="AP12" s="63">
        <v>910508</v>
      </c>
      <c r="AQ12" s="63">
        <v>-1058825</v>
      </c>
      <c r="AR12" s="63">
        <v>0</v>
      </c>
      <c r="AS12" s="63">
        <v>-1058825</v>
      </c>
      <c r="AT12" s="63">
        <v>-1757748</v>
      </c>
      <c r="AU12" s="63">
        <v>0</v>
      </c>
      <c r="AV12" s="63">
        <v>-1757748</v>
      </c>
      <c r="AW12" s="63">
        <v>-10517</v>
      </c>
      <c r="AX12" s="63">
        <v>0</v>
      </c>
      <c r="AY12" s="63">
        <v>-10517</v>
      </c>
      <c r="AZ12" s="63">
        <v>-12624</v>
      </c>
      <c r="BA12" s="63">
        <v>0</v>
      </c>
      <c r="BB12" s="63">
        <v>-12624</v>
      </c>
      <c r="BC12" s="63">
        <v>-2839714</v>
      </c>
      <c r="BD12" s="63">
        <v>0</v>
      </c>
      <c r="BE12" s="63">
        <v>0</v>
      </c>
      <c r="BF12" s="63">
        <v>0</v>
      </c>
      <c r="BG12" s="63">
        <v>-2839714</v>
      </c>
      <c r="BH12" s="63">
        <v>0</v>
      </c>
      <c r="BI12" s="63">
        <v>-2839714</v>
      </c>
      <c r="BJ12" s="63">
        <v>-30000</v>
      </c>
      <c r="BK12" s="63">
        <v>0</v>
      </c>
      <c r="BL12" s="63">
        <v>-30000</v>
      </c>
      <c r="BM12" s="63">
        <v>-418860</v>
      </c>
      <c r="BN12" s="63">
        <v>0</v>
      </c>
      <c r="BO12" s="63">
        <v>-418860</v>
      </c>
      <c r="BP12" s="63">
        <v>-448860</v>
      </c>
      <c r="BQ12" s="63">
        <v>0</v>
      </c>
      <c r="BR12" s="63">
        <v>0</v>
      </c>
      <c r="BS12" s="63">
        <v>0</v>
      </c>
      <c r="BT12" s="63">
        <v>-448860</v>
      </c>
      <c r="BU12" s="63">
        <v>0</v>
      </c>
      <c r="BV12" s="63">
        <v>-448860</v>
      </c>
      <c r="BW12" s="63">
        <v>-145154</v>
      </c>
      <c r="BX12" s="63">
        <v>0</v>
      </c>
      <c r="BY12" s="63">
        <v>-145154</v>
      </c>
      <c r="BZ12" s="63">
        <v>-47340</v>
      </c>
      <c r="CA12" s="63">
        <v>0</v>
      </c>
      <c r="CB12" s="63">
        <v>-47340</v>
      </c>
      <c r="CC12" s="63">
        <v>0</v>
      </c>
      <c r="CD12" s="63">
        <v>0</v>
      </c>
      <c r="CE12" s="63">
        <v>0</v>
      </c>
      <c r="CF12" s="63">
        <v>-7194</v>
      </c>
      <c r="CG12" s="63">
        <v>0</v>
      </c>
      <c r="CH12" s="63">
        <v>-7194</v>
      </c>
      <c r="CI12" s="63">
        <v>-978</v>
      </c>
      <c r="CJ12" s="63">
        <v>0</v>
      </c>
      <c r="CK12" s="63">
        <v>-978</v>
      </c>
      <c r="CL12" s="63">
        <v>0</v>
      </c>
      <c r="CM12" s="63">
        <v>0</v>
      </c>
      <c r="CN12" s="63">
        <v>0</v>
      </c>
      <c r="CO12" s="63">
        <v>0</v>
      </c>
      <c r="CP12" s="63">
        <v>0</v>
      </c>
      <c r="CQ12" s="63">
        <v>-200666</v>
      </c>
      <c r="CR12" s="63">
        <v>0</v>
      </c>
      <c r="CS12" s="63">
        <v>0</v>
      </c>
      <c r="CT12" s="63">
        <v>0</v>
      </c>
      <c r="CU12" s="63">
        <v>-200666</v>
      </c>
      <c r="CV12" s="63">
        <v>0</v>
      </c>
      <c r="CW12" s="63">
        <v>-200666</v>
      </c>
      <c r="CX12" s="63">
        <v>-25000</v>
      </c>
      <c r="CY12" s="63">
        <v>0</v>
      </c>
      <c r="CZ12" s="63">
        <v>-25000</v>
      </c>
      <c r="DA12" s="63">
        <v>-10000</v>
      </c>
      <c r="DB12" s="63">
        <v>0</v>
      </c>
      <c r="DC12" s="63">
        <v>-10000</v>
      </c>
      <c r="DD12" s="63">
        <v>-1872</v>
      </c>
      <c r="DE12" s="63">
        <v>0</v>
      </c>
      <c r="DF12" s="63">
        <v>-1872</v>
      </c>
      <c r="DG12" s="63">
        <v>-36872</v>
      </c>
      <c r="DH12" s="63">
        <v>0</v>
      </c>
      <c r="DI12" s="63">
        <v>0</v>
      </c>
      <c r="DJ12" s="63">
        <v>0</v>
      </c>
      <c r="DK12" s="63">
        <v>-36872</v>
      </c>
      <c r="DL12" s="63">
        <v>0</v>
      </c>
      <c r="DM12" s="63">
        <v>-36872</v>
      </c>
      <c r="DN12" s="63">
        <v>35433691</v>
      </c>
      <c r="DO12" s="63">
        <v>0</v>
      </c>
      <c r="DP12" s="63">
        <v>35433691</v>
      </c>
      <c r="DQ12" s="63"/>
      <c r="DR12" s="586"/>
    </row>
    <row r="13" spans="1:122" x14ac:dyDescent="0.2">
      <c r="A13" s="90">
        <v>6</v>
      </c>
      <c r="B13" s="129" t="s">
        <v>614</v>
      </c>
      <c r="C13" s="130" t="s">
        <v>742</v>
      </c>
      <c r="D13" s="131" t="s">
        <v>743</v>
      </c>
      <c r="E13" s="132" t="s">
        <v>613</v>
      </c>
      <c r="F13" s="475" t="s">
        <v>808</v>
      </c>
      <c r="G13" s="63">
        <v>115148098</v>
      </c>
      <c r="H13" s="63">
        <v>0</v>
      </c>
      <c r="I13" s="63">
        <v>115148098</v>
      </c>
      <c r="J13" s="608">
        <v>48.4</v>
      </c>
      <c r="K13" s="63">
        <v>55731679</v>
      </c>
      <c r="L13" s="63">
        <v>0</v>
      </c>
      <c r="M13" s="63">
        <v>200000</v>
      </c>
      <c r="N13" s="63">
        <v>0</v>
      </c>
      <c r="O13" s="63">
        <v>55931679</v>
      </c>
      <c r="P13" s="63">
        <v>0</v>
      </c>
      <c r="Q13" s="63">
        <v>55931679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0</v>
      </c>
      <c r="AE13" s="63">
        <v>0</v>
      </c>
      <c r="AF13" s="63">
        <v>0</v>
      </c>
      <c r="AG13" s="63">
        <v>0</v>
      </c>
      <c r="AH13" s="63">
        <v>-2653902</v>
      </c>
      <c r="AI13" s="63">
        <v>0</v>
      </c>
      <c r="AJ13" s="63">
        <v>-2653902</v>
      </c>
      <c r="AK13" s="63">
        <v>-3641</v>
      </c>
      <c r="AL13" s="63">
        <v>0</v>
      </c>
      <c r="AM13" s="63">
        <v>-3641</v>
      </c>
      <c r="AN13" s="63">
        <v>1278010</v>
      </c>
      <c r="AO13" s="63">
        <v>0</v>
      </c>
      <c r="AP13" s="63">
        <v>1278010</v>
      </c>
      <c r="AQ13" s="63">
        <v>-1375892</v>
      </c>
      <c r="AR13" s="63">
        <v>0</v>
      </c>
      <c r="AS13" s="63">
        <v>-1375892</v>
      </c>
      <c r="AT13" s="63">
        <v>-3356806</v>
      </c>
      <c r="AU13" s="63">
        <v>0</v>
      </c>
      <c r="AV13" s="63">
        <v>-3356806</v>
      </c>
      <c r="AW13" s="63">
        <v>-90426</v>
      </c>
      <c r="AX13" s="63">
        <v>0</v>
      </c>
      <c r="AY13" s="63">
        <v>-90426</v>
      </c>
      <c r="AZ13" s="63">
        <v>-34728</v>
      </c>
      <c r="BA13" s="63">
        <v>0</v>
      </c>
      <c r="BB13" s="63">
        <v>-34728</v>
      </c>
      <c r="BC13" s="63">
        <v>-4857852</v>
      </c>
      <c r="BD13" s="63">
        <v>0</v>
      </c>
      <c r="BE13" s="63">
        <v>-300000</v>
      </c>
      <c r="BF13" s="63">
        <v>0</v>
      </c>
      <c r="BG13" s="63">
        <v>-5157852</v>
      </c>
      <c r="BH13" s="63">
        <v>0</v>
      </c>
      <c r="BI13" s="63">
        <v>-5157852</v>
      </c>
      <c r="BJ13" s="63">
        <v>-10000</v>
      </c>
      <c r="BK13" s="63">
        <v>0</v>
      </c>
      <c r="BL13" s="63">
        <v>-10000</v>
      </c>
      <c r="BM13" s="63">
        <v>-1099906</v>
      </c>
      <c r="BN13" s="63">
        <v>0</v>
      </c>
      <c r="BO13" s="63">
        <v>-1099906</v>
      </c>
      <c r="BP13" s="63">
        <v>-1109906</v>
      </c>
      <c r="BQ13" s="63">
        <v>0</v>
      </c>
      <c r="BR13" s="63">
        <v>0</v>
      </c>
      <c r="BS13" s="63">
        <v>0</v>
      </c>
      <c r="BT13" s="63">
        <v>-1109906</v>
      </c>
      <c r="BU13" s="63">
        <v>0</v>
      </c>
      <c r="BV13" s="63">
        <v>-1109906</v>
      </c>
      <c r="BW13" s="63">
        <v>-172928</v>
      </c>
      <c r="BX13" s="63">
        <v>0</v>
      </c>
      <c r="BY13" s="63">
        <v>-172928</v>
      </c>
      <c r="BZ13" s="63">
        <v>-73990</v>
      </c>
      <c r="CA13" s="63">
        <v>0</v>
      </c>
      <c r="CB13" s="63">
        <v>-73990</v>
      </c>
      <c r="CC13" s="63">
        <v>-13064</v>
      </c>
      <c r="CD13" s="63">
        <v>0</v>
      </c>
      <c r="CE13" s="63">
        <v>-13064</v>
      </c>
      <c r="CF13" s="63">
        <v>-15569</v>
      </c>
      <c r="CG13" s="63">
        <v>0</v>
      </c>
      <c r="CH13" s="63">
        <v>-15569</v>
      </c>
      <c r="CI13" s="63">
        <v>-52191</v>
      </c>
      <c r="CJ13" s="63">
        <v>0</v>
      </c>
      <c r="CK13" s="63">
        <v>-52191</v>
      </c>
      <c r="CL13" s="63">
        <v>0</v>
      </c>
      <c r="CM13" s="63">
        <v>0</v>
      </c>
      <c r="CN13" s="63">
        <v>0</v>
      </c>
      <c r="CO13" s="63">
        <v>0</v>
      </c>
      <c r="CP13" s="63">
        <v>0</v>
      </c>
      <c r="CQ13" s="63">
        <v>-327742</v>
      </c>
      <c r="CR13" s="63">
        <v>0</v>
      </c>
      <c r="CS13" s="63">
        <v>0</v>
      </c>
      <c r="CT13" s="63">
        <v>0</v>
      </c>
      <c r="CU13" s="63">
        <v>-327742</v>
      </c>
      <c r="CV13" s="63">
        <v>0</v>
      </c>
      <c r="CW13" s="63">
        <v>-327742</v>
      </c>
      <c r="CX13" s="63">
        <v>-8461</v>
      </c>
      <c r="CY13" s="63">
        <v>0</v>
      </c>
      <c r="CZ13" s="63">
        <v>-8461</v>
      </c>
      <c r="DA13" s="63">
        <v>-7766</v>
      </c>
      <c r="DB13" s="63">
        <v>0</v>
      </c>
      <c r="DC13" s="63">
        <v>-7766</v>
      </c>
      <c r="DD13" s="63">
        <v>-7000</v>
      </c>
      <c r="DE13" s="63">
        <v>0</v>
      </c>
      <c r="DF13" s="63">
        <v>-7000</v>
      </c>
      <c r="DG13" s="63">
        <v>-23227</v>
      </c>
      <c r="DH13" s="63">
        <v>0</v>
      </c>
      <c r="DI13" s="63">
        <v>0</v>
      </c>
      <c r="DJ13" s="63">
        <v>0</v>
      </c>
      <c r="DK13" s="63">
        <v>-23227</v>
      </c>
      <c r="DL13" s="63">
        <v>0</v>
      </c>
      <c r="DM13" s="63">
        <v>-23227</v>
      </c>
      <c r="DN13" s="63">
        <v>49312952</v>
      </c>
      <c r="DO13" s="63">
        <v>0</v>
      </c>
      <c r="DP13" s="63">
        <v>49312952</v>
      </c>
      <c r="DQ13" s="63"/>
      <c r="DR13" s="585"/>
    </row>
    <row r="14" spans="1:122" x14ac:dyDescent="0.2">
      <c r="A14" s="90">
        <v>7</v>
      </c>
      <c r="B14" s="129" t="s">
        <v>616</v>
      </c>
      <c r="C14" s="130" t="s">
        <v>742</v>
      </c>
      <c r="D14" s="131" t="s">
        <v>743</v>
      </c>
      <c r="E14" s="132" t="s">
        <v>615</v>
      </c>
      <c r="F14" s="475" t="s">
        <v>808</v>
      </c>
      <c r="G14" s="63">
        <v>129328657</v>
      </c>
      <c r="H14" s="63">
        <v>51750</v>
      </c>
      <c r="I14" s="63">
        <v>129380407</v>
      </c>
      <c r="J14" s="608">
        <v>48.4</v>
      </c>
      <c r="K14" s="63">
        <v>62595070</v>
      </c>
      <c r="L14" s="63">
        <v>25047</v>
      </c>
      <c r="M14" s="63">
        <v>-700000</v>
      </c>
      <c r="N14" s="63">
        <v>0</v>
      </c>
      <c r="O14" s="63">
        <v>61895070</v>
      </c>
      <c r="P14" s="63">
        <v>25047</v>
      </c>
      <c r="Q14" s="63">
        <v>61920117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  <c r="AG14" s="63">
        <v>0</v>
      </c>
      <c r="AH14" s="63">
        <v>-3340035</v>
      </c>
      <c r="AI14" s="63">
        <v>0</v>
      </c>
      <c r="AJ14" s="63">
        <v>-3340035</v>
      </c>
      <c r="AK14" s="63">
        <v>-18828</v>
      </c>
      <c r="AL14" s="63">
        <v>0</v>
      </c>
      <c r="AM14" s="63">
        <v>-18828</v>
      </c>
      <c r="AN14" s="63">
        <v>1420572</v>
      </c>
      <c r="AO14" s="63">
        <v>0</v>
      </c>
      <c r="AP14" s="63">
        <v>1420572</v>
      </c>
      <c r="AQ14" s="63">
        <v>-1919463</v>
      </c>
      <c r="AR14" s="63">
        <v>0</v>
      </c>
      <c r="AS14" s="63">
        <v>-1919463</v>
      </c>
      <c r="AT14" s="63">
        <v>-5302603</v>
      </c>
      <c r="AU14" s="63">
        <v>0</v>
      </c>
      <c r="AV14" s="63">
        <v>-5302603</v>
      </c>
      <c r="AW14" s="63">
        <v>-29000</v>
      </c>
      <c r="AX14" s="63">
        <v>0</v>
      </c>
      <c r="AY14" s="63">
        <v>-29000</v>
      </c>
      <c r="AZ14" s="63">
        <v>-58108</v>
      </c>
      <c r="BA14" s="63">
        <v>0</v>
      </c>
      <c r="BB14" s="63">
        <v>-58108</v>
      </c>
      <c r="BC14" s="63">
        <v>-7309174</v>
      </c>
      <c r="BD14" s="63">
        <v>0</v>
      </c>
      <c r="BE14" s="63">
        <v>0</v>
      </c>
      <c r="BF14" s="63">
        <v>0</v>
      </c>
      <c r="BG14" s="63">
        <v>-7309174</v>
      </c>
      <c r="BH14" s="63">
        <v>0</v>
      </c>
      <c r="BI14" s="63">
        <v>-7309174</v>
      </c>
      <c r="BJ14" s="63">
        <v>-23541</v>
      </c>
      <c r="BK14" s="63">
        <v>0</v>
      </c>
      <c r="BL14" s="63">
        <v>-23541</v>
      </c>
      <c r="BM14" s="63">
        <v>-2368562</v>
      </c>
      <c r="BN14" s="63">
        <v>0</v>
      </c>
      <c r="BO14" s="63">
        <v>-2368562</v>
      </c>
      <c r="BP14" s="63">
        <v>-2392103</v>
      </c>
      <c r="BQ14" s="63">
        <v>0</v>
      </c>
      <c r="BR14" s="63">
        <v>0</v>
      </c>
      <c r="BS14" s="63">
        <v>0</v>
      </c>
      <c r="BT14" s="63">
        <v>-2392103</v>
      </c>
      <c r="BU14" s="63">
        <v>0</v>
      </c>
      <c r="BV14" s="63">
        <v>-2392103</v>
      </c>
      <c r="BW14" s="63">
        <v>-225433</v>
      </c>
      <c r="BX14" s="63">
        <v>0</v>
      </c>
      <c r="BY14" s="63">
        <v>-225433</v>
      </c>
      <c r="BZ14" s="63">
        <v>-111800</v>
      </c>
      <c r="CA14" s="63">
        <v>0</v>
      </c>
      <c r="CB14" s="63">
        <v>-111800</v>
      </c>
      <c r="CC14" s="63">
        <v>-2256</v>
      </c>
      <c r="CD14" s="63">
        <v>0</v>
      </c>
      <c r="CE14" s="63">
        <v>-2256</v>
      </c>
      <c r="CF14" s="63">
        <v>0</v>
      </c>
      <c r="CG14" s="63">
        <v>0</v>
      </c>
      <c r="CH14" s="63">
        <v>0</v>
      </c>
      <c r="CI14" s="63">
        <v>0</v>
      </c>
      <c r="CJ14" s="63">
        <v>0</v>
      </c>
      <c r="CK14" s="63">
        <v>0</v>
      </c>
      <c r="CL14" s="63">
        <v>0</v>
      </c>
      <c r="CM14" s="63">
        <v>0</v>
      </c>
      <c r="CN14" s="63">
        <v>0</v>
      </c>
      <c r="CO14" s="63">
        <v>0</v>
      </c>
      <c r="CP14" s="63">
        <v>0</v>
      </c>
      <c r="CQ14" s="63">
        <v>-339489</v>
      </c>
      <c r="CR14" s="63">
        <v>0</v>
      </c>
      <c r="CS14" s="63">
        <v>0</v>
      </c>
      <c r="CT14" s="63">
        <v>0</v>
      </c>
      <c r="CU14" s="63">
        <v>-339489</v>
      </c>
      <c r="CV14" s="63">
        <v>0</v>
      </c>
      <c r="CW14" s="63">
        <v>-339489</v>
      </c>
      <c r="CX14" s="63">
        <v>-105965</v>
      </c>
      <c r="CY14" s="63">
        <v>0</v>
      </c>
      <c r="CZ14" s="63">
        <v>-105965</v>
      </c>
      <c r="DA14" s="63">
        <v>-13729</v>
      </c>
      <c r="DB14" s="63">
        <v>0</v>
      </c>
      <c r="DC14" s="63">
        <v>-13729</v>
      </c>
      <c r="DD14" s="63">
        <v>-8323</v>
      </c>
      <c r="DE14" s="63">
        <v>0</v>
      </c>
      <c r="DF14" s="63">
        <v>-8323</v>
      </c>
      <c r="DG14" s="63">
        <v>-128017</v>
      </c>
      <c r="DH14" s="63">
        <v>0</v>
      </c>
      <c r="DI14" s="63">
        <v>0</v>
      </c>
      <c r="DJ14" s="63">
        <v>0</v>
      </c>
      <c r="DK14" s="63">
        <v>-128017</v>
      </c>
      <c r="DL14" s="63">
        <v>0</v>
      </c>
      <c r="DM14" s="63">
        <v>-128017</v>
      </c>
      <c r="DN14" s="63">
        <v>51726287</v>
      </c>
      <c r="DO14" s="63">
        <v>25047</v>
      </c>
      <c r="DP14" s="63">
        <v>51751334</v>
      </c>
      <c r="DQ14" s="63"/>
      <c r="DR14" s="585" t="s">
        <v>768</v>
      </c>
    </row>
    <row r="15" spans="1:122" x14ac:dyDescent="0.2">
      <c r="A15" s="90">
        <v>8</v>
      </c>
      <c r="B15" s="129" t="s">
        <v>618</v>
      </c>
      <c r="C15" s="130" t="s">
        <v>742</v>
      </c>
      <c r="D15" s="131" t="s">
        <v>746</v>
      </c>
      <c r="E15" s="132" t="s">
        <v>617</v>
      </c>
      <c r="F15" s="475" t="s">
        <v>808</v>
      </c>
      <c r="G15" s="63">
        <v>60007685</v>
      </c>
      <c r="H15" s="63">
        <v>0</v>
      </c>
      <c r="I15" s="63">
        <v>60007685</v>
      </c>
      <c r="J15" s="608">
        <v>48.4</v>
      </c>
      <c r="K15" s="63">
        <v>29043720</v>
      </c>
      <c r="L15" s="63">
        <v>0</v>
      </c>
      <c r="M15" s="63">
        <v>156058</v>
      </c>
      <c r="N15" s="63">
        <v>0</v>
      </c>
      <c r="O15" s="63">
        <v>29199778</v>
      </c>
      <c r="P15" s="63">
        <v>0</v>
      </c>
      <c r="Q15" s="63">
        <v>29199778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0</v>
      </c>
      <c r="AE15" s="63">
        <v>0</v>
      </c>
      <c r="AF15" s="63">
        <v>0</v>
      </c>
      <c r="AG15" s="63">
        <v>0</v>
      </c>
      <c r="AH15" s="63">
        <v>-2343695</v>
      </c>
      <c r="AI15" s="63">
        <v>0</v>
      </c>
      <c r="AJ15" s="63">
        <v>-2343695</v>
      </c>
      <c r="AK15" s="63">
        <v>-4881</v>
      </c>
      <c r="AL15" s="63">
        <v>0</v>
      </c>
      <c r="AM15" s="63">
        <v>-4881</v>
      </c>
      <c r="AN15" s="63">
        <v>615489</v>
      </c>
      <c r="AO15" s="63">
        <v>0</v>
      </c>
      <c r="AP15" s="63">
        <v>615489</v>
      </c>
      <c r="AQ15" s="63">
        <v>-1728206</v>
      </c>
      <c r="AR15" s="63">
        <v>0</v>
      </c>
      <c r="AS15" s="63">
        <v>-1728206</v>
      </c>
      <c r="AT15" s="63">
        <v>-1974943</v>
      </c>
      <c r="AU15" s="63">
        <v>0</v>
      </c>
      <c r="AV15" s="63">
        <v>-1974943</v>
      </c>
      <c r="AW15" s="63">
        <v>-52801</v>
      </c>
      <c r="AX15" s="63">
        <v>0</v>
      </c>
      <c r="AY15" s="63">
        <v>-52801</v>
      </c>
      <c r="AZ15" s="63">
        <v>-90063</v>
      </c>
      <c r="BA15" s="63">
        <v>0</v>
      </c>
      <c r="BB15" s="63">
        <v>-90063</v>
      </c>
      <c r="BC15" s="63">
        <v>-3846013</v>
      </c>
      <c r="BD15" s="63">
        <v>0</v>
      </c>
      <c r="BE15" s="63">
        <v>-220774</v>
      </c>
      <c r="BF15" s="63">
        <v>0</v>
      </c>
      <c r="BG15" s="63">
        <v>-4066787</v>
      </c>
      <c r="BH15" s="63">
        <v>0</v>
      </c>
      <c r="BI15" s="63">
        <v>-4066787</v>
      </c>
      <c r="BJ15" s="63">
        <v>0</v>
      </c>
      <c r="BK15" s="63">
        <v>0</v>
      </c>
      <c r="BL15" s="63">
        <v>0</v>
      </c>
      <c r="BM15" s="63">
        <v>-388112</v>
      </c>
      <c r="BN15" s="63">
        <v>0</v>
      </c>
      <c r="BO15" s="63">
        <v>-388112</v>
      </c>
      <c r="BP15" s="63">
        <v>-388112</v>
      </c>
      <c r="BQ15" s="63">
        <v>0</v>
      </c>
      <c r="BR15" s="63">
        <v>0</v>
      </c>
      <c r="BS15" s="63">
        <v>0</v>
      </c>
      <c r="BT15" s="63">
        <v>-388112</v>
      </c>
      <c r="BU15" s="63">
        <v>0</v>
      </c>
      <c r="BV15" s="63">
        <v>-388112</v>
      </c>
      <c r="BW15" s="63">
        <v>-44088</v>
      </c>
      <c r="BX15" s="63">
        <v>0</v>
      </c>
      <c r="BY15" s="63">
        <v>-44088</v>
      </c>
      <c r="BZ15" s="63">
        <v>-11005</v>
      </c>
      <c r="CA15" s="63">
        <v>0</v>
      </c>
      <c r="CB15" s="63">
        <v>-11005</v>
      </c>
      <c r="CC15" s="63">
        <v>-6953</v>
      </c>
      <c r="CD15" s="63">
        <v>0</v>
      </c>
      <c r="CE15" s="63">
        <v>-6953</v>
      </c>
      <c r="CF15" s="63">
        <v>-74155</v>
      </c>
      <c r="CG15" s="63">
        <v>0</v>
      </c>
      <c r="CH15" s="63">
        <v>-74155</v>
      </c>
      <c r="CI15" s="63">
        <v>-15795</v>
      </c>
      <c r="CJ15" s="63">
        <v>0</v>
      </c>
      <c r="CK15" s="63">
        <v>-15795</v>
      </c>
      <c r="CL15" s="63">
        <v>0</v>
      </c>
      <c r="CM15" s="63">
        <v>0</v>
      </c>
      <c r="CN15" s="63">
        <v>0</v>
      </c>
      <c r="CO15" s="63">
        <v>0</v>
      </c>
      <c r="CP15" s="63">
        <v>0</v>
      </c>
      <c r="CQ15" s="63">
        <v>-151996</v>
      </c>
      <c r="CR15" s="63">
        <v>0</v>
      </c>
      <c r="CS15" s="63">
        <v>0</v>
      </c>
      <c r="CT15" s="63">
        <v>0</v>
      </c>
      <c r="CU15" s="63">
        <v>-151996</v>
      </c>
      <c r="CV15" s="63">
        <v>0</v>
      </c>
      <c r="CW15" s="63">
        <v>-151996</v>
      </c>
      <c r="CX15" s="63">
        <v>-2336</v>
      </c>
      <c r="CY15" s="63">
        <v>0</v>
      </c>
      <c r="CZ15" s="63">
        <v>-2336</v>
      </c>
      <c r="DA15" s="63">
        <v>-17905</v>
      </c>
      <c r="DB15" s="63">
        <v>0</v>
      </c>
      <c r="DC15" s="63">
        <v>-17905</v>
      </c>
      <c r="DD15" s="63">
        <v>-3972</v>
      </c>
      <c r="DE15" s="63">
        <v>0</v>
      </c>
      <c r="DF15" s="63">
        <v>-3972</v>
      </c>
      <c r="DG15" s="63">
        <v>-24213</v>
      </c>
      <c r="DH15" s="63">
        <v>0</v>
      </c>
      <c r="DI15" s="63">
        <v>0</v>
      </c>
      <c r="DJ15" s="63">
        <v>0</v>
      </c>
      <c r="DK15" s="63">
        <v>-24213</v>
      </c>
      <c r="DL15" s="63">
        <v>0</v>
      </c>
      <c r="DM15" s="63">
        <v>-24213</v>
      </c>
      <c r="DN15" s="63">
        <v>24568670</v>
      </c>
      <c r="DO15" s="63">
        <v>0</v>
      </c>
      <c r="DP15" s="63">
        <v>24568670</v>
      </c>
      <c r="DQ15" s="63"/>
      <c r="DR15" s="585"/>
    </row>
    <row r="16" spans="1:122" x14ac:dyDescent="0.2">
      <c r="A16" s="90">
        <v>9</v>
      </c>
      <c r="B16" s="129" t="s">
        <v>619</v>
      </c>
      <c r="C16" s="130" t="s">
        <v>747</v>
      </c>
      <c r="D16" s="131" t="s">
        <v>748</v>
      </c>
      <c r="E16" s="132" t="s">
        <v>554</v>
      </c>
      <c r="F16" s="475" t="s">
        <v>808</v>
      </c>
      <c r="G16" s="63">
        <v>139624416</v>
      </c>
      <c r="H16" s="63">
        <v>0</v>
      </c>
      <c r="I16" s="63">
        <v>139624416</v>
      </c>
      <c r="J16" s="608">
        <v>48.4</v>
      </c>
      <c r="K16" s="63">
        <v>67578217</v>
      </c>
      <c r="L16" s="63">
        <v>0</v>
      </c>
      <c r="M16" s="63">
        <v>0</v>
      </c>
      <c r="N16" s="63">
        <v>0</v>
      </c>
      <c r="O16" s="63">
        <v>67578217</v>
      </c>
      <c r="P16" s="63">
        <v>0</v>
      </c>
      <c r="Q16" s="63">
        <v>67578217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-2695543</v>
      </c>
      <c r="AI16" s="63">
        <v>0</v>
      </c>
      <c r="AJ16" s="63">
        <v>-2695543</v>
      </c>
      <c r="AK16" s="63">
        <v>0</v>
      </c>
      <c r="AL16" s="63">
        <v>0</v>
      </c>
      <c r="AM16" s="63">
        <v>0</v>
      </c>
      <c r="AN16" s="63">
        <v>1508939</v>
      </c>
      <c r="AO16" s="63">
        <v>0</v>
      </c>
      <c r="AP16" s="63">
        <v>1508939</v>
      </c>
      <c r="AQ16" s="63">
        <v>-1186604</v>
      </c>
      <c r="AR16" s="63">
        <v>0</v>
      </c>
      <c r="AS16" s="63">
        <v>-1186604</v>
      </c>
      <c r="AT16" s="63">
        <v>-3481745</v>
      </c>
      <c r="AU16" s="63">
        <v>0</v>
      </c>
      <c r="AV16" s="63">
        <v>-3481745</v>
      </c>
      <c r="AW16" s="63">
        <v>-31511</v>
      </c>
      <c r="AX16" s="63">
        <v>0</v>
      </c>
      <c r="AY16" s="63">
        <v>-31511</v>
      </c>
      <c r="AZ16" s="63">
        <v>0</v>
      </c>
      <c r="BA16" s="63">
        <v>0</v>
      </c>
      <c r="BB16" s="63">
        <v>0</v>
      </c>
      <c r="BC16" s="63">
        <v>-4699860</v>
      </c>
      <c r="BD16" s="63">
        <v>0</v>
      </c>
      <c r="BE16" s="63">
        <v>0</v>
      </c>
      <c r="BF16" s="63">
        <v>0</v>
      </c>
      <c r="BG16" s="63">
        <v>-4699860</v>
      </c>
      <c r="BH16" s="63">
        <v>0</v>
      </c>
      <c r="BI16" s="63">
        <v>-4699860</v>
      </c>
      <c r="BJ16" s="63">
        <v>0</v>
      </c>
      <c r="BK16" s="63">
        <v>0</v>
      </c>
      <c r="BL16" s="63">
        <v>0</v>
      </c>
      <c r="BM16" s="63">
        <v>-3049900</v>
      </c>
      <c r="BN16" s="63">
        <v>0</v>
      </c>
      <c r="BO16" s="63">
        <v>-3049900</v>
      </c>
      <c r="BP16" s="63">
        <v>-3049900</v>
      </c>
      <c r="BQ16" s="63">
        <v>0</v>
      </c>
      <c r="BR16" s="63">
        <v>0</v>
      </c>
      <c r="BS16" s="63">
        <v>0</v>
      </c>
      <c r="BT16" s="63">
        <v>-3049900</v>
      </c>
      <c r="BU16" s="63">
        <v>0</v>
      </c>
      <c r="BV16" s="63">
        <v>-3049900</v>
      </c>
      <c r="BW16" s="63">
        <v>-379465</v>
      </c>
      <c r="BX16" s="63">
        <v>0</v>
      </c>
      <c r="BY16" s="63">
        <v>-379465</v>
      </c>
      <c r="BZ16" s="63">
        <v>-30499</v>
      </c>
      <c r="CA16" s="63">
        <v>0</v>
      </c>
      <c r="CB16" s="63">
        <v>-30499</v>
      </c>
      <c r="CC16" s="63">
        <v>-7902</v>
      </c>
      <c r="CD16" s="63">
        <v>0</v>
      </c>
      <c r="CE16" s="63">
        <v>-7902</v>
      </c>
      <c r="CF16" s="63">
        <v>0</v>
      </c>
      <c r="CG16" s="63">
        <v>0</v>
      </c>
      <c r="CH16" s="63">
        <v>0</v>
      </c>
      <c r="CI16" s="63">
        <v>0</v>
      </c>
      <c r="CJ16" s="63">
        <v>0</v>
      </c>
      <c r="CK16" s="63">
        <v>0</v>
      </c>
      <c r="CL16" s="63">
        <v>0</v>
      </c>
      <c r="CM16" s="63">
        <v>0</v>
      </c>
      <c r="CN16" s="63">
        <v>0</v>
      </c>
      <c r="CO16" s="63">
        <v>0</v>
      </c>
      <c r="CP16" s="63">
        <v>0</v>
      </c>
      <c r="CQ16" s="63">
        <v>-417866</v>
      </c>
      <c r="CR16" s="63">
        <v>0</v>
      </c>
      <c r="CS16" s="63">
        <v>0</v>
      </c>
      <c r="CT16" s="63">
        <v>0</v>
      </c>
      <c r="CU16" s="63">
        <v>-417866</v>
      </c>
      <c r="CV16" s="63">
        <v>0</v>
      </c>
      <c r="CW16" s="63">
        <v>-417866</v>
      </c>
      <c r="CX16" s="63">
        <v>0</v>
      </c>
      <c r="CY16" s="63">
        <v>0</v>
      </c>
      <c r="CZ16" s="63">
        <v>0</v>
      </c>
      <c r="DA16" s="63">
        <v>-181718</v>
      </c>
      <c r="DB16" s="63">
        <v>0</v>
      </c>
      <c r="DC16" s="63">
        <v>-181718</v>
      </c>
      <c r="DD16" s="63">
        <v>0</v>
      </c>
      <c r="DE16" s="63">
        <v>0</v>
      </c>
      <c r="DF16" s="63">
        <v>0</v>
      </c>
      <c r="DG16" s="63">
        <v>-181718</v>
      </c>
      <c r="DH16" s="63">
        <v>0</v>
      </c>
      <c r="DI16" s="63">
        <v>0</v>
      </c>
      <c r="DJ16" s="63">
        <v>0</v>
      </c>
      <c r="DK16" s="63">
        <v>-181718</v>
      </c>
      <c r="DL16" s="63">
        <v>0</v>
      </c>
      <c r="DM16" s="63">
        <v>-181718</v>
      </c>
      <c r="DN16" s="63">
        <v>59228873</v>
      </c>
      <c r="DO16" s="63">
        <v>0</v>
      </c>
      <c r="DP16" s="63">
        <v>59228873</v>
      </c>
      <c r="DQ16" s="63"/>
      <c r="DR16" s="585"/>
    </row>
    <row r="17" spans="1:122" x14ac:dyDescent="0.2">
      <c r="A17" s="90">
        <v>10</v>
      </c>
      <c r="B17" s="129" t="s">
        <v>621</v>
      </c>
      <c r="C17" s="130" t="s">
        <v>747</v>
      </c>
      <c r="D17" s="131" t="s">
        <v>748</v>
      </c>
      <c r="E17" s="132" t="s">
        <v>620</v>
      </c>
      <c r="F17" s="475" t="s">
        <v>808</v>
      </c>
      <c r="G17" s="63">
        <v>272913686</v>
      </c>
      <c r="H17" s="63">
        <v>0</v>
      </c>
      <c r="I17" s="63">
        <v>272913686</v>
      </c>
      <c r="J17" s="608">
        <v>48.4</v>
      </c>
      <c r="K17" s="63">
        <v>132090224</v>
      </c>
      <c r="L17" s="63">
        <v>0</v>
      </c>
      <c r="M17" s="63">
        <v>0</v>
      </c>
      <c r="N17" s="63">
        <v>0</v>
      </c>
      <c r="O17" s="63">
        <v>132090224</v>
      </c>
      <c r="P17" s="63">
        <v>0</v>
      </c>
      <c r="Q17" s="63">
        <v>132090224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0</v>
      </c>
      <c r="AE17" s="63">
        <v>0</v>
      </c>
      <c r="AF17" s="63">
        <v>0</v>
      </c>
      <c r="AG17" s="63">
        <v>0</v>
      </c>
      <c r="AH17" s="63">
        <v>-3868625</v>
      </c>
      <c r="AI17" s="63">
        <v>0</v>
      </c>
      <c r="AJ17" s="63">
        <v>-3868625</v>
      </c>
      <c r="AK17" s="63">
        <v>0</v>
      </c>
      <c r="AL17" s="63">
        <v>0</v>
      </c>
      <c r="AM17" s="63">
        <v>0</v>
      </c>
      <c r="AN17" s="63">
        <v>2842282</v>
      </c>
      <c r="AO17" s="63">
        <v>0</v>
      </c>
      <c r="AP17" s="63">
        <v>2842282</v>
      </c>
      <c r="AQ17" s="63">
        <v>-1026343</v>
      </c>
      <c r="AR17" s="63">
        <v>0</v>
      </c>
      <c r="AS17" s="63">
        <v>-1026343</v>
      </c>
      <c r="AT17" s="63">
        <v>-11049517</v>
      </c>
      <c r="AU17" s="63">
        <v>0</v>
      </c>
      <c r="AV17" s="63">
        <v>-11049517</v>
      </c>
      <c r="AW17" s="63">
        <v>-210430</v>
      </c>
      <c r="AX17" s="63">
        <v>0</v>
      </c>
      <c r="AY17" s="63">
        <v>-210430</v>
      </c>
      <c r="AZ17" s="63">
        <v>0</v>
      </c>
      <c r="BA17" s="63">
        <v>0</v>
      </c>
      <c r="BB17" s="63">
        <v>0</v>
      </c>
      <c r="BC17" s="63">
        <v>-12286290</v>
      </c>
      <c r="BD17" s="63">
        <v>0</v>
      </c>
      <c r="BE17" s="63">
        <v>-1600000</v>
      </c>
      <c r="BF17" s="63">
        <v>0</v>
      </c>
      <c r="BG17" s="63">
        <v>-13886290</v>
      </c>
      <c r="BH17" s="63">
        <v>0</v>
      </c>
      <c r="BI17" s="63">
        <v>-13886290</v>
      </c>
      <c r="BJ17" s="63">
        <v>0</v>
      </c>
      <c r="BK17" s="63">
        <v>0</v>
      </c>
      <c r="BL17" s="63">
        <v>0</v>
      </c>
      <c r="BM17" s="63">
        <v>-2084099</v>
      </c>
      <c r="BN17" s="63">
        <v>0</v>
      </c>
      <c r="BO17" s="63">
        <v>-2084099</v>
      </c>
      <c r="BP17" s="63">
        <v>-2084099</v>
      </c>
      <c r="BQ17" s="63">
        <v>0</v>
      </c>
      <c r="BR17" s="63">
        <v>0</v>
      </c>
      <c r="BS17" s="63">
        <v>0</v>
      </c>
      <c r="BT17" s="63">
        <v>-2084099</v>
      </c>
      <c r="BU17" s="63">
        <v>0</v>
      </c>
      <c r="BV17" s="63">
        <v>-2084099</v>
      </c>
      <c r="BW17" s="63">
        <v>-878925</v>
      </c>
      <c r="BX17" s="63">
        <v>0</v>
      </c>
      <c r="BY17" s="63">
        <v>-878925</v>
      </c>
      <c r="BZ17" s="63">
        <v>-104834</v>
      </c>
      <c r="CA17" s="63">
        <v>0</v>
      </c>
      <c r="CB17" s="63">
        <v>-104834</v>
      </c>
      <c r="CC17" s="63">
        <v>0</v>
      </c>
      <c r="CD17" s="63">
        <v>0</v>
      </c>
      <c r="CE17" s="63">
        <v>0</v>
      </c>
      <c r="CF17" s="63">
        <v>0</v>
      </c>
      <c r="CG17" s="63">
        <v>0</v>
      </c>
      <c r="CH17" s="63">
        <v>0</v>
      </c>
      <c r="CI17" s="63">
        <v>0</v>
      </c>
      <c r="CJ17" s="63">
        <v>0</v>
      </c>
      <c r="CK17" s="63">
        <v>0</v>
      </c>
      <c r="CL17" s="63">
        <v>0</v>
      </c>
      <c r="CM17" s="63">
        <v>0</v>
      </c>
      <c r="CN17" s="63">
        <v>0</v>
      </c>
      <c r="CO17" s="63">
        <v>0</v>
      </c>
      <c r="CP17" s="63">
        <v>0</v>
      </c>
      <c r="CQ17" s="63">
        <v>-983759</v>
      </c>
      <c r="CR17" s="63">
        <v>0</v>
      </c>
      <c r="CS17" s="63">
        <v>0</v>
      </c>
      <c r="CT17" s="63">
        <v>0</v>
      </c>
      <c r="CU17" s="63">
        <v>-983759</v>
      </c>
      <c r="CV17" s="63">
        <v>0</v>
      </c>
      <c r="CW17" s="63">
        <v>-983759</v>
      </c>
      <c r="CX17" s="63">
        <v>0</v>
      </c>
      <c r="CY17" s="63">
        <v>0</v>
      </c>
      <c r="CZ17" s="63">
        <v>0</v>
      </c>
      <c r="DA17" s="63">
        <v>0</v>
      </c>
      <c r="DB17" s="63">
        <v>0</v>
      </c>
      <c r="DC17" s="63">
        <v>0</v>
      </c>
      <c r="DD17" s="63">
        <v>-20140</v>
      </c>
      <c r="DE17" s="63">
        <v>0</v>
      </c>
      <c r="DF17" s="63">
        <v>-20140</v>
      </c>
      <c r="DG17" s="63">
        <v>-20140</v>
      </c>
      <c r="DH17" s="63">
        <v>0</v>
      </c>
      <c r="DI17" s="63">
        <v>0</v>
      </c>
      <c r="DJ17" s="63">
        <v>0</v>
      </c>
      <c r="DK17" s="63">
        <v>-20140</v>
      </c>
      <c r="DL17" s="63">
        <v>0</v>
      </c>
      <c r="DM17" s="63">
        <v>-20140</v>
      </c>
      <c r="DN17" s="63">
        <v>115115936</v>
      </c>
      <c r="DO17" s="63">
        <v>0</v>
      </c>
      <c r="DP17" s="63">
        <v>115115936</v>
      </c>
      <c r="DQ17" s="63"/>
      <c r="DR17" s="585"/>
    </row>
    <row r="18" spans="1:122" x14ac:dyDescent="0.2">
      <c r="A18" s="90">
        <v>11</v>
      </c>
      <c r="B18" s="129" t="s">
        <v>623</v>
      </c>
      <c r="C18" s="130" t="s">
        <v>749</v>
      </c>
      <c r="D18" s="131" t="s">
        <v>750</v>
      </c>
      <c r="E18" s="132" t="s">
        <v>622</v>
      </c>
      <c r="F18" s="475" t="s">
        <v>808</v>
      </c>
      <c r="G18" s="63">
        <v>138117296</v>
      </c>
      <c r="H18" s="63">
        <v>1179500</v>
      </c>
      <c r="I18" s="63">
        <v>139296796</v>
      </c>
      <c r="J18" s="608">
        <v>48.4</v>
      </c>
      <c r="K18" s="63">
        <v>66848771</v>
      </c>
      <c r="L18" s="63">
        <v>570878</v>
      </c>
      <c r="M18" s="63">
        <v>-787400</v>
      </c>
      <c r="N18" s="63">
        <v>0</v>
      </c>
      <c r="O18" s="63">
        <v>66061371</v>
      </c>
      <c r="P18" s="63">
        <v>570878</v>
      </c>
      <c r="Q18" s="63">
        <v>66632249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0</v>
      </c>
      <c r="AE18" s="63">
        <v>0</v>
      </c>
      <c r="AF18" s="63">
        <v>0</v>
      </c>
      <c r="AG18" s="63">
        <v>0</v>
      </c>
      <c r="AH18" s="63">
        <v>-5007212</v>
      </c>
      <c r="AI18" s="63">
        <v>0</v>
      </c>
      <c r="AJ18" s="63">
        <v>-5007212</v>
      </c>
      <c r="AK18" s="63">
        <v>0</v>
      </c>
      <c r="AL18" s="63">
        <v>0</v>
      </c>
      <c r="AM18" s="63">
        <v>0</v>
      </c>
      <c r="AN18" s="63">
        <v>1478959</v>
      </c>
      <c r="AO18" s="63">
        <v>12877</v>
      </c>
      <c r="AP18" s="63">
        <v>1491836</v>
      </c>
      <c r="AQ18" s="63">
        <v>-3528253</v>
      </c>
      <c r="AR18" s="63">
        <v>12877</v>
      </c>
      <c r="AS18" s="63">
        <v>-3515376</v>
      </c>
      <c r="AT18" s="63">
        <v>-3876193</v>
      </c>
      <c r="AU18" s="63">
        <v>0</v>
      </c>
      <c r="AV18" s="63">
        <v>-3876193</v>
      </c>
      <c r="AW18" s="63">
        <v>0</v>
      </c>
      <c r="AX18" s="63">
        <v>0</v>
      </c>
      <c r="AY18" s="63">
        <v>0</v>
      </c>
      <c r="AZ18" s="63">
        <v>-7544</v>
      </c>
      <c r="BA18" s="63">
        <v>0</v>
      </c>
      <c r="BB18" s="63">
        <v>-7544</v>
      </c>
      <c r="BC18" s="63">
        <v>-7411990</v>
      </c>
      <c r="BD18" s="63">
        <v>12877</v>
      </c>
      <c r="BE18" s="63">
        <v>-319688</v>
      </c>
      <c r="BF18" s="63">
        <v>0</v>
      </c>
      <c r="BG18" s="63">
        <v>-7731678</v>
      </c>
      <c r="BH18" s="63">
        <v>12877</v>
      </c>
      <c r="BI18" s="63">
        <v>-7718801</v>
      </c>
      <c r="BJ18" s="63">
        <v>-92573</v>
      </c>
      <c r="BK18" s="63">
        <v>0</v>
      </c>
      <c r="BL18" s="63">
        <v>-92573</v>
      </c>
      <c r="BM18" s="63">
        <v>-2113363</v>
      </c>
      <c r="BN18" s="63">
        <v>0</v>
      </c>
      <c r="BO18" s="63">
        <v>-2113363</v>
      </c>
      <c r="BP18" s="63">
        <v>-2205936</v>
      </c>
      <c r="BQ18" s="63">
        <v>0</v>
      </c>
      <c r="BR18" s="63">
        <v>-396114</v>
      </c>
      <c r="BS18" s="63">
        <v>0</v>
      </c>
      <c r="BT18" s="63">
        <v>-2602050</v>
      </c>
      <c r="BU18" s="63">
        <v>0</v>
      </c>
      <c r="BV18" s="63">
        <v>-2602050</v>
      </c>
      <c r="BW18" s="63">
        <v>-131540</v>
      </c>
      <c r="BX18" s="63">
        <v>0</v>
      </c>
      <c r="BY18" s="63">
        <v>-131540</v>
      </c>
      <c r="BZ18" s="63">
        <v>-78199</v>
      </c>
      <c r="CA18" s="63">
        <v>0</v>
      </c>
      <c r="CB18" s="63">
        <v>-78199</v>
      </c>
      <c r="CC18" s="63">
        <v>0</v>
      </c>
      <c r="CD18" s="63">
        <v>0</v>
      </c>
      <c r="CE18" s="63">
        <v>0</v>
      </c>
      <c r="CF18" s="63">
        <v>-2253</v>
      </c>
      <c r="CG18" s="63">
        <v>0</v>
      </c>
      <c r="CH18" s="63">
        <v>-2253</v>
      </c>
      <c r="CI18" s="63">
        <v>0</v>
      </c>
      <c r="CJ18" s="63">
        <v>0</v>
      </c>
      <c r="CK18" s="63">
        <v>0</v>
      </c>
      <c r="CL18" s="63">
        <v>0</v>
      </c>
      <c r="CM18" s="63">
        <v>-241525</v>
      </c>
      <c r="CN18" s="63">
        <v>-241525</v>
      </c>
      <c r="CO18" s="63">
        <v>-241525</v>
      </c>
      <c r="CP18" s="63">
        <v>0</v>
      </c>
      <c r="CQ18" s="63">
        <v>-211992</v>
      </c>
      <c r="CR18" s="63">
        <v>-241525</v>
      </c>
      <c r="CS18" s="63">
        <v>-52133</v>
      </c>
      <c r="CT18" s="63">
        <v>0</v>
      </c>
      <c r="CU18" s="63">
        <v>-264125</v>
      </c>
      <c r="CV18" s="63">
        <v>-241525</v>
      </c>
      <c r="CW18" s="63">
        <v>-505650</v>
      </c>
      <c r="CX18" s="63">
        <v>0</v>
      </c>
      <c r="CY18" s="63">
        <v>0</v>
      </c>
      <c r="CZ18" s="63">
        <v>0</v>
      </c>
      <c r="DA18" s="63">
        <v>-13889</v>
      </c>
      <c r="DB18" s="63">
        <v>0</v>
      </c>
      <c r="DC18" s="63">
        <v>-13889</v>
      </c>
      <c r="DD18" s="63">
        <v>-20482</v>
      </c>
      <c r="DE18" s="63">
        <v>0</v>
      </c>
      <c r="DF18" s="63">
        <v>-20482</v>
      </c>
      <c r="DG18" s="63">
        <v>-34371</v>
      </c>
      <c r="DH18" s="63">
        <v>0</v>
      </c>
      <c r="DI18" s="63">
        <v>0</v>
      </c>
      <c r="DJ18" s="63">
        <v>0</v>
      </c>
      <c r="DK18" s="63">
        <v>-34371</v>
      </c>
      <c r="DL18" s="63">
        <v>0</v>
      </c>
      <c r="DM18" s="63">
        <v>-34371</v>
      </c>
      <c r="DN18" s="63">
        <v>55429147</v>
      </c>
      <c r="DO18" s="63">
        <v>342230</v>
      </c>
      <c r="DP18" s="63">
        <v>55771377</v>
      </c>
      <c r="DQ18" s="63"/>
      <c r="DR18" s="585" t="s">
        <v>768</v>
      </c>
    </row>
    <row r="19" spans="1:122" x14ac:dyDescent="0.2">
      <c r="A19" s="90">
        <v>12</v>
      </c>
      <c r="B19" s="129" t="s">
        <v>625</v>
      </c>
      <c r="C19" s="130" t="s">
        <v>742</v>
      </c>
      <c r="D19" s="131" t="s">
        <v>744</v>
      </c>
      <c r="E19" s="132" t="s">
        <v>624</v>
      </c>
      <c r="F19" s="475" t="s">
        <v>808</v>
      </c>
      <c r="G19" s="63">
        <v>56845806</v>
      </c>
      <c r="H19" s="63">
        <v>0</v>
      </c>
      <c r="I19" s="63">
        <v>56845806</v>
      </c>
      <c r="J19" s="608">
        <v>48.4</v>
      </c>
      <c r="K19" s="63">
        <v>27513370</v>
      </c>
      <c r="L19" s="63">
        <v>0</v>
      </c>
      <c r="M19" s="63">
        <v>0</v>
      </c>
      <c r="N19" s="63">
        <v>0</v>
      </c>
      <c r="O19" s="63">
        <v>27513370</v>
      </c>
      <c r="P19" s="63">
        <v>0</v>
      </c>
      <c r="Q19" s="63">
        <v>27513370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-1394639</v>
      </c>
      <c r="AI19" s="63">
        <v>0</v>
      </c>
      <c r="AJ19" s="63">
        <v>-1394639</v>
      </c>
      <c r="AK19" s="63">
        <v>-153</v>
      </c>
      <c r="AL19" s="63">
        <v>0</v>
      </c>
      <c r="AM19" s="63">
        <v>-153</v>
      </c>
      <c r="AN19" s="63">
        <v>637968</v>
      </c>
      <c r="AO19" s="63">
        <v>0</v>
      </c>
      <c r="AP19" s="63">
        <v>637968</v>
      </c>
      <c r="AQ19" s="63">
        <v>-756671</v>
      </c>
      <c r="AR19" s="63">
        <v>0</v>
      </c>
      <c r="AS19" s="63">
        <v>-756671</v>
      </c>
      <c r="AT19" s="63">
        <v>-1701881</v>
      </c>
      <c r="AU19" s="63">
        <v>0</v>
      </c>
      <c r="AV19" s="63">
        <v>-1701881</v>
      </c>
      <c r="AW19" s="63">
        <v>-96390</v>
      </c>
      <c r="AX19" s="63">
        <v>0</v>
      </c>
      <c r="AY19" s="63">
        <v>-96390</v>
      </c>
      <c r="AZ19" s="63">
        <v>0</v>
      </c>
      <c r="BA19" s="63">
        <v>0</v>
      </c>
      <c r="BB19" s="63">
        <v>0</v>
      </c>
      <c r="BC19" s="63">
        <v>-2554942</v>
      </c>
      <c r="BD19" s="63">
        <v>0</v>
      </c>
      <c r="BE19" s="63">
        <v>0</v>
      </c>
      <c r="BF19" s="63">
        <v>0</v>
      </c>
      <c r="BG19" s="63">
        <v>-2554942</v>
      </c>
      <c r="BH19" s="63">
        <v>0</v>
      </c>
      <c r="BI19" s="63">
        <v>-2554942</v>
      </c>
      <c r="BJ19" s="63">
        <v>-734</v>
      </c>
      <c r="BK19" s="63">
        <v>0</v>
      </c>
      <c r="BL19" s="63">
        <v>-734</v>
      </c>
      <c r="BM19" s="63">
        <v>-582023</v>
      </c>
      <c r="BN19" s="63">
        <v>0</v>
      </c>
      <c r="BO19" s="63">
        <v>-582023</v>
      </c>
      <c r="BP19" s="63">
        <v>-582757</v>
      </c>
      <c r="BQ19" s="63">
        <v>0</v>
      </c>
      <c r="BR19" s="63">
        <v>0</v>
      </c>
      <c r="BS19" s="63">
        <v>0</v>
      </c>
      <c r="BT19" s="63">
        <v>-582757</v>
      </c>
      <c r="BU19" s="63">
        <v>0</v>
      </c>
      <c r="BV19" s="63">
        <v>-582757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  <c r="CE19" s="63">
        <v>0</v>
      </c>
      <c r="CF19" s="63">
        <v>0</v>
      </c>
      <c r="CG19" s="63">
        <v>0</v>
      </c>
      <c r="CH19" s="63">
        <v>0</v>
      </c>
      <c r="CI19" s="63">
        <v>0</v>
      </c>
      <c r="CJ19" s="63">
        <v>0</v>
      </c>
      <c r="CK19" s="63">
        <v>0</v>
      </c>
      <c r="CL19" s="63">
        <v>0</v>
      </c>
      <c r="CM19" s="63">
        <v>0</v>
      </c>
      <c r="CN19" s="63">
        <v>0</v>
      </c>
      <c r="CO19" s="63">
        <v>0</v>
      </c>
      <c r="CP19" s="63">
        <v>0</v>
      </c>
      <c r="CQ19" s="63">
        <v>0</v>
      </c>
      <c r="CR19" s="63">
        <v>0</v>
      </c>
      <c r="CS19" s="63">
        <v>0</v>
      </c>
      <c r="CT19" s="63">
        <v>0</v>
      </c>
      <c r="CU19" s="63">
        <v>0</v>
      </c>
      <c r="CV19" s="63">
        <v>0</v>
      </c>
      <c r="CW19" s="63">
        <v>0</v>
      </c>
      <c r="CX19" s="63">
        <v>0</v>
      </c>
      <c r="CY19" s="63">
        <v>0</v>
      </c>
      <c r="CZ19" s="63">
        <v>0</v>
      </c>
      <c r="DA19" s="63">
        <v>-3197</v>
      </c>
      <c r="DB19" s="63">
        <v>0</v>
      </c>
      <c r="DC19" s="63">
        <v>-3197</v>
      </c>
      <c r="DD19" s="63">
        <v>-1578</v>
      </c>
      <c r="DE19" s="63">
        <v>0</v>
      </c>
      <c r="DF19" s="63">
        <v>-1578</v>
      </c>
      <c r="DG19" s="63">
        <v>-4775</v>
      </c>
      <c r="DH19" s="63">
        <v>0</v>
      </c>
      <c r="DI19" s="63">
        <v>0</v>
      </c>
      <c r="DJ19" s="63">
        <v>0</v>
      </c>
      <c r="DK19" s="63">
        <v>-4775</v>
      </c>
      <c r="DL19" s="63">
        <v>0</v>
      </c>
      <c r="DM19" s="63">
        <v>-4775</v>
      </c>
      <c r="DN19" s="63">
        <v>24370896</v>
      </c>
      <c r="DO19" s="63">
        <v>0</v>
      </c>
      <c r="DP19" s="63">
        <v>24370896</v>
      </c>
      <c r="DQ19" s="63"/>
      <c r="DR19" s="585"/>
    </row>
    <row r="20" spans="1:122" x14ac:dyDescent="0.2">
      <c r="A20" s="90">
        <v>13</v>
      </c>
      <c r="B20" s="129" t="s">
        <v>627</v>
      </c>
      <c r="C20" s="130" t="s">
        <v>742</v>
      </c>
      <c r="D20" s="131" t="s">
        <v>746</v>
      </c>
      <c r="E20" s="132" t="s">
        <v>626</v>
      </c>
      <c r="F20" s="475" t="s">
        <v>808</v>
      </c>
      <c r="G20" s="63">
        <v>187552543</v>
      </c>
      <c r="H20" s="63">
        <v>0</v>
      </c>
      <c r="I20" s="63">
        <v>187552543</v>
      </c>
      <c r="J20" s="608">
        <v>48.4</v>
      </c>
      <c r="K20" s="63">
        <v>90775431</v>
      </c>
      <c r="L20" s="63">
        <v>0</v>
      </c>
      <c r="M20" s="63">
        <v>915970</v>
      </c>
      <c r="N20" s="63">
        <v>0</v>
      </c>
      <c r="O20" s="63">
        <v>91691401</v>
      </c>
      <c r="P20" s="63">
        <v>0</v>
      </c>
      <c r="Q20" s="63">
        <v>91691401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0</v>
      </c>
      <c r="AE20" s="63">
        <v>0</v>
      </c>
      <c r="AF20" s="63">
        <v>0</v>
      </c>
      <c r="AG20" s="63">
        <v>0</v>
      </c>
      <c r="AH20" s="63">
        <v>-2560308</v>
      </c>
      <c r="AI20" s="63">
        <v>0</v>
      </c>
      <c r="AJ20" s="63">
        <v>-2560308</v>
      </c>
      <c r="AK20" s="63">
        <v>0</v>
      </c>
      <c r="AL20" s="63">
        <v>0</v>
      </c>
      <c r="AM20" s="63">
        <v>0</v>
      </c>
      <c r="AN20" s="63">
        <v>2179343</v>
      </c>
      <c r="AO20" s="63">
        <v>0</v>
      </c>
      <c r="AP20" s="63">
        <v>2179343</v>
      </c>
      <c r="AQ20" s="63">
        <v>-380965</v>
      </c>
      <c r="AR20" s="63">
        <v>0</v>
      </c>
      <c r="AS20" s="63">
        <v>-380965</v>
      </c>
      <c r="AT20" s="63">
        <v>-3556631</v>
      </c>
      <c r="AU20" s="63">
        <v>0</v>
      </c>
      <c r="AV20" s="63">
        <v>-3556631</v>
      </c>
      <c r="AW20" s="63">
        <v>-30218</v>
      </c>
      <c r="AX20" s="63">
        <v>0</v>
      </c>
      <c r="AY20" s="63">
        <v>-30218</v>
      </c>
      <c r="AZ20" s="63">
        <v>-3504</v>
      </c>
      <c r="BA20" s="63">
        <v>0</v>
      </c>
      <c r="BB20" s="63">
        <v>-3504</v>
      </c>
      <c r="BC20" s="63">
        <v>-3971318</v>
      </c>
      <c r="BD20" s="63">
        <v>0</v>
      </c>
      <c r="BE20" s="63">
        <v>24603</v>
      </c>
      <c r="BF20" s="63">
        <v>0</v>
      </c>
      <c r="BG20" s="63">
        <v>-3946715</v>
      </c>
      <c r="BH20" s="63">
        <v>0</v>
      </c>
      <c r="BI20" s="63">
        <v>-3946715</v>
      </c>
      <c r="BJ20" s="63">
        <v>0</v>
      </c>
      <c r="BK20" s="63">
        <v>0</v>
      </c>
      <c r="BL20" s="63">
        <v>0</v>
      </c>
      <c r="BM20" s="63">
        <v>-909402</v>
      </c>
      <c r="BN20" s="63">
        <v>0</v>
      </c>
      <c r="BO20" s="63">
        <v>-909402</v>
      </c>
      <c r="BP20" s="63">
        <v>-909402</v>
      </c>
      <c r="BQ20" s="63">
        <v>0</v>
      </c>
      <c r="BR20" s="63">
        <v>0</v>
      </c>
      <c r="BS20" s="63">
        <v>0</v>
      </c>
      <c r="BT20" s="63">
        <v>-909402</v>
      </c>
      <c r="BU20" s="63">
        <v>0</v>
      </c>
      <c r="BV20" s="63">
        <v>-909402</v>
      </c>
      <c r="BW20" s="63">
        <v>-7477</v>
      </c>
      <c r="BX20" s="63">
        <v>0</v>
      </c>
      <c r="BY20" s="63">
        <v>-7477</v>
      </c>
      <c r="BZ20" s="63">
        <v>-44603</v>
      </c>
      <c r="CA20" s="63">
        <v>0</v>
      </c>
      <c r="CB20" s="63">
        <v>-44603</v>
      </c>
      <c r="CC20" s="63">
        <v>0</v>
      </c>
      <c r="CD20" s="63">
        <v>0</v>
      </c>
      <c r="CE20" s="63">
        <v>0</v>
      </c>
      <c r="CF20" s="63">
        <v>0</v>
      </c>
      <c r="CG20" s="63">
        <v>0</v>
      </c>
      <c r="CH20" s="63">
        <v>0</v>
      </c>
      <c r="CI20" s="63">
        <v>0</v>
      </c>
      <c r="CJ20" s="63">
        <v>0</v>
      </c>
      <c r="CK20" s="63">
        <v>0</v>
      </c>
      <c r="CL20" s="63">
        <v>0</v>
      </c>
      <c r="CM20" s="63">
        <v>0</v>
      </c>
      <c r="CN20" s="63">
        <v>0</v>
      </c>
      <c r="CO20" s="63">
        <v>0</v>
      </c>
      <c r="CP20" s="63">
        <v>0</v>
      </c>
      <c r="CQ20" s="63">
        <v>-52080</v>
      </c>
      <c r="CR20" s="63">
        <v>0</v>
      </c>
      <c r="CS20" s="63">
        <v>0</v>
      </c>
      <c r="CT20" s="63">
        <v>0</v>
      </c>
      <c r="CU20" s="63">
        <v>-52080</v>
      </c>
      <c r="CV20" s="63">
        <v>0</v>
      </c>
      <c r="CW20" s="63">
        <v>-52080</v>
      </c>
      <c r="CX20" s="63">
        <v>0</v>
      </c>
      <c r="CY20" s="63">
        <v>0</v>
      </c>
      <c r="CZ20" s="63">
        <v>0</v>
      </c>
      <c r="DA20" s="63">
        <v>0</v>
      </c>
      <c r="DB20" s="63">
        <v>0</v>
      </c>
      <c r="DC20" s="63">
        <v>0</v>
      </c>
      <c r="DD20" s="63">
        <v>0</v>
      </c>
      <c r="DE20" s="63">
        <v>0</v>
      </c>
      <c r="DF20" s="63">
        <v>0</v>
      </c>
      <c r="DG20" s="63">
        <v>0</v>
      </c>
      <c r="DH20" s="63">
        <v>0</v>
      </c>
      <c r="DI20" s="63">
        <v>0</v>
      </c>
      <c r="DJ20" s="63">
        <v>0</v>
      </c>
      <c r="DK20" s="63">
        <v>0</v>
      </c>
      <c r="DL20" s="63">
        <v>0</v>
      </c>
      <c r="DM20" s="63">
        <v>0</v>
      </c>
      <c r="DN20" s="63">
        <v>86783204</v>
      </c>
      <c r="DO20" s="63">
        <v>0</v>
      </c>
      <c r="DP20" s="63">
        <v>86783204</v>
      </c>
      <c r="DQ20" s="63"/>
      <c r="DR20" s="585"/>
    </row>
    <row r="21" spans="1:122" x14ac:dyDescent="0.2">
      <c r="A21" s="90">
        <v>14</v>
      </c>
      <c r="B21" s="129" t="s">
        <v>629</v>
      </c>
      <c r="C21" s="130" t="s">
        <v>742</v>
      </c>
      <c r="D21" s="131" t="s">
        <v>743</v>
      </c>
      <c r="E21" s="132" t="s">
        <v>628</v>
      </c>
      <c r="F21" s="475" t="s">
        <v>808</v>
      </c>
      <c r="G21" s="63">
        <v>177384231</v>
      </c>
      <c r="H21" s="63">
        <v>0</v>
      </c>
      <c r="I21" s="63">
        <v>177384231</v>
      </c>
      <c r="J21" s="608">
        <v>48.4</v>
      </c>
      <c r="K21" s="63">
        <v>85853968</v>
      </c>
      <c r="L21" s="63">
        <v>0</v>
      </c>
      <c r="M21" s="63">
        <v>883760</v>
      </c>
      <c r="N21" s="63">
        <v>0</v>
      </c>
      <c r="O21" s="63">
        <v>86737728</v>
      </c>
      <c r="P21" s="63">
        <v>0</v>
      </c>
      <c r="Q21" s="63">
        <v>86737728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0</v>
      </c>
      <c r="AE21" s="63">
        <v>0</v>
      </c>
      <c r="AF21" s="63">
        <v>0</v>
      </c>
      <c r="AG21" s="63">
        <v>0</v>
      </c>
      <c r="AH21" s="63">
        <v>-1706955</v>
      </c>
      <c r="AI21" s="63">
        <v>0</v>
      </c>
      <c r="AJ21" s="63">
        <v>-1706955</v>
      </c>
      <c r="AK21" s="63">
        <v>-17060</v>
      </c>
      <c r="AL21" s="63">
        <v>0</v>
      </c>
      <c r="AM21" s="63">
        <v>-17060</v>
      </c>
      <c r="AN21" s="63">
        <v>2106257</v>
      </c>
      <c r="AO21" s="63">
        <v>0</v>
      </c>
      <c r="AP21" s="63">
        <v>2106257</v>
      </c>
      <c r="AQ21" s="63">
        <v>399302</v>
      </c>
      <c r="AR21" s="63">
        <v>0</v>
      </c>
      <c r="AS21" s="63">
        <v>399302</v>
      </c>
      <c r="AT21" s="63">
        <v>-3265678</v>
      </c>
      <c r="AU21" s="63">
        <v>0</v>
      </c>
      <c r="AV21" s="63">
        <v>-3265678</v>
      </c>
      <c r="AW21" s="63">
        <v>-11312</v>
      </c>
      <c r="AX21" s="63">
        <v>0</v>
      </c>
      <c r="AY21" s="63">
        <v>-11312</v>
      </c>
      <c r="AZ21" s="63">
        <v>-35554</v>
      </c>
      <c r="BA21" s="63">
        <v>0</v>
      </c>
      <c r="BB21" s="63">
        <v>-35554</v>
      </c>
      <c r="BC21" s="63">
        <v>-2913242</v>
      </c>
      <c r="BD21" s="63">
        <v>0</v>
      </c>
      <c r="BE21" s="63">
        <v>-141667</v>
      </c>
      <c r="BF21" s="63">
        <v>0</v>
      </c>
      <c r="BG21" s="63">
        <v>-3054909</v>
      </c>
      <c r="BH21" s="63">
        <v>0</v>
      </c>
      <c r="BI21" s="63">
        <v>-3054909</v>
      </c>
      <c r="BJ21" s="63">
        <v>-632591</v>
      </c>
      <c r="BK21" s="63">
        <v>0</v>
      </c>
      <c r="BL21" s="63">
        <v>-632591</v>
      </c>
      <c r="BM21" s="63">
        <v>-2196612</v>
      </c>
      <c r="BN21" s="63">
        <v>0</v>
      </c>
      <c r="BO21" s="63">
        <v>-2196612</v>
      </c>
      <c r="BP21" s="63">
        <v>-2829203</v>
      </c>
      <c r="BQ21" s="63">
        <v>0</v>
      </c>
      <c r="BR21" s="63">
        <v>-1750000</v>
      </c>
      <c r="BS21" s="63">
        <v>0</v>
      </c>
      <c r="BT21" s="63">
        <v>-4579203</v>
      </c>
      <c r="BU21" s="63">
        <v>0</v>
      </c>
      <c r="BV21" s="63">
        <v>-4579203</v>
      </c>
      <c r="BW21" s="63">
        <v>-382014</v>
      </c>
      <c r="BX21" s="63">
        <v>0</v>
      </c>
      <c r="BY21" s="63">
        <v>-382014</v>
      </c>
      <c r="BZ21" s="63">
        <v>-163260</v>
      </c>
      <c r="CA21" s="63">
        <v>0</v>
      </c>
      <c r="CB21" s="63">
        <v>-163260</v>
      </c>
      <c r="CC21" s="63">
        <v>-2828</v>
      </c>
      <c r="CD21" s="63">
        <v>0</v>
      </c>
      <c r="CE21" s="63">
        <v>-2828</v>
      </c>
      <c r="CF21" s="63">
        <v>-88794</v>
      </c>
      <c r="CG21" s="63">
        <v>0</v>
      </c>
      <c r="CH21" s="63">
        <v>-88794</v>
      </c>
      <c r="CI21" s="63">
        <v>0</v>
      </c>
      <c r="CJ21" s="63">
        <v>0</v>
      </c>
      <c r="CK21" s="63">
        <v>0</v>
      </c>
      <c r="CL21" s="63">
        <v>0</v>
      </c>
      <c r="CM21" s="63">
        <v>0</v>
      </c>
      <c r="CN21" s="63">
        <v>0</v>
      </c>
      <c r="CO21" s="63">
        <v>0</v>
      </c>
      <c r="CP21" s="63">
        <v>0</v>
      </c>
      <c r="CQ21" s="63">
        <v>-636896</v>
      </c>
      <c r="CR21" s="63">
        <v>0</v>
      </c>
      <c r="CS21" s="63">
        <v>-56000</v>
      </c>
      <c r="CT21" s="63">
        <v>0</v>
      </c>
      <c r="CU21" s="63">
        <v>-692896</v>
      </c>
      <c r="CV21" s="63">
        <v>0</v>
      </c>
      <c r="CW21" s="63">
        <v>-692896</v>
      </c>
      <c r="CX21" s="63">
        <v>0</v>
      </c>
      <c r="CY21" s="63">
        <v>0</v>
      </c>
      <c r="CZ21" s="63">
        <v>0</v>
      </c>
      <c r="DA21" s="63">
        <v>-75264</v>
      </c>
      <c r="DB21" s="63">
        <v>0</v>
      </c>
      <c r="DC21" s="63">
        <v>-75264</v>
      </c>
      <c r="DD21" s="63">
        <v>-5277</v>
      </c>
      <c r="DE21" s="63">
        <v>0</v>
      </c>
      <c r="DF21" s="63">
        <v>-5277</v>
      </c>
      <c r="DG21" s="63">
        <v>-80541</v>
      </c>
      <c r="DH21" s="63">
        <v>0</v>
      </c>
      <c r="DI21" s="63">
        <v>44670</v>
      </c>
      <c r="DJ21" s="63">
        <v>0</v>
      </c>
      <c r="DK21" s="63">
        <v>-35871</v>
      </c>
      <c r="DL21" s="63">
        <v>0</v>
      </c>
      <c r="DM21" s="63">
        <v>-35871</v>
      </c>
      <c r="DN21" s="63">
        <v>78374849</v>
      </c>
      <c r="DO21" s="63">
        <v>0</v>
      </c>
      <c r="DP21" s="63">
        <v>78374849</v>
      </c>
      <c r="DQ21" s="63"/>
      <c r="DR21" s="585"/>
    </row>
    <row r="22" spans="1:122" x14ac:dyDescent="0.2">
      <c r="A22" s="90">
        <v>15</v>
      </c>
      <c r="B22" s="129" t="s">
        <v>631</v>
      </c>
      <c r="C22" s="130" t="s">
        <v>742</v>
      </c>
      <c r="D22" s="131" t="s">
        <v>745</v>
      </c>
      <c r="E22" s="132" t="s">
        <v>630</v>
      </c>
      <c r="F22" s="475" t="s">
        <v>808</v>
      </c>
      <c r="G22" s="63">
        <v>125635377</v>
      </c>
      <c r="H22" s="63">
        <v>0</v>
      </c>
      <c r="I22" s="63">
        <v>125635377</v>
      </c>
      <c r="J22" s="608">
        <v>48.4</v>
      </c>
      <c r="K22" s="63">
        <v>60807522</v>
      </c>
      <c r="L22" s="63">
        <v>0</v>
      </c>
      <c r="M22" s="63">
        <v>400000</v>
      </c>
      <c r="N22" s="63">
        <v>0</v>
      </c>
      <c r="O22" s="63">
        <v>61207522</v>
      </c>
      <c r="P22" s="63">
        <v>0</v>
      </c>
      <c r="Q22" s="63">
        <v>61207522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0</v>
      </c>
      <c r="AE22" s="63">
        <v>0</v>
      </c>
      <c r="AF22" s="63">
        <v>0</v>
      </c>
      <c r="AG22" s="63">
        <v>0</v>
      </c>
      <c r="AH22" s="63">
        <v>-2660000</v>
      </c>
      <c r="AI22" s="63">
        <v>0</v>
      </c>
      <c r="AJ22" s="63">
        <v>-2660000</v>
      </c>
      <c r="AK22" s="63">
        <v>-16500</v>
      </c>
      <c r="AL22" s="63">
        <v>0</v>
      </c>
      <c r="AM22" s="63">
        <v>-16500</v>
      </c>
      <c r="AN22" s="63">
        <v>1451000</v>
      </c>
      <c r="AO22" s="63">
        <v>0</v>
      </c>
      <c r="AP22" s="63">
        <v>1451000</v>
      </c>
      <c r="AQ22" s="63">
        <v>-1209000</v>
      </c>
      <c r="AR22" s="63">
        <v>0</v>
      </c>
      <c r="AS22" s="63">
        <v>-1209000</v>
      </c>
      <c r="AT22" s="63">
        <v>-2719236</v>
      </c>
      <c r="AU22" s="63">
        <v>0</v>
      </c>
      <c r="AV22" s="63">
        <v>-2719236</v>
      </c>
      <c r="AW22" s="63">
        <v>-13460</v>
      </c>
      <c r="AX22" s="63">
        <v>0</v>
      </c>
      <c r="AY22" s="63">
        <v>-13460</v>
      </c>
      <c r="AZ22" s="63">
        <v>-40444</v>
      </c>
      <c r="BA22" s="63">
        <v>0</v>
      </c>
      <c r="BB22" s="63">
        <v>-40444</v>
      </c>
      <c r="BC22" s="63">
        <v>-3982140</v>
      </c>
      <c r="BD22" s="63">
        <v>0</v>
      </c>
      <c r="BE22" s="63">
        <v>-140000</v>
      </c>
      <c r="BF22" s="63">
        <v>0</v>
      </c>
      <c r="BG22" s="63">
        <v>-4122140</v>
      </c>
      <c r="BH22" s="63">
        <v>0</v>
      </c>
      <c r="BI22" s="63">
        <v>-4122140</v>
      </c>
      <c r="BJ22" s="63">
        <v>-1000000</v>
      </c>
      <c r="BK22" s="63">
        <v>0</v>
      </c>
      <c r="BL22" s="63">
        <v>-1000000</v>
      </c>
      <c r="BM22" s="63">
        <v>-1034820</v>
      </c>
      <c r="BN22" s="63">
        <v>0</v>
      </c>
      <c r="BO22" s="63">
        <v>-1034820</v>
      </c>
      <c r="BP22" s="63">
        <v>-2034820</v>
      </c>
      <c r="BQ22" s="63">
        <v>0</v>
      </c>
      <c r="BR22" s="63">
        <v>-2780000</v>
      </c>
      <c r="BS22" s="63">
        <v>0</v>
      </c>
      <c r="BT22" s="63">
        <v>-4814820</v>
      </c>
      <c r="BU22" s="63">
        <v>0</v>
      </c>
      <c r="BV22" s="63">
        <v>-4814820</v>
      </c>
      <c r="BW22" s="63">
        <v>-1000</v>
      </c>
      <c r="BX22" s="63">
        <v>0</v>
      </c>
      <c r="BY22" s="63">
        <v>-1000</v>
      </c>
      <c r="BZ22" s="63">
        <v>-19054</v>
      </c>
      <c r="CA22" s="63">
        <v>0</v>
      </c>
      <c r="CB22" s="63">
        <v>-19054</v>
      </c>
      <c r="CC22" s="63">
        <v>-1645</v>
      </c>
      <c r="CD22" s="63">
        <v>0</v>
      </c>
      <c r="CE22" s="63">
        <v>-1645</v>
      </c>
      <c r="CF22" s="63">
        <v>-40444</v>
      </c>
      <c r="CG22" s="63">
        <v>0</v>
      </c>
      <c r="CH22" s="63">
        <v>-40444</v>
      </c>
      <c r="CI22" s="63">
        <v>-12264</v>
      </c>
      <c r="CJ22" s="63">
        <v>0</v>
      </c>
      <c r="CK22" s="63">
        <v>-12264</v>
      </c>
      <c r="CL22" s="63">
        <v>-12265</v>
      </c>
      <c r="CM22" s="63">
        <v>0</v>
      </c>
      <c r="CN22" s="63">
        <v>-12265</v>
      </c>
      <c r="CO22" s="63">
        <v>0</v>
      </c>
      <c r="CP22" s="63">
        <v>0</v>
      </c>
      <c r="CQ22" s="63">
        <v>-86672</v>
      </c>
      <c r="CR22" s="63">
        <v>0</v>
      </c>
      <c r="CS22" s="63">
        <v>-32000</v>
      </c>
      <c r="CT22" s="63">
        <v>0</v>
      </c>
      <c r="CU22" s="63">
        <v>-118672</v>
      </c>
      <c r="CV22" s="63">
        <v>0</v>
      </c>
      <c r="CW22" s="63">
        <v>-118672</v>
      </c>
      <c r="CX22" s="63">
        <v>-77150</v>
      </c>
      <c r="CY22" s="63">
        <v>0</v>
      </c>
      <c r="CZ22" s="63">
        <v>-77150</v>
      </c>
      <c r="DA22" s="63">
        <v>-16650</v>
      </c>
      <c r="DB22" s="63">
        <v>0</v>
      </c>
      <c r="DC22" s="63">
        <v>-16650</v>
      </c>
      <c r="DD22" s="63">
        <v>-11880</v>
      </c>
      <c r="DE22" s="63">
        <v>0</v>
      </c>
      <c r="DF22" s="63">
        <v>-11880</v>
      </c>
      <c r="DG22" s="63">
        <v>-105680</v>
      </c>
      <c r="DH22" s="63">
        <v>0</v>
      </c>
      <c r="DI22" s="63">
        <v>-20000</v>
      </c>
      <c r="DJ22" s="63">
        <v>0</v>
      </c>
      <c r="DK22" s="63">
        <v>-125680</v>
      </c>
      <c r="DL22" s="63">
        <v>0</v>
      </c>
      <c r="DM22" s="63">
        <v>-125680</v>
      </c>
      <c r="DN22" s="63">
        <v>52026210</v>
      </c>
      <c r="DO22" s="63">
        <v>0</v>
      </c>
      <c r="DP22" s="63">
        <v>52026210</v>
      </c>
      <c r="DQ22" s="63"/>
      <c r="DR22" s="585"/>
    </row>
    <row r="23" spans="1:122" x14ac:dyDescent="0.2">
      <c r="A23" s="90">
        <v>16</v>
      </c>
      <c r="B23" s="129" t="s">
        <v>633</v>
      </c>
      <c r="C23" s="130" t="s">
        <v>501</v>
      </c>
      <c r="D23" s="131" t="s">
        <v>751</v>
      </c>
      <c r="E23" s="132" t="s">
        <v>632</v>
      </c>
      <c r="F23" s="475" t="s">
        <v>808</v>
      </c>
      <c r="G23" s="63">
        <v>154998085</v>
      </c>
      <c r="H23" s="63">
        <v>12795175</v>
      </c>
      <c r="I23" s="63">
        <v>167793260</v>
      </c>
      <c r="J23" s="608">
        <v>48.4</v>
      </c>
      <c r="K23" s="63">
        <v>75019073</v>
      </c>
      <c r="L23" s="63">
        <v>6192865</v>
      </c>
      <c r="M23" s="63">
        <v>954930</v>
      </c>
      <c r="N23" s="63">
        <v>0</v>
      </c>
      <c r="O23" s="63">
        <v>75974003</v>
      </c>
      <c r="P23" s="63">
        <v>6192865</v>
      </c>
      <c r="Q23" s="63">
        <v>82166868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0</v>
      </c>
      <c r="AE23" s="63">
        <v>0</v>
      </c>
      <c r="AF23" s="63">
        <v>0</v>
      </c>
      <c r="AG23" s="63">
        <v>0</v>
      </c>
      <c r="AH23" s="63">
        <v>-3923865</v>
      </c>
      <c r="AI23" s="63">
        <v>-94591</v>
      </c>
      <c r="AJ23" s="63">
        <v>-4018456</v>
      </c>
      <c r="AK23" s="63">
        <v>-7602</v>
      </c>
      <c r="AL23" s="63">
        <v>0</v>
      </c>
      <c r="AM23" s="63">
        <v>-7602</v>
      </c>
      <c r="AN23" s="63">
        <v>1728967</v>
      </c>
      <c r="AO23" s="63">
        <v>154531</v>
      </c>
      <c r="AP23" s="63">
        <v>1883498</v>
      </c>
      <c r="AQ23" s="63">
        <v>-2194898</v>
      </c>
      <c r="AR23" s="63">
        <v>59940</v>
      </c>
      <c r="AS23" s="63">
        <v>-2134958</v>
      </c>
      <c r="AT23" s="63">
        <v>-6937984</v>
      </c>
      <c r="AU23" s="63">
        <v>-183099</v>
      </c>
      <c r="AV23" s="63">
        <v>-7121083</v>
      </c>
      <c r="AW23" s="63">
        <v>-154087</v>
      </c>
      <c r="AX23" s="63">
        <v>0</v>
      </c>
      <c r="AY23" s="63">
        <v>-154087</v>
      </c>
      <c r="AZ23" s="63">
        <v>-27036</v>
      </c>
      <c r="BA23" s="63">
        <v>0</v>
      </c>
      <c r="BB23" s="63">
        <v>-27036</v>
      </c>
      <c r="BC23" s="63">
        <v>-9314005</v>
      </c>
      <c r="BD23" s="63">
        <v>-123159</v>
      </c>
      <c r="BE23" s="63">
        <v>-595000</v>
      </c>
      <c r="BF23" s="63">
        <v>-152548</v>
      </c>
      <c r="BG23" s="63">
        <v>-9909005</v>
      </c>
      <c r="BH23" s="63">
        <v>-275707</v>
      </c>
      <c r="BI23" s="63">
        <v>-10184712</v>
      </c>
      <c r="BJ23" s="63">
        <v>-13476</v>
      </c>
      <c r="BK23" s="63">
        <v>-2125</v>
      </c>
      <c r="BL23" s="63">
        <v>-15601</v>
      </c>
      <c r="BM23" s="63">
        <v>-2179926</v>
      </c>
      <c r="BN23" s="63">
        <v>-156134</v>
      </c>
      <c r="BO23" s="63">
        <v>-2336060</v>
      </c>
      <c r="BP23" s="63">
        <v>-2193402</v>
      </c>
      <c r="BQ23" s="63">
        <v>-158259</v>
      </c>
      <c r="BR23" s="63">
        <v>-373290</v>
      </c>
      <c r="BS23" s="63">
        <v>-26710</v>
      </c>
      <c r="BT23" s="63">
        <v>-2566692</v>
      </c>
      <c r="BU23" s="63">
        <v>-184969</v>
      </c>
      <c r="BV23" s="63">
        <v>-2751661</v>
      </c>
      <c r="BW23" s="63">
        <v>-85991</v>
      </c>
      <c r="BX23" s="63">
        <v>0</v>
      </c>
      <c r="BY23" s="63">
        <v>-85991</v>
      </c>
      <c r="BZ23" s="63">
        <v>-50970</v>
      </c>
      <c r="CA23" s="63">
        <v>0</v>
      </c>
      <c r="CB23" s="63">
        <v>-50970</v>
      </c>
      <c r="CC23" s="63">
        <v>-20665</v>
      </c>
      <c r="CD23" s="63">
        <v>0</v>
      </c>
      <c r="CE23" s="63">
        <v>-20665</v>
      </c>
      <c r="CF23" s="63">
        <v>-15593</v>
      </c>
      <c r="CG23" s="63">
        <v>0</v>
      </c>
      <c r="CH23" s="63">
        <v>-15593</v>
      </c>
      <c r="CI23" s="63">
        <v>-37637</v>
      </c>
      <c r="CJ23" s="63">
        <v>0</v>
      </c>
      <c r="CK23" s="63">
        <v>-37637</v>
      </c>
      <c r="CL23" s="63">
        <v>0</v>
      </c>
      <c r="CM23" s="63">
        <v>0</v>
      </c>
      <c r="CN23" s="63">
        <v>0</v>
      </c>
      <c r="CO23" s="63">
        <v>0</v>
      </c>
      <c r="CP23" s="63">
        <v>0</v>
      </c>
      <c r="CQ23" s="63">
        <v>-210856</v>
      </c>
      <c r="CR23" s="63">
        <v>0</v>
      </c>
      <c r="CS23" s="63">
        <v>0</v>
      </c>
      <c r="CT23" s="63">
        <v>0</v>
      </c>
      <c r="CU23" s="63">
        <v>-210856</v>
      </c>
      <c r="CV23" s="63">
        <v>0</v>
      </c>
      <c r="CW23" s="63">
        <v>-210856</v>
      </c>
      <c r="CX23" s="63">
        <v>0</v>
      </c>
      <c r="CY23" s="63">
        <v>0</v>
      </c>
      <c r="CZ23" s="63">
        <v>0</v>
      </c>
      <c r="DA23" s="63">
        <v>-47478</v>
      </c>
      <c r="DB23" s="63">
        <v>0</v>
      </c>
      <c r="DC23" s="63">
        <v>-47478</v>
      </c>
      <c r="DD23" s="63">
        <v>-667</v>
      </c>
      <c r="DE23" s="63">
        <v>0</v>
      </c>
      <c r="DF23" s="63">
        <v>-667</v>
      </c>
      <c r="DG23" s="63">
        <v>-48145</v>
      </c>
      <c r="DH23" s="63">
        <v>0</v>
      </c>
      <c r="DI23" s="63">
        <v>0</v>
      </c>
      <c r="DJ23" s="63">
        <v>0</v>
      </c>
      <c r="DK23" s="63">
        <v>-48145</v>
      </c>
      <c r="DL23" s="63">
        <v>0</v>
      </c>
      <c r="DM23" s="63">
        <v>-48145</v>
      </c>
      <c r="DN23" s="63">
        <v>63239305</v>
      </c>
      <c r="DO23" s="63">
        <v>5732189</v>
      </c>
      <c r="DP23" s="63">
        <v>68971494</v>
      </c>
      <c r="DQ23" s="63"/>
      <c r="DR23" s="585" t="s">
        <v>768</v>
      </c>
    </row>
    <row r="24" spans="1:122" x14ac:dyDescent="0.2">
      <c r="A24" s="90">
        <v>17</v>
      </c>
      <c r="B24" s="129" t="s">
        <v>635</v>
      </c>
      <c r="C24" s="130" t="s">
        <v>501</v>
      </c>
      <c r="D24" s="131" t="s">
        <v>746</v>
      </c>
      <c r="E24" s="132" t="s">
        <v>634</v>
      </c>
      <c r="F24" s="475" t="s">
        <v>808</v>
      </c>
      <c r="G24" s="63">
        <v>162297641</v>
      </c>
      <c r="H24" s="63">
        <v>0</v>
      </c>
      <c r="I24" s="63">
        <v>162297641</v>
      </c>
      <c r="J24" s="608">
        <v>48.4</v>
      </c>
      <c r="K24" s="63">
        <v>78552058</v>
      </c>
      <c r="L24" s="63">
        <v>0</v>
      </c>
      <c r="M24" s="63">
        <v>-471695</v>
      </c>
      <c r="N24" s="63">
        <v>0</v>
      </c>
      <c r="O24" s="63">
        <v>78080363</v>
      </c>
      <c r="P24" s="63">
        <v>0</v>
      </c>
      <c r="Q24" s="63">
        <v>78080363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  <c r="AG24" s="63">
        <v>0</v>
      </c>
      <c r="AH24" s="63">
        <v>-3294517</v>
      </c>
      <c r="AI24" s="63">
        <v>0</v>
      </c>
      <c r="AJ24" s="63">
        <v>-3294517</v>
      </c>
      <c r="AK24" s="63">
        <v>-1500</v>
      </c>
      <c r="AL24" s="63">
        <v>0</v>
      </c>
      <c r="AM24" s="63">
        <v>-1500</v>
      </c>
      <c r="AN24" s="63">
        <v>1870485</v>
      </c>
      <c r="AO24" s="63">
        <v>0</v>
      </c>
      <c r="AP24" s="63">
        <v>1870485</v>
      </c>
      <c r="AQ24" s="63">
        <v>-1424032</v>
      </c>
      <c r="AR24" s="63">
        <v>0</v>
      </c>
      <c r="AS24" s="63">
        <v>-1424032</v>
      </c>
      <c r="AT24" s="63">
        <v>-5317585</v>
      </c>
      <c r="AU24" s="63">
        <v>0</v>
      </c>
      <c r="AV24" s="63">
        <v>-5317585</v>
      </c>
      <c r="AW24" s="63">
        <v>-147800</v>
      </c>
      <c r="AX24" s="63">
        <v>0</v>
      </c>
      <c r="AY24" s="63">
        <v>-147800</v>
      </c>
      <c r="AZ24" s="63">
        <v>-50801</v>
      </c>
      <c r="BA24" s="63">
        <v>0</v>
      </c>
      <c r="BB24" s="63">
        <v>-50801</v>
      </c>
      <c r="BC24" s="63">
        <v>-6940218</v>
      </c>
      <c r="BD24" s="63">
        <v>0</v>
      </c>
      <c r="BE24" s="63">
        <v>0</v>
      </c>
      <c r="BF24" s="63">
        <v>0</v>
      </c>
      <c r="BG24" s="63">
        <v>-6940218</v>
      </c>
      <c r="BH24" s="63">
        <v>0</v>
      </c>
      <c r="BI24" s="63">
        <v>-6940218</v>
      </c>
      <c r="BJ24" s="63">
        <v>-50000</v>
      </c>
      <c r="BK24" s="63">
        <v>0</v>
      </c>
      <c r="BL24" s="63">
        <v>-50000</v>
      </c>
      <c r="BM24" s="63">
        <v>-2181950</v>
      </c>
      <c r="BN24" s="63">
        <v>0</v>
      </c>
      <c r="BO24" s="63">
        <v>-2181950</v>
      </c>
      <c r="BP24" s="63">
        <v>-2231950</v>
      </c>
      <c r="BQ24" s="63">
        <v>0</v>
      </c>
      <c r="BR24" s="63">
        <v>0</v>
      </c>
      <c r="BS24" s="63">
        <v>0</v>
      </c>
      <c r="BT24" s="63">
        <v>-2231950</v>
      </c>
      <c r="BU24" s="63">
        <v>0</v>
      </c>
      <c r="BV24" s="63">
        <v>-2231950</v>
      </c>
      <c r="BW24" s="63">
        <v>-115065</v>
      </c>
      <c r="BX24" s="63">
        <v>0</v>
      </c>
      <c r="BY24" s="63">
        <v>-115065</v>
      </c>
      <c r="BZ24" s="63">
        <v>-16797</v>
      </c>
      <c r="CA24" s="63">
        <v>0</v>
      </c>
      <c r="CB24" s="63">
        <v>-16797</v>
      </c>
      <c r="CC24" s="63">
        <v>-1454</v>
      </c>
      <c r="CD24" s="63">
        <v>0</v>
      </c>
      <c r="CE24" s="63">
        <v>-1454</v>
      </c>
      <c r="CF24" s="63">
        <v>-37679</v>
      </c>
      <c r="CG24" s="63">
        <v>0</v>
      </c>
      <c r="CH24" s="63">
        <v>-37679</v>
      </c>
      <c r="CI24" s="63">
        <v>-25991</v>
      </c>
      <c r="CJ24" s="63">
        <v>0</v>
      </c>
      <c r="CK24" s="63">
        <v>-25991</v>
      </c>
      <c r="CL24" s="63">
        <v>-26000</v>
      </c>
      <c r="CM24" s="63">
        <v>0</v>
      </c>
      <c r="CN24" s="63">
        <v>-26000</v>
      </c>
      <c r="CO24" s="63">
        <v>0</v>
      </c>
      <c r="CP24" s="63">
        <v>0</v>
      </c>
      <c r="CQ24" s="63">
        <v>-222986</v>
      </c>
      <c r="CR24" s="63">
        <v>0</v>
      </c>
      <c r="CS24" s="63">
        <v>0</v>
      </c>
      <c r="CT24" s="63">
        <v>0</v>
      </c>
      <c r="CU24" s="63">
        <v>-222986</v>
      </c>
      <c r="CV24" s="63">
        <v>0</v>
      </c>
      <c r="CW24" s="63">
        <v>-222986</v>
      </c>
      <c r="CX24" s="63">
        <v>-69335</v>
      </c>
      <c r="CY24" s="63">
        <v>0</v>
      </c>
      <c r="CZ24" s="63">
        <v>-69335</v>
      </c>
      <c r="DA24" s="63">
        <v>-30978</v>
      </c>
      <c r="DB24" s="63">
        <v>0</v>
      </c>
      <c r="DC24" s="63">
        <v>-30978</v>
      </c>
      <c r="DD24" s="63">
        <v>0</v>
      </c>
      <c r="DE24" s="63">
        <v>0</v>
      </c>
      <c r="DF24" s="63">
        <v>0</v>
      </c>
      <c r="DG24" s="63">
        <v>-100313</v>
      </c>
      <c r="DH24" s="63">
        <v>0</v>
      </c>
      <c r="DI24" s="63">
        <v>0</v>
      </c>
      <c r="DJ24" s="63">
        <v>0</v>
      </c>
      <c r="DK24" s="63">
        <v>-100313</v>
      </c>
      <c r="DL24" s="63">
        <v>0</v>
      </c>
      <c r="DM24" s="63">
        <v>-100313</v>
      </c>
      <c r="DN24" s="63">
        <v>68584896</v>
      </c>
      <c r="DO24" s="63">
        <v>0</v>
      </c>
      <c r="DP24" s="63">
        <v>68584896</v>
      </c>
      <c r="DQ24" s="63"/>
      <c r="DR24" s="585"/>
    </row>
    <row r="25" spans="1:122" x14ac:dyDescent="0.2">
      <c r="A25" s="90">
        <v>18</v>
      </c>
      <c r="B25" s="129" t="s">
        <v>637</v>
      </c>
      <c r="C25" s="130" t="s">
        <v>747</v>
      </c>
      <c r="D25" s="131" t="s">
        <v>748</v>
      </c>
      <c r="E25" s="132" t="s">
        <v>636</v>
      </c>
      <c r="F25" s="475" t="s">
        <v>808</v>
      </c>
      <c r="G25" s="63">
        <v>172573022</v>
      </c>
      <c r="H25" s="63">
        <v>0</v>
      </c>
      <c r="I25" s="63">
        <v>172573022</v>
      </c>
      <c r="J25" s="608">
        <v>48.4</v>
      </c>
      <c r="K25" s="63">
        <v>83525343</v>
      </c>
      <c r="L25" s="63">
        <v>0</v>
      </c>
      <c r="M25" s="63">
        <v>0</v>
      </c>
      <c r="N25" s="63">
        <v>0</v>
      </c>
      <c r="O25" s="63">
        <v>83525343</v>
      </c>
      <c r="P25" s="63">
        <v>0</v>
      </c>
      <c r="Q25" s="63">
        <v>83525343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-4061446</v>
      </c>
      <c r="AI25" s="63">
        <v>0</v>
      </c>
      <c r="AJ25" s="63">
        <v>-4061446</v>
      </c>
      <c r="AK25" s="63">
        <v>0</v>
      </c>
      <c r="AL25" s="63">
        <v>0</v>
      </c>
      <c r="AM25" s="63">
        <v>0</v>
      </c>
      <c r="AN25" s="63">
        <v>1860441</v>
      </c>
      <c r="AO25" s="63">
        <v>0</v>
      </c>
      <c r="AP25" s="63">
        <v>1860441</v>
      </c>
      <c r="AQ25" s="63">
        <v>-2201005</v>
      </c>
      <c r="AR25" s="63">
        <v>0</v>
      </c>
      <c r="AS25" s="63">
        <v>-2201005</v>
      </c>
      <c r="AT25" s="63">
        <v>-6816316</v>
      </c>
      <c r="AU25" s="63">
        <v>0</v>
      </c>
      <c r="AV25" s="63">
        <v>-6816316</v>
      </c>
      <c r="AW25" s="63">
        <v>-103277</v>
      </c>
      <c r="AX25" s="63">
        <v>0</v>
      </c>
      <c r="AY25" s="63">
        <v>-103277</v>
      </c>
      <c r="AZ25" s="63">
        <v>0</v>
      </c>
      <c r="BA25" s="63">
        <v>0</v>
      </c>
      <c r="BB25" s="63">
        <v>0</v>
      </c>
      <c r="BC25" s="63">
        <v>-9120598</v>
      </c>
      <c r="BD25" s="63">
        <v>0</v>
      </c>
      <c r="BE25" s="63">
        <v>0</v>
      </c>
      <c r="BF25" s="63">
        <v>0</v>
      </c>
      <c r="BG25" s="63">
        <v>-9120598</v>
      </c>
      <c r="BH25" s="63">
        <v>0</v>
      </c>
      <c r="BI25" s="63">
        <v>-9120598</v>
      </c>
      <c r="BJ25" s="63">
        <v>0</v>
      </c>
      <c r="BK25" s="63">
        <v>0</v>
      </c>
      <c r="BL25" s="63">
        <v>0</v>
      </c>
      <c r="BM25" s="63">
        <v>-657778</v>
      </c>
      <c r="BN25" s="63">
        <v>0</v>
      </c>
      <c r="BO25" s="63">
        <v>-657778</v>
      </c>
      <c r="BP25" s="63">
        <v>-657778</v>
      </c>
      <c r="BQ25" s="63">
        <v>0</v>
      </c>
      <c r="BR25" s="63">
        <v>-742000</v>
      </c>
      <c r="BS25" s="63">
        <v>0</v>
      </c>
      <c r="BT25" s="63">
        <v>-1399778</v>
      </c>
      <c r="BU25" s="63">
        <v>0</v>
      </c>
      <c r="BV25" s="63">
        <v>-1399778</v>
      </c>
      <c r="BW25" s="63">
        <v>0</v>
      </c>
      <c r="BX25" s="63">
        <v>0</v>
      </c>
      <c r="BY25" s="63">
        <v>0</v>
      </c>
      <c r="BZ25" s="63">
        <v>0</v>
      </c>
      <c r="CA25" s="63">
        <v>0</v>
      </c>
      <c r="CB25" s="63">
        <v>0</v>
      </c>
      <c r="CC25" s="63">
        <v>0</v>
      </c>
      <c r="CD25" s="63">
        <v>0</v>
      </c>
      <c r="CE25" s="63">
        <v>0</v>
      </c>
      <c r="CF25" s="63">
        <v>0</v>
      </c>
      <c r="CG25" s="63">
        <v>0</v>
      </c>
      <c r="CH25" s="63">
        <v>0</v>
      </c>
      <c r="CI25" s="63">
        <v>0</v>
      </c>
      <c r="CJ25" s="63">
        <v>0</v>
      </c>
      <c r="CK25" s="63">
        <v>0</v>
      </c>
      <c r="CL25" s="63">
        <v>0</v>
      </c>
      <c r="CM25" s="63">
        <v>0</v>
      </c>
      <c r="CN25" s="63">
        <v>0</v>
      </c>
      <c r="CO25" s="63">
        <v>0</v>
      </c>
      <c r="CP25" s="63">
        <v>0</v>
      </c>
      <c r="CQ25" s="63">
        <v>0</v>
      </c>
      <c r="CR25" s="63">
        <v>0</v>
      </c>
      <c r="CS25" s="63">
        <v>0</v>
      </c>
      <c r="CT25" s="63">
        <v>0</v>
      </c>
      <c r="CU25" s="63">
        <v>0</v>
      </c>
      <c r="CV25" s="63">
        <v>0</v>
      </c>
      <c r="CW25" s="63">
        <v>0</v>
      </c>
      <c r="CX25" s="63">
        <v>0</v>
      </c>
      <c r="CY25" s="63">
        <v>0</v>
      </c>
      <c r="CZ25" s="63">
        <v>0</v>
      </c>
      <c r="DA25" s="63">
        <v>-2981</v>
      </c>
      <c r="DB25" s="63">
        <v>0</v>
      </c>
      <c r="DC25" s="63">
        <v>-2981</v>
      </c>
      <c r="DD25" s="63">
        <v>-37</v>
      </c>
      <c r="DE25" s="63">
        <v>0</v>
      </c>
      <c r="DF25" s="63">
        <v>-37</v>
      </c>
      <c r="DG25" s="63">
        <v>-3018</v>
      </c>
      <c r="DH25" s="63">
        <v>0</v>
      </c>
      <c r="DI25" s="63">
        <v>0</v>
      </c>
      <c r="DJ25" s="63">
        <v>0</v>
      </c>
      <c r="DK25" s="63">
        <v>-3018</v>
      </c>
      <c r="DL25" s="63">
        <v>0</v>
      </c>
      <c r="DM25" s="63">
        <v>-3018</v>
      </c>
      <c r="DN25" s="63">
        <v>73001949</v>
      </c>
      <c r="DO25" s="63">
        <v>0</v>
      </c>
      <c r="DP25" s="63">
        <v>73001949</v>
      </c>
      <c r="DQ25" s="63"/>
      <c r="DR25" s="585"/>
    </row>
    <row r="26" spans="1:122" x14ac:dyDescent="0.2">
      <c r="A26" s="90">
        <v>19</v>
      </c>
      <c r="B26" s="129" t="s">
        <v>639</v>
      </c>
      <c r="C26" s="130" t="s">
        <v>749</v>
      </c>
      <c r="D26" s="131" t="s">
        <v>752</v>
      </c>
      <c r="E26" s="132" t="s">
        <v>638</v>
      </c>
      <c r="F26" s="475" t="s">
        <v>808</v>
      </c>
      <c r="G26" s="63">
        <v>1021761475</v>
      </c>
      <c r="H26" s="63">
        <v>29809278</v>
      </c>
      <c r="I26" s="63">
        <v>1051570753</v>
      </c>
      <c r="J26" s="608">
        <v>48.4</v>
      </c>
      <c r="K26" s="63">
        <v>494532554</v>
      </c>
      <c r="L26" s="63">
        <v>14427691</v>
      </c>
      <c r="M26" s="63">
        <v>9489425</v>
      </c>
      <c r="N26" s="63">
        <v>4408402</v>
      </c>
      <c r="O26" s="63">
        <v>504021979</v>
      </c>
      <c r="P26" s="63">
        <v>18836093</v>
      </c>
      <c r="Q26" s="63">
        <v>522858072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0</v>
      </c>
      <c r="AE26" s="63">
        <v>0</v>
      </c>
      <c r="AF26" s="63">
        <v>0</v>
      </c>
      <c r="AG26" s="63">
        <v>0</v>
      </c>
      <c r="AH26" s="63">
        <v>-25027871</v>
      </c>
      <c r="AI26" s="63">
        <v>-388651</v>
      </c>
      <c r="AJ26" s="63">
        <v>-25416522</v>
      </c>
      <c r="AK26" s="63">
        <v>0</v>
      </c>
      <c r="AL26" s="63">
        <v>0</v>
      </c>
      <c r="AM26" s="63">
        <v>0</v>
      </c>
      <c r="AN26" s="63">
        <v>11940078</v>
      </c>
      <c r="AO26" s="63">
        <v>325667</v>
      </c>
      <c r="AP26" s="63">
        <v>12265745</v>
      </c>
      <c r="AQ26" s="63">
        <v>-13087793</v>
      </c>
      <c r="AR26" s="63">
        <v>-62984</v>
      </c>
      <c r="AS26" s="63">
        <v>-13150777</v>
      </c>
      <c r="AT26" s="63">
        <v>-32234766</v>
      </c>
      <c r="AU26" s="63">
        <v>-664308</v>
      </c>
      <c r="AV26" s="63">
        <v>-32899074</v>
      </c>
      <c r="AW26" s="63">
        <v>-131345</v>
      </c>
      <c r="AX26" s="63">
        <v>0</v>
      </c>
      <c r="AY26" s="63">
        <v>-131345</v>
      </c>
      <c r="AZ26" s="63">
        <v>0</v>
      </c>
      <c r="BA26" s="63">
        <v>0</v>
      </c>
      <c r="BB26" s="63">
        <v>0</v>
      </c>
      <c r="BC26" s="63">
        <v>-45453904</v>
      </c>
      <c r="BD26" s="63">
        <v>-727292</v>
      </c>
      <c r="BE26" s="63">
        <v>0</v>
      </c>
      <c r="BF26" s="63">
        <v>0</v>
      </c>
      <c r="BG26" s="63">
        <v>-45453904</v>
      </c>
      <c r="BH26" s="63">
        <v>-727292</v>
      </c>
      <c r="BI26" s="63">
        <v>-46181196</v>
      </c>
      <c r="BJ26" s="63">
        <v>-504167</v>
      </c>
      <c r="BK26" s="63">
        <v>0</v>
      </c>
      <c r="BL26" s="63">
        <v>-504167</v>
      </c>
      <c r="BM26" s="63">
        <v>-26970242</v>
      </c>
      <c r="BN26" s="63">
        <v>-851055</v>
      </c>
      <c r="BO26" s="63">
        <v>-27821297</v>
      </c>
      <c r="BP26" s="63">
        <v>-27474409</v>
      </c>
      <c r="BQ26" s="63">
        <v>-851055</v>
      </c>
      <c r="BR26" s="63">
        <v>0</v>
      </c>
      <c r="BS26" s="63">
        <v>0</v>
      </c>
      <c r="BT26" s="63">
        <v>-27474409</v>
      </c>
      <c r="BU26" s="63">
        <v>-851055</v>
      </c>
      <c r="BV26" s="63">
        <v>-28325464</v>
      </c>
      <c r="BW26" s="63">
        <v>-51000</v>
      </c>
      <c r="BX26" s="63">
        <v>0</v>
      </c>
      <c r="BY26" s="63">
        <v>-51000</v>
      </c>
      <c r="BZ26" s="63">
        <v>-848497</v>
      </c>
      <c r="CA26" s="63">
        <v>-12983</v>
      </c>
      <c r="CB26" s="63">
        <v>-861480</v>
      </c>
      <c r="CC26" s="63">
        <v>0</v>
      </c>
      <c r="CD26" s="63">
        <v>0</v>
      </c>
      <c r="CE26" s="63">
        <v>0</v>
      </c>
      <c r="CF26" s="63">
        <v>0</v>
      </c>
      <c r="CG26" s="63">
        <v>0</v>
      </c>
      <c r="CH26" s="63">
        <v>0</v>
      </c>
      <c r="CI26" s="63">
        <v>0</v>
      </c>
      <c r="CJ26" s="63">
        <v>0</v>
      </c>
      <c r="CK26" s="63">
        <v>0</v>
      </c>
      <c r="CL26" s="63">
        <v>0</v>
      </c>
      <c r="CM26" s="63">
        <v>-423987</v>
      </c>
      <c r="CN26" s="63">
        <v>-423987</v>
      </c>
      <c r="CO26" s="63">
        <v>-423987</v>
      </c>
      <c r="CP26" s="63">
        <v>0</v>
      </c>
      <c r="CQ26" s="63">
        <v>-899497</v>
      </c>
      <c r="CR26" s="63">
        <v>-436970</v>
      </c>
      <c r="CS26" s="63">
        <v>0</v>
      </c>
      <c r="CT26" s="63">
        <v>0</v>
      </c>
      <c r="CU26" s="63">
        <v>-899497</v>
      </c>
      <c r="CV26" s="63">
        <v>-436970</v>
      </c>
      <c r="CW26" s="63">
        <v>-1336467</v>
      </c>
      <c r="CX26" s="63">
        <v>0</v>
      </c>
      <c r="CY26" s="63">
        <v>0</v>
      </c>
      <c r="CZ26" s="63">
        <v>0</v>
      </c>
      <c r="DA26" s="63">
        <v>0</v>
      </c>
      <c r="DB26" s="63">
        <v>0</v>
      </c>
      <c r="DC26" s="63">
        <v>0</v>
      </c>
      <c r="DD26" s="63">
        <v>0</v>
      </c>
      <c r="DE26" s="63">
        <v>0</v>
      </c>
      <c r="DF26" s="63">
        <v>0</v>
      </c>
      <c r="DG26" s="63">
        <v>0</v>
      </c>
      <c r="DH26" s="63">
        <v>0</v>
      </c>
      <c r="DI26" s="63">
        <v>0</v>
      </c>
      <c r="DJ26" s="63">
        <v>0</v>
      </c>
      <c r="DK26" s="63">
        <v>0</v>
      </c>
      <c r="DL26" s="63">
        <v>0</v>
      </c>
      <c r="DM26" s="63">
        <v>0</v>
      </c>
      <c r="DN26" s="63">
        <v>430194169</v>
      </c>
      <c r="DO26" s="63">
        <v>16820776</v>
      </c>
      <c r="DP26" s="63">
        <v>447014945</v>
      </c>
      <c r="DQ26" s="63"/>
      <c r="DR26" s="585" t="s">
        <v>768</v>
      </c>
    </row>
    <row r="27" spans="1:122" x14ac:dyDescent="0.2">
      <c r="A27" s="90">
        <v>20</v>
      </c>
      <c r="B27" s="129" t="s">
        <v>641</v>
      </c>
      <c r="C27" s="130" t="s">
        <v>742</v>
      </c>
      <c r="D27" s="131" t="s">
        <v>745</v>
      </c>
      <c r="E27" s="132" t="s">
        <v>640</v>
      </c>
      <c r="F27" s="475" t="s">
        <v>808</v>
      </c>
      <c r="G27" s="63">
        <v>91765770</v>
      </c>
      <c r="H27" s="63">
        <v>0</v>
      </c>
      <c r="I27" s="63">
        <v>91765770</v>
      </c>
      <c r="J27" s="608">
        <v>48.4</v>
      </c>
      <c r="K27" s="63">
        <v>44414633</v>
      </c>
      <c r="L27" s="63">
        <v>0</v>
      </c>
      <c r="M27" s="63">
        <v>690772</v>
      </c>
      <c r="N27" s="63">
        <v>0</v>
      </c>
      <c r="O27" s="63">
        <v>45105405</v>
      </c>
      <c r="P27" s="63">
        <v>0</v>
      </c>
      <c r="Q27" s="63">
        <v>45105405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  <c r="AH27" s="63">
        <v>-1262223</v>
      </c>
      <c r="AI27" s="63">
        <v>0</v>
      </c>
      <c r="AJ27" s="63">
        <v>-1262223</v>
      </c>
      <c r="AK27" s="63">
        <v>0</v>
      </c>
      <c r="AL27" s="63">
        <v>0</v>
      </c>
      <c r="AM27" s="63">
        <v>0</v>
      </c>
      <c r="AN27" s="63">
        <v>1087995</v>
      </c>
      <c r="AO27" s="63">
        <v>0</v>
      </c>
      <c r="AP27" s="63">
        <v>1087995</v>
      </c>
      <c r="AQ27" s="63">
        <v>-174228</v>
      </c>
      <c r="AR27" s="63">
        <v>0</v>
      </c>
      <c r="AS27" s="63">
        <v>-174228</v>
      </c>
      <c r="AT27" s="63">
        <v>-901216</v>
      </c>
      <c r="AU27" s="63">
        <v>0</v>
      </c>
      <c r="AV27" s="63">
        <v>-901216</v>
      </c>
      <c r="AW27" s="63">
        <v>-45587</v>
      </c>
      <c r="AX27" s="63">
        <v>0</v>
      </c>
      <c r="AY27" s="63">
        <v>-45587</v>
      </c>
      <c r="AZ27" s="63">
        <v>0</v>
      </c>
      <c r="BA27" s="63">
        <v>0</v>
      </c>
      <c r="BB27" s="63">
        <v>0</v>
      </c>
      <c r="BC27" s="63">
        <v>-1121031</v>
      </c>
      <c r="BD27" s="63">
        <v>0</v>
      </c>
      <c r="BE27" s="63">
        <v>0</v>
      </c>
      <c r="BF27" s="63">
        <v>0</v>
      </c>
      <c r="BG27" s="63">
        <v>-1121031</v>
      </c>
      <c r="BH27" s="63">
        <v>0</v>
      </c>
      <c r="BI27" s="63">
        <v>-1121031</v>
      </c>
      <c r="BJ27" s="63">
        <v>-213201</v>
      </c>
      <c r="BK27" s="63">
        <v>0</v>
      </c>
      <c r="BL27" s="63">
        <v>-213201</v>
      </c>
      <c r="BM27" s="63">
        <v>-434930</v>
      </c>
      <c r="BN27" s="63">
        <v>0</v>
      </c>
      <c r="BO27" s="63">
        <v>-434930</v>
      </c>
      <c r="BP27" s="63">
        <v>-648131</v>
      </c>
      <c r="BQ27" s="63">
        <v>0</v>
      </c>
      <c r="BR27" s="63">
        <v>0</v>
      </c>
      <c r="BS27" s="63">
        <v>0</v>
      </c>
      <c r="BT27" s="63">
        <v>-648131</v>
      </c>
      <c r="BU27" s="63">
        <v>0</v>
      </c>
      <c r="BV27" s="63">
        <v>-648131</v>
      </c>
      <c r="BW27" s="63">
        <v>-46388</v>
      </c>
      <c r="BX27" s="63">
        <v>0</v>
      </c>
      <c r="BY27" s="63">
        <v>-46388</v>
      </c>
      <c r="BZ27" s="63">
        <v>-3008</v>
      </c>
      <c r="CA27" s="63">
        <v>0</v>
      </c>
      <c r="CB27" s="63">
        <v>-3008</v>
      </c>
      <c r="CC27" s="63">
        <v>-4526</v>
      </c>
      <c r="CD27" s="63">
        <v>0</v>
      </c>
      <c r="CE27" s="63">
        <v>-4526</v>
      </c>
      <c r="CF27" s="63">
        <v>0</v>
      </c>
      <c r="CG27" s="63">
        <v>0</v>
      </c>
      <c r="CH27" s="63">
        <v>0</v>
      </c>
      <c r="CI27" s="63">
        <v>0</v>
      </c>
      <c r="CJ27" s="63">
        <v>0</v>
      </c>
      <c r="CK27" s="63">
        <v>0</v>
      </c>
      <c r="CL27" s="63">
        <v>0</v>
      </c>
      <c r="CM27" s="63">
        <v>0</v>
      </c>
      <c r="CN27" s="63">
        <v>0</v>
      </c>
      <c r="CO27" s="63">
        <v>0</v>
      </c>
      <c r="CP27" s="63">
        <v>0</v>
      </c>
      <c r="CQ27" s="63">
        <v>-53922</v>
      </c>
      <c r="CR27" s="63">
        <v>0</v>
      </c>
      <c r="CS27" s="63">
        <v>0</v>
      </c>
      <c r="CT27" s="63">
        <v>0</v>
      </c>
      <c r="CU27" s="63">
        <v>-53922</v>
      </c>
      <c r="CV27" s="63">
        <v>0</v>
      </c>
      <c r="CW27" s="63">
        <v>-53922</v>
      </c>
      <c r="CX27" s="63">
        <v>0</v>
      </c>
      <c r="CY27" s="63">
        <v>0</v>
      </c>
      <c r="CZ27" s="63">
        <v>0</v>
      </c>
      <c r="DA27" s="63">
        <v>0</v>
      </c>
      <c r="DB27" s="63">
        <v>0</v>
      </c>
      <c r="DC27" s="63">
        <v>0</v>
      </c>
      <c r="DD27" s="63">
        <v>0</v>
      </c>
      <c r="DE27" s="63">
        <v>0</v>
      </c>
      <c r="DF27" s="63">
        <v>0</v>
      </c>
      <c r="DG27" s="63">
        <v>0</v>
      </c>
      <c r="DH27" s="63">
        <v>0</v>
      </c>
      <c r="DI27" s="63">
        <v>0</v>
      </c>
      <c r="DJ27" s="63">
        <v>0</v>
      </c>
      <c r="DK27" s="63">
        <v>0</v>
      </c>
      <c r="DL27" s="63">
        <v>0</v>
      </c>
      <c r="DM27" s="63">
        <v>0</v>
      </c>
      <c r="DN27" s="63">
        <v>43282321</v>
      </c>
      <c r="DO27" s="63">
        <v>0</v>
      </c>
      <c r="DP27" s="63">
        <v>43282321</v>
      </c>
      <c r="DQ27" s="63"/>
      <c r="DR27" s="585"/>
    </row>
    <row r="28" spans="1:122" x14ac:dyDescent="0.2">
      <c r="A28" s="90">
        <v>21</v>
      </c>
      <c r="B28" s="129" t="s">
        <v>642</v>
      </c>
      <c r="C28" s="130" t="s">
        <v>501</v>
      </c>
      <c r="D28" s="131" t="s">
        <v>744</v>
      </c>
      <c r="E28" s="132" t="s">
        <v>538</v>
      </c>
      <c r="F28" s="475" t="s">
        <v>808</v>
      </c>
      <c r="G28" s="63">
        <v>127971915</v>
      </c>
      <c r="H28" s="63">
        <v>0</v>
      </c>
      <c r="I28" s="63">
        <v>127971915</v>
      </c>
      <c r="J28" s="608">
        <v>48.4</v>
      </c>
      <c r="K28" s="63">
        <v>61938407</v>
      </c>
      <c r="L28" s="63">
        <v>0</v>
      </c>
      <c r="M28" s="63">
        <v>340000</v>
      </c>
      <c r="N28" s="63">
        <v>0</v>
      </c>
      <c r="O28" s="63">
        <v>62278407</v>
      </c>
      <c r="P28" s="63">
        <v>0</v>
      </c>
      <c r="Q28" s="63">
        <v>62278407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0</v>
      </c>
      <c r="AE28" s="63">
        <v>0</v>
      </c>
      <c r="AF28" s="63">
        <v>0</v>
      </c>
      <c r="AG28" s="63">
        <v>0</v>
      </c>
      <c r="AH28" s="63">
        <v>-5500000</v>
      </c>
      <c r="AI28" s="63">
        <v>0</v>
      </c>
      <c r="AJ28" s="63">
        <v>-5500000</v>
      </c>
      <c r="AK28" s="63">
        <v>-30000</v>
      </c>
      <c r="AL28" s="63">
        <v>0</v>
      </c>
      <c r="AM28" s="63">
        <v>-30000</v>
      </c>
      <c r="AN28" s="63">
        <v>1380000</v>
      </c>
      <c r="AO28" s="63">
        <v>0</v>
      </c>
      <c r="AP28" s="63">
        <v>1380000</v>
      </c>
      <c r="AQ28" s="63">
        <v>-4120000</v>
      </c>
      <c r="AR28" s="63">
        <v>0</v>
      </c>
      <c r="AS28" s="63">
        <v>-4120000</v>
      </c>
      <c r="AT28" s="63">
        <v>-4500000</v>
      </c>
      <c r="AU28" s="63">
        <v>0</v>
      </c>
      <c r="AV28" s="63">
        <v>-4500000</v>
      </c>
      <c r="AW28" s="63">
        <v>-82000</v>
      </c>
      <c r="AX28" s="63">
        <v>0</v>
      </c>
      <c r="AY28" s="63">
        <v>-82000</v>
      </c>
      <c r="AZ28" s="63">
        <v>-3000</v>
      </c>
      <c r="BA28" s="63">
        <v>0</v>
      </c>
      <c r="BB28" s="63">
        <v>-3000</v>
      </c>
      <c r="BC28" s="63">
        <v>-8705000</v>
      </c>
      <c r="BD28" s="63">
        <v>0</v>
      </c>
      <c r="BE28" s="63">
        <v>0</v>
      </c>
      <c r="BF28" s="63">
        <v>0</v>
      </c>
      <c r="BG28" s="63">
        <v>-8705000</v>
      </c>
      <c r="BH28" s="63">
        <v>0</v>
      </c>
      <c r="BI28" s="63">
        <v>-8705000</v>
      </c>
      <c r="BJ28" s="63">
        <v>-110000</v>
      </c>
      <c r="BK28" s="63">
        <v>0</v>
      </c>
      <c r="BL28" s="63">
        <v>-110000</v>
      </c>
      <c r="BM28" s="63">
        <v>-3000000</v>
      </c>
      <c r="BN28" s="63">
        <v>0</v>
      </c>
      <c r="BO28" s="63">
        <v>-3000000</v>
      </c>
      <c r="BP28" s="63">
        <v>-3110000</v>
      </c>
      <c r="BQ28" s="63">
        <v>0</v>
      </c>
      <c r="BR28" s="63">
        <v>0</v>
      </c>
      <c r="BS28" s="63">
        <v>0</v>
      </c>
      <c r="BT28" s="63">
        <v>-3110000</v>
      </c>
      <c r="BU28" s="63">
        <v>0</v>
      </c>
      <c r="BV28" s="63">
        <v>-3110000</v>
      </c>
      <c r="BW28" s="63">
        <v>-27000</v>
      </c>
      <c r="BX28" s="63">
        <v>0</v>
      </c>
      <c r="BY28" s="63">
        <v>-27000</v>
      </c>
      <c r="BZ28" s="63">
        <v>-4000</v>
      </c>
      <c r="CA28" s="63">
        <v>0</v>
      </c>
      <c r="CB28" s="63">
        <v>-4000</v>
      </c>
      <c r="CC28" s="63">
        <v>0</v>
      </c>
      <c r="CD28" s="63">
        <v>0</v>
      </c>
      <c r="CE28" s="63">
        <v>0</v>
      </c>
      <c r="CF28" s="63">
        <v>0</v>
      </c>
      <c r="CG28" s="63">
        <v>0</v>
      </c>
      <c r="CH28" s="63">
        <v>0</v>
      </c>
      <c r="CI28" s="63">
        <v>0</v>
      </c>
      <c r="CJ28" s="63">
        <v>0</v>
      </c>
      <c r="CK28" s="63">
        <v>0</v>
      </c>
      <c r="CL28" s="63">
        <v>-26000</v>
      </c>
      <c r="CM28" s="63">
        <v>0</v>
      </c>
      <c r="CN28" s="63">
        <v>-26000</v>
      </c>
      <c r="CO28" s="63">
        <v>0</v>
      </c>
      <c r="CP28" s="63">
        <v>0</v>
      </c>
      <c r="CQ28" s="63">
        <v>-57000</v>
      </c>
      <c r="CR28" s="63">
        <v>0</v>
      </c>
      <c r="CS28" s="63">
        <v>0</v>
      </c>
      <c r="CT28" s="63">
        <v>0</v>
      </c>
      <c r="CU28" s="63">
        <v>-57000</v>
      </c>
      <c r="CV28" s="63">
        <v>0</v>
      </c>
      <c r="CW28" s="63">
        <v>-57000</v>
      </c>
      <c r="CX28" s="63">
        <v>-100000</v>
      </c>
      <c r="CY28" s="63">
        <v>0</v>
      </c>
      <c r="CZ28" s="63">
        <v>-100000</v>
      </c>
      <c r="DA28" s="63">
        <v>-150000</v>
      </c>
      <c r="DB28" s="63">
        <v>0</v>
      </c>
      <c r="DC28" s="63">
        <v>-150000</v>
      </c>
      <c r="DD28" s="63">
        <v>-10000</v>
      </c>
      <c r="DE28" s="63">
        <v>0</v>
      </c>
      <c r="DF28" s="63">
        <v>-10000</v>
      </c>
      <c r="DG28" s="63">
        <v>-260000</v>
      </c>
      <c r="DH28" s="63">
        <v>0</v>
      </c>
      <c r="DI28" s="63">
        <v>0</v>
      </c>
      <c r="DJ28" s="63">
        <v>0</v>
      </c>
      <c r="DK28" s="63">
        <v>-260000</v>
      </c>
      <c r="DL28" s="63">
        <v>0</v>
      </c>
      <c r="DM28" s="63">
        <v>-260000</v>
      </c>
      <c r="DN28" s="63">
        <v>50146407</v>
      </c>
      <c r="DO28" s="63">
        <v>0</v>
      </c>
      <c r="DP28" s="63">
        <v>50146407</v>
      </c>
      <c r="DQ28" s="63"/>
      <c r="DR28" s="585"/>
    </row>
    <row r="29" spans="1:122" x14ac:dyDescent="0.2">
      <c r="A29" s="90">
        <v>22</v>
      </c>
      <c r="B29" s="129" t="s">
        <v>643</v>
      </c>
      <c r="C29" s="130" t="s">
        <v>501</v>
      </c>
      <c r="D29" s="131" t="s">
        <v>744</v>
      </c>
      <c r="E29" s="132" t="s">
        <v>539</v>
      </c>
      <c r="F29" s="475" t="s">
        <v>808</v>
      </c>
      <c r="G29" s="63">
        <v>130782409</v>
      </c>
      <c r="H29" s="63">
        <v>0</v>
      </c>
      <c r="I29" s="63">
        <v>130782409</v>
      </c>
      <c r="J29" s="608">
        <v>48.4</v>
      </c>
      <c r="K29" s="63">
        <v>63298686</v>
      </c>
      <c r="L29" s="63">
        <v>0</v>
      </c>
      <c r="M29" s="63">
        <v>-1125000</v>
      </c>
      <c r="N29" s="63">
        <v>0</v>
      </c>
      <c r="O29" s="63">
        <v>62173686</v>
      </c>
      <c r="P29" s="63">
        <v>0</v>
      </c>
      <c r="Q29" s="63">
        <v>62173686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0</v>
      </c>
      <c r="AE29" s="63">
        <v>0</v>
      </c>
      <c r="AF29" s="63">
        <v>0</v>
      </c>
      <c r="AG29" s="63">
        <v>0</v>
      </c>
      <c r="AH29" s="63">
        <v>-6189260</v>
      </c>
      <c r="AI29" s="63">
        <v>0</v>
      </c>
      <c r="AJ29" s="63">
        <v>-6189260</v>
      </c>
      <c r="AK29" s="63">
        <v>-5250</v>
      </c>
      <c r="AL29" s="63">
        <v>0</v>
      </c>
      <c r="AM29" s="63">
        <v>-5250</v>
      </c>
      <c r="AN29" s="63">
        <v>1360533</v>
      </c>
      <c r="AO29" s="63">
        <v>0</v>
      </c>
      <c r="AP29" s="63">
        <v>1360533</v>
      </c>
      <c r="AQ29" s="63">
        <v>-4828727</v>
      </c>
      <c r="AR29" s="63">
        <v>0</v>
      </c>
      <c r="AS29" s="63">
        <v>-4828727</v>
      </c>
      <c r="AT29" s="63">
        <v>-2353426</v>
      </c>
      <c r="AU29" s="63">
        <v>0</v>
      </c>
      <c r="AV29" s="63">
        <v>-2353426</v>
      </c>
      <c r="AW29" s="63">
        <v>0</v>
      </c>
      <c r="AX29" s="63">
        <v>0</v>
      </c>
      <c r="AY29" s="63">
        <v>0</v>
      </c>
      <c r="AZ29" s="63">
        <v>0</v>
      </c>
      <c r="BA29" s="63">
        <v>0</v>
      </c>
      <c r="BB29" s="63">
        <v>0</v>
      </c>
      <c r="BC29" s="63">
        <v>-7182153</v>
      </c>
      <c r="BD29" s="63">
        <v>0</v>
      </c>
      <c r="BE29" s="63">
        <v>-188000</v>
      </c>
      <c r="BF29" s="63">
        <v>0</v>
      </c>
      <c r="BG29" s="63">
        <v>-7370153</v>
      </c>
      <c r="BH29" s="63">
        <v>0</v>
      </c>
      <c r="BI29" s="63">
        <v>-7370153</v>
      </c>
      <c r="BJ29" s="63">
        <v>0</v>
      </c>
      <c r="BK29" s="63">
        <v>0</v>
      </c>
      <c r="BL29" s="63">
        <v>0</v>
      </c>
      <c r="BM29" s="63">
        <v>-1466888</v>
      </c>
      <c r="BN29" s="63">
        <v>0</v>
      </c>
      <c r="BO29" s="63">
        <v>-1466888</v>
      </c>
      <c r="BP29" s="63">
        <v>-1466888</v>
      </c>
      <c r="BQ29" s="63">
        <v>0</v>
      </c>
      <c r="BR29" s="63">
        <v>-654000</v>
      </c>
      <c r="BS29" s="63">
        <v>0</v>
      </c>
      <c r="BT29" s="63">
        <v>-2120888</v>
      </c>
      <c r="BU29" s="63">
        <v>0</v>
      </c>
      <c r="BV29" s="63">
        <v>-2120888</v>
      </c>
      <c r="BW29" s="63">
        <v>-5790</v>
      </c>
      <c r="BX29" s="63">
        <v>0</v>
      </c>
      <c r="BY29" s="63">
        <v>-5790</v>
      </c>
      <c r="BZ29" s="63">
        <v>-31706</v>
      </c>
      <c r="CA29" s="63">
        <v>0</v>
      </c>
      <c r="CB29" s="63">
        <v>-31706</v>
      </c>
      <c r="CC29" s="63">
        <v>0</v>
      </c>
      <c r="CD29" s="63">
        <v>0</v>
      </c>
      <c r="CE29" s="63">
        <v>0</v>
      </c>
      <c r="CF29" s="63">
        <v>0</v>
      </c>
      <c r="CG29" s="63">
        <v>0</v>
      </c>
      <c r="CH29" s="63">
        <v>0</v>
      </c>
      <c r="CI29" s="63">
        <v>0</v>
      </c>
      <c r="CJ29" s="63">
        <v>0</v>
      </c>
      <c r="CK29" s="63">
        <v>0</v>
      </c>
      <c r="CL29" s="63">
        <v>0</v>
      </c>
      <c r="CM29" s="63">
        <v>0</v>
      </c>
      <c r="CN29" s="63">
        <v>0</v>
      </c>
      <c r="CO29" s="63">
        <v>0</v>
      </c>
      <c r="CP29" s="63">
        <v>0</v>
      </c>
      <c r="CQ29" s="63">
        <v>-37496</v>
      </c>
      <c r="CR29" s="63">
        <v>0</v>
      </c>
      <c r="CS29" s="63">
        <v>-1000</v>
      </c>
      <c r="CT29" s="63">
        <v>0</v>
      </c>
      <c r="CU29" s="63">
        <v>-38496</v>
      </c>
      <c r="CV29" s="63">
        <v>0</v>
      </c>
      <c r="CW29" s="63">
        <v>-38496</v>
      </c>
      <c r="CX29" s="63">
        <v>0</v>
      </c>
      <c r="CY29" s="63">
        <v>0</v>
      </c>
      <c r="CZ29" s="63">
        <v>0</v>
      </c>
      <c r="DA29" s="63">
        <v>-85703</v>
      </c>
      <c r="DB29" s="63">
        <v>0</v>
      </c>
      <c r="DC29" s="63">
        <v>-85703</v>
      </c>
      <c r="DD29" s="63">
        <v>-5000</v>
      </c>
      <c r="DE29" s="63">
        <v>0</v>
      </c>
      <c r="DF29" s="63">
        <v>-5000</v>
      </c>
      <c r="DG29" s="63">
        <v>-90703</v>
      </c>
      <c r="DH29" s="63">
        <v>0</v>
      </c>
      <c r="DI29" s="63">
        <v>-25000</v>
      </c>
      <c r="DJ29" s="63">
        <v>0</v>
      </c>
      <c r="DK29" s="63">
        <v>-115703</v>
      </c>
      <c r="DL29" s="63">
        <v>0</v>
      </c>
      <c r="DM29" s="63">
        <v>-115703</v>
      </c>
      <c r="DN29" s="63">
        <v>52528446</v>
      </c>
      <c r="DO29" s="63">
        <v>0</v>
      </c>
      <c r="DP29" s="63">
        <v>52528446</v>
      </c>
      <c r="DQ29" s="63"/>
      <c r="DR29" s="585"/>
    </row>
    <row r="30" spans="1:122" x14ac:dyDescent="0.2">
      <c r="A30" s="90">
        <v>23</v>
      </c>
      <c r="B30" s="129" t="s">
        <v>645</v>
      </c>
      <c r="C30" s="130" t="s">
        <v>742</v>
      </c>
      <c r="D30" s="131" t="s">
        <v>745</v>
      </c>
      <c r="E30" s="132" t="s">
        <v>644</v>
      </c>
      <c r="F30" s="475" t="s">
        <v>808</v>
      </c>
      <c r="G30" s="63">
        <v>55048491</v>
      </c>
      <c r="H30" s="63">
        <v>0</v>
      </c>
      <c r="I30" s="63">
        <v>55048491</v>
      </c>
      <c r="J30" s="608">
        <v>48.4</v>
      </c>
      <c r="K30" s="63">
        <v>26643470</v>
      </c>
      <c r="L30" s="63">
        <v>0</v>
      </c>
      <c r="M30" s="63">
        <v>0</v>
      </c>
      <c r="N30" s="63">
        <v>0</v>
      </c>
      <c r="O30" s="63">
        <v>26643470</v>
      </c>
      <c r="P30" s="63">
        <v>0</v>
      </c>
      <c r="Q30" s="63">
        <v>26643470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0</v>
      </c>
      <c r="AE30" s="63">
        <v>0</v>
      </c>
      <c r="AF30" s="63">
        <v>0</v>
      </c>
      <c r="AG30" s="63">
        <v>0</v>
      </c>
      <c r="AH30" s="63">
        <v>-1357373</v>
      </c>
      <c r="AI30" s="63">
        <v>0</v>
      </c>
      <c r="AJ30" s="63">
        <v>-1357373</v>
      </c>
      <c r="AK30" s="63">
        <v>0</v>
      </c>
      <c r="AL30" s="63">
        <v>0</v>
      </c>
      <c r="AM30" s="63">
        <v>0</v>
      </c>
      <c r="AN30" s="63">
        <v>617591</v>
      </c>
      <c r="AO30" s="63">
        <v>0</v>
      </c>
      <c r="AP30" s="63">
        <v>617591</v>
      </c>
      <c r="AQ30" s="63">
        <v>-739782</v>
      </c>
      <c r="AR30" s="63">
        <v>0</v>
      </c>
      <c r="AS30" s="63">
        <v>-739782</v>
      </c>
      <c r="AT30" s="63">
        <v>-566050</v>
      </c>
      <c r="AU30" s="63">
        <v>0</v>
      </c>
      <c r="AV30" s="63">
        <v>-566050</v>
      </c>
      <c r="AW30" s="63">
        <v>0</v>
      </c>
      <c r="AX30" s="63">
        <v>0</v>
      </c>
      <c r="AY30" s="63">
        <v>0</v>
      </c>
      <c r="AZ30" s="63">
        <v>-9187</v>
      </c>
      <c r="BA30" s="63">
        <v>0</v>
      </c>
      <c r="BB30" s="63">
        <v>-9187</v>
      </c>
      <c r="BC30" s="63">
        <v>-1315019</v>
      </c>
      <c r="BD30" s="63">
        <v>0</v>
      </c>
      <c r="BE30" s="63">
        <v>0</v>
      </c>
      <c r="BF30" s="63">
        <v>0</v>
      </c>
      <c r="BG30" s="63">
        <v>-1315019</v>
      </c>
      <c r="BH30" s="63">
        <v>0</v>
      </c>
      <c r="BI30" s="63">
        <v>-1315019</v>
      </c>
      <c r="BJ30" s="63">
        <v>-38105</v>
      </c>
      <c r="BK30" s="63">
        <v>0</v>
      </c>
      <c r="BL30" s="63">
        <v>-38105</v>
      </c>
      <c r="BM30" s="63">
        <v>-423620</v>
      </c>
      <c r="BN30" s="63">
        <v>0</v>
      </c>
      <c r="BO30" s="63">
        <v>-423620</v>
      </c>
      <c r="BP30" s="63">
        <v>-461725</v>
      </c>
      <c r="BQ30" s="63">
        <v>0</v>
      </c>
      <c r="BR30" s="63">
        <v>0</v>
      </c>
      <c r="BS30" s="63">
        <v>0</v>
      </c>
      <c r="BT30" s="63">
        <v>-461725</v>
      </c>
      <c r="BU30" s="63">
        <v>0</v>
      </c>
      <c r="BV30" s="63">
        <v>-461725</v>
      </c>
      <c r="BW30" s="63">
        <v>0</v>
      </c>
      <c r="BX30" s="63">
        <v>0</v>
      </c>
      <c r="BY30" s="63">
        <v>0</v>
      </c>
      <c r="BZ30" s="63">
        <v>-14541</v>
      </c>
      <c r="CA30" s="63">
        <v>0</v>
      </c>
      <c r="CB30" s="63">
        <v>-14541</v>
      </c>
      <c r="CC30" s="63">
        <v>0</v>
      </c>
      <c r="CD30" s="63">
        <v>0</v>
      </c>
      <c r="CE30" s="63">
        <v>0</v>
      </c>
      <c r="CF30" s="63">
        <v>0</v>
      </c>
      <c r="CG30" s="63">
        <v>0</v>
      </c>
      <c r="CH30" s="63">
        <v>0</v>
      </c>
      <c r="CI30" s="63">
        <v>0</v>
      </c>
      <c r="CJ30" s="63">
        <v>0</v>
      </c>
      <c r="CK30" s="63">
        <v>0</v>
      </c>
      <c r="CL30" s="63">
        <v>0</v>
      </c>
      <c r="CM30" s="63">
        <v>0</v>
      </c>
      <c r="CN30" s="63">
        <v>0</v>
      </c>
      <c r="CO30" s="63">
        <v>0</v>
      </c>
      <c r="CP30" s="63">
        <v>0</v>
      </c>
      <c r="CQ30" s="63">
        <v>-14541</v>
      </c>
      <c r="CR30" s="63">
        <v>0</v>
      </c>
      <c r="CS30" s="63">
        <v>0</v>
      </c>
      <c r="CT30" s="63">
        <v>0</v>
      </c>
      <c r="CU30" s="63">
        <v>-14541</v>
      </c>
      <c r="CV30" s="63">
        <v>0</v>
      </c>
      <c r="CW30" s="63">
        <v>-14541</v>
      </c>
      <c r="CX30" s="63">
        <v>-1859</v>
      </c>
      <c r="CY30" s="63">
        <v>0</v>
      </c>
      <c r="CZ30" s="63">
        <v>-1859</v>
      </c>
      <c r="DA30" s="63">
        <v>0</v>
      </c>
      <c r="DB30" s="63">
        <v>0</v>
      </c>
      <c r="DC30" s="63">
        <v>0</v>
      </c>
      <c r="DD30" s="63">
        <v>0</v>
      </c>
      <c r="DE30" s="63">
        <v>0</v>
      </c>
      <c r="DF30" s="63">
        <v>0</v>
      </c>
      <c r="DG30" s="63">
        <v>-1859</v>
      </c>
      <c r="DH30" s="63">
        <v>0</v>
      </c>
      <c r="DI30" s="63">
        <v>0</v>
      </c>
      <c r="DJ30" s="63">
        <v>0</v>
      </c>
      <c r="DK30" s="63">
        <v>-1859</v>
      </c>
      <c r="DL30" s="63">
        <v>0</v>
      </c>
      <c r="DM30" s="63">
        <v>-1859</v>
      </c>
      <c r="DN30" s="63">
        <v>24850326</v>
      </c>
      <c r="DO30" s="63">
        <v>0</v>
      </c>
      <c r="DP30" s="63">
        <v>24850326</v>
      </c>
      <c r="DQ30" s="63"/>
      <c r="DR30" s="585"/>
    </row>
    <row r="31" spans="1:122" x14ac:dyDescent="0.2">
      <c r="A31" s="90">
        <v>24</v>
      </c>
      <c r="B31" s="129" t="s">
        <v>647</v>
      </c>
      <c r="C31" s="130" t="s">
        <v>749</v>
      </c>
      <c r="D31" s="131" t="s">
        <v>744</v>
      </c>
      <c r="E31" s="132" t="s">
        <v>646</v>
      </c>
      <c r="F31" s="475" t="s">
        <v>808</v>
      </c>
      <c r="G31" s="63">
        <v>225955167</v>
      </c>
      <c r="H31" s="63">
        <v>0</v>
      </c>
      <c r="I31" s="63">
        <v>225955167</v>
      </c>
      <c r="J31" s="608">
        <v>48.4</v>
      </c>
      <c r="K31" s="63">
        <v>109362301</v>
      </c>
      <c r="L31" s="63">
        <v>0</v>
      </c>
      <c r="M31" s="63">
        <v>0</v>
      </c>
      <c r="N31" s="63">
        <v>0</v>
      </c>
      <c r="O31" s="63">
        <v>109362301</v>
      </c>
      <c r="P31" s="63">
        <v>0</v>
      </c>
      <c r="Q31" s="63">
        <v>109362301</v>
      </c>
      <c r="R31" s="63">
        <v>0</v>
      </c>
      <c r="S31" s="63">
        <v>0</v>
      </c>
      <c r="T31" s="63">
        <v>0</v>
      </c>
      <c r="U31" s="63">
        <v>0</v>
      </c>
      <c r="V31" s="63">
        <v>0</v>
      </c>
      <c r="W31" s="63">
        <v>0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0</v>
      </c>
      <c r="AE31" s="63">
        <v>0</v>
      </c>
      <c r="AF31" s="63">
        <v>0</v>
      </c>
      <c r="AG31" s="63">
        <v>0</v>
      </c>
      <c r="AH31" s="63">
        <v>-7400000</v>
      </c>
      <c r="AI31" s="63">
        <v>0</v>
      </c>
      <c r="AJ31" s="63">
        <v>-7400000</v>
      </c>
      <c r="AK31" s="63">
        <v>0</v>
      </c>
      <c r="AL31" s="63">
        <v>0</v>
      </c>
      <c r="AM31" s="63">
        <v>0</v>
      </c>
      <c r="AN31" s="63">
        <v>2500000</v>
      </c>
      <c r="AO31" s="63">
        <v>0</v>
      </c>
      <c r="AP31" s="63">
        <v>2500000</v>
      </c>
      <c r="AQ31" s="63">
        <v>-4900000</v>
      </c>
      <c r="AR31" s="63">
        <v>0</v>
      </c>
      <c r="AS31" s="63">
        <v>-4900000</v>
      </c>
      <c r="AT31" s="63">
        <v>-5600000</v>
      </c>
      <c r="AU31" s="63">
        <v>0</v>
      </c>
      <c r="AV31" s="63">
        <v>-5600000</v>
      </c>
      <c r="AW31" s="63">
        <v>-100000</v>
      </c>
      <c r="AX31" s="63">
        <v>0</v>
      </c>
      <c r="AY31" s="63">
        <v>-100000</v>
      </c>
      <c r="AZ31" s="63">
        <v>0</v>
      </c>
      <c r="BA31" s="63">
        <v>0</v>
      </c>
      <c r="BB31" s="63">
        <v>0</v>
      </c>
      <c r="BC31" s="63">
        <v>-10600000</v>
      </c>
      <c r="BD31" s="63">
        <v>0</v>
      </c>
      <c r="BE31" s="63">
        <v>0</v>
      </c>
      <c r="BF31" s="63">
        <v>0</v>
      </c>
      <c r="BG31" s="63">
        <v>-10600000</v>
      </c>
      <c r="BH31" s="63">
        <v>0</v>
      </c>
      <c r="BI31" s="63">
        <v>-10600000</v>
      </c>
      <c r="BJ31" s="63">
        <v>-250000</v>
      </c>
      <c r="BK31" s="63">
        <v>0</v>
      </c>
      <c r="BL31" s="63">
        <v>-250000</v>
      </c>
      <c r="BM31" s="63">
        <v>-3830000</v>
      </c>
      <c r="BN31" s="63">
        <v>0</v>
      </c>
      <c r="BO31" s="63">
        <v>-3830000</v>
      </c>
      <c r="BP31" s="63">
        <v>-4080000</v>
      </c>
      <c r="BQ31" s="63">
        <v>0</v>
      </c>
      <c r="BR31" s="63">
        <v>0</v>
      </c>
      <c r="BS31" s="63">
        <v>0</v>
      </c>
      <c r="BT31" s="63">
        <v>-4080000</v>
      </c>
      <c r="BU31" s="63">
        <v>0</v>
      </c>
      <c r="BV31" s="63">
        <v>-4080000</v>
      </c>
      <c r="BW31" s="63">
        <v>-500000</v>
      </c>
      <c r="BX31" s="63">
        <v>0</v>
      </c>
      <c r="BY31" s="63">
        <v>-500000</v>
      </c>
      <c r="BZ31" s="63">
        <v>-230000</v>
      </c>
      <c r="CA31" s="63">
        <v>0</v>
      </c>
      <c r="CB31" s="63">
        <v>-230000</v>
      </c>
      <c r="CC31" s="63">
        <v>-5000</v>
      </c>
      <c r="CD31" s="63">
        <v>0</v>
      </c>
      <c r="CE31" s="63">
        <v>-5000</v>
      </c>
      <c r="CF31" s="63">
        <v>0</v>
      </c>
      <c r="CG31" s="63">
        <v>0</v>
      </c>
      <c r="CH31" s="63">
        <v>0</v>
      </c>
      <c r="CI31" s="63">
        <v>0</v>
      </c>
      <c r="CJ31" s="63">
        <v>0</v>
      </c>
      <c r="CK31" s="63">
        <v>0</v>
      </c>
      <c r="CL31" s="63">
        <v>0</v>
      </c>
      <c r="CM31" s="63">
        <v>0</v>
      </c>
      <c r="CN31" s="63">
        <v>0</v>
      </c>
      <c r="CO31" s="63">
        <v>0</v>
      </c>
      <c r="CP31" s="63">
        <v>0</v>
      </c>
      <c r="CQ31" s="63">
        <v>-735000</v>
      </c>
      <c r="CR31" s="63">
        <v>0</v>
      </c>
      <c r="CS31" s="63">
        <v>0</v>
      </c>
      <c r="CT31" s="63">
        <v>0</v>
      </c>
      <c r="CU31" s="63">
        <v>-735000</v>
      </c>
      <c r="CV31" s="63">
        <v>0</v>
      </c>
      <c r="CW31" s="63">
        <v>-735000</v>
      </c>
      <c r="CX31" s="63">
        <v>-4000</v>
      </c>
      <c r="CY31" s="63">
        <v>0</v>
      </c>
      <c r="CZ31" s="63">
        <v>-4000</v>
      </c>
      <c r="DA31" s="63">
        <v>-181000</v>
      </c>
      <c r="DB31" s="63">
        <v>0</v>
      </c>
      <c r="DC31" s="63">
        <v>-181000</v>
      </c>
      <c r="DD31" s="63">
        <v>-60000</v>
      </c>
      <c r="DE31" s="63">
        <v>0</v>
      </c>
      <c r="DF31" s="63">
        <v>-60000</v>
      </c>
      <c r="DG31" s="63">
        <v>-245000</v>
      </c>
      <c r="DH31" s="63">
        <v>0</v>
      </c>
      <c r="DI31" s="63">
        <v>0</v>
      </c>
      <c r="DJ31" s="63">
        <v>0</v>
      </c>
      <c r="DK31" s="63">
        <v>-245000</v>
      </c>
      <c r="DL31" s="63">
        <v>0</v>
      </c>
      <c r="DM31" s="63">
        <v>-245000</v>
      </c>
      <c r="DN31" s="63">
        <v>93702301</v>
      </c>
      <c r="DO31" s="63">
        <v>0</v>
      </c>
      <c r="DP31" s="63">
        <v>93702301</v>
      </c>
      <c r="DQ31" s="63"/>
      <c r="DR31" s="585"/>
    </row>
    <row r="32" spans="1:122" x14ac:dyDescent="0.2">
      <c r="A32" s="90">
        <v>25</v>
      </c>
      <c r="B32" s="129" t="s">
        <v>649</v>
      </c>
      <c r="C32" s="130" t="s">
        <v>742</v>
      </c>
      <c r="D32" s="131" t="s">
        <v>745</v>
      </c>
      <c r="E32" s="132" t="s">
        <v>648</v>
      </c>
      <c r="F32" s="475" t="s">
        <v>808</v>
      </c>
      <c r="G32" s="63">
        <v>49709762</v>
      </c>
      <c r="H32" s="63">
        <v>0</v>
      </c>
      <c r="I32" s="63">
        <v>49709762</v>
      </c>
      <c r="J32" s="608">
        <v>48.4</v>
      </c>
      <c r="K32" s="63">
        <v>24059525</v>
      </c>
      <c r="L32" s="63">
        <v>0</v>
      </c>
      <c r="M32" s="63">
        <v>0</v>
      </c>
      <c r="N32" s="63">
        <v>0</v>
      </c>
      <c r="O32" s="63">
        <v>24059525</v>
      </c>
      <c r="P32" s="63">
        <v>0</v>
      </c>
      <c r="Q32" s="63">
        <v>24059525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0</v>
      </c>
      <c r="AG32" s="63">
        <v>0</v>
      </c>
      <c r="AH32" s="63">
        <v>-1558326</v>
      </c>
      <c r="AI32" s="63">
        <v>0</v>
      </c>
      <c r="AJ32" s="63">
        <v>-1558326</v>
      </c>
      <c r="AK32" s="63">
        <v>0</v>
      </c>
      <c r="AL32" s="63">
        <v>0</v>
      </c>
      <c r="AM32" s="63">
        <v>0</v>
      </c>
      <c r="AN32" s="63">
        <v>544066</v>
      </c>
      <c r="AO32" s="63">
        <v>0</v>
      </c>
      <c r="AP32" s="63">
        <v>544066</v>
      </c>
      <c r="AQ32" s="63">
        <v>-1014260</v>
      </c>
      <c r="AR32" s="63">
        <v>0</v>
      </c>
      <c r="AS32" s="63">
        <v>-1014260</v>
      </c>
      <c r="AT32" s="63">
        <v>-1495152</v>
      </c>
      <c r="AU32" s="63">
        <v>0</v>
      </c>
      <c r="AV32" s="63">
        <v>-1495152</v>
      </c>
      <c r="AW32" s="63">
        <v>-61942</v>
      </c>
      <c r="AX32" s="63">
        <v>0</v>
      </c>
      <c r="AY32" s="63">
        <v>-61942</v>
      </c>
      <c r="AZ32" s="63">
        <v>-20485</v>
      </c>
      <c r="BA32" s="63">
        <v>0</v>
      </c>
      <c r="BB32" s="63">
        <v>-20485</v>
      </c>
      <c r="BC32" s="63">
        <v>-2591839</v>
      </c>
      <c r="BD32" s="63">
        <v>0</v>
      </c>
      <c r="BE32" s="63">
        <v>0</v>
      </c>
      <c r="BF32" s="63">
        <v>0</v>
      </c>
      <c r="BG32" s="63">
        <v>-2591839</v>
      </c>
      <c r="BH32" s="63">
        <v>0</v>
      </c>
      <c r="BI32" s="63">
        <v>-2591839</v>
      </c>
      <c r="BJ32" s="63">
        <v>0</v>
      </c>
      <c r="BK32" s="63">
        <v>0</v>
      </c>
      <c r="BL32" s="63">
        <v>0</v>
      </c>
      <c r="BM32" s="63">
        <v>-805948</v>
      </c>
      <c r="BN32" s="63">
        <v>0</v>
      </c>
      <c r="BO32" s="63">
        <v>-805948</v>
      </c>
      <c r="BP32" s="63">
        <v>-805948</v>
      </c>
      <c r="BQ32" s="63">
        <v>0</v>
      </c>
      <c r="BR32" s="63">
        <v>0</v>
      </c>
      <c r="BS32" s="63">
        <v>0</v>
      </c>
      <c r="BT32" s="63">
        <v>-805948</v>
      </c>
      <c r="BU32" s="63">
        <v>0</v>
      </c>
      <c r="BV32" s="63">
        <v>-805948</v>
      </c>
      <c r="BW32" s="63">
        <v>-46926</v>
      </c>
      <c r="BX32" s="63">
        <v>0</v>
      </c>
      <c r="BY32" s="63">
        <v>-46926</v>
      </c>
      <c r="BZ32" s="63">
        <v>-18115</v>
      </c>
      <c r="CA32" s="63">
        <v>0</v>
      </c>
      <c r="CB32" s="63">
        <v>-18115</v>
      </c>
      <c r="CC32" s="63">
        <v>-12341</v>
      </c>
      <c r="CD32" s="63">
        <v>0</v>
      </c>
      <c r="CE32" s="63">
        <v>-12341</v>
      </c>
      <c r="CF32" s="63">
        <v>-1678</v>
      </c>
      <c r="CG32" s="63">
        <v>0</v>
      </c>
      <c r="CH32" s="63">
        <v>-1678</v>
      </c>
      <c r="CI32" s="63">
        <v>0</v>
      </c>
      <c r="CJ32" s="63">
        <v>0</v>
      </c>
      <c r="CK32" s="63">
        <v>0</v>
      </c>
      <c r="CL32" s="63">
        <v>0</v>
      </c>
      <c r="CM32" s="63">
        <v>0</v>
      </c>
      <c r="CN32" s="63">
        <v>0</v>
      </c>
      <c r="CO32" s="63">
        <v>0</v>
      </c>
      <c r="CP32" s="63">
        <v>0</v>
      </c>
      <c r="CQ32" s="63">
        <v>-79060</v>
      </c>
      <c r="CR32" s="63">
        <v>0</v>
      </c>
      <c r="CS32" s="63">
        <v>0</v>
      </c>
      <c r="CT32" s="63">
        <v>0</v>
      </c>
      <c r="CU32" s="63">
        <v>-79060</v>
      </c>
      <c r="CV32" s="63">
        <v>0</v>
      </c>
      <c r="CW32" s="63">
        <v>-79060</v>
      </c>
      <c r="CX32" s="63">
        <v>0</v>
      </c>
      <c r="CY32" s="63">
        <v>0</v>
      </c>
      <c r="CZ32" s="63">
        <v>0</v>
      </c>
      <c r="DA32" s="63">
        <v>-8465</v>
      </c>
      <c r="DB32" s="63">
        <v>0</v>
      </c>
      <c r="DC32" s="63">
        <v>-8465</v>
      </c>
      <c r="DD32" s="63">
        <v>-500</v>
      </c>
      <c r="DE32" s="63">
        <v>0</v>
      </c>
      <c r="DF32" s="63">
        <v>-500</v>
      </c>
      <c r="DG32" s="63">
        <v>-8965</v>
      </c>
      <c r="DH32" s="63">
        <v>0</v>
      </c>
      <c r="DI32" s="63">
        <v>0</v>
      </c>
      <c r="DJ32" s="63">
        <v>0</v>
      </c>
      <c r="DK32" s="63">
        <v>-8965</v>
      </c>
      <c r="DL32" s="63">
        <v>0</v>
      </c>
      <c r="DM32" s="63">
        <v>-8965</v>
      </c>
      <c r="DN32" s="63">
        <v>20573713</v>
      </c>
      <c r="DO32" s="63">
        <v>0</v>
      </c>
      <c r="DP32" s="63">
        <v>20573713</v>
      </c>
      <c r="DQ32" s="63"/>
      <c r="DR32" s="585"/>
    </row>
    <row r="33" spans="1:122" x14ac:dyDescent="0.2">
      <c r="A33" s="90">
        <v>26</v>
      </c>
      <c r="B33" s="129" t="s">
        <v>650</v>
      </c>
      <c r="C33" s="130" t="s">
        <v>501</v>
      </c>
      <c r="D33" s="131" t="s">
        <v>751</v>
      </c>
      <c r="E33" s="132" t="s">
        <v>525</v>
      </c>
      <c r="F33" s="475" t="s">
        <v>808</v>
      </c>
      <c r="G33" s="63">
        <v>166214907</v>
      </c>
      <c r="H33" s="63">
        <v>0</v>
      </c>
      <c r="I33" s="63">
        <v>166214907</v>
      </c>
      <c r="J33" s="608">
        <v>48.4</v>
      </c>
      <c r="K33" s="63">
        <v>80448015</v>
      </c>
      <c r="L33" s="63">
        <v>0</v>
      </c>
      <c r="M33" s="63">
        <v>331540</v>
      </c>
      <c r="N33" s="63">
        <v>0</v>
      </c>
      <c r="O33" s="63">
        <v>80779555</v>
      </c>
      <c r="P33" s="63">
        <v>0</v>
      </c>
      <c r="Q33" s="63">
        <v>80779555</v>
      </c>
      <c r="R33" s="63">
        <v>0</v>
      </c>
      <c r="S33" s="63">
        <v>0</v>
      </c>
      <c r="T33" s="63">
        <v>0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0</v>
      </c>
      <c r="AE33" s="63">
        <v>0</v>
      </c>
      <c r="AF33" s="63">
        <v>0</v>
      </c>
      <c r="AG33" s="63">
        <v>0</v>
      </c>
      <c r="AH33" s="63">
        <v>-4550908</v>
      </c>
      <c r="AI33" s="63">
        <v>0</v>
      </c>
      <c r="AJ33" s="63">
        <v>-4550908</v>
      </c>
      <c r="AK33" s="63">
        <v>-2551</v>
      </c>
      <c r="AL33" s="63">
        <v>0</v>
      </c>
      <c r="AM33" s="63">
        <v>-2551</v>
      </c>
      <c r="AN33" s="63">
        <v>1841742</v>
      </c>
      <c r="AO33" s="63">
        <v>0</v>
      </c>
      <c r="AP33" s="63">
        <v>1841742</v>
      </c>
      <c r="AQ33" s="63">
        <v>-2709166</v>
      </c>
      <c r="AR33" s="63">
        <v>0</v>
      </c>
      <c r="AS33" s="63">
        <v>-2709166</v>
      </c>
      <c r="AT33" s="63">
        <v>-5543111</v>
      </c>
      <c r="AU33" s="63">
        <v>0</v>
      </c>
      <c r="AV33" s="63">
        <v>-5543111</v>
      </c>
      <c r="AW33" s="63">
        <v>-115304</v>
      </c>
      <c r="AX33" s="63">
        <v>0</v>
      </c>
      <c r="AY33" s="63">
        <v>-115304</v>
      </c>
      <c r="AZ33" s="63">
        <v>0</v>
      </c>
      <c r="BA33" s="63">
        <v>0</v>
      </c>
      <c r="BB33" s="63">
        <v>0</v>
      </c>
      <c r="BC33" s="63">
        <v>-8367581</v>
      </c>
      <c r="BD33" s="63">
        <v>0</v>
      </c>
      <c r="BE33" s="63">
        <v>0</v>
      </c>
      <c r="BF33" s="63">
        <v>0</v>
      </c>
      <c r="BG33" s="63">
        <v>-8367581</v>
      </c>
      <c r="BH33" s="63">
        <v>0</v>
      </c>
      <c r="BI33" s="63">
        <v>-8367581</v>
      </c>
      <c r="BJ33" s="63">
        <v>-2500</v>
      </c>
      <c r="BK33" s="63">
        <v>0</v>
      </c>
      <c r="BL33" s="63">
        <v>-2500</v>
      </c>
      <c r="BM33" s="63">
        <v>-679571</v>
      </c>
      <c r="BN33" s="63">
        <v>0</v>
      </c>
      <c r="BO33" s="63">
        <v>-679571</v>
      </c>
      <c r="BP33" s="63">
        <v>-682071</v>
      </c>
      <c r="BQ33" s="63">
        <v>0</v>
      </c>
      <c r="BR33" s="63">
        <v>0</v>
      </c>
      <c r="BS33" s="63">
        <v>0</v>
      </c>
      <c r="BT33" s="63">
        <v>-682071</v>
      </c>
      <c r="BU33" s="63">
        <v>0</v>
      </c>
      <c r="BV33" s="63">
        <v>-682071</v>
      </c>
      <c r="BW33" s="63">
        <v>-73609</v>
      </c>
      <c r="BX33" s="63">
        <v>0</v>
      </c>
      <c r="BY33" s="63">
        <v>-73609</v>
      </c>
      <c r="BZ33" s="63">
        <v>-20586</v>
      </c>
      <c r="CA33" s="63">
        <v>0</v>
      </c>
      <c r="CB33" s="63">
        <v>-20586</v>
      </c>
      <c r="CC33" s="63">
        <v>-4000</v>
      </c>
      <c r="CD33" s="63">
        <v>0</v>
      </c>
      <c r="CE33" s="63">
        <v>-4000</v>
      </c>
      <c r="CF33" s="63">
        <v>0</v>
      </c>
      <c r="CG33" s="63">
        <v>0</v>
      </c>
      <c r="CH33" s="63">
        <v>0</v>
      </c>
      <c r="CI33" s="63">
        <v>0</v>
      </c>
      <c r="CJ33" s="63">
        <v>0</v>
      </c>
      <c r="CK33" s="63">
        <v>0</v>
      </c>
      <c r="CL33" s="63">
        <v>0</v>
      </c>
      <c r="CM33" s="63">
        <v>0</v>
      </c>
      <c r="CN33" s="63">
        <v>0</v>
      </c>
      <c r="CO33" s="63">
        <v>0</v>
      </c>
      <c r="CP33" s="63">
        <v>0</v>
      </c>
      <c r="CQ33" s="63">
        <v>-98195</v>
      </c>
      <c r="CR33" s="63">
        <v>0</v>
      </c>
      <c r="CS33" s="63">
        <v>0</v>
      </c>
      <c r="CT33" s="63">
        <v>0</v>
      </c>
      <c r="CU33" s="63">
        <v>-98195</v>
      </c>
      <c r="CV33" s="63">
        <v>0</v>
      </c>
      <c r="CW33" s="63">
        <v>-98195</v>
      </c>
      <c r="CX33" s="63">
        <v>0</v>
      </c>
      <c r="CY33" s="63">
        <v>0</v>
      </c>
      <c r="CZ33" s="63">
        <v>0</v>
      </c>
      <c r="DA33" s="63">
        <v>-48613</v>
      </c>
      <c r="DB33" s="63">
        <v>0</v>
      </c>
      <c r="DC33" s="63">
        <v>-48613</v>
      </c>
      <c r="DD33" s="63">
        <v>-1102</v>
      </c>
      <c r="DE33" s="63">
        <v>0</v>
      </c>
      <c r="DF33" s="63">
        <v>-1102</v>
      </c>
      <c r="DG33" s="63">
        <v>-49715</v>
      </c>
      <c r="DH33" s="63">
        <v>0</v>
      </c>
      <c r="DI33" s="63">
        <v>0</v>
      </c>
      <c r="DJ33" s="63">
        <v>0</v>
      </c>
      <c r="DK33" s="63">
        <v>-49715</v>
      </c>
      <c r="DL33" s="63">
        <v>0</v>
      </c>
      <c r="DM33" s="63">
        <v>-49715</v>
      </c>
      <c r="DN33" s="63">
        <v>71581993</v>
      </c>
      <c r="DO33" s="63">
        <v>0</v>
      </c>
      <c r="DP33" s="63">
        <v>71581993</v>
      </c>
      <c r="DQ33" s="63"/>
      <c r="DR33" s="585"/>
    </row>
    <row r="34" spans="1:122" x14ac:dyDescent="0.2">
      <c r="A34" s="90">
        <v>27</v>
      </c>
      <c r="B34" s="129" t="s">
        <v>651</v>
      </c>
      <c r="C34" s="130" t="s">
        <v>501</v>
      </c>
      <c r="D34" s="131" t="s">
        <v>743</v>
      </c>
      <c r="E34" s="132" t="s">
        <v>505</v>
      </c>
      <c r="F34" s="475" t="s">
        <v>808</v>
      </c>
      <c r="G34" s="63">
        <v>169276932</v>
      </c>
      <c r="H34" s="63">
        <v>0</v>
      </c>
      <c r="I34" s="63">
        <v>169276932</v>
      </c>
      <c r="J34" s="608">
        <v>48.4</v>
      </c>
      <c r="K34" s="63">
        <v>81930035</v>
      </c>
      <c r="L34" s="63">
        <v>0</v>
      </c>
      <c r="M34" s="63">
        <v>-9527242</v>
      </c>
      <c r="N34" s="63">
        <v>0</v>
      </c>
      <c r="O34" s="63">
        <v>72402793</v>
      </c>
      <c r="P34" s="63">
        <v>0</v>
      </c>
      <c r="Q34" s="63">
        <v>72402793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63">
        <v>0</v>
      </c>
      <c r="AF34" s="63">
        <v>0</v>
      </c>
      <c r="AG34" s="63">
        <v>0</v>
      </c>
      <c r="AH34" s="63">
        <v>-1010000</v>
      </c>
      <c r="AI34" s="63">
        <v>0</v>
      </c>
      <c r="AJ34" s="63">
        <v>-1010000</v>
      </c>
      <c r="AK34" s="63">
        <v>-10000</v>
      </c>
      <c r="AL34" s="63">
        <v>0</v>
      </c>
      <c r="AM34" s="63">
        <v>-10000</v>
      </c>
      <c r="AN34" s="63">
        <v>2099110</v>
      </c>
      <c r="AO34" s="63">
        <v>0</v>
      </c>
      <c r="AP34" s="63">
        <v>2099110</v>
      </c>
      <c r="AQ34" s="63">
        <v>1089110</v>
      </c>
      <c r="AR34" s="63">
        <v>0</v>
      </c>
      <c r="AS34" s="63">
        <v>1089110</v>
      </c>
      <c r="AT34" s="63">
        <v>-2500000</v>
      </c>
      <c r="AU34" s="63">
        <v>0</v>
      </c>
      <c r="AV34" s="63">
        <v>-2500000</v>
      </c>
      <c r="AW34" s="63">
        <v>-5000</v>
      </c>
      <c r="AX34" s="63">
        <v>0</v>
      </c>
      <c r="AY34" s="63">
        <v>-5000</v>
      </c>
      <c r="AZ34" s="63">
        <v>0</v>
      </c>
      <c r="BA34" s="63">
        <v>0</v>
      </c>
      <c r="BB34" s="63">
        <v>0</v>
      </c>
      <c r="BC34" s="63">
        <v>-1415890</v>
      </c>
      <c r="BD34" s="63">
        <v>0</v>
      </c>
      <c r="BE34" s="63">
        <v>-700000</v>
      </c>
      <c r="BF34" s="63">
        <v>0</v>
      </c>
      <c r="BG34" s="63">
        <v>-2115890</v>
      </c>
      <c r="BH34" s="63">
        <v>0</v>
      </c>
      <c r="BI34" s="63">
        <v>-2115890</v>
      </c>
      <c r="BJ34" s="63">
        <v>-350000</v>
      </c>
      <c r="BK34" s="63">
        <v>0</v>
      </c>
      <c r="BL34" s="63">
        <v>-350000</v>
      </c>
      <c r="BM34" s="63">
        <v>-4700000</v>
      </c>
      <c r="BN34" s="63">
        <v>0</v>
      </c>
      <c r="BO34" s="63">
        <v>-4700000</v>
      </c>
      <c r="BP34" s="63">
        <v>-5050000</v>
      </c>
      <c r="BQ34" s="63">
        <v>0</v>
      </c>
      <c r="BR34" s="63">
        <v>-958901</v>
      </c>
      <c r="BS34" s="63">
        <v>0</v>
      </c>
      <c r="BT34" s="63">
        <v>-6008901</v>
      </c>
      <c r="BU34" s="63">
        <v>0</v>
      </c>
      <c r="BV34" s="63">
        <v>-6008901</v>
      </c>
      <c r="BW34" s="63">
        <v>-80000</v>
      </c>
      <c r="BX34" s="63">
        <v>0</v>
      </c>
      <c r="BY34" s="63">
        <v>-80000</v>
      </c>
      <c r="BZ34" s="63">
        <v>-75000</v>
      </c>
      <c r="CA34" s="63">
        <v>0</v>
      </c>
      <c r="CB34" s="63">
        <v>-75000</v>
      </c>
      <c r="CC34" s="63">
        <v>0</v>
      </c>
      <c r="CD34" s="63">
        <v>0</v>
      </c>
      <c r="CE34" s="63">
        <v>0</v>
      </c>
      <c r="CF34" s="63">
        <v>0</v>
      </c>
      <c r="CG34" s="63">
        <v>0</v>
      </c>
      <c r="CH34" s="63">
        <v>0</v>
      </c>
      <c r="CI34" s="63">
        <v>0</v>
      </c>
      <c r="CJ34" s="63">
        <v>0</v>
      </c>
      <c r="CK34" s="63">
        <v>0</v>
      </c>
      <c r="CL34" s="63">
        <v>0</v>
      </c>
      <c r="CM34" s="63">
        <v>0</v>
      </c>
      <c r="CN34" s="63">
        <v>0</v>
      </c>
      <c r="CO34" s="63">
        <v>0</v>
      </c>
      <c r="CP34" s="63">
        <v>0</v>
      </c>
      <c r="CQ34" s="63">
        <v>-155000</v>
      </c>
      <c r="CR34" s="63">
        <v>0</v>
      </c>
      <c r="CS34" s="63">
        <v>0</v>
      </c>
      <c r="CT34" s="63">
        <v>0</v>
      </c>
      <c r="CU34" s="63">
        <v>-155000</v>
      </c>
      <c r="CV34" s="63">
        <v>0</v>
      </c>
      <c r="CW34" s="63">
        <v>-155000</v>
      </c>
      <c r="CX34" s="63">
        <v>0</v>
      </c>
      <c r="CY34" s="63">
        <v>0</v>
      </c>
      <c r="CZ34" s="63">
        <v>0</v>
      </c>
      <c r="DA34" s="63">
        <v>-50000</v>
      </c>
      <c r="DB34" s="63">
        <v>0</v>
      </c>
      <c r="DC34" s="63">
        <v>-50000</v>
      </c>
      <c r="DD34" s="63">
        <v>0</v>
      </c>
      <c r="DE34" s="63">
        <v>0</v>
      </c>
      <c r="DF34" s="63">
        <v>0</v>
      </c>
      <c r="DG34" s="63">
        <v>-50000</v>
      </c>
      <c r="DH34" s="63">
        <v>0</v>
      </c>
      <c r="DI34" s="63">
        <v>0</v>
      </c>
      <c r="DJ34" s="63">
        <v>0</v>
      </c>
      <c r="DK34" s="63">
        <v>-50000</v>
      </c>
      <c r="DL34" s="63">
        <v>0</v>
      </c>
      <c r="DM34" s="63">
        <v>-50000</v>
      </c>
      <c r="DN34" s="63">
        <v>64073002</v>
      </c>
      <c r="DO34" s="63">
        <v>0</v>
      </c>
      <c r="DP34" s="63">
        <v>64073002</v>
      </c>
      <c r="DQ34" s="63"/>
      <c r="DR34" s="585"/>
    </row>
    <row r="35" spans="1:122" ht="12.75" x14ac:dyDescent="0.2">
      <c r="A35" s="90">
        <v>28</v>
      </c>
      <c r="B35" s="129" t="s">
        <v>653</v>
      </c>
      <c r="C35" s="130" t="s">
        <v>749</v>
      </c>
      <c r="D35" s="131" t="s">
        <v>750</v>
      </c>
      <c r="E35" s="132" t="s">
        <v>652</v>
      </c>
      <c r="F35" s="475" t="s">
        <v>808</v>
      </c>
      <c r="G35" s="63">
        <v>384023341</v>
      </c>
      <c r="H35" s="63">
        <v>0</v>
      </c>
      <c r="I35" s="63">
        <v>384023341</v>
      </c>
      <c r="J35" s="608">
        <v>48.4</v>
      </c>
      <c r="K35" s="63">
        <v>185867297</v>
      </c>
      <c r="L35" s="63">
        <v>0</v>
      </c>
      <c r="M35" s="63">
        <v>4084500</v>
      </c>
      <c r="N35" s="63">
        <v>0</v>
      </c>
      <c r="O35" s="63">
        <v>189951797</v>
      </c>
      <c r="P35" s="63">
        <v>0</v>
      </c>
      <c r="Q35" s="63">
        <v>189951797</v>
      </c>
      <c r="R35" s="63">
        <v>0</v>
      </c>
      <c r="S35" s="63">
        <v>0</v>
      </c>
      <c r="T35" s="63">
        <v>0</v>
      </c>
      <c r="U35" s="63">
        <v>0</v>
      </c>
      <c r="V35" s="63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63">
        <v>0</v>
      </c>
      <c r="AF35" s="63">
        <v>0</v>
      </c>
      <c r="AG35" s="63">
        <v>0</v>
      </c>
      <c r="AH35" s="63">
        <v>-16500000</v>
      </c>
      <c r="AI35" s="63">
        <v>0</v>
      </c>
      <c r="AJ35" s="63">
        <v>-16500000</v>
      </c>
      <c r="AK35" s="63">
        <v>-60000</v>
      </c>
      <c r="AL35" s="63">
        <v>0</v>
      </c>
      <c r="AM35" s="63">
        <v>-60000</v>
      </c>
      <c r="AN35" s="63">
        <v>4158366</v>
      </c>
      <c r="AO35" s="63">
        <v>0</v>
      </c>
      <c r="AP35" s="63">
        <v>4158366</v>
      </c>
      <c r="AQ35" s="63">
        <v>-12341634</v>
      </c>
      <c r="AR35" s="63">
        <v>0</v>
      </c>
      <c r="AS35" s="63">
        <v>-12341634</v>
      </c>
      <c r="AT35" s="63">
        <v>-13505902</v>
      </c>
      <c r="AU35" s="63">
        <v>0</v>
      </c>
      <c r="AV35" s="63">
        <v>-13505902</v>
      </c>
      <c r="AW35" s="63">
        <v>-163887</v>
      </c>
      <c r="AX35" s="63">
        <v>0</v>
      </c>
      <c r="AY35" s="63">
        <v>-163887</v>
      </c>
      <c r="AZ35" s="63">
        <v>-9921</v>
      </c>
      <c r="BA35" s="63">
        <v>0</v>
      </c>
      <c r="BB35" s="63">
        <v>-9921</v>
      </c>
      <c r="BC35" s="63">
        <v>-26021344</v>
      </c>
      <c r="BD35" s="63">
        <v>0</v>
      </c>
      <c r="BE35" s="63">
        <v>0</v>
      </c>
      <c r="BF35" s="63">
        <v>0</v>
      </c>
      <c r="BG35" s="63">
        <v>-26021344</v>
      </c>
      <c r="BH35" s="63">
        <v>0</v>
      </c>
      <c r="BI35" s="63">
        <v>-26021344</v>
      </c>
      <c r="BJ35" s="63">
        <v>-180000</v>
      </c>
      <c r="BK35" s="63">
        <v>0</v>
      </c>
      <c r="BL35" s="63">
        <v>-180000</v>
      </c>
      <c r="BM35" s="63">
        <v>-8300000</v>
      </c>
      <c r="BN35" s="63">
        <v>0</v>
      </c>
      <c r="BO35" s="63">
        <v>-8300000</v>
      </c>
      <c r="BP35" s="63">
        <v>-8480000</v>
      </c>
      <c r="BQ35" s="63">
        <v>0</v>
      </c>
      <c r="BR35" s="63">
        <v>0</v>
      </c>
      <c r="BS35" s="63">
        <v>0</v>
      </c>
      <c r="BT35" s="63">
        <v>-8480000</v>
      </c>
      <c r="BU35" s="63">
        <v>0</v>
      </c>
      <c r="BV35" s="63">
        <v>-8480000</v>
      </c>
      <c r="BW35" s="63">
        <v>-8141</v>
      </c>
      <c r="BX35" s="63">
        <v>0</v>
      </c>
      <c r="BY35" s="63">
        <v>-8141</v>
      </c>
      <c r="BZ35" s="63">
        <v>-390000</v>
      </c>
      <c r="CA35" s="63">
        <v>0</v>
      </c>
      <c r="CB35" s="63">
        <v>-390000</v>
      </c>
      <c r="CC35" s="63">
        <v>0</v>
      </c>
      <c r="CD35" s="63">
        <v>0</v>
      </c>
      <c r="CE35" s="63">
        <v>0</v>
      </c>
      <c r="CF35" s="63">
        <v>-6890</v>
      </c>
      <c r="CG35" s="63">
        <v>0</v>
      </c>
      <c r="CH35" s="63">
        <v>-6890</v>
      </c>
      <c r="CI35" s="63">
        <v>0</v>
      </c>
      <c r="CJ35" s="63">
        <v>0</v>
      </c>
      <c r="CK35" s="63">
        <v>0</v>
      </c>
      <c r="CL35" s="63">
        <v>0</v>
      </c>
      <c r="CM35" s="63">
        <v>0</v>
      </c>
      <c r="CN35" s="63">
        <v>0</v>
      </c>
      <c r="CO35" s="63">
        <v>0</v>
      </c>
      <c r="CP35" s="63">
        <v>0</v>
      </c>
      <c r="CQ35" s="63">
        <v>-405031</v>
      </c>
      <c r="CR35" s="63">
        <v>0</v>
      </c>
      <c r="CS35" s="63">
        <v>0</v>
      </c>
      <c r="CT35" s="63">
        <v>0</v>
      </c>
      <c r="CU35" s="63">
        <v>-405031</v>
      </c>
      <c r="CV35" s="63">
        <v>0</v>
      </c>
      <c r="CW35" s="63">
        <v>-405031</v>
      </c>
      <c r="CX35" s="63">
        <v>-20000</v>
      </c>
      <c r="CY35" s="63">
        <v>0</v>
      </c>
      <c r="CZ35" s="63">
        <v>-20000</v>
      </c>
      <c r="DA35" s="63">
        <v>-98160</v>
      </c>
      <c r="DB35" s="63">
        <v>0</v>
      </c>
      <c r="DC35" s="63">
        <v>-98160</v>
      </c>
      <c r="DD35" s="63">
        <v>-25000</v>
      </c>
      <c r="DE35" s="63">
        <v>0</v>
      </c>
      <c r="DF35" s="63">
        <v>-25000</v>
      </c>
      <c r="DG35" s="63">
        <v>-143160</v>
      </c>
      <c r="DH35" s="63">
        <v>0</v>
      </c>
      <c r="DI35" s="63">
        <v>0</v>
      </c>
      <c r="DJ35" s="63">
        <v>0</v>
      </c>
      <c r="DK35" s="63">
        <v>-143160</v>
      </c>
      <c r="DL35" s="63">
        <v>0</v>
      </c>
      <c r="DM35" s="63">
        <v>-143160</v>
      </c>
      <c r="DN35" s="63">
        <v>154902262</v>
      </c>
      <c r="DO35" s="63">
        <v>0</v>
      </c>
      <c r="DP35" s="63">
        <v>154902262</v>
      </c>
      <c r="DQ35" s="63"/>
      <c r="DR35" s="586"/>
    </row>
    <row r="36" spans="1:122" x14ac:dyDescent="0.2">
      <c r="A36" s="90">
        <v>29</v>
      </c>
      <c r="B36" s="129" t="s">
        <v>655</v>
      </c>
      <c r="C36" s="130" t="s">
        <v>742</v>
      </c>
      <c r="D36" s="131" t="s">
        <v>746</v>
      </c>
      <c r="E36" s="132" t="s">
        <v>654</v>
      </c>
      <c r="F36" s="475" t="s">
        <v>808</v>
      </c>
      <c r="G36" s="63">
        <v>105230625</v>
      </c>
      <c r="H36" s="63">
        <v>0</v>
      </c>
      <c r="I36" s="63">
        <v>105230625</v>
      </c>
      <c r="J36" s="608">
        <v>48.4</v>
      </c>
      <c r="K36" s="63">
        <v>50931623</v>
      </c>
      <c r="L36" s="63">
        <v>0</v>
      </c>
      <c r="M36" s="63">
        <v>0</v>
      </c>
      <c r="N36" s="63">
        <v>0</v>
      </c>
      <c r="O36" s="63">
        <v>50931623</v>
      </c>
      <c r="P36" s="63">
        <v>0</v>
      </c>
      <c r="Q36" s="63">
        <v>50931623</v>
      </c>
      <c r="R36" s="63">
        <v>0</v>
      </c>
      <c r="S36" s="63">
        <v>0</v>
      </c>
      <c r="T36" s="63">
        <v>0</v>
      </c>
      <c r="U36" s="63">
        <v>0</v>
      </c>
      <c r="V36" s="63">
        <v>0</v>
      </c>
      <c r="W36" s="63">
        <v>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0</v>
      </c>
      <c r="AE36" s="63">
        <v>0</v>
      </c>
      <c r="AF36" s="63">
        <v>0</v>
      </c>
      <c r="AG36" s="63">
        <v>0</v>
      </c>
      <c r="AH36" s="63">
        <v>-3301000</v>
      </c>
      <c r="AI36" s="63">
        <v>0</v>
      </c>
      <c r="AJ36" s="63">
        <v>-3301000</v>
      </c>
      <c r="AK36" s="63">
        <v>0</v>
      </c>
      <c r="AL36" s="63">
        <v>0</v>
      </c>
      <c r="AM36" s="63">
        <v>0</v>
      </c>
      <c r="AN36" s="63">
        <v>1122985.6000000001</v>
      </c>
      <c r="AO36" s="63">
        <v>0</v>
      </c>
      <c r="AP36" s="63">
        <v>1122985.6000000001</v>
      </c>
      <c r="AQ36" s="63">
        <v>-2178014.4</v>
      </c>
      <c r="AR36" s="63">
        <v>0</v>
      </c>
      <c r="AS36" s="63">
        <v>-2178014.4</v>
      </c>
      <c r="AT36" s="63">
        <v>-2871419.53</v>
      </c>
      <c r="AU36" s="63">
        <v>0</v>
      </c>
      <c r="AV36" s="63">
        <v>-2871419.53</v>
      </c>
      <c r="AW36" s="63">
        <v>-109151.14</v>
      </c>
      <c r="AX36" s="63">
        <v>0</v>
      </c>
      <c r="AY36" s="63">
        <v>-109151.14</v>
      </c>
      <c r="AZ36" s="63">
        <v>-13728.4</v>
      </c>
      <c r="BA36" s="63">
        <v>0</v>
      </c>
      <c r="BB36" s="63">
        <v>-13728.4</v>
      </c>
      <c r="BC36" s="63">
        <v>-5172313.47</v>
      </c>
      <c r="BD36" s="63">
        <v>0</v>
      </c>
      <c r="BE36" s="63">
        <v>0</v>
      </c>
      <c r="BF36" s="63">
        <v>0</v>
      </c>
      <c r="BG36" s="63">
        <v>-5172313.47</v>
      </c>
      <c r="BH36" s="63">
        <v>0</v>
      </c>
      <c r="BI36" s="63">
        <v>-5172313.47</v>
      </c>
      <c r="BJ36" s="63">
        <v>-15000</v>
      </c>
      <c r="BK36" s="63">
        <v>0</v>
      </c>
      <c r="BL36" s="63">
        <v>-15000</v>
      </c>
      <c r="BM36" s="63">
        <v>-1551778</v>
      </c>
      <c r="BN36" s="63">
        <v>0</v>
      </c>
      <c r="BO36" s="63">
        <v>-1551778</v>
      </c>
      <c r="BP36" s="63">
        <v>-1566778</v>
      </c>
      <c r="BQ36" s="63">
        <v>0</v>
      </c>
      <c r="BR36" s="63">
        <v>0</v>
      </c>
      <c r="BS36" s="63">
        <v>0</v>
      </c>
      <c r="BT36" s="63">
        <v>-1566778</v>
      </c>
      <c r="BU36" s="63">
        <v>0</v>
      </c>
      <c r="BV36" s="63">
        <v>-1566778</v>
      </c>
      <c r="BW36" s="63">
        <v>-66055.850000000006</v>
      </c>
      <c r="BX36" s="63">
        <v>0</v>
      </c>
      <c r="BY36" s="63">
        <v>-66055.850000000006</v>
      </c>
      <c r="BZ36" s="63">
        <v>-219128.14</v>
      </c>
      <c r="CA36" s="63">
        <v>0</v>
      </c>
      <c r="CB36" s="63">
        <v>-219128.14</v>
      </c>
      <c r="CC36" s="63">
        <v>-643.62</v>
      </c>
      <c r="CD36" s="63">
        <v>0</v>
      </c>
      <c r="CE36" s="63">
        <v>-643.62</v>
      </c>
      <c r="CF36" s="63">
        <v>-3080.16</v>
      </c>
      <c r="CG36" s="63">
        <v>0</v>
      </c>
      <c r="CH36" s="63">
        <v>-3080.16</v>
      </c>
      <c r="CI36" s="63">
        <v>0</v>
      </c>
      <c r="CJ36" s="63">
        <v>0</v>
      </c>
      <c r="CK36" s="63">
        <v>0</v>
      </c>
      <c r="CL36" s="63">
        <v>0</v>
      </c>
      <c r="CM36" s="63">
        <v>0</v>
      </c>
      <c r="CN36" s="63">
        <v>0</v>
      </c>
      <c r="CO36" s="63">
        <v>0</v>
      </c>
      <c r="CP36" s="63">
        <v>0</v>
      </c>
      <c r="CQ36" s="63">
        <v>-288907.76999999996</v>
      </c>
      <c r="CR36" s="63">
        <v>0</v>
      </c>
      <c r="CS36" s="63">
        <v>0</v>
      </c>
      <c r="CT36" s="63">
        <v>0</v>
      </c>
      <c r="CU36" s="63">
        <v>-288907.76999999996</v>
      </c>
      <c r="CV36" s="63">
        <v>0</v>
      </c>
      <c r="CW36" s="63">
        <v>-288907.76999999996</v>
      </c>
      <c r="CX36" s="63">
        <v>-10043</v>
      </c>
      <c r="CY36" s="63">
        <v>0</v>
      </c>
      <c r="CZ36" s="63">
        <v>-10043</v>
      </c>
      <c r="DA36" s="63">
        <v>-23957.47</v>
      </c>
      <c r="DB36" s="63">
        <v>0</v>
      </c>
      <c r="DC36" s="63">
        <v>-23957.47</v>
      </c>
      <c r="DD36" s="63">
        <v>-12000</v>
      </c>
      <c r="DE36" s="63">
        <v>0</v>
      </c>
      <c r="DF36" s="63">
        <v>-12000</v>
      </c>
      <c r="DG36" s="63">
        <v>-46000.47</v>
      </c>
      <c r="DH36" s="63">
        <v>0</v>
      </c>
      <c r="DI36" s="63">
        <v>0</v>
      </c>
      <c r="DJ36" s="63">
        <v>0</v>
      </c>
      <c r="DK36" s="63">
        <v>-46000.47</v>
      </c>
      <c r="DL36" s="63">
        <v>0</v>
      </c>
      <c r="DM36" s="63">
        <v>-46000.47</v>
      </c>
      <c r="DN36" s="63">
        <v>43857623.289999999</v>
      </c>
      <c r="DO36" s="63">
        <v>0</v>
      </c>
      <c r="DP36" s="63">
        <v>43857623.289999999</v>
      </c>
      <c r="DQ36" s="63"/>
      <c r="DR36" s="585"/>
    </row>
    <row r="37" spans="1:122" x14ac:dyDescent="0.2">
      <c r="A37" s="90">
        <v>30</v>
      </c>
      <c r="B37" s="129" t="s">
        <v>657</v>
      </c>
      <c r="C37" s="130" t="s">
        <v>742</v>
      </c>
      <c r="D37" s="131" t="s">
        <v>746</v>
      </c>
      <c r="E37" s="132" t="s">
        <v>656</v>
      </c>
      <c r="F37" s="475" t="s">
        <v>808</v>
      </c>
      <c r="G37" s="63">
        <v>77402190</v>
      </c>
      <c r="H37" s="63">
        <v>0</v>
      </c>
      <c r="I37" s="63">
        <v>77402190</v>
      </c>
      <c r="J37" s="608">
        <v>48.4</v>
      </c>
      <c r="K37" s="63">
        <v>37462660</v>
      </c>
      <c r="L37" s="63">
        <v>0</v>
      </c>
      <c r="M37" s="63">
        <v>0</v>
      </c>
      <c r="N37" s="63">
        <v>0</v>
      </c>
      <c r="O37" s="63">
        <v>37462660</v>
      </c>
      <c r="P37" s="63">
        <v>0</v>
      </c>
      <c r="Q37" s="63">
        <v>37462660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0</v>
      </c>
      <c r="AE37" s="63">
        <v>0</v>
      </c>
      <c r="AF37" s="63">
        <v>0</v>
      </c>
      <c r="AG37" s="63">
        <v>0</v>
      </c>
      <c r="AH37" s="63">
        <v>-2996318</v>
      </c>
      <c r="AI37" s="63">
        <v>0</v>
      </c>
      <c r="AJ37" s="63">
        <v>-2996318</v>
      </c>
      <c r="AK37" s="63">
        <v>-1210</v>
      </c>
      <c r="AL37" s="63">
        <v>0</v>
      </c>
      <c r="AM37" s="63">
        <v>-1210</v>
      </c>
      <c r="AN37" s="63">
        <v>788306</v>
      </c>
      <c r="AO37" s="63">
        <v>0</v>
      </c>
      <c r="AP37" s="63">
        <v>788306</v>
      </c>
      <c r="AQ37" s="63">
        <v>-2208012</v>
      </c>
      <c r="AR37" s="63">
        <v>0</v>
      </c>
      <c r="AS37" s="63">
        <v>-2208012</v>
      </c>
      <c r="AT37" s="63">
        <v>-2142342</v>
      </c>
      <c r="AU37" s="63">
        <v>0</v>
      </c>
      <c r="AV37" s="63">
        <v>-2142342</v>
      </c>
      <c r="AW37" s="63">
        <v>-40547</v>
      </c>
      <c r="AX37" s="63">
        <v>0</v>
      </c>
      <c r="AY37" s="63">
        <v>-40547</v>
      </c>
      <c r="AZ37" s="63">
        <v>-86805</v>
      </c>
      <c r="BA37" s="63">
        <v>0</v>
      </c>
      <c r="BB37" s="63">
        <v>-86805</v>
      </c>
      <c r="BC37" s="63">
        <v>-4477706</v>
      </c>
      <c r="BD37" s="63">
        <v>0</v>
      </c>
      <c r="BE37" s="63">
        <v>0</v>
      </c>
      <c r="BF37" s="63">
        <v>0</v>
      </c>
      <c r="BG37" s="63">
        <v>-4477706</v>
      </c>
      <c r="BH37" s="63">
        <v>0</v>
      </c>
      <c r="BI37" s="63">
        <v>-4477706</v>
      </c>
      <c r="BJ37" s="63">
        <v>-50000</v>
      </c>
      <c r="BK37" s="63">
        <v>0</v>
      </c>
      <c r="BL37" s="63">
        <v>-50000</v>
      </c>
      <c r="BM37" s="63">
        <v>-704324</v>
      </c>
      <c r="BN37" s="63">
        <v>0</v>
      </c>
      <c r="BO37" s="63">
        <v>-704324</v>
      </c>
      <c r="BP37" s="63">
        <v>-754324</v>
      </c>
      <c r="BQ37" s="63">
        <v>0</v>
      </c>
      <c r="BR37" s="63">
        <v>0</v>
      </c>
      <c r="BS37" s="63">
        <v>0</v>
      </c>
      <c r="BT37" s="63">
        <v>-754324</v>
      </c>
      <c r="BU37" s="63">
        <v>0</v>
      </c>
      <c r="BV37" s="63">
        <v>-754324</v>
      </c>
      <c r="BW37" s="63">
        <v>-46274</v>
      </c>
      <c r="BX37" s="63">
        <v>0</v>
      </c>
      <c r="BY37" s="63">
        <v>-46274</v>
      </c>
      <c r="BZ37" s="63">
        <v>-4000</v>
      </c>
      <c r="CA37" s="63">
        <v>0</v>
      </c>
      <c r="CB37" s="63">
        <v>-4000</v>
      </c>
      <c r="CC37" s="63">
        <v>-1847</v>
      </c>
      <c r="CD37" s="63">
        <v>0</v>
      </c>
      <c r="CE37" s="63">
        <v>-1847</v>
      </c>
      <c r="CF37" s="63">
        <v>-8364</v>
      </c>
      <c r="CG37" s="63">
        <v>0</v>
      </c>
      <c r="CH37" s="63">
        <v>-8364</v>
      </c>
      <c r="CI37" s="63">
        <v>0</v>
      </c>
      <c r="CJ37" s="63">
        <v>0</v>
      </c>
      <c r="CK37" s="63">
        <v>0</v>
      </c>
      <c r="CL37" s="63">
        <v>0</v>
      </c>
      <c r="CM37" s="63">
        <v>0</v>
      </c>
      <c r="CN37" s="63">
        <v>0</v>
      </c>
      <c r="CO37" s="63">
        <v>0</v>
      </c>
      <c r="CP37" s="63">
        <v>0</v>
      </c>
      <c r="CQ37" s="63">
        <v>-60485</v>
      </c>
      <c r="CR37" s="63">
        <v>0</v>
      </c>
      <c r="CS37" s="63">
        <v>0</v>
      </c>
      <c r="CT37" s="63">
        <v>0</v>
      </c>
      <c r="CU37" s="63">
        <v>-60485</v>
      </c>
      <c r="CV37" s="63">
        <v>0</v>
      </c>
      <c r="CW37" s="63">
        <v>-60485</v>
      </c>
      <c r="CX37" s="63">
        <v>0</v>
      </c>
      <c r="CY37" s="63">
        <v>0</v>
      </c>
      <c r="CZ37" s="63">
        <v>0</v>
      </c>
      <c r="DA37" s="63">
        <v>-18222</v>
      </c>
      <c r="DB37" s="63">
        <v>0</v>
      </c>
      <c r="DC37" s="63">
        <v>-18222</v>
      </c>
      <c r="DD37" s="63">
        <v>-51</v>
      </c>
      <c r="DE37" s="63">
        <v>0</v>
      </c>
      <c r="DF37" s="63">
        <v>-51</v>
      </c>
      <c r="DG37" s="63">
        <v>-18273</v>
      </c>
      <c r="DH37" s="63">
        <v>0</v>
      </c>
      <c r="DI37" s="63">
        <v>0</v>
      </c>
      <c r="DJ37" s="63">
        <v>0</v>
      </c>
      <c r="DK37" s="63">
        <v>-18273</v>
      </c>
      <c r="DL37" s="63">
        <v>0</v>
      </c>
      <c r="DM37" s="63">
        <v>-18273</v>
      </c>
      <c r="DN37" s="63">
        <v>32151872</v>
      </c>
      <c r="DO37" s="63">
        <v>0</v>
      </c>
      <c r="DP37" s="63">
        <v>32151872</v>
      </c>
      <c r="DQ37" s="63"/>
      <c r="DR37" s="585"/>
    </row>
    <row r="38" spans="1:122" x14ac:dyDescent="0.2">
      <c r="A38" s="90">
        <v>31</v>
      </c>
      <c r="B38" s="129" t="s">
        <v>659</v>
      </c>
      <c r="C38" s="130" t="s">
        <v>747</v>
      </c>
      <c r="D38" s="131" t="s">
        <v>748</v>
      </c>
      <c r="E38" s="132" t="s">
        <v>658</v>
      </c>
      <c r="F38" s="475" t="s">
        <v>808</v>
      </c>
      <c r="G38" s="63">
        <v>280739942</v>
      </c>
      <c r="H38" s="63">
        <v>0</v>
      </c>
      <c r="I38" s="63">
        <v>280739942</v>
      </c>
      <c r="J38" s="608">
        <v>48.4</v>
      </c>
      <c r="K38" s="63">
        <v>135878132</v>
      </c>
      <c r="L38" s="63">
        <v>0</v>
      </c>
      <c r="M38" s="63">
        <v>850000</v>
      </c>
      <c r="N38" s="63">
        <v>0</v>
      </c>
      <c r="O38" s="63">
        <v>136728132</v>
      </c>
      <c r="P38" s="63">
        <v>0</v>
      </c>
      <c r="Q38" s="63">
        <v>136728132</v>
      </c>
      <c r="R38" s="63">
        <v>0</v>
      </c>
      <c r="S38" s="63">
        <v>0</v>
      </c>
      <c r="T38" s="63">
        <v>0</v>
      </c>
      <c r="U38" s="63">
        <v>0</v>
      </c>
      <c r="V38" s="63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63">
        <v>0</v>
      </c>
      <c r="AF38" s="63">
        <v>0</v>
      </c>
      <c r="AG38" s="63">
        <v>0</v>
      </c>
      <c r="AH38" s="63">
        <v>-4492670</v>
      </c>
      <c r="AI38" s="63">
        <v>0</v>
      </c>
      <c r="AJ38" s="63">
        <v>-4492670</v>
      </c>
      <c r="AK38" s="63">
        <v>-6820</v>
      </c>
      <c r="AL38" s="63">
        <v>0</v>
      </c>
      <c r="AM38" s="63">
        <v>-6820</v>
      </c>
      <c r="AN38" s="63">
        <v>2940755</v>
      </c>
      <c r="AO38" s="63">
        <v>0</v>
      </c>
      <c r="AP38" s="63">
        <v>2940755</v>
      </c>
      <c r="AQ38" s="63">
        <v>-1551915</v>
      </c>
      <c r="AR38" s="63">
        <v>0</v>
      </c>
      <c r="AS38" s="63">
        <v>-1551915</v>
      </c>
      <c r="AT38" s="63">
        <v>-7679236</v>
      </c>
      <c r="AU38" s="63">
        <v>0</v>
      </c>
      <c r="AV38" s="63">
        <v>-7679236</v>
      </c>
      <c r="AW38" s="63">
        <v>-40575</v>
      </c>
      <c r="AX38" s="63">
        <v>0</v>
      </c>
      <c r="AY38" s="63">
        <v>-40575</v>
      </c>
      <c r="AZ38" s="63">
        <v>0</v>
      </c>
      <c r="BA38" s="63">
        <v>0</v>
      </c>
      <c r="BB38" s="63">
        <v>0</v>
      </c>
      <c r="BC38" s="63">
        <v>-9271726</v>
      </c>
      <c r="BD38" s="63">
        <v>0</v>
      </c>
      <c r="BE38" s="63">
        <v>0</v>
      </c>
      <c r="BF38" s="63">
        <v>0</v>
      </c>
      <c r="BG38" s="63">
        <v>-9271726</v>
      </c>
      <c r="BH38" s="63">
        <v>0</v>
      </c>
      <c r="BI38" s="63">
        <v>-9271726</v>
      </c>
      <c r="BJ38" s="63">
        <v>0</v>
      </c>
      <c r="BK38" s="63">
        <v>0</v>
      </c>
      <c r="BL38" s="63">
        <v>0</v>
      </c>
      <c r="BM38" s="63">
        <v>-3198821</v>
      </c>
      <c r="BN38" s="63">
        <v>0</v>
      </c>
      <c r="BO38" s="63">
        <v>-3198821</v>
      </c>
      <c r="BP38" s="63">
        <v>-3198821</v>
      </c>
      <c r="BQ38" s="63">
        <v>0</v>
      </c>
      <c r="BR38" s="63">
        <v>-145000</v>
      </c>
      <c r="BS38" s="63">
        <v>0</v>
      </c>
      <c r="BT38" s="63">
        <v>-3343821</v>
      </c>
      <c r="BU38" s="63">
        <v>0</v>
      </c>
      <c r="BV38" s="63">
        <v>-3343821</v>
      </c>
      <c r="BW38" s="63">
        <v>-442644</v>
      </c>
      <c r="BX38" s="63">
        <v>0</v>
      </c>
      <c r="BY38" s="63">
        <v>-442644</v>
      </c>
      <c r="BZ38" s="63">
        <v>-52467</v>
      </c>
      <c r="CA38" s="63">
        <v>0</v>
      </c>
      <c r="CB38" s="63">
        <v>-52467</v>
      </c>
      <c r="CC38" s="63">
        <v>-2286</v>
      </c>
      <c r="CD38" s="63">
        <v>0</v>
      </c>
      <c r="CE38" s="63">
        <v>-2286</v>
      </c>
      <c r="CF38" s="63">
        <v>0</v>
      </c>
      <c r="CG38" s="63">
        <v>0</v>
      </c>
      <c r="CH38" s="63">
        <v>0</v>
      </c>
      <c r="CI38" s="63">
        <v>0</v>
      </c>
      <c r="CJ38" s="63">
        <v>0</v>
      </c>
      <c r="CK38" s="63">
        <v>0</v>
      </c>
      <c r="CL38" s="63">
        <v>-2500</v>
      </c>
      <c r="CM38" s="63">
        <v>0</v>
      </c>
      <c r="CN38" s="63">
        <v>-2500</v>
      </c>
      <c r="CO38" s="63">
        <v>0</v>
      </c>
      <c r="CP38" s="63">
        <v>0</v>
      </c>
      <c r="CQ38" s="63">
        <v>-499897</v>
      </c>
      <c r="CR38" s="63">
        <v>0</v>
      </c>
      <c r="CS38" s="63">
        <v>0</v>
      </c>
      <c r="CT38" s="63">
        <v>0</v>
      </c>
      <c r="CU38" s="63">
        <v>-499897</v>
      </c>
      <c r="CV38" s="63">
        <v>0</v>
      </c>
      <c r="CW38" s="63">
        <v>-499897</v>
      </c>
      <c r="CX38" s="63">
        <v>-20000</v>
      </c>
      <c r="CY38" s="63">
        <v>0</v>
      </c>
      <c r="CZ38" s="63">
        <v>-20000</v>
      </c>
      <c r="DA38" s="63">
        <v>-50000</v>
      </c>
      <c r="DB38" s="63">
        <v>0</v>
      </c>
      <c r="DC38" s="63">
        <v>-50000</v>
      </c>
      <c r="DD38" s="63">
        <v>-1299</v>
      </c>
      <c r="DE38" s="63">
        <v>0</v>
      </c>
      <c r="DF38" s="63">
        <v>-1299</v>
      </c>
      <c r="DG38" s="63">
        <v>-71299</v>
      </c>
      <c r="DH38" s="63">
        <v>0</v>
      </c>
      <c r="DI38" s="63">
        <v>0</v>
      </c>
      <c r="DJ38" s="63">
        <v>0</v>
      </c>
      <c r="DK38" s="63">
        <v>-71299</v>
      </c>
      <c r="DL38" s="63">
        <v>0</v>
      </c>
      <c r="DM38" s="63">
        <v>-71299</v>
      </c>
      <c r="DN38" s="63">
        <v>123541389</v>
      </c>
      <c r="DO38" s="63">
        <v>0</v>
      </c>
      <c r="DP38" s="63">
        <v>123541389</v>
      </c>
      <c r="DQ38" s="63"/>
      <c r="DR38" s="585"/>
    </row>
    <row r="39" spans="1:122" x14ac:dyDescent="0.2">
      <c r="A39" s="90">
        <v>32</v>
      </c>
      <c r="B39" s="129" t="s">
        <v>661</v>
      </c>
      <c r="C39" s="130" t="s">
        <v>742</v>
      </c>
      <c r="D39" s="131" t="s">
        <v>746</v>
      </c>
      <c r="E39" s="132" t="s">
        <v>660</v>
      </c>
      <c r="F39" s="475" t="s">
        <v>808</v>
      </c>
      <c r="G39" s="63">
        <v>75603541</v>
      </c>
      <c r="H39" s="63">
        <v>0</v>
      </c>
      <c r="I39" s="63">
        <v>75603541</v>
      </c>
      <c r="J39" s="608">
        <v>48.4</v>
      </c>
      <c r="K39" s="63">
        <v>36592114</v>
      </c>
      <c r="L39" s="63">
        <v>0</v>
      </c>
      <c r="M39" s="63">
        <v>0</v>
      </c>
      <c r="N39" s="63">
        <v>0</v>
      </c>
      <c r="O39" s="63">
        <v>36592114</v>
      </c>
      <c r="P39" s="63">
        <v>0</v>
      </c>
      <c r="Q39" s="63">
        <v>36592114</v>
      </c>
      <c r="R39" s="63">
        <v>0</v>
      </c>
      <c r="S39" s="63">
        <v>0</v>
      </c>
      <c r="T39" s="63">
        <v>0</v>
      </c>
      <c r="U39" s="63">
        <v>0</v>
      </c>
      <c r="V39" s="63">
        <v>0</v>
      </c>
      <c r="W39" s="63">
        <v>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0</v>
      </c>
      <c r="AE39" s="63">
        <v>0</v>
      </c>
      <c r="AF39" s="63">
        <v>0</v>
      </c>
      <c r="AG39" s="63">
        <v>0</v>
      </c>
      <c r="AH39" s="63">
        <v>-1200000</v>
      </c>
      <c r="AI39" s="63">
        <v>0</v>
      </c>
      <c r="AJ39" s="63">
        <v>-1200000</v>
      </c>
      <c r="AK39" s="63">
        <v>0</v>
      </c>
      <c r="AL39" s="63">
        <v>0</v>
      </c>
      <c r="AM39" s="63">
        <v>0</v>
      </c>
      <c r="AN39" s="63">
        <v>853872</v>
      </c>
      <c r="AO39" s="63">
        <v>0</v>
      </c>
      <c r="AP39" s="63">
        <v>853872</v>
      </c>
      <c r="AQ39" s="63">
        <v>-346128</v>
      </c>
      <c r="AR39" s="63">
        <v>0</v>
      </c>
      <c r="AS39" s="63">
        <v>-346128</v>
      </c>
      <c r="AT39" s="63">
        <v>-2300000</v>
      </c>
      <c r="AU39" s="63">
        <v>0</v>
      </c>
      <c r="AV39" s="63">
        <v>-2300000</v>
      </c>
      <c r="AW39" s="63">
        <v>-60000</v>
      </c>
      <c r="AX39" s="63">
        <v>0</v>
      </c>
      <c r="AY39" s="63">
        <v>-60000</v>
      </c>
      <c r="AZ39" s="63">
        <v>-5000</v>
      </c>
      <c r="BA39" s="63">
        <v>0</v>
      </c>
      <c r="BB39" s="63">
        <v>-5000</v>
      </c>
      <c r="BC39" s="63">
        <v>-2711128</v>
      </c>
      <c r="BD39" s="63">
        <v>0</v>
      </c>
      <c r="BE39" s="63">
        <v>-25000</v>
      </c>
      <c r="BF39" s="63">
        <v>0</v>
      </c>
      <c r="BG39" s="63">
        <v>-2736128</v>
      </c>
      <c r="BH39" s="63">
        <v>0</v>
      </c>
      <c r="BI39" s="63">
        <v>-2736128</v>
      </c>
      <c r="BJ39" s="63">
        <v>-45000</v>
      </c>
      <c r="BK39" s="63">
        <v>0</v>
      </c>
      <c r="BL39" s="63">
        <v>-45000</v>
      </c>
      <c r="BM39" s="63">
        <v>-1200000</v>
      </c>
      <c r="BN39" s="63">
        <v>0</v>
      </c>
      <c r="BO39" s="63">
        <v>-1200000</v>
      </c>
      <c r="BP39" s="63">
        <v>-1245000</v>
      </c>
      <c r="BQ39" s="63">
        <v>0</v>
      </c>
      <c r="BR39" s="63">
        <v>-370000</v>
      </c>
      <c r="BS39" s="63">
        <v>0</v>
      </c>
      <c r="BT39" s="63">
        <v>-1615000</v>
      </c>
      <c r="BU39" s="63">
        <v>0</v>
      </c>
      <c r="BV39" s="63">
        <v>-1615000</v>
      </c>
      <c r="BW39" s="63">
        <v>-65000</v>
      </c>
      <c r="BX39" s="63">
        <v>0</v>
      </c>
      <c r="BY39" s="63">
        <v>-65000</v>
      </c>
      <c r="BZ39" s="63">
        <v>-45000</v>
      </c>
      <c r="CA39" s="63">
        <v>0</v>
      </c>
      <c r="CB39" s="63">
        <v>-45000</v>
      </c>
      <c r="CC39" s="63">
        <v>-21000</v>
      </c>
      <c r="CD39" s="63">
        <v>0</v>
      </c>
      <c r="CE39" s="63">
        <v>-21000</v>
      </c>
      <c r="CF39" s="63">
        <v>-5000</v>
      </c>
      <c r="CG39" s="63">
        <v>0</v>
      </c>
      <c r="CH39" s="63">
        <v>-5000</v>
      </c>
      <c r="CI39" s="63">
        <v>-10000</v>
      </c>
      <c r="CJ39" s="63">
        <v>0</v>
      </c>
      <c r="CK39" s="63">
        <v>-10000</v>
      </c>
      <c r="CL39" s="63">
        <v>0</v>
      </c>
      <c r="CM39" s="63">
        <v>0</v>
      </c>
      <c r="CN39" s="63">
        <v>0</v>
      </c>
      <c r="CO39" s="63">
        <v>0</v>
      </c>
      <c r="CP39" s="63">
        <v>0</v>
      </c>
      <c r="CQ39" s="63">
        <v>-146000</v>
      </c>
      <c r="CR39" s="63">
        <v>0</v>
      </c>
      <c r="CS39" s="63">
        <v>0</v>
      </c>
      <c r="CT39" s="63">
        <v>0</v>
      </c>
      <c r="CU39" s="63">
        <v>-146000</v>
      </c>
      <c r="CV39" s="63">
        <v>0</v>
      </c>
      <c r="CW39" s="63">
        <v>-146000</v>
      </c>
      <c r="CX39" s="63">
        <v>0</v>
      </c>
      <c r="CY39" s="63">
        <v>0</v>
      </c>
      <c r="CZ39" s="63">
        <v>0</v>
      </c>
      <c r="DA39" s="63">
        <v>-18000</v>
      </c>
      <c r="DB39" s="63">
        <v>0</v>
      </c>
      <c r="DC39" s="63">
        <v>-18000</v>
      </c>
      <c r="DD39" s="63">
        <v>-4000</v>
      </c>
      <c r="DE39" s="63">
        <v>0</v>
      </c>
      <c r="DF39" s="63">
        <v>-4000</v>
      </c>
      <c r="DG39" s="63">
        <v>-22000</v>
      </c>
      <c r="DH39" s="63">
        <v>0</v>
      </c>
      <c r="DI39" s="63">
        <v>0</v>
      </c>
      <c r="DJ39" s="63">
        <v>0</v>
      </c>
      <c r="DK39" s="63">
        <v>-22000</v>
      </c>
      <c r="DL39" s="63">
        <v>0</v>
      </c>
      <c r="DM39" s="63">
        <v>-22000</v>
      </c>
      <c r="DN39" s="63">
        <v>32072986</v>
      </c>
      <c r="DO39" s="63">
        <v>0</v>
      </c>
      <c r="DP39" s="63">
        <v>32072986</v>
      </c>
      <c r="DQ39" s="63"/>
      <c r="DR39" s="585"/>
    </row>
    <row r="40" spans="1:122" x14ac:dyDescent="0.2">
      <c r="A40" s="90">
        <v>33</v>
      </c>
      <c r="B40" s="129" t="s">
        <v>662</v>
      </c>
      <c r="C40" s="130" t="s">
        <v>501</v>
      </c>
      <c r="D40" s="131" t="s">
        <v>743</v>
      </c>
      <c r="E40" s="132" t="s">
        <v>753</v>
      </c>
      <c r="F40" s="475" t="s">
        <v>808</v>
      </c>
      <c r="G40" s="63">
        <v>266387550</v>
      </c>
      <c r="H40" s="63">
        <v>0</v>
      </c>
      <c r="I40" s="63">
        <v>266387550</v>
      </c>
      <c r="J40" s="608">
        <v>48.4</v>
      </c>
      <c r="K40" s="63">
        <v>128931574</v>
      </c>
      <c r="L40" s="63">
        <v>0</v>
      </c>
      <c r="M40" s="63">
        <v>-119231</v>
      </c>
      <c r="N40" s="63">
        <v>0</v>
      </c>
      <c r="O40" s="63">
        <v>128812343</v>
      </c>
      <c r="P40" s="63">
        <v>0</v>
      </c>
      <c r="Q40" s="63">
        <v>128812343</v>
      </c>
      <c r="R40" s="63">
        <v>0</v>
      </c>
      <c r="S40" s="63">
        <v>0</v>
      </c>
      <c r="T40" s="63">
        <v>0</v>
      </c>
      <c r="U40" s="63">
        <v>0</v>
      </c>
      <c r="V40" s="63">
        <v>0</v>
      </c>
      <c r="W40" s="63">
        <v>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0</v>
      </c>
      <c r="AE40" s="63">
        <v>0</v>
      </c>
      <c r="AF40" s="63">
        <v>0</v>
      </c>
      <c r="AG40" s="63">
        <v>0</v>
      </c>
      <c r="AH40" s="63">
        <v>-6721638</v>
      </c>
      <c r="AI40" s="63">
        <v>0</v>
      </c>
      <c r="AJ40" s="63">
        <v>-6721638</v>
      </c>
      <c r="AK40" s="63">
        <v>-31648</v>
      </c>
      <c r="AL40" s="63">
        <v>0</v>
      </c>
      <c r="AM40" s="63">
        <v>-31648</v>
      </c>
      <c r="AN40" s="63">
        <v>2931777</v>
      </c>
      <c r="AO40" s="63">
        <v>0</v>
      </c>
      <c r="AP40" s="63">
        <v>2931777</v>
      </c>
      <c r="AQ40" s="63">
        <v>-3789861</v>
      </c>
      <c r="AR40" s="63">
        <v>0</v>
      </c>
      <c r="AS40" s="63">
        <v>-3789861</v>
      </c>
      <c r="AT40" s="63">
        <v>-8643085</v>
      </c>
      <c r="AU40" s="63">
        <v>0</v>
      </c>
      <c r="AV40" s="63">
        <v>-8643085</v>
      </c>
      <c r="AW40" s="63">
        <v>-57930</v>
      </c>
      <c r="AX40" s="63">
        <v>0</v>
      </c>
      <c r="AY40" s="63">
        <v>-57930</v>
      </c>
      <c r="AZ40" s="63">
        <v>0</v>
      </c>
      <c r="BA40" s="63">
        <v>0</v>
      </c>
      <c r="BB40" s="63">
        <v>0</v>
      </c>
      <c r="BC40" s="63">
        <v>-12490876</v>
      </c>
      <c r="BD40" s="63">
        <v>0</v>
      </c>
      <c r="BE40" s="63">
        <v>-110732</v>
      </c>
      <c r="BF40" s="63">
        <v>0</v>
      </c>
      <c r="BG40" s="63">
        <v>-12601608</v>
      </c>
      <c r="BH40" s="63">
        <v>0</v>
      </c>
      <c r="BI40" s="63">
        <v>-12601608</v>
      </c>
      <c r="BJ40" s="63">
        <v>-115000</v>
      </c>
      <c r="BK40" s="63">
        <v>0</v>
      </c>
      <c r="BL40" s="63">
        <v>-115000</v>
      </c>
      <c r="BM40" s="63">
        <v>-3015714</v>
      </c>
      <c r="BN40" s="63">
        <v>0</v>
      </c>
      <c r="BO40" s="63">
        <v>-3015714</v>
      </c>
      <c r="BP40" s="63">
        <v>-3130714</v>
      </c>
      <c r="BQ40" s="63">
        <v>0</v>
      </c>
      <c r="BR40" s="63">
        <v>0</v>
      </c>
      <c r="BS40" s="63">
        <v>0</v>
      </c>
      <c r="BT40" s="63">
        <v>-3130714</v>
      </c>
      <c r="BU40" s="63">
        <v>0</v>
      </c>
      <c r="BV40" s="63">
        <v>-3130714</v>
      </c>
      <c r="BW40" s="63">
        <v>-85462</v>
      </c>
      <c r="BX40" s="63">
        <v>0</v>
      </c>
      <c r="BY40" s="63">
        <v>-85462</v>
      </c>
      <c r="BZ40" s="63">
        <v>-51418</v>
      </c>
      <c r="CA40" s="63">
        <v>0</v>
      </c>
      <c r="CB40" s="63">
        <v>-51418</v>
      </c>
      <c r="CC40" s="63">
        <v>-1317</v>
      </c>
      <c r="CD40" s="63">
        <v>0</v>
      </c>
      <c r="CE40" s="63">
        <v>-1317</v>
      </c>
      <c r="CF40" s="63">
        <v>0</v>
      </c>
      <c r="CG40" s="63">
        <v>0</v>
      </c>
      <c r="CH40" s="63">
        <v>0</v>
      </c>
      <c r="CI40" s="63">
        <v>0</v>
      </c>
      <c r="CJ40" s="63">
        <v>0</v>
      </c>
      <c r="CK40" s="63">
        <v>0</v>
      </c>
      <c r="CL40" s="63">
        <v>0</v>
      </c>
      <c r="CM40" s="63">
        <v>0</v>
      </c>
      <c r="CN40" s="63">
        <v>0</v>
      </c>
      <c r="CO40" s="63">
        <v>0</v>
      </c>
      <c r="CP40" s="63">
        <v>0</v>
      </c>
      <c r="CQ40" s="63">
        <v>-138197</v>
      </c>
      <c r="CR40" s="63">
        <v>0</v>
      </c>
      <c r="CS40" s="63">
        <v>0</v>
      </c>
      <c r="CT40" s="63">
        <v>0</v>
      </c>
      <c r="CU40" s="63">
        <v>-138197</v>
      </c>
      <c r="CV40" s="63">
        <v>0</v>
      </c>
      <c r="CW40" s="63">
        <v>-138197</v>
      </c>
      <c r="CX40" s="63">
        <v>-8942</v>
      </c>
      <c r="CY40" s="63">
        <v>0</v>
      </c>
      <c r="CZ40" s="63">
        <v>-8942</v>
      </c>
      <c r="DA40" s="63">
        <v>-129274</v>
      </c>
      <c r="DB40" s="63">
        <v>0</v>
      </c>
      <c r="DC40" s="63">
        <v>-129274</v>
      </c>
      <c r="DD40" s="63">
        <v>-1104</v>
      </c>
      <c r="DE40" s="63">
        <v>0</v>
      </c>
      <c r="DF40" s="63">
        <v>-1104</v>
      </c>
      <c r="DG40" s="63">
        <v>-139320</v>
      </c>
      <c r="DH40" s="63">
        <v>0</v>
      </c>
      <c r="DI40" s="63">
        <v>0</v>
      </c>
      <c r="DJ40" s="63">
        <v>0</v>
      </c>
      <c r="DK40" s="63">
        <v>-139320</v>
      </c>
      <c r="DL40" s="63">
        <v>0</v>
      </c>
      <c r="DM40" s="63">
        <v>-139320</v>
      </c>
      <c r="DN40" s="63">
        <v>112802504</v>
      </c>
      <c r="DO40" s="63">
        <v>0</v>
      </c>
      <c r="DP40" s="63">
        <v>112802504</v>
      </c>
      <c r="DQ40" s="63"/>
      <c r="DR40" s="585"/>
    </row>
    <row r="41" spans="1:122" x14ac:dyDescent="0.2">
      <c r="A41" s="90">
        <v>34</v>
      </c>
      <c r="B41" s="129" t="s">
        <v>664</v>
      </c>
      <c r="C41" s="130" t="s">
        <v>501</v>
      </c>
      <c r="D41" s="131" t="s">
        <v>751</v>
      </c>
      <c r="E41" s="132" t="s">
        <v>663</v>
      </c>
      <c r="F41" s="475" t="s">
        <v>808</v>
      </c>
      <c r="G41" s="63">
        <v>479267175</v>
      </c>
      <c r="H41" s="63">
        <v>56662580</v>
      </c>
      <c r="I41" s="63">
        <v>535929755</v>
      </c>
      <c r="J41" s="608">
        <v>48.4</v>
      </c>
      <c r="K41" s="63">
        <v>231965313</v>
      </c>
      <c r="L41" s="63">
        <v>27424689</v>
      </c>
      <c r="M41" s="63">
        <v>1037212</v>
      </c>
      <c r="N41" s="63">
        <v>69938</v>
      </c>
      <c r="O41" s="63">
        <v>233002525</v>
      </c>
      <c r="P41" s="63">
        <v>27494627</v>
      </c>
      <c r="Q41" s="63">
        <v>260497152</v>
      </c>
      <c r="R41" s="63">
        <v>0</v>
      </c>
      <c r="S41" s="63">
        <v>0</v>
      </c>
      <c r="T41" s="63">
        <v>0</v>
      </c>
      <c r="U41" s="63">
        <v>0</v>
      </c>
      <c r="V41" s="63">
        <v>0</v>
      </c>
      <c r="W41" s="63">
        <v>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0</v>
      </c>
      <c r="AE41" s="63">
        <v>0</v>
      </c>
      <c r="AF41" s="63">
        <v>0</v>
      </c>
      <c r="AG41" s="63">
        <v>0</v>
      </c>
      <c r="AH41" s="63">
        <v>-8563936</v>
      </c>
      <c r="AI41" s="63">
        <v>-94124</v>
      </c>
      <c r="AJ41" s="63">
        <v>-8658060</v>
      </c>
      <c r="AK41" s="63">
        <v>-64946</v>
      </c>
      <c r="AL41" s="63">
        <v>0</v>
      </c>
      <c r="AM41" s="63">
        <v>-64946</v>
      </c>
      <c r="AN41" s="63">
        <v>5486508</v>
      </c>
      <c r="AO41" s="63">
        <v>705578</v>
      </c>
      <c r="AP41" s="63">
        <v>6192086</v>
      </c>
      <c r="AQ41" s="63">
        <v>-3077428</v>
      </c>
      <c r="AR41" s="63">
        <v>611454</v>
      </c>
      <c r="AS41" s="63">
        <v>-2465974</v>
      </c>
      <c r="AT41" s="63">
        <v>-16873624</v>
      </c>
      <c r="AU41" s="63">
        <v>-383306</v>
      </c>
      <c r="AV41" s="63">
        <v>-17256930</v>
      </c>
      <c r="AW41" s="63">
        <v>-151160</v>
      </c>
      <c r="AX41" s="63">
        <v>0</v>
      </c>
      <c r="AY41" s="63">
        <v>-151160</v>
      </c>
      <c r="AZ41" s="63">
        <v>0</v>
      </c>
      <c r="BA41" s="63">
        <v>0</v>
      </c>
      <c r="BB41" s="63">
        <v>0</v>
      </c>
      <c r="BC41" s="63">
        <v>-20102212</v>
      </c>
      <c r="BD41" s="63">
        <v>228148</v>
      </c>
      <c r="BE41" s="63">
        <v>0</v>
      </c>
      <c r="BF41" s="63">
        <v>0</v>
      </c>
      <c r="BG41" s="63">
        <v>-20102212</v>
      </c>
      <c r="BH41" s="63">
        <v>228148</v>
      </c>
      <c r="BI41" s="63">
        <v>-19874064</v>
      </c>
      <c r="BJ41" s="63">
        <v>-510892</v>
      </c>
      <c r="BK41" s="63">
        <v>-349108</v>
      </c>
      <c r="BL41" s="63">
        <v>-860000</v>
      </c>
      <c r="BM41" s="63">
        <v>-9760157</v>
      </c>
      <c r="BN41" s="63">
        <v>-394312</v>
      </c>
      <c r="BO41" s="63">
        <v>-10154469</v>
      </c>
      <c r="BP41" s="63">
        <v>-10271049</v>
      </c>
      <c r="BQ41" s="63">
        <v>-743420</v>
      </c>
      <c r="BR41" s="63">
        <v>0</v>
      </c>
      <c r="BS41" s="63">
        <v>0</v>
      </c>
      <c r="BT41" s="63">
        <v>-10271049</v>
      </c>
      <c r="BU41" s="63">
        <v>-743420</v>
      </c>
      <c r="BV41" s="63">
        <v>-11014469</v>
      </c>
      <c r="BW41" s="63">
        <v>-252174</v>
      </c>
      <c r="BX41" s="63">
        <v>0</v>
      </c>
      <c r="BY41" s="63">
        <v>-252174</v>
      </c>
      <c r="BZ41" s="63">
        <v>-373345</v>
      </c>
      <c r="CA41" s="63">
        <v>0</v>
      </c>
      <c r="CB41" s="63">
        <v>-373345</v>
      </c>
      <c r="CC41" s="63">
        <v>-2865</v>
      </c>
      <c r="CD41" s="63">
        <v>0</v>
      </c>
      <c r="CE41" s="63">
        <v>-2865</v>
      </c>
      <c r="CF41" s="63">
        <v>0</v>
      </c>
      <c r="CG41" s="63">
        <v>0</v>
      </c>
      <c r="CH41" s="63">
        <v>0</v>
      </c>
      <c r="CI41" s="63">
        <v>0</v>
      </c>
      <c r="CJ41" s="63">
        <v>0</v>
      </c>
      <c r="CK41" s="63">
        <v>0</v>
      </c>
      <c r="CL41" s="63">
        <v>0</v>
      </c>
      <c r="CM41" s="63">
        <v>-551025</v>
      </c>
      <c r="CN41" s="63">
        <v>-551025</v>
      </c>
      <c r="CO41" s="63">
        <v>-551025</v>
      </c>
      <c r="CP41" s="63">
        <v>0</v>
      </c>
      <c r="CQ41" s="63">
        <v>-628384</v>
      </c>
      <c r="CR41" s="63">
        <v>-551025</v>
      </c>
      <c r="CS41" s="63">
        <v>0</v>
      </c>
      <c r="CT41" s="63">
        <v>0</v>
      </c>
      <c r="CU41" s="63">
        <v>-628384</v>
      </c>
      <c r="CV41" s="63">
        <v>-551025</v>
      </c>
      <c r="CW41" s="63">
        <v>-1179409</v>
      </c>
      <c r="CX41" s="63">
        <v>0</v>
      </c>
      <c r="CY41" s="63">
        <v>0</v>
      </c>
      <c r="CZ41" s="63">
        <v>0</v>
      </c>
      <c r="DA41" s="63">
        <v>-161090</v>
      </c>
      <c r="DB41" s="63">
        <v>0</v>
      </c>
      <c r="DC41" s="63">
        <v>-161090</v>
      </c>
      <c r="DD41" s="63">
        <v>-30953</v>
      </c>
      <c r="DE41" s="63">
        <v>0</v>
      </c>
      <c r="DF41" s="63">
        <v>-30953</v>
      </c>
      <c r="DG41" s="63">
        <v>-192043</v>
      </c>
      <c r="DH41" s="63">
        <v>0</v>
      </c>
      <c r="DI41" s="63">
        <v>0</v>
      </c>
      <c r="DJ41" s="63">
        <v>0</v>
      </c>
      <c r="DK41" s="63">
        <v>-192043</v>
      </c>
      <c r="DL41" s="63">
        <v>0</v>
      </c>
      <c r="DM41" s="63">
        <v>-192043</v>
      </c>
      <c r="DN41" s="63">
        <v>201808837</v>
      </c>
      <c r="DO41" s="63">
        <v>26428330</v>
      </c>
      <c r="DP41" s="63">
        <v>228237167</v>
      </c>
      <c r="DQ41" s="63"/>
      <c r="DR41" s="585" t="s">
        <v>768</v>
      </c>
    </row>
    <row r="42" spans="1:122" x14ac:dyDescent="0.2">
      <c r="A42" s="90">
        <v>35</v>
      </c>
      <c r="B42" s="129" t="s">
        <v>666</v>
      </c>
      <c r="C42" s="130" t="s">
        <v>742</v>
      </c>
      <c r="D42" s="131" t="s">
        <v>746</v>
      </c>
      <c r="E42" s="132" t="s">
        <v>665</v>
      </c>
      <c r="F42" s="475" t="s">
        <v>808</v>
      </c>
      <c r="G42" s="63">
        <v>73362470</v>
      </c>
      <c r="H42" s="63">
        <v>0</v>
      </c>
      <c r="I42" s="63">
        <v>73362470</v>
      </c>
      <c r="J42" s="608">
        <v>48.4</v>
      </c>
      <c r="K42" s="63">
        <v>35507435</v>
      </c>
      <c r="L42" s="63">
        <v>0</v>
      </c>
      <c r="M42" s="63">
        <v>0</v>
      </c>
      <c r="N42" s="63">
        <v>0</v>
      </c>
      <c r="O42" s="63">
        <v>35507435</v>
      </c>
      <c r="P42" s="63">
        <v>0</v>
      </c>
      <c r="Q42" s="63">
        <v>35507435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0</v>
      </c>
      <c r="AE42" s="63">
        <v>0</v>
      </c>
      <c r="AF42" s="63">
        <v>0</v>
      </c>
      <c r="AG42" s="63">
        <v>0</v>
      </c>
      <c r="AH42" s="63">
        <v>-2708615</v>
      </c>
      <c r="AI42" s="63">
        <v>0</v>
      </c>
      <c r="AJ42" s="63">
        <v>-2708615</v>
      </c>
      <c r="AK42" s="63">
        <v>-1613</v>
      </c>
      <c r="AL42" s="63">
        <v>0</v>
      </c>
      <c r="AM42" s="63">
        <v>-1613</v>
      </c>
      <c r="AN42" s="63">
        <v>782948</v>
      </c>
      <c r="AO42" s="63">
        <v>0</v>
      </c>
      <c r="AP42" s="63">
        <v>782948</v>
      </c>
      <c r="AQ42" s="63">
        <v>-1925667</v>
      </c>
      <c r="AR42" s="63">
        <v>0</v>
      </c>
      <c r="AS42" s="63">
        <v>-1925667</v>
      </c>
      <c r="AT42" s="63">
        <v>-1454280</v>
      </c>
      <c r="AU42" s="63">
        <v>0</v>
      </c>
      <c r="AV42" s="63">
        <v>-1454280</v>
      </c>
      <c r="AW42" s="63">
        <v>-37384</v>
      </c>
      <c r="AX42" s="63">
        <v>0</v>
      </c>
      <c r="AY42" s="63">
        <v>-37384</v>
      </c>
      <c r="AZ42" s="63">
        <v>-55672</v>
      </c>
      <c r="BA42" s="63">
        <v>0</v>
      </c>
      <c r="BB42" s="63">
        <v>-55672</v>
      </c>
      <c r="BC42" s="63">
        <v>-3473003</v>
      </c>
      <c r="BD42" s="63">
        <v>0</v>
      </c>
      <c r="BE42" s="63">
        <v>-162517</v>
      </c>
      <c r="BF42" s="63">
        <v>0</v>
      </c>
      <c r="BG42" s="63">
        <v>-3635520</v>
      </c>
      <c r="BH42" s="63">
        <v>0</v>
      </c>
      <c r="BI42" s="63">
        <v>-3635520</v>
      </c>
      <c r="BJ42" s="63">
        <v>-5000</v>
      </c>
      <c r="BK42" s="63">
        <v>0</v>
      </c>
      <c r="BL42" s="63">
        <v>-5000</v>
      </c>
      <c r="BM42" s="63">
        <v>-924910</v>
      </c>
      <c r="BN42" s="63">
        <v>0</v>
      </c>
      <c r="BO42" s="63">
        <v>-924910</v>
      </c>
      <c r="BP42" s="63">
        <v>-929910</v>
      </c>
      <c r="BQ42" s="63">
        <v>0</v>
      </c>
      <c r="BR42" s="63">
        <v>0</v>
      </c>
      <c r="BS42" s="63">
        <v>0</v>
      </c>
      <c r="BT42" s="63">
        <v>-929910</v>
      </c>
      <c r="BU42" s="63">
        <v>0</v>
      </c>
      <c r="BV42" s="63">
        <v>-929910</v>
      </c>
      <c r="BW42" s="63">
        <v>-19999</v>
      </c>
      <c r="BX42" s="63">
        <v>0</v>
      </c>
      <c r="BY42" s="63">
        <v>-19999</v>
      </c>
      <c r="BZ42" s="63">
        <v>-58706</v>
      </c>
      <c r="CA42" s="63">
        <v>0</v>
      </c>
      <c r="CB42" s="63">
        <v>-58706</v>
      </c>
      <c r="CC42" s="63">
        <v>0</v>
      </c>
      <c r="CD42" s="63">
        <v>0</v>
      </c>
      <c r="CE42" s="63">
        <v>0</v>
      </c>
      <c r="CF42" s="63">
        <v>-54293</v>
      </c>
      <c r="CG42" s="63">
        <v>0</v>
      </c>
      <c r="CH42" s="63">
        <v>-54293</v>
      </c>
      <c r="CI42" s="63">
        <v>-10406</v>
      </c>
      <c r="CJ42" s="63">
        <v>0</v>
      </c>
      <c r="CK42" s="63">
        <v>-10406</v>
      </c>
      <c r="CL42" s="63">
        <v>-15800</v>
      </c>
      <c r="CM42" s="63">
        <v>0</v>
      </c>
      <c r="CN42" s="63">
        <v>-15800</v>
      </c>
      <c r="CO42" s="63">
        <v>0</v>
      </c>
      <c r="CP42" s="63">
        <v>0</v>
      </c>
      <c r="CQ42" s="63">
        <v>-159204</v>
      </c>
      <c r="CR42" s="63">
        <v>0</v>
      </c>
      <c r="CS42" s="63">
        <v>-10000</v>
      </c>
      <c r="CT42" s="63">
        <v>0</v>
      </c>
      <c r="CU42" s="63">
        <v>-169204</v>
      </c>
      <c r="CV42" s="63">
        <v>0</v>
      </c>
      <c r="CW42" s="63">
        <v>-169204</v>
      </c>
      <c r="CX42" s="63">
        <v>-2883</v>
      </c>
      <c r="CY42" s="63">
        <v>0</v>
      </c>
      <c r="CZ42" s="63">
        <v>-2883</v>
      </c>
      <c r="DA42" s="63">
        <v>-2000</v>
      </c>
      <c r="DB42" s="63">
        <v>0</v>
      </c>
      <c r="DC42" s="63">
        <v>-2000</v>
      </c>
      <c r="DD42" s="63">
        <v>-3490</v>
      </c>
      <c r="DE42" s="63">
        <v>0</v>
      </c>
      <c r="DF42" s="63">
        <v>-3490</v>
      </c>
      <c r="DG42" s="63">
        <v>-8373</v>
      </c>
      <c r="DH42" s="63">
        <v>0</v>
      </c>
      <c r="DI42" s="63">
        <v>-2000</v>
      </c>
      <c r="DJ42" s="63">
        <v>0</v>
      </c>
      <c r="DK42" s="63">
        <v>-10373</v>
      </c>
      <c r="DL42" s="63">
        <v>0</v>
      </c>
      <c r="DM42" s="63">
        <v>-10373</v>
      </c>
      <c r="DN42" s="63">
        <v>30762428</v>
      </c>
      <c r="DO42" s="63">
        <v>0</v>
      </c>
      <c r="DP42" s="63">
        <v>30762428</v>
      </c>
      <c r="DQ42" s="63"/>
      <c r="DR42" s="585"/>
    </row>
    <row r="43" spans="1:122" x14ac:dyDescent="0.2">
      <c r="A43" s="90">
        <v>36</v>
      </c>
      <c r="B43" s="129" t="s">
        <v>668</v>
      </c>
      <c r="C43" s="130" t="s">
        <v>747</v>
      </c>
      <c r="D43" s="131" t="s">
        <v>748</v>
      </c>
      <c r="E43" s="132" t="s">
        <v>667</v>
      </c>
      <c r="F43" s="475" t="s">
        <v>808</v>
      </c>
      <c r="G43" s="63">
        <v>211167091</v>
      </c>
      <c r="H43" s="63">
        <v>0</v>
      </c>
      <c r="I43" s="63">
        <v>211167091</v>
      </c>
      <c r="J43" s="608">
        <v>48.4</v>
      </c>
      <c r="K43" s="63">
        <v>102204872</v>
      </c>
      <c r="L43" s="63">
        <v>0</v>
      </c>
      <c r="M43" s="63">
        <v>0</v>
      </c>
      <c r="N43" s="63">
        <v>0</v>
      </c>
      <c r="O43" s="63">
        <v>102204872</v>
      </c>
      <c r="P43" s="63">
        <v>0</v>
      </c>
      <c r="Q43" s="63">
        <v>102204872</v>
      </c>
      <c r="R43" s="63">
        <v>0</v>
      </c>
      <c r="S43" s="63">
        <v>0</v>
      </c>
      <c r="T43" s="63">
        <v>0</v>
      </c>
      <c r="U43" s="63">
        <v>0</v>
      </c>
      <c r="V43" s="63">
        <v>0</v>
      </c>
      <c r="W43" s="63">
        <v>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0</v>
      </c>
      <c r="AE43" s="63">
        <v>0</v>
      </c>
      <c r="AF43" s="63">
        <v>0</v>
      </c>
      <c r="AG43" s="63">
        <v>0</v>
      </c>
      <c r="AH43" s="63">
        <v>-4497665</v>
      </c>
      <c r="AI43" s="63">
        <v>0</v>
      </c>
      <c r="AJ43" s="63">
        <v>-4497665</v>
      </c>
      <c r="AK43" s="63">
        <v>0</v>
      </c>
      <c r="AL43" s="63">
        <v>0</v>
      </c>
      <c r="AM43" s="63">
        <v>0</v>
      </c>
      <c r="AN43" s="63">
        <v>2211809</v>
      </c>
      <c r="AO43" s="63">
        <v>0</v>
      </c>
      <c r="AP43" s="63">
        <v>2211809</v>
      </c>
      <c r="AQ43" s="63">
        <v>-2285856</v>
      </c>
      <c r="AR43" s="63">
        <v>0</v>
      </c>
      <c r="AS43" s="63">
        <v>-2285856</v>
      </c>
      <c r="AT43" s="63">
        <v>-8554847</v>
      </c>
      <c r="AU43" s="63">
        <v>0</v>
      </c>
      <c r="AV43" s="63">
        <v>-8554847</v>
      </c>
      <c r="AW43" s="63">
        <v>-178634</v>
      </c>
      <c r="AX43" s="63">
        <v>0</v>
      </c>
      <c r="AY43" s="63">
        <v>-178634</v>
      </c>
      <c r="AZ43" s="63">
        <v>0</v>
      </c>
      <c r="BA43" s="63">
        <v>0</v>
      </c>
      <c r="BB43" s="63">
        <v>0</v>
      </c>
      <c r="BC43" s="63">
        <v>-11019337</v>
      </c>
      <c r="BD43" s="63">
        <v>0</v>
      </c>
      <c r="BE43" s="63">
        <v>0</v>
      </c>
      <c r="BF43" s="63">
        <v>0</v>
      </c>
      <c r="BG43" s="63">
        <v>-11019337</v>
      </c>
      <c r="BH43" s="63">
        <v>0</v>
      </c>
      <c r="BI43" s="63">
        <v>-11019337</v>
      </c>
      <c r="BJ43" s="63">
        <v>0</v>
      </c>
      <c r="BK43" s="63">
        <v>0</v>
      </c>
      <c r="BL43" s="63">
        <v>0</v>
      </c>
      <c r="BM43" s="63">
        <v>-2930463</v>
      </c>
      <c r="BN43" s="63">
        <v>0</v>
      </c>
      <c r="BO43" s="63">
        <v>-2930463</v>
      </c>
      <c r="BP43" s="63">
        <v>-2930463</v>
      </c>
      <c r="BQ43" s="63">
        <v>0</v>
      </c>
      <c r="BR43" s="63">
        <v>0</v>
      </c>
      <c r="BS43" s="63">
        <v>0</v>
      </c>
      <c r="BT43" s="63">
        <v>-2930463</v>
      </c>
      <c r="BU43" s="63">
        <v>0</v>
      </c>
      <c r="BV43" s="63">
        <v>-2930463</v>
      </c>
      <c r="BW43" s="63">
        <v>-210189</v>
      </c>
      <c r="BX43" s="63">
        <v>0</v>
      </c>
      <c r="BY43" s="63">
        <v>-210189</v>
      </c>
      <c r="BZ43" s="63">
        <v>-291809</v>
      </c>
      <c r="CA43" s="63">
        <v>0</v>
      </c>
      <c r="CB43" s="63">
        <v>-291809</v>
      </c>
      <c r="CC43" s="63">
        <v>-44658</v>
      </c>
      <c r="CD43" s="63">
        <v>0</v>
      </c>
      <c r="CE43" s="63">
        <v>-44658</v>
      </c>
      <c r="CF43" s="63">
        <v>0</v>
      </c>
      <c r="CG43" s="63">
        <v>0</v>
      </c>
      <c r="CH43" s="63">
        <v>0</v>
      </c>
      <c r="CI43" s="63">
        <v>0</v>
      </c>
      <c r="CJ43" s="63">
        <v>0</v>
      </c>
      <c r="CK43" s="63">
        <v>0</v>
      </c>
      <c r="CL43" s="63">
        <v>0</v>
      </c>
      <c r="CM43" s="63">
        <v>0</v>
      </c>
      <c r="CN43" s="63">
        <v>0</v>
      </c>
      <c r="CO43" s="63">
        <v>0</v>
      </c>
      <c r="CP43" s="63">
        <v>0</v>
      </c>
      <c r="CQ43" s="63">
        <v>-546656</v>
      </c>
      <c r="CR43" s="63">
        <v>0</v>
      </c>
      <c r="CS43" s="63">
        <v>0</v>
      </c>
      <c r="CT43" s="63">
        <v>0</v>
      </c>
      <c r="CU43" s="63">
        <v>-546656</v>
      </c>
      <c r="CV43" s="63">
        <v>0</v>
      </c>
      <c r="CW43" s="63">
        <v>-546656</v>
      </c>
      <c r="CX43" s="63">
        <v>0</v>
      </c>
      <c r="CY43" s="63">
        <v>0</v>
      </c>
      <c r="CZ43" s="63">
        <v>0</v>
      </c>
      <c r="DA43" s="63">
        <v>-24849</v>
      </c>
      <c r="DB43" s="63">
        <v>0</v>
      </c>
      <c r="DC43" s="63">
        <v>-24849</v>
      </c>
      <c r="DD43" s="63">
        <v>-17268</v>
      </c>
      <c r="DE43" s="63">
        <v>0</v>
      </c>
      <c r="DF43" s="63">
        <v>-17268</v>
      </c>
      <c r="DG43" s="63">
        <v>-42117</v>
      </c>
      <c r="DH43" s="63">
        <v>0</v>
      </c>
      <c r="DI43" s="63">
        <v>0</v>
      </c>
      <c r="DJ43" s="63">
        <v>0</v>
      </c>
      <c r="DK43" s="63">
        <v>-42117</v>
      </c>
      <c r="DL43" s="63">
        <v>0</v>
      </c>
      <c r="DM43" s="63">
        <v>-42117</v>
      </c>
      <c r="DN43" s="63">
        <v>87666299</v>
      </c>
      <c r="DO43" s="63">
        <v>0</v>
      </c>
      <c r="DP43" s="63">
        <v>87666299</v>
      </c>
      <c r="DQ43" s="63"/>
      <c r="DR43" s="585"/>
    </row>
    <row r="44" spans="1:122" x14ac:dyDescent="0.2">
      <c r="A44" s="90">
        <v>37</v>
      </c>
      <c r="B44" s="129" t="s">
        <v>670</v>
      </c>
      <c r="C44" s="130" t="s">
        <v>742</v>
      </c>
      <c r="D44" s="131" t="s">
        <v>752</v>
      </c>
      <c r="E44" s="132" t="s">
        <v>669</v>
      </c>
      <c r="F44" s="475" t="s">
        <v>808</v>
      </c>
      <c r="G44" s="63">
        <v>69079442</v>
      </c>
      <c r="H44" s="63">
        <v>0</v>
      </c>
      <c r="I44" s="63">
        <v>69079442</v>
      </c>
      <c r="J44" s="608">
        <v>48.4</v>
      </c>
      <c r="K44" s="63">
        <v>33434450</v>
      </c>
      <c r="L44" s="63">
        <v>0</v>
      </c>
      <c r="M44" s="63">
        <v>0</v>
      </c>
      <c r="N44" s="63">
        <v>0</v>
      </c>
      <c r="O44" s="63">
        <v>33434450</v>
      </c>
      <c r="P44" s="63">
        <v>0</v>
      </c>
      <c r="Q44" s="63">
        <v>33434450</v>
      </c>
      <c r="R44" s="63">
        <v>0</v>
      </c>
      <c r="S44" s="63">
        <v>0</v>
      </c>
      <c r="T44" s="63">
        <v>0</v>
      </c>
      <c r="U44" s="63">
        <v>0</v>
      </c>
      <c r="V44" s="63">
        <v>0</v>
      </c>
      <c r="W44" s="63">
        <v>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0</v>
      </c>
      <c r="AE44" s="63">
        <v>0</v>
      </c>
      <c r="AF44" s="63">
        <v>0</v>
      </c>
      <c r="AG44" s="63">
        <v>0</v>
      </c>
      <c r="AH44" s="63">
        <v>-2352700</v>
      </c>
      <c r="AI44" s="63">
        <v>0</v>
      </c>
      <c r="AJ44" s="63">
        <v>-2352700</v>
      </c>
      <c r="AK44" s="63">
        <v>0</v>
      </c>
      <c r="AL44" s="63">
        <v>0</v>
      </c>
      <c r="AM44" s="63">
        <v>0</v>
      </c>
      <c r="AN44" s="63">
        <v>731626</v>
      </c>
      <c r="AO44" s="63">
        <v>0</v>
      </c>
      <c r="AP44" s="63">
        <v>731626</v>
      </c>
      <c r="AQ44" s="63">
        <v>-1621074</v>
      </c>
      <c r="AR44" s="63">
        <v>0</v>
      </c>
      <c r="AS44" s="63">
        <v>-1621074</v>
      </c>
      <c r="AT44" s="63">
        <v>-2158282</v>
      </c>
      <c r="AU44" s="63">
        <v>0</v>
      </c>
      <c r="AV44" s="63">
        <v>-2158282</v>
      </c>
      <c r="AW44" s="63">
        <v>-2565</v>
      </c>
      <c r="AX44" s="63">
        <v>0</v>
      </c>
      <c r="AY44" s="63">
        <v>-2565</v>
      </c>
      <c r="AZ44" s="63">
        <v>-1649</v>
      </c>
      <c r="BA44" s="63">
        <v>0</v>
      </c>
      <c r="BB44" s="63">
        <v>-1649</v>
      </c>
      <c r="BC44" s="63">
        <v>-3783570</v>
      </c>
      <c r="BD44" s="63">
        <v>0</v>
      </c>
      <c r="BE44" s="63">
        <v>0</v>
      </c>
      <c r="BF44" s="63">
        <v>0</v>
      </c>
      <c r="BG44" s="63">
        <v>-3783570</v>
      </c>
      <c r="BH44" s="63">
        <v>0</v>
      </c>
      <c r="BI44" s="63">
        <v>-3783570</v>
      </c>
      <c r="BJ44" s="63">
        <v>-25000</v>
      </c>
      <c r="BK44" s="63">
        <v>0</v>
      </c>
      <c r="BL44" s="63">
        <v>-25000</v>
      </c>
      <c r="BM44" s="63">
        <v>-905264</v>
      </c>
      <c r="BN44" s="63">
        <v>0</v>
      </c>
      <c r="BO44" s="63">
        <v>-905264</v>
      </c>
      <c r="BP44" s="63">
        <v>-930264</v>
      </c>
      <c r="BQ44" s="63">
        <v>0</v>
      </c>
      <c r="BR44" s="63">
        <v>0</v>
      </c>
      <c r="BS44" s="63">
        <v>0</v>
      </c>
      <c r="BT44" s="63">
        <v>-930264</v>
      </c>
      <c r="BU44" s="63">
        <v>0</v>
      </c>
      <c r="BV44" s="63">
        <v>-930264</v>
      </c>
      <c r="BW44" s="63">
        <v>-35213</v>
      </c>
      <c r="BX44" s="63">
        <v>0</v>
      </c>
      <c r="BY44" s="63">
        <v>-35213</v>
      </c>
      <c r="BZ44" s="63">
        <v>-69220</v>
      </c>
      <c r="CA44" s="63">
        <v>0</v>
      </c>
      <c r="CB44" s="63">
        <v>-69220</v>
      </c>
      <c r="CC44" s="63">
        <v>-259</v>
      </c>
      <c r="CD44" s="63">
        <v>0</v>
      </c>
      <c r="CE44" s="63">
        <v>-259</v>
      </c>
      <c r="CF44" s="63">
        <v>-1015</v>
      </c>
      <c r="CG44" s="63">
        <v>0</v>
      </c>
      <c r="CH44" s="63">
        <v>-1015</v>
      </c>
      <c r="CI44" s="63">
        <v>0</v>
      </c>
      <c r="CJ44" s="63">
        <v>0</v>
      </c>
      <c r="CK44" s="63">
        <v>0</v>
      </c>
      <c r="CL44" s="63">
        <v>0</v>
      </c>
      <c r="CM44" s="63">
        <v>0</v>
      </c>
      <c r="CN44" s="63">
        <v>0</v>
      </c>
      <c r="CO44" s="63">
        <v>0</v>
      </c>
      <c r="CP44" s="63">
        <v>0</v>
      </c>
      <c r="CQ44" s="63">
        <v>-105707</v>
      </c>
      <c r="CR44" s="63">
        <v>0</v>
      </c>
      <c r="CS44" s="63">
        <v>0</v>
      </c>
      <c r="CT44" s="63">
        <v>0</v>
      </c>
      <c r="CU44" s="63">
        <v>-105707</v>
      </c>
      <c r="CV44" s="63">
        <v>0</v>
      </c>
      <c r="CW44" s="63">
        <v>-105707</v>
      </c>
      <c r="CX44" s="63">
        <v>-25815</v>
      </c>
      <c r="CY44" s="63">
        <v>0</v>
      </c>
      <c r="CZ44" s="63">
        <v>-25815</v>
      </c>
      <c r="DA44" s="63">
        <v>-14655</v>
      </c>
      <c r="DB44" s="63">
        <v>0</v>
      </c>
      <c r="DC44" s="63">
        <v>-14655</v>
      </c>
      <c r="DD44" s="63">
        <v>-728</v>
      </c>
      <c r="DE44" s="63">
        <v>0</v>
      </c>
      <c r="DF44" s="63">
        <v>-728</v>
      </c>
      <c r="DG44" s="63">
        <v>-41198</v>
      </c>
      <c r="DH44" s="63">
        <v>0</v>
      </c>
      <c r="DI44" s="63">
        <v>0</v>
      </c>
      <c r="DJ44" s="63">
        <v>0</v>
      </c>
      <c r="DK44" s="63">
        <v>-41198</v>
      </c>
      <c r="DL44" s="63">
        <v>0</v>
      </c>
      <c r="DM44" s="63">
        <v>-41198</v>
      </c>
      <c r="DN44" s="63">
        <v>28573711</v>
      </c>
      <c r="DO44" s="63">
        <v>0</v>
      </c>
      <c r="DP44" s="63">
        <v>28573711</v>
      </c>
      <c r="DQ44" s="63"/>
      <c r="DR44" s="585"/>
    </row>
    <row r="45" spans="1:122" x14ac:dyDescent="0.2">
      <c r="A45" s="90">
        <v>38</v>
      </c>
      <c r="B45" s="129" t="s">
        <v>672</v>
      </c>
      <c r="C45" s="130" t="s">
        <v>742</v>
      </c>
      <c r="D45" s="131" t="s">
        <v>746</v>
      </c>
      <c r="E45" s="132" t="s">
        <v>671</v>
      </c>
      <c r="F45" s="475" t="s">
        <v>808</v>
      </c>
      <c r="G45" s="63">
        <v>95590775</v>
      </c>
      <c r="H45" s="63">
        <v>0</v>
      </c>
      <c r="I45" s="63">
        <v>95590775</v>
      </c>
      <c r="J45" s="608">
        <v>48.4</v>
      </c>
      <c r="K45" s="63">
        <v>46265935</v>
      </c>
      <c r="L45" s="63">
        <v>0</v>
      </c>
      <c r="M45" s="63">
        <v>0</v>
      </c>
      <c r="N45" s="63">
        <v>0</v>
      </c>
      <c r="O45" s="63">
        <v>46265935</v>
      </c>
      <c r="P45" s="63">
        <v>0</v>
      </c>
      <c r="Q45" s="63">
        <v>46265935</v>
      </c>
      <c r="R45" s="63">
        <v>0</v>
      </c>
      <c r="S45" s="63">
        <v>0</v>
      </c>
      <c r="T45" s="63">
        <v>0</v>
      </c>
      <c r="U45" s="63">
        <v>0</v>
      </c>
      <c r="V45" s="63">
        <v>0</v>
      </c>
      <c r="W45" s="63">
        <v>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v>0</v>
      </c>
      <c r="AH45" s="63">
        <v>-1480451</v>
      </c>
      <c r="AI45" s="63">
        <v>0</v>
      </c>
      <c r="AJ45" s="63">
        <v>-1480451</v>
      </c>
      <c r="AK45" s="63">
        <v>0</v>
      </c>
      <c r="AL45" s="63">
        <v>0</v>
      </c>
      <c r="AM45" s="63">
        <v>0</v>
      </c>
      <c r="AN45" s="63">
        <v>1242680</v>
      </c>
      <c r="AO45" s="63">
        <v>0</v>
      </c>
      <c r="AP45" s="63">
        <v>1242680</v>
      </c>
      <c r="AQ45" s="63">
        <v>-237771</v>
      </c>
      <c r="AR45" s="63">
        <v>0</v>
      </c>
      <c r="AS45" s="63">
        <v>-237771</v>
      </c>
      <c r="AT45" s="63">
        <v>-2102663</v>
      </c>
      <c r="AU45" s="63">
        <v>0</v>
      </c>
      <c r="AV45" s="63">
        <v>-2102663</v>
      </c>
      <c r="AW45" s="63">
        <v>-75214</v>
      </c>
      <c r="AX45" s="63">
        <v>0</v>
      </c>
      <c r="AY45" s="63">
        <v>-75214</v>
      </c>
      <c r="AZ45" s="63">
        <v>0</v>
      </c>
      <c r="BA45" s="63">
        <v>0</v>
      </c>
      <c r="BB45" s="63">
        <v>0</v>
      </c>
      <c r="BC45" s="63">
        <v>-2415648</v>
      </c>
      <c r="BD45" s="63">
        <v>0</v>
      </c>
      <c r="BE45" s="63">
        <v>0</v>
      </c>
      <c r="BF45" s="63">
        <v>0</v>
      </c>
      <c r="BG45" s="63">
        <v>-2415648</v>
      </c>
      <c r="BH45" s="63">
        <v>0</v>
      </c>
      <c r="BI45" s="63">
        <v>-2415648</v>
      </c>
      <c r="BJ45" s="63">
        <v>-86493</v>
      </c>
      <c r="BK45" s="63">
        <v>0</v>
      </c>
      <c r="BL45" s="63">
        <v>-86493</v>
      </c>
      <c r="BM45" s="63">
        <v>-486577</v>
      </c>
      <c r="BN45" s="63">
        <v>0</v>
      </c>
      <c r="BO45" s="63">
        <v>-486577</v>
      </c>
      <c r="BP45" s="63">
        <v>-573070</v>
      </c>
      <c r="BQ45" s="63">
        <v>0</v>
      </c>
      <c r="BR45" s="63">
        <v>0</v>
      </c>
      <c r="BS45" s="63">
        <v>0</v>
      </c>
      <c r="BT45" s="63">
        <v>-573070</v>
      </c>
      <c r="BU45" s="63">
        <v>0</v>
      </c>
      <c r="BV45" s="63">
        <v>-573070</v>
      </c>
      <c r="BW45" s="63">
        <v>-97921</v>
      </c>
      <c r="BX45" s="63">
        <v>0</v>
      </c>
      <c r="BY45" s="63">
        <v>-97921</v>
      </c>
      <c r="BZ45" s="63">
        <v>-8853</v>
      </c>
      <c r="CA45" s="63">
        <v>0</v>
      </c>
      <c r="CB45" s="63">
        <v>-8853</v>
      </c>
      <c r="CC45" s="63">
        <v>0</v>
      </c>
      <c r="CD45" s="63">
        <v>0</v>
      </c>
      <c r="CE45" s="63">
        <v>0</v>
      </c>
      <c r="CF45" s="63">
        <v>0</v>
      </c>
      <c r="CG45" s="63">
        <v>0</v>
      </c>
      <c r="CH45" s="63">
        <v>0</v>
      </c>
      <c r="CI45" s="63">
        <v>0</v>
      </c>
      <c r="CJ45" s="63">
        <v>0</v>
      </c>
      <c r="CK45" s="63">
        <v>0</v>
      </c>
      <c r="CL45" s="63">
        <v>-6120</v>
      </c>
      <c r="CM45" s="63">
        <v>0</v>
      </c>
      <c r="CN45" s="63">
        <v>-6120</v>
      </c>
      <c r="CO45" s="63">
        <v>0</v>
      </c>
      <c r="CP45" s="63">
        <v>0</v>
      </c>
      <c r="CQ45" s="63">
        <v>-112894</v>
      </c>
      <c r="CR45" s="63">
        <v>0</v>
      </c>
      <c r="CS45" s="63">
        <v>0</v>
      </c>
      <c r="CT45" s="63">
        <v>0</v>
      </c>
      <c r="CU45" s="63">
        <v>-112894</v>
      </c>
      <c r="CV45" s="63">
        <v>0</v>
      </c>
      <c r="CW45" s="63">
        <v>-112894</v>
      </c>
      <c r="CX45" s="63">
        <v>0</v>
      </c>
      <c r="CY45" s="63">
        <v>0</v>
      </c>
      <c r="CZ45" s="63">
        <v>0</v>
      </c>
      <c r="DA45" s="63">
        <v>0</v>
      </c>
      <c r="DB45" s="63">
        <v>0</v>
      </c>
      <c r="DC45" s="63">
        <v>0</v>
      </c>
      <c r="DD45" s="63">
        <v>0</v>
      </c>
      <c r="DE45" s="63">
        <v>0</v>
      </c>
      <c r="DF45" s="63">
        <v>0</v>
      </c>
      <c r="DG45" s="63">
        <v>0</v>
      </c>
      <c r="DH45" s="63">
        <v>0</v>
      </c>
      <c r="DI45" s="63">
        <v>0</v>
      </c>
      <c r="DJ45" s="63">
        <v>0</v>
      </c>
      <c r="DK45" s="63">
        <v>0</v>
      </c>
      <c r="DL45" s="63">
        <v>0</v>
      </c>
      <c r="DM45" s="63">
        <v>0</v>
      </c>
      <c r="DN45" s="63">
        <v>43164323</v>
      </c>
      <c r="DO45" s="63">
        <v>0</v>
      </c>
      <c r="DP45" s="63">
        <v>43164323</v>
      </c>
      <c r="DQ45" s="63"/>
      <c r="DR45" s="585"/>
    </row>
    <row r="46" spans="1:122" x14ac:dyDescent="0.2">
      <c r="A46" s="90">
        <v>39</v>
      </c>
      <c r="B46" s="129" t="s">
        <v>674</v>
      </c>
      <c r="C46" s="130" t="s">
        <v>742</v>
      </c>
      <c r="D46" s="131" t="s">
        <v>745</v>
      </c>
      <c r="E46" s="132" t="s">
        <v>673</v>
      </c>
      <c r="F46" s="475" t="s">
        <v>808</v>
      </c>
      <c r="G46" s="63">
        <v>58624148</v>
      </c>
      <c r="H46" s="63">
        <v>2115625</v>
      </c>
      <c r="I46" s="63">
        <v>60739773</v>
      </c>
      <c r="J46" s="608">
        <v>48.4</v>
      </c>
      <c r="K46" s="63">
        <v>28374088</v>
      </c>
      <c r="L46" s="63">
        <v>1023963</v>
      </c>
      <c r="M46" s="63">
        <v>0</v>
      </c>
      <c r="N46" s="63">
        <v>0</v>
      </c>
      <c r="O46" s="63">
        <v>28374088</v>
      </c>
      <c r="P46" s="63">
        <v>1023963</v>
      </c>
      <c r="Q46" s="63">
        <v>29398051</v>
      </c>
      <c r="R46" s="63">
        <v>0</v>
      </c>
      <c r="S46" s="63">
        <v>0</v>
      </c>
      <c r="T46" s="63">
        <v>0</v>
      </c>
      <c r="U46" s="63">
        <v>0</v>
      </c>
      <c r="V46" s="63">
        <v>0</v>
      </c>
      <c r="W46" s="63">
        <v>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v>0</v>
      </c>
      <c r="AH46" s="63">
        <v>-1700025</v>
      </c>
      <c r="AI46" s="63">
        <v>-7996</v>
      </c>
      <c r="AJ46" s="63">
        <v>-1708021</v>
      </c>
      <c r="AK46" s="63">
        <v>0</v>
      </c>
      <c r="AL46" s="63">
        <v>0</v>
      </c>
      <c r="AM46" s="63">
        <v>0</v>
      </c>
      <c r="AN46" s="63">
        <v>633081</v>
      </c>
      <c r="AO46" s="63">
        <v>25165</v>
      </c>
      <c r="AP46" s="63">
        <v>658246</v>
      </c>
      <c r="AQ46" s="63">
        <v>-1066944</v>
      </c>
      <c r="AR46" s="63">
        <v>17169</v>
      </c>
      <c r="AS46" s="63">
        <v>-1049775</v>
      </c>
      <c r="AT46" s="63">
        <v>-1131089</v>
      </c>
      <c r="AU46" s="63">
        <v>0</v>
      </c>
      <c r="AV46" s="63">
        <v>-1131089</v>
      </c>
      <c r="AW46" s="63">
        <v>0</v>
      </c>
      <c r="AX46" s="63">
        <v>0</v>
      </c>
      <c r="AY46" s="63">
        <v>0</v>
      </c>
      <c r="AZ46" s="63">
        <v>-2188</v>
      </c>
      <c r="BA46" s="63">
        <v>0</v>
      </c>
      <c r="BB46" s="63">
        <v>-2188</v>
      </c>
      <c r="BC46" s="63">
        <v>-2200221</v>
      </c>
      <c r="BD46" s="63">
        <v>17169</v>
      </c>
      <c r="BE46" s="63">
        <v>0</v>
      </c>
      <c r="BF46" s="63">
        <v>0</v>
      </c>
      <c r="BG46" s="63">
        <v>-2200221</v>
      </c>
      <c r="BH46" s="63">
        <v>17169</v>
      </c>
      <c r="BI46" s="63">
        <v>-2183052</v>
      </c>
      <c r="BJ46" s="63">
        <v>0</v>
      </c>
      <c r="BK46" s="63">
        <v>0</v>
      </c>
      <c r="BL46" s="63">
        <v>0</v>
      </c>
      <c r="BM46" s="63">
        <v>-395047</v>
      </c>
      <c r="BN46" s="63">
        <v>-204990</v>
      </c>
      <c r="BO46" s="63">
        <v>-600037</v>
      </c>
      <c r="BP46" s="63">
        <v>-395047</v>
      </c>
      <c r="BQ46" s="63">
        <v>-204990</v>
      </c>
      <c r="BR46" s="63">
        <v>0</v>
      </c>
      <c r="BS46" s="63">
        <v>0</v>
      </c>
      <c r="BT46" s="63">
        <v>-395047</v>
      </c>
      <c r="BU46" s="63">
        <v>-204990</v>
      </c>
      <c r="BV46" s="63">
        <v>-600037</v>
      </c>
      <c r="BW46" s="63">
        <v>-41978</v>
      </c>
      <c r="BX46" s="63">
        <v>0</v>
      </c>
      <c r="BY46" s="63">
        <v>-41978</v>
      </c>
      <c r="BZ46" s="63">
        <v>-63881</v>
      </c>
      <c r="CA46" s="63">
        <v>0</v>
      </c>
      <c r="CB46" s="63">
        <v>-63881</v>
      </c>
      <c r="CC46" s="63">
        <v>0</v>
      </c>
      <c r="CD46" s="63">
        <v>0</v>
      </c>
      <c r="CE46" s="63">
        <v>0</v>
      </c>
      <c r="CF46" s="63">
        <v>-2188</v>
      </c>
      <c r="CG46" s="63">
        <v>0</v>
      </c>
      <c r="CH46" s="63">
        <v>-2188</v>
      </c>
      <c r="CI46" s="63">
        <v>0</v>
      </c>
      <c r="CJ46" s="63">
        <v>0</v>
      </c>
      <c r="CK46" s="63">
        <v>0</v>
      </c>
      <c r="CL46" s="63">
        <v>0</v>
      </c>
      <c r="CM46" s="63">
        <v>0</v>
      </c>
      <c r="CN46" s="63">
        <v>0</v>
      </c>
      <c r="CO46" s="63">
        <v>0</v>
      </c>
      <c r="CP46" s="63">
        <v>0</v>
      </c>
      <c r="CQ46" s="63">
        <v>-108047</v>
      </c>
      <c r="CR46" s="63">
        <v>0</v>
      </c>
      <c r="CS46" s="63">
        <v>0</v>
      </c>
      <c r="CT46" s="63">
        <v>0</v>
      </c>
      <c r="CU46" s="63">
        <v>-108047</v>
      </c>
      <c r="CV46" s="63">
        <v>0</v>
      </c>
      <c r="CW46" s="63">
        <v>-108047</v>
      </c>
      <c r="CX46" s="63">
        <v>0</v>
      </c>
      <c r="CY46" s="63">
        <v>0</v>
      </c>
      <c r="CZ46" s="63">
        <v>0</v>
      </c>
      <c r="DA46" s="63">
        <v>0</v>
      </c>
      <c r="DB46" s="63">
        <v>0</v>
      </c>
      <c r="DC46" s="63">
        <v>0</v>
      </c>
      <c r="DD46" s="63">
        <v>0</v>
      </c>
      <c r="DE46" s="63">
        <v>0</v>
      </c>
      <c r="DF46" s="63">
        <v>0</v>
      </c>
      <c r="DG46" s="63">
        <v>0</v>
      </c>
      <c r="DH46" s="63">
        <v>0</v>
      </c>
      <c r="DI46" s="63">
        <v>0</v>
      </c>
      <c r="DJ46" s="63">
        <v>0</v>
      </c>
      <c r="DK46" s="63">
        <v>0</v>
      </c>
      <c r="DL46" s="63">
        <v>0</v>
      </c>
      <c r="DM46" s="63">
        <v>0</v>
      </c>
      <c r="DN46" s="63">
        <v>25670773</v>
      </c>
      <c r="DO46" s="63">
        <v>836142</v>
      </c>
      <c r="DP46" s="63">
        <v>26506915</v>
      </c>
      <c r="DQ46" s="63"/>
      <c r="DR46" s="585" t="s">
        <v>768</v>
      </c>
    </row>
    <row r="47" spans="1:122" x14ac:dyDescent="0.2">
      <c r="A47" s="90">
        <v>40</v>
      </c>
      <c r="B47" s="129" t="s">
        <v>676</v>
      </c>
      <c r="C47" s="130" t="s">
        <v>742</v>
      </c>
      <c r="D47" s="131" t="s">
        <v>744</v>
      </c>
      <c r="E47" s="132" t="s">
        <v>675</v>
      </c>
      <c r="F47" s="475" t="s">
        <v>808</v>
      </c>
      <c r="G47" s="63">
        <v>73468493</v>
      </c>
      <c r="H47" s="63">
        <v>0</v>
      </c>
      <c r="I47" s="63">
        <v>73468493</v>
      </c>
      <c r="J47" s="608">
        <v>48.4</v>
      </c>
      <c r="K47" s="63">
        <v>35558751</v>
      </c>
      <c r="L47" s="63">
        <v>0</v>
      </c>
      <c r="M47" s="63">
        <v>639841</v>
      </c>
      <c r="N47" s="63">
        <v>0</v>
      </c>
      <c r="O47" s="63">
        <v>36198592</v>
      </c>
      <c r="P47" s="63">
        <v>0</v>
      </c>
      <c r="Q47" s="63">
        <v>36198592</v>
      </c>
      <c r="R47" s="63">
        <v>0</v>
      </c>
      <c r="S47" s="63">
        <v>0</v>
      </c>
      <c r="T47" s="63">
        <v>0</v>
      </c>
      <c r="U47" s="63">
        <v>0</v>
      </c>
      <c r="V47" s="63">
        <v>0</v>
      </c>
      <c r="W47" s="63">
        <v>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0</v>
      </c>
      <c r="AE47" s="63">
        <v>0</v>
      </c>
      <c r="AF47" s="63">
        <v>0</v>
      </c>
      <c r="AG47" s="63">
        <v>0</v>
      </c>
      <c r="AH47" s="63">
        <v>-2818063</v>
      </c>
      <c r="AI47" s="63">
        <v>0</v>
      </c>
      <c r="AJ47" s="63">
        <v>-2818063</v>
      </c>
      <c r="AK47" s="63">
        <v>-12487</v>
      </c>
      <c r="AL47" s="63">
        <v>0</v>
      </c>
      <c r="AM47" s="63">
        <v>-12487</v>
      </c>
      <c r="AN47" s="63">
        <v>788077</v>
      </c>
      <c r="AO47" s="63">
        <v>0</v>
      </c>
      <c r="AP47" s="63">
        <v>788077</v>
      </c>
      <c r="AQ47" s="63">
        <v>-2029986</v>
      </c>
      <c r="AR47" s="63">
        <v>0</v>
      </c>
      <c r="AS47" s="63">
        <v>-2029986</v>
      </c>
      <c r="AT47" s="63">
        <v>-2250000</v>
      </c>
      <c r="AU47" s="63">
        <v>0</v>
      </c>
      <c r="AV47" s="63">
        <v>-2250000</v>
      </c>
      <c r="AW47" s="63">
        <v>-27872</v>
      </c>
      <c r="AX47" s="63">
        <v>0</v>
      </c>
      <c r="AY47" s="63">
        <v>-27872</v>
      </c>
      <c r="AZ47" s="63">
        <v>-4000</v>
      </c>
      <c r="BA47" s="63">
        <v>0</v>
      </c>
      <c r="BB47" s="63">
        <v>-4000</v>
      </c>
      <c r="BC47" s="63">
        <v>-4311858</v>
      </c>
      <c r="BD47" s="63">
        <v>0</v>
      </c>
      <c r="BE47" s="63">
        <v>0</v>
      </c>
      <c r="BF47" s="63">
        <v>0</v>
      </c>
      <c r="BG47" s="63">
        <v>-4311858</v>
      </c>
      <c r="BH47" s="63">
        <v>0</v>
      </c>
      <c r="BI47" s="63">
        <v>-4311858</v>
      </c>
      <c r="BJ47" s="63">
        <v>-50000</v>
      </c>
      <c r="BK47" s="63">
        <v>0</v>
      </c>
      <c r="BL47" s="63">
        <v>-50000</v>
      </c>
      <c r="BM47" s="63">
        <v>-1313657</v>
      </c>
      <c r="BN47" s="63">
        <v>0</v>
      </c>
      <c r="BO47" s="63">
        <v>-1313657</v>
      </c>
      <c r="BP47" s="63">
        <v>-1363657</v>
      </c>
      <c r="BQ47" s="63">
        <v>0</v>
      </c>
      <c r="BR47" s="63">
        <v>0</v>
      </c>
      <c r="BS47" s="63">
        <v>0</v>
      </c>
      <c r="BT47" s="63">
        <v>-1363657</v>
      </c>
      <c r="BU47" s="63">
        <v>0</v>
      </c>
      <c r="BV47" s="63">
        <v>-1363657</v>
      </c>
      <c r="BW47" s="63">
        <v>-85000</v>
      </c>
      <c r="BX47" s="63">
        <v>0</v>
      </c>
      <c r="BY47" s="63">
        <v>-85000</v>
      </c>
      <c r="BZ47" s="63">
        <v>-90000</v>
      </c>
      <c r="CA47" s="63">
        <v>0</v>
      </c>
      <c r="CB47" s="63">
        <v>-90000</v>
      </c>
      <c r="CC47" s="63">
        <v>0</v>
      </c>
      <c r="CD47" s="63">
        <v>0</v>
      </c>
      <c r="CE47" s="63">
        <v>0</v>
      </c>
      <c r="CF47" s="63">
        <v>0</v>
      </c>
      <c r="CG47" s="63">
        <v>0</v>
      </c>
      <c r="CH47" s="63">
        <v>0</v>
      </c>
      <c r="CI47" s="63">
        <v>0</v>
      </c>
      <c r="CJ47" s="63">
        <v>0</v>
      </c>
      <c r="CK47" s="63">
        <v>0</v>
      </c>
      <c r="CL47" s="63">
        <v>-325000</v>
      </c>
      <c r="CM47" s="63">
        <v>0</v>
      </c>
      <c r="CN47" s="63">
        <v>-325000</v>
      </c>
      <c r="CO47" s="63">
        <v>0</v>
      </c>
      <c r="CP47" s="63">
        <v>0</v>
      </c>
      <c r="CQ47" s="63">
        <v>-500000</v>
      </c>
      <c r="CR47" s="63">
        <v>0</v>
      </c>
      <c r="CS47" s="63">
        <v>0</v>
      </c>
      <c r="CT47" s="63">
        <v>0</v>
      </c>
      <c r="CU47" s="63">
        <v>-500000</v>
      </c>
      <c r="CV47" s="63">
        <v>0</v>
      </c>
      <c r="CW47" s="63">
        <v>-500000</v>
      </c>
      <c r="CX47" s="63">
        <v>-25000</v>
      </c>
      <c r="CY47" s="63">
        <v>0</v>
      </c>
      <c r="CZ47" s="63">
        <v>-25000</v>
      </c>
      <c r="DA47" s="63">
        <v>-25000</v>
      </c>
      <c r="DB47" s="63">
        <v>0</v>
      </c>
      <c r="DC47" s="63">
        <v>-25000</v>
      </c>
      <c r="DD47" s="63">
        <v>-25000</v>
      </c>
      <c r="DE47" s="63">
        <v>0</v>
      </c>
      <c r="DF47" s="63">
        <v>-25000</v>
      </c>
      <c r="DG47" s="63">
        <v>-75000</v>
      </c>
      <c r="DH47" s="63">
        <v>0</v>
      </c>
      <c r="DI47" s="63">
        <v>0</v>
      </c>
      <c r="DJ47" s="63">
        <v>0</v>
      </c>
      <c r="DK47" s="63">
        <v>-75000</v>
      </c>
      <c r="DL47" s="63">
        <v>0</v>
      </c>
      <c r="DM47" s="63">
        <v>-75000</v>
      </c>
      <c r="DN47" s="63">
        <v>29948077</v>
      </c>
      <c r="DO47" s="63">
        <v>0</v>
      </c>
      <c r="DP47" s="63">
        <v>29948077</v>
      </c>
      <c r="DQ47" s="63"/>
      <c r="DR47" s="585"/>
    </row>
    <row r="48" spans="1:122" x14ac:dyDescent="0.2">
      <c r="A48" s="90">
        <v>41</v>
      </c>
      <c r="B48" s="129" t="s">
        <v>678</v>
      </c>
      <c r="C48" s="130" t="s">
        <v>749</v>
      </c>
      <c r="D48" s="131" t="s">
        <v>744</v>
      </c>
      <c r="E48" s="132" t="s">
        <v>677</v>
      </c>
      <c r="F48" s="475" t="s">
        <v>808</v>
      </c>
      <c r="G48" s="63">
        <v>128510390</v>
      </c>
      <c r="H48" s="63">
        <v>0</v>
      </c>
      <c r="I48" s="63">
        <v>128510390</v>
      </c>
      <c r="J48" s="608">
        <v>48.4</v>
      </c>
      <c r="K48" s="63">
        <v>62199029</v>
      </c>
      <c r="L48" s="63">
        <v>0</v>
      </c>
      <c r="M48" s="63">
        <v>0</v>
      </c>
      <c r="N48" s="63">
        <v>0</v>
      </c>
      <c r="O48" s="63">
        <v>62199029</v>
      </c>
      <c r="P48" s="63">
        <v>0</v>
      </c>
      <c r="Q48" s="63">
        <v>62199029</v>
      </c>
      <c r="R48" s="63">
        <v>0</v>
      </c>
      <c r="S48" s="63">
        <v>0</v>
      </c>
      <c r="T48" s="63">
        <v>0</v>
      </c>
      <c r="U48" s="63">
        <v>0</v>
      </c>
      <c r="V48" s="63">
        <v>0</v>
      </c>
      <c r="W48" s="63">
        <v>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v>0</v>
      </c>
      <c r="AH48" s="63">
        <v>-4909755</v>
      </c>
      <c r="AI48" s="63">
        <v>0</v>
      </c>
      <c r="AJ48" s="63">
        <v>-4909755</v>
      </c>
      <c r="AK48" s="63">
        <v>0</v>
      </c>
      <c r="AL48" s="63">
        <v>0</v>
      </c>
      <c r="AM48" s="63">
        <v>0</v>
      </c>
      <c r="AN48" s="63">
        <v>1351881</v>
      </c>
      <c r="AO48" s="63">
        <v>0</v>
      </c>
      <c r="AP48" s="63">
        <v>1351881</v>
      </c>
      <c r="AQ48" s="63">
        <v>-3557874</v>
      </c>
      <c r="AR48" s="63">
        <v>0</v>
      </c>
      <c r="AS48" s="63">
        <v>-3557874</v>
      </c>
      <c r="AT48" s="63">
        <v>-2273101</v>
      </c>
      <c r="AU48" s="63">
        <v>0</v>
      </c>
      <c r="AV48" s="63">
        <v>-2273101</v>
      </c>
      <c r="AW48" s="63">
        <v>-108849</v>
      </c>
      <c r="AX48" s="63">
        <v>0</v>
      </c>
      <c r="AY48" s="63">
        <v>-108849</v>
      </c>
      <c r="AZ48" s="63">
        <v>-1566</v>
      </c>
      <c r="BA48" s="63">
        <v>0</v>
      </c>
      <c r="BB48" s="63">
        <v>-1566</v>
      </c>
      <c r="BC48" s="63">
        <v>-5941390</v>
      </c>
      <c r="BD48" s="63">
        <v>0</v>
      </c>
      <c r="BE48" s="63">
        <v>0</v>
      </c>
      <c r="BF48" s="63">
        <v>0</v>
      </c>
      <c r="BG48" s="63">
        <v>-5941390</v>
      </c>
      <c r="BH48" s="63">
        <v>0</v>
      </c>
      <c r="BI48" s="63">
        <v>-5941390</v>
      </c>
      <c r="BJ48" s="63">
        <v>0</v>
      </c>
      <c r="BK48" s="63">
        <v>0</v>
      </c>
      <c r="BL48" s="63">
        <v>0</v>
      </c>
      <c r="BM48" s="63">
        <v>-1065703</v>
      </c>
      <c r="BN48" s="63">
        <v>0</v>
      </c>
      <c r="BO48" s="63">
        <v>-1065703</v>
      </c>
      <c r="BP48" s="63">
        <v>-1065703</v>
      </c>
      <c r="BQ48" s="63">
        <v>0</v>
      </c>
      <c r="BR48" s="63">
        <v>0</v>
      </c>
      <c r="BS48" s="63">
        <v>0</v>
      </c>
      <c r="BT48" s="63">
        <v>-1065703</v>
      </c>
      <c r="BU48" s="63">
        <v>0</v>
      </c>
      <c r="BV48" s="63">
        <v>-1065703</v>
      </c>
      <c r="BW48" s="63">
        <v>-292153</v>
      </c>
      <c r="BX48" s="63">
        <v>0</v>
      </c>
      <c r="BY48" s="63">
        <v>-292153</v>
      </c>
      <c r="BZ48" s="63">
        <v>-98426</v>
      </c>
      <c r="CA48" s="63">
        <v>0</v>
      </c>
      <c r="CB48" s="63">
        <v>-98426</v>
      </c>
      <c r="CC48" s="63">
        <v>-27212</v>
      </c>
      <c r="CD48" s="63">
        <v>0</v>
      </c>
      <c r="CE48" s="63">
        <v>-27212</v>
      </c>
      <c r="CF48" s="63">
        <v>-1566</v>
      </c>
      <c r="CG48" s="63">
        <v>0</v>
      </c>
      <c r="CH48" s="63">
        <v>-1566</v>
      </c>
      <c r="CI48" s="63">
        <v>0</v>
      </c>
      <c r="CJ48" s="63">
        <v>0</v>
      </c>
      <c r="CK48" s="63">
        <v>0</v>
      </c>
      <c r="CL48" s="63">
        <v>0</v>
      </c>
      <c r="CM48" s="63">
        <v>0</v>
      </c>
      <c r="CN48" s="63">
        <v>0</v>
      </c>
      <c r="CO48" s="63">
        <v>0</v>
      </c>
      <c r="CP48" s="63">
        <v>0</v>
      </c>
      <c r="CQ48" s="63">
        <v>-419357</v>
      </c>
      <c r="CR48" s="63">
        <v>0</v>
      </c>
      <c r="CS48" s="63">
        <v>0</v>
      </c>
      <c r="CT48" s="63">
        <v>0</v>
      </c>
      <c r="CU48" s="63">
        <v>-419357</v>
      </c>
      <c r="CV48" s="63">
        <v>0</v>
      </c>
      <c r="CW48" s="63">
        <v>-419357</v>
      </c>
      <c r="CX48" s="63">
        <v>0</v>
      </c>
      <c r="CY48" s="63">
        <v>0</v>
      </c>
      <c r="CZ48" s="63">
        <v>0</v>
      </c>
      <c r="DA48" s="63">
        <v>-2696</v>
      </c>
      <c r="DB48" s="63">
        <v>0</v>
      </c>
      <c r="DC48" s="63">
        <v>-2696</v>
      </c>
      <c r="DD48" s="63">
        <v>-10933</v>
      </c>
      <c r="DE48" s="63">
        <v>0</v>
      </c>
      <c r="DF48" s="63">
        <v>-10933</v>
      </c>
      <c r="DG48" s="63">
        <v>-13629</v>
      </c>
      <c r="DH48" s="63">
        <v>0</v>
      </c>
      <c r="DI48" s="63">
        <v>0</v>
      </c>
      <c r="DJ48" s="63">
        <v>0</v>
      </c>
      <c r="DK48" s="63">
        <v>-13629</v>
      </c>
      <c r="DL48" s="63">
        <v>0</v>
      </c>
      <c r="DM48" s="63">
        <v>-13629</v>
      </c>
      <c r="DN48" s="63">
        <v>54758950</v>
      </c>
      <c r="DO48" s="63">
        <v>0</v>
      </c>
      <c r="DP48" s="63">
        <v>54758950</v>
      </c>
      <c r="DQ48" s="63"/>
      <c r="DR48" s="585"/>
    </row>
    <row r="49" spans="1:122" x14ac:dyDescent="0.2">
      <c r="A49" s="90">
        <v>42</v>
      </c>
      <c r="B49" s="129" t="s">
        <v>680</v>
      </c>
      <c r="C49" s="130" t="s">
        <v>749</v>
      </c>
      <c r="D49" s="131" t="s">
        <v>750</v>
      </c>
      <c r="E49" s="132" t="s">
        <v>679</v>
      </c>
      <c r="F49" s="475" t="s">
        <v>808</v>
      </c>
      <c r="G49" s="63">
        <v>158103245</v>
      </c>
      <c r="H49" s="63">
        <v>0</v>
      </c>
      <c r="I49" s="63">
        <v>158103245</v>
      </c>
      <c r="J49" s="608">
        <v>48.4</v>
      </c>
      <c r="K49" s="63">
        <v>76521971</v>
      </c>
      <c r="L49" s="63">
        <v>0</v>
      </c>
      <c r="M49" s="63">
        <v>277604</v>
      </c>
      <c r="N49" s="63">
        <v>0</v>
      </c>
      <c r="O49" s="63">
        <v>76799575</v>
      </c>
      <c r="P49" s="63">
        <v>0</v>
      </c>
      <c r="Q49" s="63">
        <v>76799575</v>
      </c>
      <c r="R49" s="63">
        <v>0</v>
      </c>
      <c r="S49" s="63">
        <v>0</v>
      </c>
      <c r="T49" s="63">
        <v>0</v>
      </c>
      <c r="U49" s="63">
        <v>0</v>
      </c>
      <c r="V49" s="63">
        <v>0</v>
      </c>
      <c r="W49" s="63">
        <v>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0</v>
      </c>
      <c r="AE49" s="63">
        <v>0</v>
      </c>
      <c r="AF49" s="63">
        <v>0</v>
      </c>
      <c r="AG49" s="63">
        <v>0</v>
      </c>
      <c r="AH49" s="63">
        <v>-6873366</v>
      </c>
      <c r="AI49" s="63">
        <v>0</v>
      </c>
      <c r="AJ49" s="63">
        <v>-6873366</v>
      </c>
      <c r="AK49" s="63">
        <v>-50000</v>
      </c>
      <c r="AL49" s="63">
        <v>0</v>
      </c>
      <c r="AM49" s="63">
        <v>-50000</v>
      </c>
      <c r="AN49" s="63">
        <v>1626426</v>
      </c>
      <c r="AO49" s="63">
        <v>0</v>
      </c>
      <c r="AP49" s="63">
        <v>1626426</v>
      </c>
      <c r="AQ49" s="63">
        <v>-5246940</v>
      </c>
      <c r="AR49" s="63">
        <v>0</v>
      </c>
      <c r="AS49" s="63">
        <v>-5246940</v>
      </c>
      <c r="AT49" s="63">
        <v>-3860915</v>
      </c>
      <c r="AU49" s="63">
        <v>0</v>
      </c>
      <c r="AV49" s="63">
        <v>-3860915</v>
      </c>
      <c r="AW49" s="63">
        <v>-183297</v>
      </c>
      <c r="AX49" s="63">
        <v>0</v>
      </c>
      <c r="AY49" s="63">
        <v>-183297</v>
      </c>
      <c r="AZ49" s="63">
        <v>-9709</v>
      </c>
      <c r="BA49" s="63">
        <v>0</v>
      </c>
      <c r="BB49" s="63">
        <v>-9709</v>
      </c>
      <c r="BC49" s="63">
        <v>-9300861</v>
      </c>
      <c r="BD49" s="63">
        <v>0</v>
      </c>
      <c r="BE49" s="63">
        <v>-243235</v>
      </c>
      <c r="BF49" s="63">
        <v>0</v>
      </c>
      <c r="BG49" s="63">
        <v>-9544096</v>
      </c>
      <c r="BH49" s="63">
        <v>0</v>
      </c>
      <c r="BI49" s="63">
        <v>-9544096</v>
      </c>
      <c r="BJ49" s="63">
        <v>-23493</v>
      </c>
      <c r="BK49" s="63">
        <v>0</v>
      </c>
      <c r="BL49" s="63">
        <v>-23493</v>
      </c>
      <c r="BM49" s="63">
        <v>-2896086</v>
      </c>
      <c r="BN49" s="63">
        <v>0</v>
      </c>
      <c r="BO49" s="63">
        <v>-2896086</v>
      </c>
      <c r="BP49" s="63">
        <v>-2919579</v>
      </c>
      <c r="BQ49" s="63">
        <v>0</v>
      </c>
      <c r="BR49" s="63">
        <v>-321154</v>
      </c>
      <c r="BS49" s="63">
        <v>0</v>
      </c>
      <c r="BT49" s="63">
        <v>-3240733</v>
      </c>
      <c r="BU49" s="63">
        <v>0</v>
      </c>
      <c r="BV49" s="63">
        <v>-3240733</v>
      </c>
      <c r="BW49" s="63">
        <v>-196959</v>
      </c>
      <c r="BX49" s="63">
        <v>0</v>
      </c>
      <c r="BY49" s="63">
        <v>-196959</v>
      </c>
      <c r="BZ49" s="63">
        <v>-251721</v>
      </c>
      <c r="CA49" s="63">
        <v>0</v>
      </c>
      <c r="CB49" s="63">
        <v>-251721</v>
      </c>
      <c r="CC49" s="63">
        <v>0</v>
      </c>
      <c r="CD49" s="63">
        <v>0</v>
      </c>
      <c r="CE49" s="63">
        <v>0</v>
      </c>
      <c r="CF49" s="63">
        <v>-2187</v>
      </c>
      <c r="CG49" s="63">
        <v>0</v>
      </c>
      <c r="CH49" s="63">
        <v>-2187</v>
      </c>
      <c r="CI49" s="63">
        <v>0</v>
      </c>
      <c r="CJ49" s="63">
        <v>0</v>
      </c>
      <c r="CK49" s="63">
        <v>0</v>
      </c>
      <c r="CL49" s="63">
        <v>-50000</v>
      </c>
      <c r="CM49" s="63">
        <v>0</v>
      </c>
      <c r="CN49" s="63">
        <v>-50000</v>
      </c>
      <c r="CO49" s="63">
        <v>0</v>
      </c>
      <c r="CP49" s="63">
        <v>0</v>
      </c>
      <c r="CQ49" s="63">
        <v>-500867</v>
      </c>
      <c r="CR49" s="63">
        <v>0</v>
      </c>
      <c r="CS49" s="63">
        <v>-260234</v>
      </c>
      <c r="CT49" s="63">
        <v>0</v>
      </c>
      <c r="CU49" s="63">
        <v>-761101</v>
      </c>
      <c r="CV49" s="63">
        <v>0</v>
      </c>
      <c r="CW49" s="63">
        <v>-761101</v>
      </c>
      <c r="CX49" s="63">
        <v>0</v>
      </c>
      <c r="CY49" s="63">
        <v>0</v>
      </c>
      <c r="CZ49" s="63">
        <v>0</v>
      </c>
      <c r="DA49" s="63">
        <v>0</v>
      </c>
      <c r="DB49" s="63">
        <v>0</v>
      </c>
      <c r="DC49" s="63">
        <v>0</v>
      </c>
      <c r="DD49" s="63">
        <v>-13000</v>
      </c>
      <c r="DE49" s="63">
        <v>0</v>
      </c>
      <c r="DF49" s="63">
        <v>-13000</v>
      </c>
      <c r="DG49" s="63">
        <v>-13000</v>
      </c>
      <c r="DH49" s="63">
        <v>0</v>
      </c>
      <c r="DI49" s="63">
        <v>0</v>
      </c>
      <c r="DJ49" s="63">
        <v>0</v>
      </c>
      <c r="DK49" s="63">
        <v>-13000</v>
      </c>
      <c r="DL49" s="63">
        <v>0</v>
      </c>
      <c r="DM49" s="63">
        <v>-13000</v>
      </c>
      <c r="DN49" s="63">
        <v>63240645</v>
      </c>
      <c r="DO49" s="63">
        <v>0</v>
      </c>
      <c r="DP49" s="63">
        <v>63240645</v>
      </c>
      <c r="DQ49" s="63"/>
      <c r="DR49" s="585"/>
    </row>
    <row r="50" spans="1:122" x14ac:dyDescent="0.2">
      <c r="A50" s="90">
        <v>43</v>
      </c>
      <c r="B50" s="129" t="s">
        <v>682</v>
      </c>
      <c r="C50" s="130" t="s">
        <v>742</v>
      </c>
      <c r="D50" s="131" t="s">
        <v>746</v>
      </c>
      <c r="E50" s="132" t="s">
        <v>681</v>
      </c>
      <c r="F50" s="475" t="s">
        <v>808</v>
      </c>
      <c r="G50" s="63">
        <v>256687565</v>
      </c>
      <c r="H50" s="63">
        <v>0</v>
      </c>
      <c r="I50" s="63">
        <v>256687565</v>
      </c>
      <c r="J50" s="608">
        <v>48.4</v>
      </c>
      <c r="K50" s="63">
        <v>124236781</v>
      </c>
      <c r="L50" s="63">
        <v>0</v>
      </c>
      <c r="M50" s="63">
        <v>740000</v>
      </c>
      <c r="N50" s="63">
        <v>0</v>
      </c>
      <c r="O50" s="63">
        <v>124976781</v>
      </c>
      <c r="P50" s="63">
        <v>0</v>
      </c>
      <c r="Q50" s="63">
        <v>124976781</v>
      </c>
      <c r="R50" s="63">
        <v>0</v>
      </c>
      <c r="S50" s="63">
        <v>0</v>
      </c>
      <c r="T50" s="63">
        <v>0</v>
      </c>
      <c r="U50" s="63">
        <v>0</v>
      </c>
      <c r="V50" s="63">
        <v>0</v>
      </c>
      <c r="W50" s="63">
        <v>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0</v>
      </c>
      <c r="AE50" s="63">
        <v>0</v>
      </c>
      <c r="AF50" s="63">
        <v>0</v>
      </c>
      <c r="AG50" s="63">
        <v>0</v>
      </c>
      <c r="AH50" s="63">
        <v>-1427058</v>
      </c>
      <c r="AI50" s="63">
        <v>0</v>
      </c>
      <c r="AJ50" s="63">
        <v>-1427058</v>
      </c>
      <c r="AK50" s="63">
        <v>0</v>
      </c>
      <c r="AL50" s="63">
        <v>0</v>
      </c>
      <c r="AM50" s="63">
        <v>0</v>
      </c>
      <c r="AN50" s="63">
        <v>3168877</v>
      </c>
      <c r="AO50" s="63">
        <v>0</v>
      </c>
      <c r="AP50" s="63">
        <v>3168877</v>
      </c>
      <c r="AQ50" s="63">
        <v>1741819</v>
      </c>
      <c r="AR50" s="63">
        <v>0</v>
      </c>
      <c r="AS50" s="63">
        <v>1741819</v>
      </c>
      <c r="AT50" s="63">
        <v>-22264793</v>
      </c>
      <c r="AU50" s="63">
        <v>0</v>
      </c>
      <c r="AV50" s="63">
        <v>-22264793</v>
      </c>
      <c r="AW50" s="63">
        <v>-15188</v>
      </c>
      <c r="AX50" s="63">
        <v>0</v>
      </c>
      <c r="AY50" s="63">
        <v>-15188</v>
      </c>
      <c r="AZ50" s="63">
        <v>0</v>
      </c>
      <c r="BA50" s="63">
        <v>0</v>
      </c>
      <c r="BB50" s="63">
        <v>0</v>
      </c>
      <c r="BC50" s="63">
        <v>-20538162</v>
      </c>
      <c r="BD50" s="63">
        <v>0</v>
      </c>
      <c r="BE50" s="63">
        <v>0</v>
      </c>
      <c r="BF50" s="63">
        <v>0</v>
      </c>
      <c r="BG50" s="63">
        <v>-20538162</v>
      </c>
      <c r="BH50" s="63">
        <v>0</v>
      </c>
      <c r="BI50" s="63">
        <v>-20538162</v>
      </c>
      <c r="BJ50" s="63">
        <v>-50000</v>
      </c>
      <c r="BK50" s="63">
        <v>0</v>
      </c>
      <c r="BL50" s="63">
        <v>-50000</v>
      </c>
      <c r="BM50" s="63">
        <v>-1122838</v>
      </c>
      <c r="BN50" s="63">
        <v>0</v>
      </c>
      <c r="BO50" s="63">
        <v>-1122838</v>
      </c>
      <c r="BP50" s="63">
        <v>-1172838</v>
      </c>
      <c r="BQ50" s="63">
        <v>0</v>
      </c>
      <c r="BR50" s="63">
        <v>0</v>
      </c>
      <c r="BS50" s="63">
        <v>0</v>
      </c>
      <c r="BT50" s="63">
        <v>-1172838</v>
      </c>
      <c r="BU50" s="63">
        <v>0</v>
      </c>
      <c r="BV50" s="63">
        <v>-1172838</v>
      </c>
      <c r="BW50" s="63">
        <v>-127373</v>
      </c>
      <c r="BX50" s="63">
        <v>0</v>
      </c>
      <c r="BY50" s="63">
        <v>-127373</v>
      </c>
      <c r="BZ50" s="63">
        <v>-3319</v>
      </c>
      <c r="CA50" s="63">
        <v>0</v>
      </c>
      <c r="CB50" s="63">
        <v>-3319</v>
      </c>
      <c r="CC50" s="63">
        <v>0</v>
      </c>
      <c r="CD50" s="63">
        <v>0</v>
      </c>
      <c r="CE50" s="63">
        <v>0</v>
      </c>
      <c r="CF50" s="63">
        <v>0</v>
      </c>
      <c r="CG50" s="63">
        <v>0</v>
      </c>
      <c r="CH50" s="63">
        <v>0</v>
      </c>
      <c r="CI50" s="63">
        <v>0</v>
      </c>
      <c r="CJ50" s="63">
        <v>0</v>
      </c>
      <c r="CK50" s="63">
        <v>0</v>
      </c>
      <c r="CL50" s="63">
        <v>0</v>
      </c>
      <c r="CM50" s="63">
        <v>0</v>
      </c>
      <c r="CN50" s="63">
        <v>0</v>
      </c>
      <c r="CO50" s="63">
        <v>0</v>
      </c>
      <c r="CP50" s="63">
        <v>0</v>
      </c>
      <c r="CQ50" s="63">
        <v>-130692</v>
      </c>
      <c r="CR50" s="63">
        <v>0</v>
      </c>
      <c r="CS50" s="63">
        <v>0</v>
      </c>
      <c r="CT50" s="63">
        <v>0</v>
      </c>
      <c r="CU50" s="63">
        <v>-130692</v>
      </c>
      <c r="CV50" s="63">
        <v>0</v>
      </c>
      <c r="CW50" s="63">
        <v>-130692</v>
      </c>
      <c r="CX50" s="63">
        <v>-50000</v>
      </c>
      <c r="CY50" s="63">
        <v>0</v>
      </c>
      <c r="CZ50" s="63">
        <v>-50000</v>
      </c>
      <c r="DA50" s="63">
        <v>-100000</v>
      </c>
      <c r="DB50" s="63">
        <v>0</v>
      </c>
      <c r="DC50" s="63">
        <v>-100000</v>
      </c>
      <c r="DD50" s="63">
        <v>-25655</v>
      </c>
      <c r="DE50" s="63">
        <v>0</v>
      </c>
      <c r="DF50" s="63">
        <v>-25655</v>
      </c>
      <c r="DG50" s="63">
        <v>-175655</v>
      </c>
      <c r="DH50" s="63">
        <v>0</v>
      </c>
      <c r="DI50" s="63">
        <v>0</v>
      </c>
      <c r="DJ50" s="63">
        <v>0</v>
      </c>
      <c r="DK50" s="63">
        <v>-175655</v>
      </c>
      <c r="DL50" s="63">
        <v>0</v>
      </c>
      <c r="DM50" s="63">
        <v>-175655</v>
      </c>
      <c r="DN50" s="63">
        <v>102959434</v>
      </c>
      <c r="DO50" s="63">
        <v>0</v>
      </c>
      <c r="DP50" s="63">
        <v>102959434</v>
      </c>
      <c r="DQ50" s="63"/>
      <c r="DR50" s="585"/>
    </row>
    <row r="51" spans="1:122" x14ac:dyDescent="0.2">
      <c r="A51" s="90">
        <v>44</v>
      </c>
      <c r="B51" s="129" t="s">
        <v>684</v>
      </c>
      <c r="C51" s="130" t="s">
        <v>754</v>
      </c>
      <c r="D51" s="131" t="s">
        <v>748</v>
      </c>
      <c r="E51" s="132" t="s">
        <v>683</v>
      </c>
      <c r="F51" s="475" t="s">
        <v>808</v>
      </c>
      <c r="G51" s="63">
        <v>1232701753</v>
      </c>
      <c r="H51" s="63">
        <v>0</v>
      </c>
      <c r="I51" s="63">
        <v>1232701753</v>
      </c>
      <c r="J51" s="608">
        <v>48.4</v>
      </c>
      <c r="K51" s="63">
        <v>596627648</v>
      </c>
      <c r="L51" s="63">
        <v>0</v>
      </c>
      <c r="M51" s="63">
        <v>4592693</v>
      </c>
      <c r="N51" s="63">
        <v>0</v>
      </c>
      <c r="O51" s="63">
        <v>601220341</v>
      </c>
      <c r="P51" s="63">
        <v>0</v>
      </c>
      <c r="Q51" s="63">
        <v>601220341</v>
      </c>
      <c r="R51" s="63">
        <v>0</v>
      </c>
      <c r="S51" s="63">
        <v>0</v>
      </c>
      <c r="T51" s="63">
        <v>0</v>
      </c>
      <c r="U51" s="63">
        <v>0</v>
      </c>
      <c r="V51" s="63">
        <v>0</v>
      </c>
      <c r="W51" s="63">
        <v>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0</v>
      </c>
      <c r="AE51" s="63">
        <v>0</v>
      </c>
      <c r="AF51" s="63">
        <v>0</v>
      </c>
      <c r="AG51" s="63">
        <v>0</v>
      </c>
      <c r="AH51" s="63">
        <v>-2987116</v>
      </c>
      <c r="AI51" s="63">
        <v>0</v>
      </c>
      <c r="AJ51" s="63">
        <v>-2987116</v>
      </c>
      <c r="AK51" s="63">
        <v>0</v>
      </c>
      <c r="AL51" s="63">
        <v>0</v>
      </c>
      <c r="AM51" s="63">
        <v>0</v>
      </c>
      <c r="AN51" s="63">
        <v>14983505</v>
      </c>
      <c r="AO51" s="63">
        <v>0</v>
      </c>
      <c r="AP51" s="63">
        <v>14983505</v>
      </c>
      <c r="AQ51" s="63">
        <v>11996389</v>
      </c>
      <c r="AR51" s="63">
        <v>0</v>
      </c>
      <c r="AS51" s="63">
        <v>11996389</v>
      </c>
      <c r="AT51" s="63">
        <v>-58663296</v>
      </c>
      <c r="AU51" s="63">
        <v>0</v>
      </c>
      <c r="AV51" s="63">
        <v>-58663296</v>
      </c>
      <c r="AW51" s="63">
        <v>-14214</v>
      </c>
      <c r="AX51" s="63">
        <v>0</v>
      </c>
      <c r="AY51" s="63">
        <v>-14214</v>
      </c>
      <c r="AZ51" s="63">
        <v>0</v>
      </c>
      <c r="BA51" s="63">
        <v>0</v>
      </c>
      <c r="BB51" s="63">
        <v>0</v>
      </c>
      <c r="BC51" s="63">
        <v>-46681121</v>
      </c>
      <c r="BD51" s="63">
        <v>0</v>
      </c>
      <c r="BE51" s="63">
        <v>0</v>
      </c>
      <c r="BF51" s="63">
        <v>0</v>
      </c>
      <c r="BG51" s="63">
        <v>-46681121</v>
      </c>
      <c r="BH51" s="63">
        <v>0</v>
      </c>
      <c r="BI51" s="63">
        <v>-46681121</v>
      </c>
      <c r="BJ51" s="63">
        <v>-72625</v>
      </c>
      <c r="BK51" s="63">
        <v>0</v>
      </c>
      <c r="BL51" s="63">
        <v>-72625</v>
      </c>
      <c r="BM51" s="63">
        <v>-19453874</v>
      </c>
      <c r="BN51" s="63">
        <v>0</v>
      </c>
      <c r="BO51" s="63">
        <v>-19453874</v>
      </c>
      <c r="BP51" s="63">
        <v>-19526499</v>
      </c>
      <c r="BQ51" s="63">
        <v>0</v>
      </c>
      <c r="BR51" s="63">
        <v>0</v>
      </c>
      <c r="BS51" s="63">
        <v>0</v>
      </c>
      <c r="BT51" s="63">
        <v>-19526499</v>
      </c>
      <c r="BU51" s="63">
        <v>0</v>
      </c>
      <c r="BV51" s="63">
        <v>-19526499</v>
      </c>
      <c r="BW51" s="63">
        <v>-200504</v>
      </c>
      <c r="BX51" s="63">
        <v>0</v>
      </c>
      <c r="BY51" s="63">
        <v>-200504</v>
      </c>
      <c r="BZ51" s="63">
        <v>0</v>
      </c>
      <c r="CA51" s="63">
        <v>0</v>
      </c>
      <c r="CB51" s="63">
        <v>0</v>
      </c>
      <c r="CC51" s="63">
        <v>0</v>
      </c>
      <c r="CD51" s="63">
        <v>0</v>
      </c>
      <c r="CE51" s="63">
        <v>0</v>
      </c>
      <c r="CF51" s="63">
        <v>0</v>
      </c>
      <c r="CG51" s="63">
        <v>0</v>
      </c>
      <c r="CH51" s="63">
        <v>0</v>
      </c>
      <c r="CI51" s="63">
        <v>0</v>
      </c>
      <c r="CJ51" s="63">
        <v>0</v>
      </c>
      <c r="CK51" s="63">
        <v>0</v>
      </c>
      <c r="CL51" s="63">
        <v>0</v>
      </c>
      <c r="CM51" s="63">
        <v>0</v>
      </c>
      <c r="CN51" s="63">
        <v>0</v>
      </c>
      <c r="CO51" s="63">
        <v>0</v>
      </c>
      <c r="CP51" s="63">
        <v>0</v>
      </c>
      <c r="CQ51" s="63">
        <v>-200504</v>
      </c>
      <c r="CR51" s="63">
        <v>0</v>
      </c>
      <c r="CS51" s="63">
        <v>0</v>
      </c>
      <c r="CT51" s="63">
        <v>0</v>
      </c>
      <c r="CU51" s="63">
        <v>-200504</v>
      </c>
      <c r="CV51" s="63">
        <v>0</v>
      </c>
      <c r="CW51" s="63">
        <v>-200504</v>
      </c>
      <c r="CX51" s="63">
        <v>0</v>
      </c>
      <c r="CY51" s="63">
        <v>0</v>
      </c>
      <c r="CZ51" s="63">
        <v>0</v>
      </c>
      <c r="DA51" s="63">
        <v>0</v>
      </c>
      <c r="DB51" s="63">
        <v>0</v>
      </c>
      <c r="DC51" s="63">
        <v>0</v>
      </c>
      <c r="DD51" s="63">
        <v>-90286</v>
      </c>
      <c r="DE51" s="63">
        <v>0</v>
      </c>
      <c r="DF51" s="63">
        <v>-90286</v>
      </c>
      <c r="DG51" s="63">
        <v>-90286</v>
      </c>
      <c r="DH51" s="63">
        <v>0</v>
      </c>
      <c r="DI51" s="63">
        <v>0</v>
      </c>
      <c r="DJ51" s="63">
        <v>0</v>
      </c>
      <c r="DK51" s="63">
        <v>-90286</v>
      </c>
      <c r="DL51" s="63">
        <v>0</v>
      </c>
      <c r="DM51" s="63">
        <v>-90286</v>
      </c>
      <c r="DN51" s="63">
        <v>534721931</v>
      </c>
      <c r="DO51" s="63">
        <v>0</v>
      </c>
      <c r="DP51" s="63">
        <v>534721931</v>
      </c>
      <c r="DQ51" s="63"/>
      <c r="DR51" s="585"/>
    </row>
    <row r="52" spans="1:122" x14ac:dyDescent="0.2">
      <c r="A52" s="90">
        <v>45</v>
      </c>
      <c r="B52" s="129" t="s">
        <v>686</v>
      </c>
      <c r="C52" s="130" t="s">
        <v>742</v>
      </c>
      <c r="D52" s="131" t="s">
        <v>752</v>
      </c>
      <c r="E52" s="132" t="s">
        <v>685</v>
      </c>
      <c r="F52" s="475" t="s">
        <v>808</v>
      </c>
      <c r="G52" s="63">
        <v>87917530</v>
      </c>
      <c r="H52" s="63">
        <v>0</v>
      </c>
      <c r="I52" s="63">
        <v>87917530</v>
      </c>
      <c r="J52" s="608">
        <v>48.4</v>
      </c>
      <c r="K52" s="63">
        <v>42552085</v>
      </c>
      <c r="L52" s="63">
        <v>0</v>
      </c>
      <c r="M52" s="63">
        <v>192000</v>
      </c>
      <c r="N52" s="63">
        <v>0</v>
      </c>
      <c r="O52" s="63">
        <v>42744085</v>
      </c>
      <c r="P52" s="63">
        <v>0</v>
      </c>
      <c r="Q52" s="63">
        <v>42744085</v>
      </c>
      <c r="R52" s="63">
        <v>0</v>
      </c>
      <c r="S52" s="63">
        <v>0</v>
      </c>
      <c r="T52" s="63">
        <v>0</v>
      </c>
      <c r="U52" s="63">
        <v>0</v>
      </c>
      <c r="V52" s="63">
        <v>0</v>
      </c>
      <c r="W52" s="63">
        <v>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0</v>
      </c>
      <c r="AE52" s="63">
        <v>0</v>
      </c>
      <c r="AF52" s="63">
        <v>0</v>
      </c>
      <c r="AG52" s="63">
        <v>0</v>
      </c>
      <c r="AH52" s="63">
        <v>-2594964</v>
      </c>
      <c r="AI52" s="63">
        <v>0</v>
      </c>
      <c r="AJ52" s="63">
        <v>-2594964</v>
      </c>
      <c r="AK52" s="63">
        <v>-4237</v>
      </c>
      <c r="AL52" s="63">
        <v>0</v>
      </c>
      <c r="AM52" s="63">
        <v>-4237</v>
      </c>
      <c r="AN52" s="63">
        <v>960258</v>
      </c>
      <c r="AO52" s="63">
        <v>0</v>
      </c>
      <c r="AP52" s="63">
        <v>960258</v>
      </c>
      <c r="AQ52" s="63">
        <v>-1634706</v>
      </c>
      <c r="AR52" s="63">
        <v>0</v>
      </c>
      <c r="AS52" s="63">
        <v>-1634706</v>
      </c>
      <c r="AT52" s="63">
        <v>-2130823</v>
      </c>
      <c r="AU52" s="63">
        <v>0</v>
      </c>
      <c r="AV52" s="63">
        <v>-2130823</v>
      </c>
      <c r="AW52" s="63">
        <v>-1491</v>
      </c>
      <c r="AX52" s="63">
        <v>0</v>
      </c>
      <c r="AY52" s="63">
        <v>-1491</v>
      </c>
      <c r="AZ52" s="63">
        <v>0</v>
      </c>
      <c r="BA52" s="63">
        <v>0</v>
      </c>
      <c r="BB52" s="63">
        <v>0</v>
      </c>
      <c r="BC52" s="63">
        <v>-3767020</v>
      </c>
      <c r="BD52" s="63">
        <v>0</v>
      </c>
      <c r="BE52" s="63">
        <v>0</v>
      </c>
      <c r="BF52" s="63">
        <v>0</v>
      </c>
      <c r="BG52" s="63">
        <v>-3767020</v>
      </c>
      <c r="BH52" s="63">
        <v>0</v>
      </c>
      <c r="BI52" s="63">
        <v>-3767020</v>
      </c>
      <c r="BJ52" s="63">
        <v>0</v>
      </c>
      <c r="BK52" s="63">
        <v>0</v>
      </c>
      <c r="BL52" s="63">
        <v>0</v>
      </c>
      <c r="BM52" s="63">
        <v>-750000</v>
      </c>
      <c r="BN52" s="63">
        <v>0</v>
      </c>
      <c r="BO52" s="63">
        <v>-750000</v>
      </c>
      <c r="BP52" s="63">
        <v>-750000</v>
      </c>
      <c r="BQ52" s="63">
        <v>0</v>
      </c>
      <c r="BR52" s="63">
        <v>0</v>
      </c>
      <c r="BS52" s="63">
        <v>0</v>
      </c>
      <c r="BT52" s="63">
        <v>-750000</v>
      </c>
      <c r="BU52" s="63">
        <v>0</v>
      </c>
      <c r="BV52" s="63">
        <v>-750000</v>
      </c>
      <c r="BW52" s="63">
        <v>-69550</v>
      </c>
      <c r="BX52" s="63">
        <v>0</v>
      </c>
      <c r="BY52" s="63">
        <v>-69550</v>
      </c>
      <c r="BZ52" s="63">
        <v>-10896</v>
      </c>
      <c r="CA52" s="63">
        <v>0</v>
      </c>
      <c r="CB52" s="63">
        <v>-10896</v>
      </c>
      <c r="CC52" s="63">
        <v>-93</v>
      </c>
      <c r="CD52" s="63">
        <v>0</v>
      </c>
      <c r="CE52" s="63">
        <v>-93</v>
      </c>
      <c r="CF52" s="63">
        <v>0</v>
      </c>
      <c r="CG52" s="63">
        <v>0</v>
      </c>
      <c r="CH52" s="63">
        <v>0</v>
      </c>
      <c r="CI52" s="63">
        <v>0</v>
      </c>
      <c r="CJ52" s="63">
        <v>0</v>
      </c>
      <c r="CK52" s="63">
        <v>0</v>
      </c>
      <c r="CL52" s="63">
        <v>0</v>
      </c>
      <c r="CM52" s="63">
        <v>0</v>
      </c>
      <c r="CN52" s="63">
        <v>0</v>
      </c>
      <c r="CO52" s="63">
        <v>0</v>
      </c>
      <c r="CP52" s="63">
        <v>0</v>
      </c>
      <c r="CQ52" s="63">
        <v>-80539</v>
      </c>
      <c r="CR52" s="63">
        <v>0</v>
      </c>
      <c r="CS52" s="63">
        <v>0</v>
      </c>
      <c r="CT52" s="63">
        <v>0</v>
      </c>
      <c r="CU52" s="63">
        <v>-80539</v>
      </c>
      <c r="CV52" s="63">
        <v>0</v>
      </c>
      <c r="CW52" s="63">
        <v>-80539</v>
      </c>
      <c r="CX52" s="63">
        <v>0</v>
      </c>
      <c r="CY52" s="63">
        <v>0</v>
      </c>
      <c r="CZ52" s="63">
        <v>0</v>
      </c>
      <c r="DA52" s="63">
        <v>-26712</v>
      </c>
      <c r="DB52" s="63">
        <v>0</v>
      </c>
      <c r="DC52" s="63">
        <v>-26712</v>
      </c>
      <c r="DD52" s="63">
        <v>-4052</v>
      </c>
      <c r="DE52" s="63">
        <v>0</v>
      </c>
      <c r="DF52" s="63">
        <v>-4052</v>
      </c>
      <c r="DG52" s="63">
        <v>-30764</v>
      </c>
      <c r="DH52" s="63">
        <v>0</v>
      </c>
      <c r="DI52" s="63">
        <v>0</v>
      </c>
      <c r="DJ52" s="63">
        <v>0</v>
      </c>
      <c r="DK52" s="63">
        <v>-30764</v>
      </c>
      <c r="DL52" s="63">
        <v>0</v>
      </c>
      <c r="DM52" s="63">
        <v>-30764</v>
      </c>
      <c r="DN52" s="63">
        <v>38115762</v>
      </c>
      <c r="DO52" s="63">
        <v>0</v>
      </c>
      <c r="DP52" s="63">
        <v>38115762</v>
      </c>
      <c r="DQ52" s="63"/>
      <c r="DR52" s="585"/>
    </row>
    <row r="53" spans="1:122" x14ac:dyDescent="0.2">
      <c r="A53" s="90">
        <v>46</v>
      </c>
      <c r="B53" s="129" t="s">
        <v>688</v>
      </c>
      <c r="C53" s="130" t="s">
        <v>742</v>
      </c>
      <c r="D53" s="131" t="s">
        <v>743</v>
      </c>
      <c r="E53" s="132" t="s">
        <v>687</v>
      </c>
      <c r="F53" s="475" t="s">
        <v>808</v>
      </c>
      <c r="G53" s="63">
        <v>136164721</v>
      </c>
      <c r="H53" s="63">
        <v>0</v>
      </c>
      <c r="I53" s="63">
        <v>136164721</v>
      </c>
      <c r="J53" s="608">
        <v>48.4</v>
      </c>
      <c r="K53" s="63">
        <v>65903725</v>
      </c>
      <c r="L53" s="63">
        <v>0</v>
      </c>
      <c r="M53" s="63">
        <v>0</v>
      </c>
      <c r="N53" s="63">
        <v>0</v>
      </c>
      <c r="O53" s="63">
        <v>65903725</v>
      </c>
      <c r="P53" s="63">
        <v>0</v>
      </c>
      <c r="Q53" s="63">
        <v>65903725</v>
      </c>
      <c r="R53" s="63">
        <v>0</v>
      </c>
      <c r="S53" s="63">
        <v>0</v>
      </c>
      <c r="T53" s="63">
        <v>0</v>
      </c>
      <c r="U53" s="63">
        <v>0</v>
      </c>
      <c r="V53" s="63">
        <v>0</v>
      </c>
      <c r="W53" s="63">
        <v>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0</v>
      </c>
      <c r="AE53" s="63">
        <v>0</v>
      </c>
      <c r="AF53" s="63">
        <v>0</v>
      </c>
      <c r="AG53" s="63">
        <v>0</v>
      </c>
      <c r="AH53" s="63">
        <v>-3497555.4</v>
      </c>
      <c r="AI53" s="63">
        <v>0</v>
      </c>
      <c r="AJ53" s="63">
        <v>-3497555.4</v>
      </c>
      <c r="AK53" s="63">
        <v>-1707</v>
      </c>
      <c r="AL53" s="63">
        <v>0</v>
      </c>
      <c r="AM53" s="63">
        <v>-1707</v>
      </c>
      <c r="AN53" s="63">
        <v>1514886.55</v>
      </c>
      <c r="AO53" s="63">
        <v>0</v>
      </c>
      <c r="AP53" s="63">
        <v>1514886.55</v>
      </c>
      <c r="AQ53" s="63">
        <v>-1982668.8499999999</v>
      </c>
      <c r="AR53" s="63">
        <v>0</v>
      </c>
      <c r="AS53" s="63">
        <v>-1982668.8499999999</v>
      </c>
      <c r="AT53" s="63">
        <v>-10704381</v>
      </c>
      <c r="AU53" s="63">
        <v>0</v>
      </c>
      <c r="AV53" s="63">
        <v>-10704381</v>
      </c>
      <c r="AW53" s="63">
        <v>-103195.09</v>
      </c>
      <c r="AX53" s="63">
        <v>0</v>
      </c>
      <c r="AY53" s="63">
        <v>-103195.09</v>
      </c>
      <c r="AZ53" s="63">
        <v>-24688.49</v>
      </c>
      <c r="BA53" s="63">
        <v>0</v>
      </c>
      <c r="BB53" s="63">
        <v>-24688.49</v>
      </c>
      <c r="BC53" s="63">
        <v>-12814933.43</v>
      </c>
      <c r="BD53" s="63">
        <v>0</v>
      </c>
      <c r="BE53" s="63">
        <v>0</v>
      </c>
      <c r="BF53" s="63">
        <v>0</v>
      </c>
      <c r="BG53" s="63">
        <v>-12814933.43</v>
      </c>
      <c r="BH53" s="63">
        <v>0</v>
      </c>
      <c r="BI53" s="63">
        <v>-12814933.43</v>
      </c>
      <c r="BJ53" s="63">
        <v>0</v>
      </c>
      <c r="BK53" s="63">
        <v>0</v>
      </c>
      <c r="BL53" s="63">
        <v>0</v>
      </c>
      <c r="BM53" s="63">
        <v>-996767.15</v>
      </c>
      <c r="BN53" s="63">
        <v>0</v>
      </c>
      <c r="BO53" s="63">
        <v>-996767.15</v>
      </c>
      <c r="BP53" s="63">
        <v>-996767.15</v>
      </c>
      <c r="BQ53" s="63">
        <v>0</v>
      </c>
      <c r="BR53" s="63">
        <v>0</v>
      </c>
      <c r="BS53" s="63">
        <v>0</v>
      </c>
      <c r="BT53" s="63">
        <v>-996767.15</v>
      </c>
      <c r="BU53" s="63">
        <v>0</v>
      </c>
      <c r="BV53" s="63">
        <v>-996767.15</v>
      </c>
      <c r="BW53" s="63">
        <v>-304015.49</v>
      </c>
      <c r="BX53" s="63">
        <v>0</v>
      </c>
      <c r="BY53" s="63">
        <v>-304015.49</v>
      </c>
      <c r="BZ53" s="63">
        <v>0</v>
      </c>
      <c r="CA53" s="63">
        <v>0</v>
      </c>
      <c r="CB53" s="63">
        <v>0</v>
      </c>
      <c r="CC53" s="63">
        <v>-21445.55</v>
      </c>
      <c r="CD53" s="63">
        <v>0</v>
      </c>
      <c r="CE53" s="63">
        <v>-21445.55</v>
      </c>
      <c r="CF53" s="63">
        <v>-19622.16</v>
      </c>
      <c r="CG53" s="63">
        <v>0</v>
      </c>
      <c r="CH53" s="63">
        <v>-19622.16</v>
      </c>
      <c r="CI53" s="63">
        <v>0</v>
      </c>
      <c r="CJ53" s="63">
        <v>0</v>
      </c>
      <c r="CK53" s="63">
        <v>0</v>
      </c>
      <c r="CL53" s="63">
        <v>0</v>
      </c>
      <c r="CM53" s="63">
        <v>0</v>
      </c>
      <c r="CN53" s="63">
        <v>0</v>
      </c>
      <c r="CO53" s="63">
        <v>0</v>
      </c>
      <c r="CP53" s="63">
        <v>0</v>
      </c>
      <c r="CQ53" s="63">
        <v>-345083.19999999995</v>
      </c>
      <c r="CR53" s="63">
        <v>0</v>
      </c>
      <c r="CS53" s="63">
        <v>0</v>
      </c>
      <c r="CT53" s="63">
        <v>0</v>
      </c>
      <c r="CU53" s="63">
        <v>-345083.19999999995</v>
      </c>
      <c r="CV53" s="63">
        <v>0</v>
      </c>
      <c r="CW53" s="63">
        <v>-345083.19999999995</v>
      </c>
      <c r="CX53" s="63">
        <v>0</v>
      </c>
      <c r="CY53" s="63">
        <v>0</v>
      </c>
      <c r="CZ53" s="63">
        <v>0</v>
      </c>
      <c r="DA53" s="63">
        <v>-46382.1</v>
      </c>
      <c r="DB53" s="63">
        <v>0</v>
      </c>
      <c r="DC53" s="63">
        <v>-46382.1</v>
      </c>
      <c r="DD53" s="63">
        <v>-10807.11</v>
      </c>
      <c r="DE53" s="63">
        <v>0</v>
      </c>
      <c r="DF53" s="63">
        <v>-10807.11</v>
      </c>
      <c r="DG53" s="63">
        <v>-57189.21</v>
      </c>
      <c r="DH53" s="63">
        <v>0</v>
      </c>
      <c r="DI53" s="63">
        <v>0</v>
      </c>
      <c r="DJ53" s="63">
        <v>0</v>
      </c>
      <c r="DK53" s="63">
        <v>-57189.21</v>
      </c>
      <c r="DL53" s="63">
        <v>0</v>
      </c>
      <c r="DM53" s="63">
        <v>-57189.21</v>
      </c>
      <c r="DN53" s="63">
        <v>51689752.009999998</v>
      </c>
      <c r="DO53" s="63">
        <v>0</v>
      </c>
      <c r="DP53" s="63">
        <v>51689752.009999998</v>
      </c>
      <c r="DQ53" s="63"/>
      <c r="DR53" s="585"/>
    </row>
    <row r="54" spans="1:122" x14ac:dyDescent="0.2">
      <c r="A54" s="90">
        <v>47</v>
      </c>
      <c r="B54" s="129" t="s">
        <v>690</v>
      </c>
      <c r="C54" s="130" t="s">
        <v>742</v>
      </c>
      <c r="D54" s="131" t="s">
        <v>744</v>
      </c>
      <c r="E54" s="132" t="s">
        <v>689</v>
      </c>
      <c r="F54" s="475" t="s">
        <v>808</v>
      </c>
      <c r="G54" s="63">
        <v>102963820</v>
      </c>
      <c r="H54" s="63">
        <v>3310785</v>
      </c>
      <c r="I54" s="63">
        <v>106274605</v>
      </c>
      <c r="J54" s="608">
        <v>48.4</v>
      </c>
      <c r="K54" s="63">
        <v>49834489</v>
      </c>
      <c r="L54" s="63">
        <v>1602420</v>
      </c>
      <c r="M54" s="63">
        <v>493935</v>
      </c>
      <c r="N54" s="63">
        <v>0</v>
      </c>
      <c r="O54" s="63">
        <v>50328424</v>
      </c>
      <c r="P54" s="63">
        <v>1602420</v>
      </c>
      <c r="Q54" s="63">
        <v>51930844</v>
      </c>
      <c r="R54" s="63">
        <v>0</v>
      </c>
      <c r="S54" s="63">
        <v>0</v>
      </c>
      <c r="T54" s="63">
        <v>0</v>
      </c>
      <c r="U54" s="63">
        <v>0</v>
      </c>
      <c r="V54" s="63">
        <v>0</v>
      </c>
      <c r="W54" s="63">
        <v>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0</v>
      </c>
      <c r="AE54" s="63">
        <v>0</v>
      </c>
      <c r="AF54" s="63">
        <v>0</v>
      </c>
      <c r="AG54" s="63">
        <v>0</v>
      </c>
      <c r="AH54" s="63">
        <v>-2541514</v>
      </c>
      <c r="AI54" s="63">
        <v>-40613</v>
      </c>
      <c r="AJ54" s="63">
        <v>-2582127</v>
      </c>
      <c r="AK54" s="63">
        <v>-14312</v>
      </c>
      <c r="AL54" s="63">
        <v>0</v>
      </c>
      <c r="AM54" s="63">
        <v>-14312</v>
      </c>
      <c r="AN54" s="63">
        <v>1141648</v>
      </c>
      <c r="AO54" s="63">
        <v>38428</v>
      </c>
      <c r="AP54" s="63">
        <v>1180076</v>
      </c>
      <c r="AQ54" s="63">
        <v>-1399866</v>
      </c>
      <c r="AR54" s="63">
        <v>-2185</v>
      </c>
      <c r="AS54" s="63">
        <v>-1402051</v>
      </c>
      <c r="AT54" s="63">
        <v>-3252403</v>
      </c>
      <c r="AU54" s="63">
        <v>-1861</v>
      </c>
      <c r="AV54" s="63">
        <v>-3254264</v>
      </c>
      <c r="AW54" s="63">
        <v>-90036</v>
      </c>
      <c r="AX54" s="63">
        <v>0</v>
      </c>
      <c r="AY54" s="63">
        <v>-90036</v>
      </c>
      <c r="AZ54" s="63">
        <v>-27453</v>
      </c>
      <c r="BA54" s="63">
        <v>0</v>
      </c>
      <c r="BB54" s="63">
        <v>-27453</v>
      </c>
      <c r="BC54" s="63">
        <v>-4769758</v>
      </c>
      <c r="BD54" s="63">
        <v>-4046</v>
      </c>
      <c r="BE54" s="63">
        <v>-80000</v>
      </c>
      <c r="BF54" s="63">
        <v>0</v>
      </c>
      <c r="BG54" s="63">
        <v>-4849758</v>
      </c>
      <c r="BH54" s="63">
        <v>-4046</v>
      </c>
      <c r="BI54" s="63">
        <v>-4853804</v>
      </c>
      <c r="BJ54" s="63">
        <v>-52810</v>
      </c>
      <c r="BK54" s="63">
        <v>0</v>
      </c>
      <c r="BL54" s="63">
        <v>-52810</v>
      </c>
      <c r="BM54" s="63">
        <v>-1478624</v>
      </c>
      <c r="BN54" s="63">
        <v>-78551</v>
      </c>
      <c r="BO54" s="63">
        <v>-1557175</v>
      </c>
      <c r="BP54" s="63">
        <v>-1531434</v>
      </c>
      <c r="BQ54" s="63">
        <v>-78551</v>
      </c>
      <c r="BR54" s="63">
        <v>0</v>
      </c>
      <c r="BS54" s="63">
        <v>0</v>
      </c>
      <c r="BT54" s="63">
        <v>-1531434</v>
      </c>
      <c r="BU54" s="63">
        <v>-78551</v>
      </c>
      <c r="BV54" s="63">
        <v>-1609985</v>
      </c>
      <c r="BW54" s="63">
        <v>-56969</v>
      </c>
      <c r="BX54" s="63">
        <v>-465</v>
      </c>
      <c r="BY54" s="63">
        <v>-57434</v>
      </c>
      <c r="BZ54" s="63">
        <v>-52367</v>
      </c>
      <c r="CA54" s="63">
        <v>0</v>
      </c>
      <c r="CB54" s="63">
        <v>-52367</v>
      </c>
      <c r="CC54" s="63">
        <v>-2905</v>
      </c>
      <c r="CD54" s="63">
        <v>0</v>
      </c>
      <c r="CE54" s="63">
        <v>-2905</v>
      </c>
      <c r="CF54" s="63">
        <v>0</v>
      </c>
      <c r="CG54" s="63">
        <v>0</v>
      </c>
      <c r="CH54" s="63">
        <v>0</v>
      </c>
      <c r="CI54" s="63">
        <v>-2609</v>
      </c>
      <c r="CJ54" s="63">
        <v>0</v>
      </c>
      <c r="CK54" s="63">
        <v>-2609</v>
      </c>
      <c r="CL54" s="63">
        <v>0</v>
      </c>
      <c r="CM54" s="63">
        <v>0</v>
      </c>
      <c r="CN54" s="63">
        <v>0</v>
      </c>
      <c r="CO54" s="63">
        <v>0</v>
      </c>
      <c r="CP54" s="63">
        <v>0</v>
      </c>
      <c r="CQ54" s="63">
        <v>-114850</v>
      </c>
      <c r="CR54" s="63">
        <v>-465</v>
      </c>
      <c r="CS54" s="63">
        <v>0</v>
      </c>
      <c r="CT54" s="63">
        <v>0</v>
      </c>
      <c r="CU54" s="63">
        <v>-114850</v>
      </c>
      <c r="CV54" s="63">
        <v>-465</v>
      </c>
      <c r="CW54" s="63">
        <v>-115315</v>
      </c>
      <c r="CX54" s="63">
        <v>-3568</v>
      </c>
      <c r="CY54" s="63">
        <v>0</v>
      </c>
      <c r="CZ54" s="63">
        <v>-3568</v>
      </c>
      <c r="DA54" s="63">
        <v>-61807</v>
      </c>
      <c r="DB54" s="63">
        <v>0</v>
      </c>
      <c r="DC54" s="63">
        <v>-61807</v>
      </c>
      <c r="DD54" s="63">
        <v>-8000</v>
      </c>
      <c r="DE54" s="63">
        <v>0</v>
      </c>
      <c r="DF54" s="63">
        <v>-8000</v>
      </c>
      <c r="DG54" s="63">
        <v>-73375</v>
      </c>
      <c r="DH54" s="63">
        <v>0</v>
      </c>
      <c r="DI54" s="63">
        <v>0</v>
      </c>
      <c r="DJ54" s="63">
        <v>0</v>
      </c>
      <c r="DK54" s="63">
        <v>-73375</v>
      </c>
      <c r="DL54" s="63">
        <v>0</v>
      </c>
      <c r="DM54" s="63">
        <v>-73375</v>
      </c>
      <c r="DN54" s="63">
        <v>43759007</v>
      </c>
      <c r="DO54" s="63">
        <v>1519358</v>
      </c>
      <c r="DP54" s="63">
        <v>45278365</v>
      </c>
      <c r="DQ54" s="63"/>
      <c r="DR54" s="585" t="s">
        <v>768</v>
      </c>
    </row>
    <row r="55" spans="1:122" x14ac:dyDescent="0.2">
      <c r="A55" s="90">
        <v>48</v>
      </c>
      <c r="B55" s="129" t="s">
        <v>692</v>
      </c>
      <c r="C55" s="130" t="s">
        <v>742</v>
      </c>
      <c r="D55" s="131" t="s">
        <v>746</v>
      </c>
      <c r="E55" s="132" t="s">
        <v>691</v>
      </c>
      <c r="F55" s="475" t="s">
        <v>808</v>
      </c>
      <c r="G55" s="63">
        <v>39823735</v>
      </c>
      <c r="H55" s="63">
        <v>0</v>
      </c>
      <c r="I55" s="63">
        <v>39823735</v>
      </c>
      <c r="J55" s="608">
        <v>48.4</v>
      </c>
      <c r="K55" s="63">
        <v>19274688</v>
      </c>
      <c r="L55" s="63">
        <v>0</v>
      </c>
      <c r="M55" s="63">
        <v>0</v>
      </c>
      <c r="N55" s="63">
        <v>0</v>
      </c>
      <c r="O55" s="63">
        <v>19274688</v>
      </c>
      <c r="P55" s="63">
        <v>0</v>
      </c>
      <c r="Q55" s="63">
        <v>19274688</v>
      </c>
      <c r="R55" s="63">
        <v>0</v>
      </c>
      <c r="S55" s="63">
        <v>0</v>
      </c>
      <c r="T55" s="63">
        <v>0</v>
      </c>
      <c r="U55" s="63">
        <v>0</v>
      </c>
      <c r="V55" s="63">
        <v>0</v>
      </c>
      <c r="W55" s="63">
        <v>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0</v>
      </c>
      <c r="AE55" s="63">
        <v>0</v>
      </c>
      <c r="AF55" s="63">
        <v>0</v>
      </c>
      <c r="AG55" s="63">
        <v>0</v>
      </c>
      <c r="AH55" s="63">
        <v>-1816728</v>
      </c>
      <c r="AI55" s="63">
        <v>0</v>
      </c>
      <c r="AJ55" s="63">
        <v>-1816728</v>
      </c>
      <c r="AK55" s="63">
        <v>-1889</v>
      </c>
      <c r="AL55" s="63">
        <v>0</v>
      </c>
      <c r="AM55" s="63">
        <v>-1889</v>
      </c>
      <c r="AN55" s="63">
        <v>395221</v>
      </c>
      <c r="AO55" s="63">
        <v>0</v>
      </c>
      <c r="AP55" s="63">
        <v>395221</v>
      </c>
      <c r="AQ55" s="63">
        <v>-1421507</v>
      </c>
      <c r="AR55" s="63">
        <v>0</v>
      </c>
      <c r="AS55" s="63">
        <v>-1421507</v>
      </c>
      <c r="AT55" s="63">
        <v>-1593720</v>
      </c>
      <c r="AU55" s="63">
        <v>0</v>
      </c>
      <c r="AV55" s="63">
        <v>-1593720</v>
      </c>
      <c r="AW55" s="63">
        <v>-9423</v>
      </c>
      <c r="AX55" s="63">
        <v>0</v>
      </c>
      <c r="AY55" s="63">
        <v>-9423</v>
      </c>
      <c r="AZ55" s="63">
        <v>0</v>
      </c>
      <c r="BA55" s="63">
        <v>0</v>
      </c>
      <c r="BB55" s="63">
        <v>0</v>
      </c>
      <c r="BC55" s="63">
        <v>-3024650</v>
      </c>
      <c r="BD55" s="63">
        <v>0</v>
      </c>
      <c r="BE55" s="63">
        <v>-10338</v>
      </c>
      <c r="BF55" s="63">
        <v>0</v>
      </c>
      <c r="BG55" s="63">
        <v>-3034988</v>
      </c>
      <c r="BH55" s="63">
        <v>0</v>
      </c>
      <c r="BI55" s="63">
        <v>-3034988</v>
      </c>
      <c r="BJ55" s="63">
        <v>-1000</v>
      </c>
      <c r="BK55" s="63">
        <v>0</v>
      </c>
      <c r="BL55" s="63">
        <v>-1000</v>
      </c>
      <c r="BM55" s="63">
        <v>-193894</v>
      </c>
      <c r="BN55" s="63">
        <v>0</v>
      </c>
      <c r="BO55" s="63">
        <v>-193894</v>
      </c>
      <c r="BP55" s="63">
        <v>-194894</v>
      </c>
      <c r="BQ55" s="63">
        <v>0</v>
      </c>
      <c r="BR55" s="63">
        <v>0</v>
      </c>
      <c r="BS55" s="63">
        <v>0</v>
      </c>
      <c r="BT55" s="63">
        <v>-194894</v>
      </c>
      <c r="BU55" s="63">
        <v>0</v>
      </c>
      <c r="BV55" s="63">
        <v>-194894</v>
      </c>
      <c r="BW55" s="63">
        <v>-60018</v>
      </c>
      <c r="BX55" s="63">
        <v>0</v>
      </c>
      <c r="BY55" s="63">
        <v>-60018</v>
      </c>
      <c r="BZ55" s="63">
        <v>-39984</v>
      </c>
      <c r="CA55" s="63">
        <v>0</v>
      </c>
      <c r="CB55" s="63">
        <v>-39984</v>
      </c>
      <c r="CC55" s="63">
        <v>-2355</v>
      </c>
      <c r="CD55" s="63">
        <v>0</v>
      </c>
      <c r="CE55" s="63">
        <v>-2355</v>
      </c>
      <c r="CF55" s="63">
        <v>0</v>
      </c>
      <c r="CG55" s="63">
        <v>0</v>
      </c>
      <c r="CH55" s="63">
        <v>0</v>
      </c>
      <c r="CI55" s="63">
        <v>0</v>
      </c>
      <c r="CJ55" s="63">
        <v>0</v>
      </c>
      <c r="CK55" s="63">
        <v>0</v>
      </c>
      <c r="CL55" s="63">
        <v>0</v>
      </c>
      <c r="CM55" s="63">
        <v>0</v>
      </c>
      <c r="CN55" s="63">
        <v>0</v>
      </c>
      <c r="CO55" s="63">
        <v>0</v>
      </c>
      <c r="CP55" s="63">
        <v>0</v>
      </c>
      <c r="CQ55" s="63">
        <v>-102357</v>
      </c>
      <c r="CR55" s="63">
        <v>0</v>
      </c>
      <c r="CS55" s="63">
        <v>0</v>
      </c>
      <c r="CT55" s="63">
        <v>0</v>
      </c>
      <c r="CU55" s="63">
        <v>-102357</v>
      </c>
      <c r="CV55" s="63">
        <v>0</v>
      </c>
      <c r="CW55" s="63">
        <v>-102357</v>
      </c>
      <c r="CX55" s="63">
        <v>0</v>
      </c>
      <c r="CY55" s="63">
        <v>0</v>
      </c>
      <c r="CZ55" s="63">
        <v>0</v>
      </c>
      <c r="DA55" s="63">
        <v>-6122</v>
      </c>
      <c r="DB55" s="63">
        <v>0</v>
      </c>
      <c r="DC55" s="63">
        <v>-6122</v>
      </c>
      <c r="DD55" s="63">
        <v>0</v>
      </c>
      <c r="DE55" s="63">
        <v>0</v>
      </c>
      <c r="DF55" s="63">
        <v>0</v>
      </c>
      <c r="DG55" s="63">
        <v>-6122</v>
      </c>
      <c r="DH55" s="63">
        <v>0</v>
      </c>
      <c r="DI55" s="63">
        <v>0</v>
      </c>
      <c r="DJ55" s="63">
        <v>0</v>
      </c>
      <c r="DK55" s="63">
        <v>-6122</v>
      </c>
      <c r="DL55" s="63">
        <v>0</v>
      </c>
      <c r="DM55" s="63">
        <v>-6122</v>
      </c>
      <c r="DN55" s="63">
        <v>15936327</v>
      </c>
      <c r="DO55" s="63">
        <v>0</v>
      </c>
      <c r="DP55" s="63">
        <v>15936327</v>
      </c>
      <c r="DQ55" s="63"/>
      <c r="DR55" s="585"/>
    </row>
    <row r="56" spans="1:122" x14ac:dyDescent="0.2">
      <c r="A56" s="90">
        <v>49</v>
      </c>
      <c r="B56" s="129" t="s">
        <v>694</v>
      </c>
      <c r="C56" s="130" t="s">
        <v>501</v>
      </c>
      <c r="D56" s="131" t="s">
        <v>746</v>
      </c>
      <c r="E56" s="132" t="s">
        <v>693</v>
      </c>
      <c r="F56" s="475" t="s">
        <v>808</v>
      </c>
      <c r="G56" s="63">
        <v>203850023</v>
      </c>
      <c r="H56" s="63">
        <v>0</v>
      </c>
      <c r="I56" s="63">
        <v>203850023</v>
      </c>
      <c r="J56" s="608">
        <v>48.4</v>
      </c>
      <c r="K56" s="63">
        <v>98663411</v>
      </c>
      <c r="L56" s="63">
        <v>0</v>
      </c>
      <c r="M56" s="63">
        <v>2138467</v>
      </c>
      <c r="N56" s="63">
        <v>0</v>
      </c>
      <c r="O56" s="63">
        <v>100801878</v>
      </c>
      <c r="P56" s="63">
        <v>0</v>
      </c>
      <c r="Q56" s="63">
        <v>100801878</v>
      </c>
      <c r="R56" s="63">
        <v>0</v>
      </c>
      <c r="S56" s="63">
        <v>0</v>
      </c>
      <c r="T56" s="63">
        <v>0</v>
      </c>
      <c r="U56" s="63">
        <v>0</v>
      </c>
      <c r="V56" s="63">
        <v>0</v>
      </c>
      <c r="W56" s="63">
        <v>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0</v>
      </c>
      <c r="AE56" s="63">
        <v>0</v>
      </c>
      <c r="AF56" s="63">
        <v>0</v>
      </c>
      <c r="AG56" s="63">
        <v>0</v>
      </c>
      <c r="AH56" s="63">
        <v>-4774077</v>
      </c>
      <c r="AI56" s="63">
        <v>0</v>
      </c>
      <c r="AJ56" s="63">
        <v>-4774077</v>
      </c>
      <c r="AK56" s="63">
        <v>0</v>
      </c>
      <c r="AL56" s="63">
        <v>0</v>
      </c>
      <c r="AM56" s="63">
        <v>0</v>
      </c>
      <c r="AN56" s="63">
        <v>2250718</v>
      </c>
      <c r="AO56" s="63">
        <v>0</v>
      </c>
      <c r="AP56" s="63">
        <v>2250718</v>
      </c>
      <c r="AQ56" s="63">
        <v>-2523359</v>
      </c>
      <c r="AR56" s="63">
        <v>0</v>
      </c>
      <c r="AS56" s="63">
        <v>-2523359</v>
      </c>
      <c r="AT56" s="63">
        <v>-6275555</v>
      </c>
      <c r="AU56" s="63">
        <v>0</v>
      </c>
      <c r="AV56" s="63">
        <v>-6275555</v>
      </c>
      <c r="AW56" s="63">
        <v>-111507</v>
      </c>
      <c r="AX56" s="63">
        <v>0</v>
      </c>
      <c r="AY56" s="63">
        <v>-111507</v>
      </c>
      <c r="AZ56" s="63">
        <v>-35809</v>
      </c>
      <c r="BA56" s="63">
        <v>0</v>
      </c>
      <c r="BB56" s="63">
        <v>-35809</v>
      </c>
      <c r="BC56" s="63">
        <v>-8946230</v>
      </c>
      <c r="BD56" s="63">
        <v>0</v>
      </c>
      <c r="BE56" s="63">
        <v>-37275</v>
      </c>
      <c r="BF56" s="63">
        <v>0</v>
      </c>
      <c r="BG56" s="63">
        <v>-8983505</v>
      </c>
      <c r="BH56" s="63">
        <v>0</v>
      </c>
      <c r="BI56" s="63">
        <v>-8983505</v>
      </c>
      <c r="BJ56" s="63">
        <v>-387220</v>
      </c>
      <c r="BK56" s="63">
        <v>0</v>
      </c>
      <c r="BL56" s="63">
        <v>-387220</v>
      </c>
      <c r="BM56" s="63">
        <v>-1887186</v>
      </c>
      <c r="BN56" s="63">
        <v>0</v>
      </c>
      <c r="BO56" s="63">
        <v>-1887186</v>
      </c>
      <c r="BP56" s="63">
        <v>-2274406</v>
      </c>
      <c r="BQ56" s="63">
        <v>0</v>
      </c>
      <c r="BR56" s="63">
        <v>-85422</v>
      </c>
      <c r="BS56" s="63">
        <v>0</v>
      </c>
      <c r="BT56" s="63">
        <v>-2359828</v>
      </c>
      <c r="BU56" s="63">
        <v>0</v>
      </c>
      <c r="BV56" s="63">
        <v>-2359828</v>
      </c>
      <c r="BW56" s="63">
        <v>-375842</v>
      </c>
      <c r="BX56" s="63">
        <v>0</v>
      </c>
      <c r="BY56" s="63">
        <v>-375842</v>
      </c>
      <c r="BZ56" s="63">
        <v>-487096</v>
      </c>
      <c r="CA56" s="63">
        <v>0</v>
      </c>
      <c r="CB56" s="63">
        <v>-487096</v>
      </c>
      <c r="CC56" s="63">
        <v>-1645</v>
      </c>
      <c r="CD56" s="63">
        <v>0</v>
      </c>
      <c r="CE56" s="63">
        <v>-1645</v>
      </c>
      <c r="CF56" s="63">
        <v>-18513</v>
      </c>
      <c r="CG56" s="63">
        <v>0</v>
      </c>
      <c r="CH56" s="63">
        <v>-18513</v>
      </c>
      <c r="CI56" s="63">
        <v>-10859</v>
      </c>
      <c r="CJ56" s="63">
        <v>0</v>
      </c>
      <c r="CK56" s="63">
        <v>-10859</v>
      </c>
      <c r="CL56" s="63">
        <v>0</v>
      </c>
      <c r="CM56" s="63">
        <v>0</v>
      </c>
      <c r="CN56" s="63">
        <v>0</v>
      </c>
      <c r="CO56" s="63">
        <v>0</v>
      </c>
      <c r="CP56" s="63">
        <v>0</v>
      </c>
      <c r="CQ56" s="63">
        <v>-893955</v>
      </c>
      <c r="CR56" s="63">
        <v>0</v>
      </c>
      <c r="CS56" s="63">
        <v>0</v>
      </c>
      <c r="CT56" s="63">
        <v>0</v>
      </c>
      <c r="CU56" s="63">
        <v>-893955</v>
      </c>
      <c r="CV56" s="63">
        <v>0</v>
      </c>
      <c r="CW56" s="63">
        <v>-893955</v>
      </c>
      <c r="CX56" s="63">
        <v>-51191</v>
      </c>
      <c r="CY56" s="63">
        <v>0</v>
      </c>
      <c r="CZ56" s="63">
        <v>-51191</v>
      </c>
      <c r="DA56" s="63">
        <v>-42245</v>
      </c>
      <c r="DB56" s="63">
        <v>0</v>
      </c>
      <c r="DC56" s="63">
        <v>-42245</v>
      </c>
      <c r="DD56" s="63">
        <v>-13942</v>
      </c>
      <c r="DE56" s="63">
        <v>0</v>
      </c>
      <c r="DF56" s="63">
        <v>-13942</v>
      </c>
      <c r="DG56" s="63">
        <v>-107378</v>
      </c>
      <c r="DH56" s="63">
        <v>0</v>
      </c>
      <c r="DI56" s="63">
        <v>0</v>
      </c>
      <c r="DJ56" s="63">
        <v>0</v>
      </c>
      <c r="DK56" s="63">
        <v>-107378</v>
      </c>
      <c r="DL56" s="63">
        <v>0</v>
      </c>
      <c r="DM56" s="63">
        <v>-107378</v>
      </c>
      <c r="DN56" s="63">
        <v>88457212</v>
      </c>
      <c r="DO56" s="63">
        <v>0</v>
      </c>
      <c r="DP56" s="63">
        <v>88457212</v>
      </c>
      <c r="DQ56" s="63"/>
      <c r="DR56" s="585"/>
    </row>
    <row r="57" spans="1:122" x14ac:dyDescent="0.2">
      <c r="A57" s="90">
        <v>50</v>
      </c>
      <c r="B57" s="129" t="s">
        <v>696</v>
      </c>
      <c r="C57" s="130" t="s">
        <v>742</v>
      </c>
      <c r="D57" s="131" t="s">
        <v>745</v>
      </c>
      <c r="E57" s="132" t="s">
        <v>695</v>
      </c>
      <c r="F57" s="475" t="s">
        <v>808</v>
      </c>
      <c r="G57" s="63">
        <v>113989677</v>
      </c>
      <c r="H57" s="63">
        <v>0</v>
      </c>
      <c r="I57" s="63">
        <v>113989677</v>
      </c>
      <c r="J57" s="608">
        <v>48.4</v>
      </c>
      <c r="K57" s="63">
        <v>55171004</v>
      </c>
      <c r="L57" s="63">
        <v>0</v>
      </c>
      <c r="M57" s="63">
        <v>500000</v>
      </c>
      <c r="N57" s="63">
        <v>0</v>
      </c>
      <c r="O57" s="63">
        <v>55671004</v>
      </c>
      <c r="P57" s="63">
        <v>0</v>
      </c>
      <c r="Q57" s="63">
        <v>55671004</v>
      </c>
      <c r="R57" s="63">
        <v>0</v>
      </c>
      <c r="S57" s="63">
        <v>0</v>
      </c>
      <c r="T57" s="63">
        <v>0</v>
      </c>
      <c r="U57" s="63">
        <v>0</v>
      </c>
      <c r="V57" s="63">
        <v>0</v>
      </c>
      <c r="W57" s="63">
        <v>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0</v>
      </c>
      <c r="AE57" s="63">
        <v>0</v>
      </c>
      <c r="AF57" s="63">
        <v>0</v>
      </c>
      <c r="AG57" s="63">
        <v>0</v>
      </c>
      <c r="AH57" s="63">
        <v>-3239671</v>
      </c>
      <c r="AI57" s="63">
        <v>0</v>
      </c>
      <c r="AJ57" s="63">
        <v>-3239671</v>
      </c>
      <c r="AK57" s="63">
        <v>-12506</v>
      </c>
      <c r="AL57" s="63">
        <v>0</v>
      </c>
      <c r="AM57" s="63">
        <v>-12506</v>
      </c>
      <c r="AN57" s="63">
        <v>1232084</v>
      </c>
      <c r="AO57" s="63">
        <v>0</v>
      </c>
      <c r="AP57" s="63">
        <v>1232084</v>
      </c>
      <c r="AQ57" s="63">
        <v>-2007587</v>
      </c>
      <c r="AR57" s="63">
        <v>0</v>
      </c>
      <c r="AS57" s="63">
        <v>-2007587</v>
      </c>
      <c r="AT57" s="63">
        <v>-6085684</v>
      </c>
      <c r="AU57" s="63">
        <v>0</v>
      </c>
      <c r="AV57" s="63">
        <v>-6085684</v>
      </c>
      <c r="AW57" s="63">
        <v>-19820</v>
      </c>
      <c r="AX57" s="63">
        <v>0</v>
      </c>
      <c r="AY57" s="63">
        <v>-19820</v>
      </c>
      <c r="AZ57" s="63">
        <v>-1665</v>
      </c>
      <c r="BA57" s="63">
        <v>0</v>
      </c>
      <c r="BB57" s="63">
        <v>-1665</v>
      </c>
      <c r="BC57" s="63">
        <v>-8114756</v>
      </c>
      <c r="BD57" s="63">
        <v>0</v>
      </c>
      <c r="BE57" s="63">
        <v>-100000</v>
      </c>
      <c r="BF57" s="63">
        <v>0</v>
      </c>
      <c r="BG57" s="63">
        <v>-8214756</v>
      </c>
      <c r="BH57" s="63">
        <v>0</v>
      </c>
      <c r="BI57" s="63">
        <v>-8214756</v>
      </c>
      <c r="BJ57" s="63">
        <v>-40000</v>
      </c>
      <c r="BK57" s="63">
        <v>0</v>
      </c>
      <c r="BL57" s="63">
        <v>-40000</v>
      </c>
      <c r="BM57" s="63">
        <v>-605063</v>
      </c>
      <c r="BN57" s="63">
        <v>0</v>
      </c>
      <c r="BO57" s="63">
        <v>-605063</v>
      </c>
      <c r="BP57" s="63">
        <v>-645063</v>
      </c>
      <c r="BQ57" s="63">
        <v>0</v>
      </c>
      <c r="BR57" s="63">
        <v>-394937</v>
      </c>
      <c r="BS57" s="63">
        <v>0</v>
      </c>
      <c r="BT57" s="63">
        <v>-1040000</v>
      </c>
      <c r="BU57" s="63">
        <v>0</v>
      </c>
      <c r="BV57" s="63">
        <v>-1040000</v>
      </c>
      <c r="BW57" s="63">
        <v>-66448</v>
      </c>
      <c r="BX57" s="63">
        <v>0</v>
      </c>
      <c r="BY57" s="63">
        <v>-66448</v>
      </c>
      <c r="BZ57" s="63">
        <v>-195358</v>
      </c>
      <c r="CA57" s="63">
        <v>0</v>
      </c>
      <c r="CB57" s="63">
        <v>-195358</v>
      </c>
      <c r="CC57" s="63">
        <v>-425</v>
      </c>
      <c r="CD57" s="63">
        <v>0</v>
      </c>
      <c r="CE57" s="63">
        <v>-425</v>
      </c>
      <c r="CF57" s="63">
        <v>0</v>
      </c>
      <c r="CG57" s="63">
        <v>0</v>
      </c>
      <c r="CH57" s="63">
        <v>0</v>
      </c>
      <c r="CI57" s="63">
        <v>0</v>
      </c>
      <c r="CJ57" s="63">
        <v>0</v>
      </c>
      <c r="CK57" s="63">
        <v>0</v>
      </c>
      <c r="CL57" s="63">
        <v>-26904</v>
      </c>
      <c r="CM57" s="63">
        <v>0</v>
      </c>
      <c r="CN57" s="63">
        <v>-26904</v>
      </c>
      <c r="CO57" s="63">
        <v>0</v>
      </c>
      <c r="CP57" s="63">
        <v>0</v>
      </c>
      <c r="CQ57" s="63">
        <v>-289135</v>
      </c>
      <c r="CR57" s="63">
        <v>0</v>
      </c>
      <c r="CS57" s="63">
        <v>-10000</v>
      </c>
      <c r="CT57" s="63">
        <v>0</v>
      </c>
      <c r="CU57" s="63">
        <v>-299135</v>
      </c>
      <c r="CV57" s="63">
        <v>0</v>
      </c>
      <c r="CW57" s="63">
        <v>-299135</v>
      </c>
      <c r="CX57" s="63">
        <v>-50000</v>
      </c>
      <c r="CY57" s="63">
        <v>0</v>
      </c>
      <c r="CZ57" s="63">
        <v>-50000</v>
      </c>
      <c r="DA57" s="63">
        <v>-23500</v>
      </c>
      <c r="DB57" s="63">
        <v>0</v>
      </c>
      <c r="DC57" s="63">
        <v>-23500</v>
      </c>
      <c r="DD57" s="63">
        <v>-2500</v>
      </c>
      <c r="DE57" s="63">
        <v>0</v>
      </c>
      <c r="DF57" s="63">
        <v>-2500</v>
      </c>
      <c r="DG57" s="63">
        <v>-76000</v>
      </c>
      <c r="DH57" s="63">
        <v>0</v>
      </c>
      <c r="DI57" s="63">
        <v>-8000</v>
      </c>
      <c r="DJ57" s="63">
        <v>0</v>
      </c>
      <c r="DK57" s="63">
        <v>-84000</v>
      </c>
      <c r="DL57" s="63">
        <v>0</v>
      </c>
      <c r="DM57" s="63">
        <v>-84000</v>
      </c>
      <c r="DN57" s="63">
        <v>46033113</v>
      </c>
      <c r="DO57" s="63">
        <v>0</v>
      </c>
      <c r="DP57" s="63">
        <v>46033113</v>
      </c>
      <c r="DQ57" s="63"/>
      <c r="DR57" s="585"/>
    </row>
    <row r="58" spans="1:122" x14ac:dyDescent="0.2">
      <c r="A58" s="90">
        <v>51</v>
      </c>
      <c r="B58" s="129" t="s">
        <v>698</v>
      </c>
      <c r="C58" s="130" t="s">
        <v>742</v>
      </c>
      <c r="D58" s="131" t="s">
        <v>746</v>
      </c>
      <c r="E58" s="132" t="s">
        <v>697</v>
      </c>
      <c r="F58" s="475" t="s">
        <v>808</v>
      </c>
      <c r="G58" s="63">
        <v>186463346</v>
      </c>
      <c r="H58" s="63">
        <v>0</v>
      </c>
      <c r="I58" s="63">
        <v>186463346</v>
      </c>
      <c r="J58" s="608">
        <v>48.4</v>
      </c>
      <c r="K58" s="63">
        <v>90248259</v>
      </c>
      <c r="L58" s="63">
        <v>0</v>
      </c>
      <c r="M58" s="63">
        <v>0</v>
      </c>
      <c r="N58" s="63">
        <v>0</v>
      </c>
      <c r="O58" s="63">
        <v>90248259</v>
      </c>
      <c r="P58" s="63">
        <v>0</v>
      </c>
      <c r="Q58" s="63">
        <v>90248259</v>
      </c>
      <c r="R58" s="63">
        <v>0</v>
      </c>
      <c r="S58" s="63">
        <v>0</v>
      </c>
      <c r="T58" s="63">
        <v>0</v>
      </c>
      <c r="U58" s="63">
        <v>0</v>
      </c>
      <c r="V58" s="63">
        <v>0</v>
      </c>
      <c r="W58" s="63">
        <v>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0</v>
      </c>
      <c r="AE58" s="63">
        <v>0</v>
      </c>
      <c r="AF58" s="63">
        <v>0</v>
      </c>
      <c r="AG58" s="63">
        <v>0</v>
      </c>
      <c r="AH58" s="63">
        <v>-2752820</v>
      </c>
      <c r="AI58" s="63">
        <v>0</v>
      </c>
      <c r="AJ58" s="63">
        <v>-2752820</v>
      </c>
      <c r="AK58" s="63">
        <v>0</v>
      </c>
      <c r="AL58" s="63">
        <v>0</v>
      </c>
      <c r="AM58" s="63">
        <v>0</v>
      </c>
      <c r="AN58" s="63">
        <v>2172275</v>
      </c>
      <c r="AO58" s="63">
        <v>0</v>
      </c>
      <c r="AP58" s="63">
        <v>2172275</v>
      </c>
      <c r="AQ58" s="63">
        <v>-580545</v>
      </c>
      <c r="AR58" s="63">
        <v>0</v>
      </c>
      <c r="AS58" s="63">
        <v>-580545</v>
      </c>
      <c r="AT58" s="63">
        <v>-4641843</v>
      </c>
      <c r="AU58" s="63">
        <v>0</v>
      </c>
      <c r="AV58" s="63">
        <v>-4641843</v>
      </c>
      <c r="AW58" s="63">
        <v>-33796</v>
      </c>
      <c r="AX58" s="63">
        <v>0</v>
      </c>
      <c r="AY58" s="63">
        <v>-33796</v>
      </c>
      <c r="AZ58" s="63">
        <v>-8710</v>
      </c>
      <c r="BA58" s="63">
        <v>0</v>
      </c>
      <c r="BB58" s="63">
        <v>-8710</v>
      </c>
      <c r="BC58" s="63">
        <v>-5264894</v>
      </c>
      <c r="BD58" s="63">
        <v>0</v>
      </c>
      <c r="BE58" s="63">
        <v>0</v>
      </c>
      <c r="BF58" s="63">
        <v>0</v>
      </c>
      <c r="BG58" s="63">
        <v>-5264894</v>
      </c>
      <c r="BH58" s="63">
        <v>0</v>
      </c>
      <c r="BI58" s="63">
        <v>-5264894</v>
      </c>
      <c r="BJ58" s="63">
        <v>0</v>
      </c>
      <c r="BK58" s="63">
        <v>0</v>
      </c>
      <c r="BL58" s="63">
        <v>0</v>
      </c>
      <c r="BM58" s="63">
        <v>-1717175</v>
      </c>
      <c r="BN58" s="63">
        <v>0</v>
      </c>
      <c r="BO58" s="63">
        <v>-1717175</v>
      </c>
      <c r="BP58" s="63">
        <v>-1717175</v>
      </c>
      <c r="BQ58" s="63">
        <v>0</v>
      </c>
      <c r="BR58" s="63">
        <v>-1582825</v>
      </c>
      <c r="BS58" s="63">
        <v>0</v>
      </c>
      <c r="BT58" s="63">
        <v>-3300000</v>
      </c>
      <c r="BU58" s="63">
        <v>0</v>
      </c>
      <c r="BV58" s="63">
        <v>-3300000</v>
      </c>
      <c r="BW58" s="63">
        <v>-6517</v>
      </c>
      <c r="BX58" s="63">
        <v>0</v>
      </c>
      <c r="BY58" s="63">
        <v>-6517</v>
      </c>
      <c r="BZ58" s="63">
        <v>-103035</v>
      </c>
      <c r="CA58" s="63">
        <v>0</v>
      </c>
      <c r="CB58" s="63">
        <v>-103035</v>
      </c>
      <c r="CC58" s="63">
        <v>0</v>
      </c>
      <c r="CD58" s="63">
        <v>0</v>
      </c>
      <c r="CE58" s="63">
        <v>0</v>
      </c>
      <c r="CF58" s="63">
        <v>-1588</v>
      </c>
      <c r="CG58" s="63">
        <v>0</v>
      </c>
      <c r="CH58" s="63">
        <v>-1588</v>
      </c>
      <c r="CI58" s="63">
        <v>-8308</v>
      </c>
      <c r="CJ58" s="63">
        <v>0</v>
      </c>
      <c r="CK58" s="63">
        <v>-8308</v>
      </c>
      <c r="CL58" s="63">
        <v>0</v>
      </c>
      <c r="CM58" s="63">
        <v>0</v>
      </c>
      <c r="CN58" s="63">
        <v>0</v>
      </c>
      <c r="CO58" s="63">
        <v>0</v>
      </c>
      <c r="CP58" s="63">
        <v>0</v>
      </c>
      <c r="CQ58" s="63">
        <v>-119448</v>
      </c>
      <c r="CR58" s="63">
        <v>0</v>
      </c>
      <c r="CS58" s="63">
        <v>0</v>
      </c>
      <c r="CT58" s="63">
        <v>0</v>
      </c>
      <c r="CU58" s="63">
        <v>-119448</v>
      </c>
      <c r="CV58" s="63">
        <v>0</v>
      </c>
      <c r="CW58" s="63">
        <v>-119448</v>
      </c>
      <c r="CX58" s="63">
        <v>-2087</v>
      </c>
      <c r="CY58" s="63">
        <v>0</v>
      </c>
      <c r="CZ58" s="63">
        <v>-2087</v>
      </c>
      <c r="DA58" s="63">
        <v>-37197</v>
      </c>
      <c r="DB58" s="63">
        <v>0</v>
      </c>
      <c r="DC58" s="63">
        <v>-37197</v>
      </c>
      <c r="DD58" s="63">
        <v>-17116</v>
      </c>
      <c r="DE58" s="63">
        <v>0</v>
      </c>
      <c r="DF58" s="63">
        <v>-17116</v>
      </c>
      <c r="DG58" s="63">
        <v>-56400</v>
      </c>
      <c r="DH58" s="63">
        <v>0</v>
      </c>
      <c r="DI58" s="63">
        <v>0</v>
      </c>
      <c r="DJ58" s="63">
        <v>0</v>
      </c>
      <c r="DK58" s="63">
        <v>-56400</v>
      </c>
      <c r="DL58" s="63">
        <v>0</v>
      </c>
      <c r="DM58" s="63">
        <v>-56400</v>
      </c>
      <c r="DN58" s="63">
        <v>81507517</v>
      </c>
      <c r="DO58" s="63">
        <v>0</v>
      </c>
      <c r="DP58" s="63">
        <v>81507517</v>
      </c>
      <c r="DQ58" s="63"/>
      <c r="DR58" s="585"/>
    </row>
    <row r="59" spans="1:122" x14ac:dyDescent="0.2">
      <c r="A59" s="90">
        <v>52</v>
      </c>
      <c r="B59" s="129" t="s">
        <v>700</v>
      </c>
      <c r="C59" s="130" t="s">
        <v>742</v>
      </c>
      <c r="D59" s="131" t="s">
        <v>751</v>
      </c>
      <c r="E59" s="132" t="s">
        <v>699</v>
      </c>
      <c r="F59" s="475" t="s">
        <v>808</v>
      </c>
      <c r="G59" s="63">
        <v>133101935</v>
      </c>
      <c r="H59" s="63">
        <v>0</v>
      </c>
      <c r="I59" s="63">
        <v>133101935</v>
      </c>
      <c r="J59" s="608">
        <v>48.4</v>
      </c>
      <c r="K59" s="63">
        <v>64421337</v>
      </c>
      <c r="L59" s="63">
        <v>0</v>
      </c>
      <c r="M59" s="63">
        <v>-500000</v>
      </c>
      <c r="N59" s="63">
        <v>0</v>
      </c>
      <c r="O59" s="63">
        <v>63921337</v>
      </c>
      <c r="P59" s="63">
        <v>0</v>
      </c>
      <c r="Q59" s="63">
        <v>63921337</v>
      </c>
      <c r="R59" s="63">
        <v>0</v>
      </c>
      <c r="S59" s="63">
        <v>0</v>
      </c>
      <c r="T59" s="63">
        <v>0</v>
      </c>
      <c r="U59" s="63">
        <v>0</v>
      </c>
      <c r="V59" s="63">
        <v>0</v>
      </c>
      <c r="W59" s="63">
        <v>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0</v>
      </c>
      <c r="AE59" s="63">
        <v>0</v>
      </c>
      <c r="AF59" s="63">
        <v>0</v>
      </c>
      <c r="AG59" s="63">
        <v>0</v>
      </c>
      <c r="AH59" s="63">
        <v>-2362657</v>
      </c>
      <c r="AI59" s="63">
        <v>0</v>
      </c>
      <c r="AJ59" s="63">
        <v>-2362657</v>
      </c>
      <c r="AK59" s="63">
        <v>-500</v>
      </c>
      <c r="AL59" s="63">
        <v>0</v>
      </c>
      <c r="AM59" s="63">
        <v>-500</v>
      </c>
      <c r="AN59" s="63">
        <v>1541722</v>
      </c>
      <c r="AO59" s="63">
        <v>0</v>
      </c>
      <c r="AP59" s="63">
        <v>1541722</v>
      </c>
      <c r="AQ59" s="63">
        <v>-820935</v>
      </c>
      <c r="AR59" s="63">
        <v>0</v>
      </c>
      <c r="AS59" s="63">
        <v>-820935</v>
      </c>
      <c r="AT59" s="63">
        <v>-4089071</v>
      </c>
      <c r="AU59" s="63">
        <v>0</v>
      </c>
      <c r="AV59" s="63">
        <v>-4089071</v>
      </c>
      <c r="AW59" s="63">
        <v>-29939</v>
      </c>
      <c r="AX59" s="63">
        <v>0</v>
      </c>
      <c r="AY59" s="63">
        <v>-29939</v>
      </c>
      <c r="AZ59" s="63">
        <v>0</v>
      </c>
      <c r="BA59" s="63">
        <v>0</v>
      </c>
      <c r="BB59" s="63">
        <v>0</v>
      </c>
      <c r="BC59" s="63">
        <v>-4939945</v>
      </c>
      <c r="BD59" s="63">
        <v>0</v>
      </c>
      <c r="BE59" s="63">
        <v>-75000</v>
      </c>
      <c r="BF59" s="63">
        <v>0</v>
      </c>
      <c r="BG59" s="63">
        <v>-5014945</v>
      </c>
      <c r="BH59" s="63">
        <v>0</v>
      </c>
      <c r="BI59" s="63">
        <v>-5014945</v>
      </c>
      <c r="BJ59" s="63">
        <v>-40000</v>
      </c>
      <c r="BK59" s="63">
        <v>0</v>
      </c>
      <c r="BL59" s="63">
        <v>-40000</v>
      </c>
      <c r="BM59" s="63">
        <v>-1487131</v>
      </c>
      <c r="BN59" s="63">
        <v>0</v>
      </c>
      <c r="BO59" s="63">
        <v>-1487131</v>
      </c>
      <c r="BP59" s="63">
        <v>-1527131</v>
      </c>
      <c r="BQ59" s="63">
        <v>0</v>
      </c>
      <c r="BR59" s="63">
        <v>-100000</v>
      </c>
      <c r="BS59" s="63">
        <v>0</v>
      </c>
      <c r="BT59" s="63">
        <v>-1627131</v>
      </c>
      <c r="BU59" s="63">
        <v>0</v>
      </c>
      <c r="BV59" s="63">
        <v>-1627131</v>
      </c>
      <c r="BW59" s="63">
        <v>-13928</v>
      </c>
      <c r="BX59" s="63">
        <v>0</v>
      </c>
      <c r="BY59" s="63">
        <v>-13928</v>
      </c>
      <c r="BZ59" s="63">
        <v>-13164</v>
      </c>
      <c r="CA59" s="63">
        <v>0</v>
      </c>
      <c r="CB59" s="63">
        <v>-13164</v>
      </c>
      <c r="CC59" s="63">
        <v>0</v>
      </c>
      <c r="CD59" s="63">
        <v>0</v>
      </c>
      <c r="CE59" s="63">
        <v>0</v>
      </c>
      <c r="CF59" s="63">
        <v>0</v>
      </c>
      <c r="CG59" s="63">
        <v>0</v>
      </c>
      <c r="CH59" s="63">
        <v>0</v>
      </c>
      <c r="CI59" s="63">
        <v>0</v>
      </c>
      <c r="CJ59" s="63">
        <v>0</v>
      </c>
      <c r="CK59" s="63">
        <v>0</v>
      </c>
      <c r="CL59" s="63">
        <v>0</v>
      </c>
      <c r="CM59" s="63">
        <v>0</v>
      </c>
      <c r="CN59" s="63">
        <v>0</v>
      </c>
      <c r="CO59" s="63">
        <v>0</v>
      </c>
      <c r="CP59" s="63">
        <v>0</v>
      </c>
      <c r="CQ59" s="63">
        <v>-27092</v>
      </c>
      <c r="CR59" s="63">
        <v>0</v>
      </c>
      <c r="CS59" s="63">
        <v>0</v>
      </c>
      <c r="CT59" s="63">
        <v>0</v>
      </c>
      <c r="CU59" s="63">
        <v>-27092</v>
      </c>
      <c r="CV59" s="63">
        <v>0</v>
      </c>
      <c r="CW59" s="63">
        <v>-27092</v>
      </c>
      <c r="CX59" s="63">
        <v>0</v>
      </c>
      <c r="CY59" s="63">
        <v>0</v>
      </c>
      <c r="CZ59" s="63">
        <v>0</v>
      </c>
      <c r="DA59" s="63">
        <v>-15000</v>
      </c>
      <c r="DB59" s="63">
        <v>0</v>
      </c>
      <c r="DC59" s="63">
        <v>-15000</v>
      </c>
      <c r="DD59" s="63">
        <v>-811</v>
      </c>
      <c r="DE59" s="63">
        <v>0</v>
      </c>
      <c r="DF59" s="63">
        <v>-811</v>
      </c>
      <c r="DG59" s="63">
        <v>-15811</v>
      </c>
      <c r="DH59" s="63">
        <v>0</v>
      </c>
      <c r="DI59" s="63">
        <v>0</v>
      </c>
      <c r="DJ59" s="63">
        <v>0</v>
      </c>
      <c r="DK59" s="63">
        <v>-15811</v>
      </c>
      <c r="DL59" s="63">
        <v>0</v>
      </c>
      <c r="DM59" s="63">
        <v>-15811</v>
      </c>
      <c r="DN59" s="63">
        <v>57236358</v>
      </c>
      <c r="DO59" s="63">
        <v>0</v>
      </c>
      <c r="DP59" s="63">
        <v>57236358</v>
      </c>
      <c r="DQ59" s="63"/>
      <c r="DR59" s="585"/>
    </row>
    <row r="60" spans="1:122" x14ac:dyDescent="0.2">
      <c r="A60" s="90">
        <v>53</v>
      </c>
      <c r="B60" s="129" t="s">
        <v>702</v>
      </c>
      <c r="C60" s="130" t="s">
        <v>742</v>
      </c>
      <c r="D60" s="131" t="s">
        <v>743</v>
      </c>
      <c r="E60" s="132" t="s">
        <v>701</v>
      </c>
      <c r="F60" s="475" t="s">
        <v>808</v>
      </c>
      <c r="G60" s="63">
        <v>172066867</v>
      </c>
      <c r="H60" s="63">
        <v>0</v>
      </c>
      <c r="I60" s="63">
        <v>172066867</v>
      </c>
      <c r="J60" s="608">
        <v>48.4</v>
      </c>
      <c r="K60" s="63">
        <v>83280364</v>
      </c>
      <c r="L60" s="63">
        <v>0</v>
      </c>
      <c r="M60" s="63">
        <v>1804000</v>
      </c>
      <c r="N60" s="63">
        <v>0</v>
      </c>
      <c r="O60" s="63">
        <v>85084364</v>
      </c>
      <c r="P60" s="63">
        <v>0</v>
      </c>
      <c r="Q60" s="63">
        <v>85084364</v>
      </c>
      <c r="R60" s="63">
        <v>0</v>
      </c>
      <c r="S60" s="63">
        <v>0</v>
      </c>
      <c r="T60" s="63">
        <v>0</v>
      </c>
      <c r="U60" s="63">
        <v>0</v>
      </c>
      <c r="V60" s="63">
        <v>0</v>
      </c>
      <c r="W60" s="63">
        <v>0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0</v>
      </c>
      <c r="AE60" s="63">
        <v>0</v>
      </c>
      <c r="AF60" s="63">
        <v>0</v>
      </c>
      <c r="AG60" s="63">
        <v>0</v>
      </c>
      <c r="AH60" s="63">
        <v>-2267549</v>
      </c>
      <c r="AI60" s="63">
        <v>0</v>
      </c>
      <c r="AJ60" s="63">
        <v>-2267549</v>
      </c>
      <c r="AK60" s="63">
        <v>0</v>
      </c>
      <c r="AL60" s="63">
        <v>0</v>
      </c>
      <c r="AM60" s="63">
        <v>0</v>
      </c>
      <c r="AN60" s="63">
        <v>2000681</v>
      </c>
      <c r="AO60" s="63">
        <v>0</v>
      </c>
      <c r="AP60" s="63">
        <v>2000681</v>
      </c>
      <c r="AQ60" s="63">
        <v>-266868</v>
      </c>
      <c r="AR60" s="63">
        <v>0</v>
      </c>
      <c r="AS60" s="63">
        <v>-266868</v>
      </c>
      <c r="AT60" s="63">
        <v>-3059916</v>
      </c>
      <c r="AU60" s="63">
        <v>0</v>
      </c>
      <c r="AV60" s="63">
        <v>-3059916</v>
      </c>
      <c r="AW60" s="63">
        <v>-65604</v>
      </c>
      <c r="AX60" s="63">
        <v>0</v>
      </c>
      <c r="AY60" s="63">
        <v>-65604</v>
      </c>
      <c r="AZ60" s="63">
        <v>-46525</v>
      </c>
      <c r="BA60" s="63">
        <v>0</v>
      </c>
      <c r="BB60" s="63">
        <v>-46525</v>
      </c>
      <c r="BC60" s="63">
        <v>-3438913</v>
      </c>
      <c r="BD60" s="63">
        <v>0</v>
      </c>
      <c r="BE60" s="63">
        <v>-144608</v>
      </c>
      <c r="BF60" s="63">
        <v>0</v>
      </c>
      <c r="BG60" s="63">
        <v>-3583521</v>
      </c>
      <c r="BH60" s="63">
        <v>0</v>
      </c>
      <c r="BI60" s="63">
        <v>-3583521</v>
      </c>
      <c r="BJ60" s="63">
        <v>0</v>
      </c>
      <c r="BK60" s="63">
        <v>0</v>
      </c>
      <c r="BL60" s="63">
        <v>0</v>
      </c>
      <c r="BM60" s="63">
        <v>-1539003</v>
      </c>
      <c r="BN60" s="63">
        <v>0</v>
      </c>
      <c r="BO60" s="63">
        <v>-1539003</v>
      </c>
      <c r="BP60" s="63">
        <v>-1539003</v>
      </c>
      <c r="BQ60" s="63">
        <v>0</v>
      </c>
      <c r="BR60" s="63">
        <v>-712508</v>
      </c>
      <c r="BS60" s="63">
        <v>0</v>
      </c>
      <c r="BT60" s="63">
        <v>-2251511</v>
      </c>
      <c r="BU60" s="63">
        <v>0</v>
      </c>
      <c r="BV60" s="63">
        <v>-2251511</v>
      </c>
      <c r="BW60" s="63">
        <v>-29714</v>
      </c>
      <c r="BX60" s="63">
        <v>0</v>
      </c>
      <c r="BY60" s="63">
        <v>-29714</v>
      </c>
      <c r="BZ60" s="63">
        <v>-57903</v>
      </c>
      <c r="CA60" s="63">
        <v>0</v>
      </c>
      <c r="CB60" s="63">
        <v>-57903</v>
      </c>
      <c r="CC60" s="63">
        <v>0</v>
      </c>
      <c r="CD60" s="63">
        <v>0</v>
      </c>
      <c r="CE60" s="63">
        <v>0</v>
      </c>
      <c r="CF60" s="63">
        <v>-4249</v>
      </c>
      <c r="CG60" s="63">
        <v>0</v>
      </c>
      <c r="CH60" s="63">
        <v>-4249</v>
      </c>
      <c r="CI60" s="63">
        <v>-5395</v>
      </c>
      <c r="CJ60" s="63">
        <v>0</v>
      </c>
      <c r="CK60" s="63">
        <v>-5395</v>
      </c>
      <c r="CL60" s="63">
        <v>0</v>
      </c>
      <c r="CM60" s="63">
        <v>0</v>
      </c>
      <c r="CN60" s="63">
        <v>0</v>
      </c>
      <c r="CO60" s="63">
        <v>0</v>
      </c>
      <c r="CP60" s="63">
        <v>0</v>
      </c>
      <c r="CQ60" s="63">
        <v>-97261</v>
      </c>
      <c r="CR60" s="63">
        <v>0</v>
      </c>
      <c r="CS60" s="63">
        <v>0</v>
      </c>
      <c r="CT60" s="63">
        <v>0</v>
      </c>
      <c r="CU60" s="63">
        <v>-97261</v>
      </c>
      <c r="CV60" s="63">
        <v>0</v>
      </c>
      <c r="CW60" s="63">
        <v>-97261</v>
      </c>
      <c r="CX60" s="63">
        <v>0</v>
      </c>
      <c r="CY60" s="63">
        <v>0</v>
      </c>
      <c r="CZ60" s="63">
        <v>0</v>
      </c>
      <c r="DA60" s="63">
        <v>-29847</v>
      </c>
      <c r="DB60" s="63">
        <v>0</v>
      </c>
      <c r="DC60" s="63">
        <v>-29847</v>
      </c>
      <c r="DD60" s="63">
        <v>-2707</v>
      </c>
      <c r="DE60" s="63">
        <v>0</v>
      </c>
      <c r="DF60" s="63">
        <v>-2707</v>
      </c>
      <c r="DG60" s="63">
        <v>-32554</v>
      </c>
      <c r="DH60" s="63">
        <v>0</v>
      </c>
      <c r="DI60" s="63">
        <v>0</v>
      </c>
      <c r="DJ60" s="63">
        <v>0</v>
      </c>
      <c r="DK60" s="63">
        <v>-32554</v>
      </c>
      <c r="DL60" s="63">
        <v>0</v>
      </c>
      <c r="DM60" s="63">
        <v>-32554</v>
      </c>
      <c r="DN60" s="63">
        <v>79119517</v>
      </c>
      <c r="DO60" s="63">
        <v>0</v>
      </c>
      <c r="DP60" s="63">
        <v>79119517</v>
      </c>
      <c r="DQ60" s="63"/>
      <c r="DR60" s="585"/>
    </row>
    <row r="61" spans="1:122" x14ac:dyDescent="0.2">
      <c r="A61" s="90">
        <v>54</v>
      </c>
      <c r="B61" s="129" t="s">
        <v>704</v>
      </c>
      <c r="C61" s="130" t="s">
        <v>501</v>
      </c>
      <c r="D61" s="131" t="s">
        <v>744</v>
      </c>
      <c r="E61" s="132" t="s">
        <v>703</v>
      </c>
      <c r="F61" s="475" t="s">
        <v>808</v>
      </c>
      <c r="G61" s="63">
        <v>335636402</v>
      </c>
      <c r="H61" s="63">
        <v>7053000</v>
      </c>
      <c r="I61" s="63">
        <v>342689402</v>
      </c>
      <c r="J61" s="608">
        <v>48.4</v>
      </c>
      <c r="K61" s="63">
        <v>162448019</v>
      </c>
      <c r="L61" s="63">
        <v>3413652</v>
      </c>
      <c r="M61" s="63">
        <v>1114420</v>
      </c>
      <c r="N61" s="63">
        <v>-96800</v>
      </c>
      <c r="O61" s="63">
        <v>163562439</v>
      </c>
      <c r="P61" s="63">
        <v>3316852</v>
      </c>
      <c r="Q61" s="63">
        <v>166879291</v>
      </c>
      <c r="R61" s="63">
        <v>0</v>
      </c>
      <c r="S61" s="63">
        <v>0</v>
      </c>
      <c r="T61" s="63">
        <v>0</v>
      </c>
      <c r="U61" s="63">
        <v>0</v>
      </c>
      <c r="V61" s="63">
        <v>0</v>
      </c>
      <c r="W61" s="63">
        <v>0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0</v>
      </c>
      <c r="AE61" s="63">
        <v>0</v>
      </c>
      <c r="AF61" s="63">
        <v>0</v>
      </c>
      <c r="AG61" s="63">
        <v>0</v>
      </c>
      <c r="AH61" s="63">
        <v>-8969267</v>
      </c>
      <c r="AI61" s="63">
        <v>-23106</v>
      </c>
      <c r="AJ61" s="63">
        <v>-8992373</v>
      </c>
      <c r="AK61" s="63">
        <v>-47127</v>
      </c>
      <c r="AL61" s="63">
        <v>0</v>
      </c>
      <c r="AM61" s="63">
        <v>-47127</v>
      </c>
      <c r="AN61" s="63">
        <v>3756131</v>
      </c>
      <c r="AO61" s="63">
        <v>0</v>
      </c>
      <c r="AP61" s="63">
        <v>3756131</v>
      </c>
      <c r="AQ61" s="63">
        <v>-5213136</v>
      </c>
      <c r="AR61" s="63">
        <v>-23106</v>
      </c>
      <c r="AS61" s="63">
        <v>-5236242</v>
      </c>
      <c r="AT61" s="63">
        <v>-6733888</v>
      </c>
      <c r="AU61" s="63">
        <v>-55370</v>
      </c>
      <c r="AV61" s="63">
        <v>-6789258</v>
      </c>
      <c r="AW61" s="63">
        <v>-103903</v>
      </c>
      <c r="AX61" s="63">
        <v>0</v>
      </c>
      <c r="AY61" s="63">
        <v>-103903</v>
      </c>
      <c r="AZ61" s="63">
        <v>-24940</v>
      </c>
      <c r="BA61" s="63">
        <v>0</v>
      </c>
      <c r="BB61" s="63">
        <v>-24940</v>
      </c>
      <c r="BC61" s="63">
        <v>-12075867</v>
      </c>
      <c r="BD61" s="63">
        <v>-78476</v>
      </c>
      <c r="BE61" s="63">
        <v>-1474878</v>
      </c>
      <c r="BF61" s="63">
        <v>0</v>
      </c>
      <c r="BG61" s="63">
        <v>-13550745</v>
      </c>
      <c r="BH61" s="63">
        <v>-78476</v>
      </c>
      <c r="BI61" s="63">
        <v>-13629221</v>
      </c>
      <c r="BJ61" s="63">
        <v>-185041</v>
      </c>
      <c r="BK61" s="63">
        <v>0</v>
      </c>
      <c r="BL61" s="63">
        <v>-185041</v>
      </c>
      <c r="BM61" s="63">
        <v>-3752531</v>
      </c>
      <c r="BN61" s="63">
        <v>0</v>
      </c>
      <c r="BO61" s="63">
        <v>-3752531</v>
      </c>
      <c r="BP61" s="63">
        <v>-3937572</v>
      </c>
      <c r="BQ61" s="63">
        <v>0</v>
      </c>
      <c r="BR61" s="63">
        <v>-78113</v>
      </c>
      <c r="BS61" s="63">
        <v>-260376</v>
      </c>
      <c r="BT61" s="63">
        <v>-4015685</v>
      </c>
      <c r="BU61" s="63">
        <v>-260376</v>
      </c>
      <c r="BV61" s="63">
        <v>-4276061</v>
      </c>
      <c r="BW61" s="63">
        <v>-233757</v>
      </c>
      <c r="BX61" s="63">
        <v>0</v>
      </c>
      <c r="BY61" s="63">
        <v>-233757</v>
      </c>
      <c r="BZ61" s="63">
        <v>-69392</v>
      </c>
      <c r="CA61" s="63">
        <v>0</v>
      </c>
      <c r="CB61" s="63">
        <v>-69392</v>
      </c>
      <c r="CC61" s="63">
        <v>-7316</v>
      </c>
      <c r="CD61" s="63">
        <v>0</v>
      </c>
      <c r="CE61" s="63">
        <v>-7316</v>
      </c>
      <c r="CF61" s="63">
        <v>-24940</v>
      </c>
      <c r="CG61" s="63">
        <v>0</v>
      </c>
      <c r="CH61" s="63">
        <v>-24940</v>
      </c>
      <c r="CI61" s="63">
        <v>-12210</v>
      </c>
      <c r="CJ61" s="63">
        <v>0</v>
      </c>
      <c r="CK61" s="63">
        <v>-12210</v>
      </c>
      <c r="CL61" s="63">
        <v>0</v>
      </c>
      <c r="CM61" s="63">
        <v>-1250198</v>
      </c>
      <c r="CN61" s="63">
        <v>-1250198</v>
      </c>
      <c r="CO61" s="63">
        <v>-1250198</v>
      </c>
      <c r="CP61" s="63">
        <v>0</v>
      </c>
      <c r="CQ61" s="63">
        <v>-347615</v>
      </c>
      <c r="CR61" s="63">
        <v>-1250198</v>
      </c>
      <c r="CS61" s="63">
        <v>-27718</v>
      </c>
      <c r="CT61" s="63">
        <v>0</v>
      </c>
      <c r="CU61" s="63">
        <v>-375333</v>
      </c>
      <c r="CV61" s="63">
        <v>-1250198</v>
      </c>
      <c r="CW61" s="63">
        <v>-1625531</v>
      </c>
      <c r="CX61" s="63">
        <v>0</v>
      </c>
      <c r="CY61" s="63">
        <v>0</v>
      </c>
      <c r="CZ61" s="63">
        <v>0</v>
      </c>
      <c r="DA61" s="63">
        <v>-98085</v>
      </c>
      <c r="DB61" s="63">
        <v>0</v>
      </c>
      <c r="DC61" s="63">
        <v>-98085</v>
      </c>
      <c r="DD61" s="63">
        <v>-7100</v>
      </c>
      <c r="DE61" s="63">
        <v>0</v>
      </c>
      <c r="DF61" s="63">
        <v>-7100</v>
      </c>
      <c r="DG61" s="63">
        <v>-105185</v>
      </c>
      <c r="DH61" s="63">
        <v>0</v>
      </c>
      <c r="DI61" s="63">
        <v>-106563</v>
      </c>
      <c r="DJ61" s="63">
        <v>0</v>
      </c>
      <c r="DK61" s="63">
        <v>-211748</v>
      </c>
      <c r="DL61" s="63">
        <v>0</v>
      </c>
      <c r="DM61" s="63">
        <v>-211748</v>
      </c>
      <c r="DN61" s="63">
        <v>145408928</v>
      </c>
      <c r="DO61" s="63">
        <v>1727802</v>
      </c>
      <c r="DP61" s="63">
        <v>147136730</v>
      </c>
      <c r="DQ61" s="63"/>
      <c r="DR61" s="585" t="s">
        <v>768</v>
      </c>
    </row>
    <row r="62" spans="1:122" x14ac:dyDescent="0.2">
      <c r="A62" s="90">
        <v>55</v>
      </c>
      <c r="B62" s="129" t="s">
        <v>705</v>
      </c>
      <c r="C62" s="130" t="s">
        <v>501</v>
      </c>
      <c r="D62" s="131" t="s">
        <v>744</v>
      </c>
      <c r="E62" s="132" t="s">
        <v>515</v>
      </c>
      <c r="F62" s="475" t="s">
        <v>808</v>
      </c>
      <c r="G62" s="63">
        <v>386086631</v>
      </c>
      <c r="H62" s="63">
        <v>344250</v>
      </c>
      <c r="I62" s="63">
        <v>386430881</v>
      </c>
      <c r="J62" s="608">
        <v>48.4</v>
      </c>
      <c r="K62" s="63">
        <v>186865929</v>
      </c>
      <c r="L62" s="63">
        <v>166617</v>
      </c>
      <c r="M62" s="63">
        <v>-1420000</v>
      </c>
      <c r="N62" s="63">
        <v>0</v>
      </c>
      <c r="O62" s="63">
        <v>185445929</v>
      </c>
      <c r="P62" s="63">
        <v>166617</v>
      </c>
      <c r="Q62" s="63">
        <v>185612546</v>
      </c>
      <c r="R62" s="63">
        <v>0</v>
      </c>
      <c r="S62" s="63">
        <v>0</v>
      </c>
      <c r="T62" s="63">
        <v>0</v>
      </c>
      <c r="U62" s="63">
        <v>0</v>
      </c>
      <c r="V62" s="63">
        <v>0</v>
      </c>
      <c r="W62" s="63">
        <v>0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0</v>
      </c>
      <c r="AE62" s="63">
        <v>0</v>
      </c>
      <c r="AF62" s="63">
        <v>0</v>
      </c>
      <c r="AG62" s="63">
        <v>0</v>
      </c>
      <c r="AH62" s="63">
        <v>-6472000</v>
      </c>
      <c r="AI62" s="63">
        <v>0</v>
      </c>
      <c r="AJ62" s="63">
        <v>-6472000</v>
      </c>
      <c r="AK62" s="63">
        <v>-21000</v>
      </c>
      <c r="AL62" s="63">
        <v>0</v>
      </c>
      <c r="AM62" s="63">
        <v>-21000</v>
      </c>
      <c r="AN62" s="63">
        <v>4482622</v>
      </c>
      <c r="AO62" s="63">
        <v>4378</v>
      </c>
      <c r="AP62" s="63">
        <v>4487000</v>
      </c>
      <c r="AQ62" s="63">
        <v>-1989378</v>
      </c>
      <c r="AR62" s="63">
        <v>4378</v>
      </c>
      <c r="AS62" s="63">
        <v>-1985000</v>
      </c>
      <c r="AT62" s="63">
        <v>-8640000</v>
      </c>
      <c r="AU62" s="63">
        <v>0</v>
      </c>
      <c r="AV62" s="63">
        <v>-8640000</v>
      </c>
      <c r="AW62" s="63">
        <v>-63000</v>
      </c>
      <c r="AX62" s="63">
        <v>0</v>
      </c>
      <c r="AY62" s="63">
        <v>-63000</v>
      </c>
      <c r="AZ62" s="63">
        <v>-62000</v>
      </c>
      <c r="BA62" s="63">
        <v>0</v>
      </c>
      <c r="BB62" s="63">
        <v>-62000</v>
      </c>
      <c r="BC62" s="63">
        <v>-10754378</v>
      </c>
      <c r="BD62" s="63">
        <v>4378</v>
      </c>
      <c r="BE62" s="63">
        <v>0</v>
      </c>
      <c r="BF62" s="63">
        <v>0</v>
      </c>
      <c r="BG62" s="63">
        <v>-10754378</v>
      </c>
      <c r="BH62" s="63">
        <v>4378</v>
      </c>
      <c r="BI62" s="63">
        <v>-10750000</v>
      </c>
      <c r="BJ62" s="63">
        <v>-500000</v>
      </c>
      <c r="BK62" s="63">
        <v>0</v>
      </c>
      <c r="BL62" s="63">
        <v>-500000</v>
      </c>
      <c r="BM62" s="63">
        <v>-6340000</v>
      </c>
      <c r="BN62" s="63">
        <v>0</v>
      </c>
      <c r="BO62" s="63">
        <v>-6340000</v>
      </c>
      <c r="BP62" s="63">
        <v>-6840000</v>
      </c>
      <c r="BQ62" s="63">
        <v>0</v>
      </c>
      <c r="BR62" s="63">
        <v>0</v>
      </c>
      <c r="BS62" s="63">
        <v>0</v>
      </c>
      <c r="BT62" s="63">
        <v>-6840000</v>
      </c>
      <c r="BU62" s="63">
        <v>0</v>
      </c>
      <c r="BV62" s="63">
        <v>-6840000</v>
      </c>
      <c r="BW62" s="63">
        <v>-836000</v>
      </c>
      <c r="BX62" s="63">
        <v>0</v>
      </c>
      <c r="BY62" s="63">
        <v>-836000</v>
      </c>
      <c r="BZ62" s="63">
        <v>-1239000</v>
      </c>
      <c r="CA62" s="63">
        <v>0</v>
      </c>
      <c r="CB62" s="63">
        <v>-1239000</v>
      </c>
      <c r="CC62" s="63">
        <v>-14000</v>
      </c>
      <c r="CD62" s="63">
        <v>0</v>
      </c>
      <c r="CE62" s="63">
        <v>-14000</v>
      </c>
      <c r="CF62" s="63">
        <v>-62000</v>
      </c>
      <c r="CG62" s="63">
        <v>0</v>
      </c>
      <c r="CH62" s="63">
        <v>-62000</v>
      </c>
      <c r="CI62" s="63">
        <v>-25000</v>
      </c>
      <c r="CJ62" s="63">
        <v>0</v>
      </c>
      <c r="CK62" s="63">
        <v>-25000</v>
      </c>
      <c r="CL62" s="63">
        <v>0</v>
      </c>
      <c r="CM62" s="63">
        <v>0</v>
      </c>
      <c r="CN62" s="63">
        <v>0</v>
      </c>
      <c r="CO62" s="63">
        <v>0</v>
      </c>
      <c r="CP62" s="63">
        <v>0</v>
      </c>
      <c r="CQ62" s="63">
        <v>-2176000</v>
      </c>
      <c r="CR62" s="63">
        <v>0</v>
      </c>
      <c r="CS62" s="63">
        <v>0</v>
      </c>
      <c r="CT62" s="63">
        <v>0</v>
      </c>
      <c r="CU62" s="63">
        <v>-2176000</v>
      </c>
      <c r="CV62" s="63">
        <v>0</v>
      </c>
      <c r="CW62" s="63">
        <v>-2176000</v>
      </c>
      <c r="CX62" s="63">
        <v>-11000</v>
      </c>
      <c r="CY62" s="63">
        <v>0</v>
      </c>
      <c r="CZ62" s="63">
        <v>-11000</v>
      </c>
      <c r="DA62" s="63">
        <v>-84000</v>
      </c>
      <c r="DB62" s="63">
        <v>0</v>
      </c>
      <c r="DC62" s="63">
        <v>-84000</v>
      </c>
      <c r="DD62" s="63">
        <v>-10000</v>
      </c>
      <c r="DE62" s="63">
        <v>0</v>
      </c>
      <c r="DF62" s="63">
        <v>-10000</v>
      </c>
      <c r="DG62" s="63">
        <v>-105000</v>
      </c>
      <c r="DH62" s="63">
        <v>0</v>
      </c>
      <c r="DI62" s="63">
        <v>0</v>
      </c>
      <c r="DJ62" s="63">
        <v>0</v>
      </c>
      <c r="DK62" s="63">
        <v>-105000</v>
      </c>
      <c r="DL62" s="63">
        <v>0</v>
      </c>
      <c r="DM62" s="63">
        <v>-105000</v>
      </c>
      <c r="DN62" s="63">
        <v>165570551</v>
      </c>
      <c r="DO62" s="63">
        <v>170995</v>
      </c>
      <c r="DP62" s="63">
        <v>165741546</v>
      </c>
      <c r="DQ62" s="63"/>
      <c r="DR62" s="585" t="s">
        <v>768</v>
      </c>
    </row>
    <row r="63" spans="1:122" x14ac:dyDescent="0.2">
      <c r="A63" s="90">
        <v>56</v>
      </c>
      <c r="B63" s="129" t="s">
        <v>707</v>
      </c>
      <c r="C63" s="130" t="s">
        <v>742</v>
      </c>
      <c r="D63" s="131" t="s">
        <v>745</v>
      </c>
      <c r="E63" s="132" t="s">
        <v>706</v>
      </c>
      <c r="F63" s="475" t="s">
        <v>808</v>
      </c>
      <c r="G63" s="63">
        <v>88948190</v>
      </c>
      <c r="H63" s="63">
        <v>0</v>
      </c>
      <c r="I63" s="63">
        <v>88948190</v>
      </c>
      <c r="J63" s="608">
        <v>48.4</v>
      </c>
      <c r="K63" s="63">
        <v>43050924</v>
      </c>
      <c r="L63" s="63">
        <v>0</v>
      </c>
      <c r="M63" s="63">
        <v>705193</v>
      </c>
      <c r="N63" s="63">
        <v>1143100</v>
      </c>
      <c r="O63" s="63">
        <v>43756117</v>
      </c>
      <c r="P63" s="63">
        <v>1143100</v>
      </c>
      <c r="Q63" s="63">
        <v>44899217</v>
      </c>
      <c r="R63" s="63">
        <v>0</v>
      </c>
      <c r="S63" s="63">
        <v>0</v>
      </c>
      <c r="T63" s="63">
        <v>0</v>
      </c>
      <c r="U63" s="63">
        <v>0</v>
      </c>
      <c r="V63" s="63">
        <v>0</v>
      </c>
      <c r="W63" s="63">
        <v>0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0</v>
      </c>
      <c r="AE63" s="63">
        <v>0</v>
      </c>
      <c r="AF63" s="63">
        <v>0</v>
      </c>
      <c r="AG63" s="63">
        <v>0</v>
      </c>
      <c r="AH63" s="63">
        <v>-2853317</v>
      </c>
      <c r="AI63" s="63">
        <v>0</v>
      </c>
      <c r="AJ63" s="63">
        <v>-2853317</v>
      </c>
      <c r="AK63" s="63">
        <v>-7716</v>
      </c>
      <c r="AL63" s="63">
        <v>0</v>
      </c>
      <c r="AM63" s="63">
        <v>-7716</v>
      </c>
      <c r="AN63" s="63">
        <v>945500</v>
      </c>
      <c r="AO63" s="63">
        <v>0</v>
      </c>
      <c r="AP63" s="63">
        <v>945500</v>
      </c>
      <c r="AQ63" s="63">
        <v>-1907817</v>
      </c>
      <c r="AR63" s="63">
        <v>0</v>
      </c>
      <c r="AS63" s="63">
        <v>-1907817</v>
      </c>
      <c r="AT63" s="63">
        <v>-1651891</v>
      </c>
      <c r="AU63" s="63">
        <v>0</v>
      </c>
      <c r="AV63" s="63">
        <v>-1651891</v>
      </c>
      <c r="AW63" s="63">
        <v>-31202</v>
      </c>
      <c r="AX63" s="63">
        <v>0</v>
      </c>
      <c r="AY63" s="63">
        <v>-31202</v>
      </c>
      <c r="AZ63" s="63">
        <v>-3330</v>
      </c>
      <c r="BA63" s="63">
        <v>0</v>
      </c>
      <c r="BB63" s="63">
        <v>-3330</v>
      </c>
      <c r="BC63" s="63">
        <v>-3594240</v>
      </c>
      <c r="BD63" s="63">
        <v>0</v>
      </c>
      <c r="BE63" s="63">
        <v>-1452</v>
      </c>
      <c r="BF63" s="63">
        <v>0</v>
      </c>
      <c r="BG63" s="63">
        <v>-3595692</v>
      </c>
      <c r="BH63" s="63">
        <v>0</v>
      </c>
      <c r="BI63" s="63">
        <v>-3595692</v>
      </c>
      <c r="BJ63" s="63">
        <v>0</v>
      </c>
      <c r="BK63" s="63">
        <v>0</v>
      </c>
      <c r="BL63" s="63">
        <v>0</v>
      </c>
      <c r="BM63" s="63">
        <v>-1579707</v>
      </c>
      <c r="BN63" s="63">
        <v>0</v>
      </c>
      <c r="BO63" s="63">
        <v>-1579707</v>
      </c>
      <c r="BP63" s="63">
        <v>-1579707</v>
      </c>
      <c r="BQ63" s="63">
        <v>0</v>
      </c>
      <c r="BR63" s="63">
        <v>0</v>
      </c>
      <c r="BS63" s="63">
        <v>0</v>
      </c>
      <c r="BT63" s="63">
        <v>-1579707</v>
      </c>
      <c r="BU63" s="63">
        <v>0</v>
      </c>
      <c r="BV63" s="63">
        <v>-1579707</v>
      </c>
      <c r="BW63" s="63">
        <v>-37630</v>
      </c>
      <c r="BX63" s="63">
        <v>0</v>
      </c>
      <c r="BY63" s="63">
        <v>-37630</v>
      </c>
      <c r="BZ63" s="63">
        <v>-36681</v>
      </c>
      <c r="CA63" s="63">
        <v>0</v>
      </c>
      <c r="CB63" s="63">
        <v>-36681</v>
      </c>
      <c r="CC63" s="63">
        <v>-1267</v>
      </c>
      <c r="CD63" s="63">
        <v>0</v>
      </c>
      <c r="CE63" s="63">
        <v>-1267</v>
      </c>
      <c r="CF63" s="63">
        <v>0</v>
      </c>
      <c r="CG63" s="63">
        <v>0</v>
      </c>
      <c r="CH63" s="63">
        <v>0</v>
      </c>
      <c r="CI63" s="63">
        <v>0</v>
      </c>
      <c r="CJ63" s="63">
        <v>0</v>
      </c>
      <c r="CK63" s="63">
        <v>0</v>
      </c>
      <c r="CL63" s="63">
        <v>0</v>
      </c>
      <c r="CM63" s="63">
        <v>0</v>
      </c>
      <c r="CN63" s="63">
        <v>0</v>
      </c>
      <c r="CO63" s="63">
        <v>0</v>
      </c>
      <c r="CP63" s="63">
        <v>0</v>
      </c>
      <c r="CQ63" s="63">
        <v>-75578</v>
      </c>
      <c r="CR63" s="63">
        <v>0</v>
      </c>
      <c r="CS63" s="63">
        <v>0</v>
      </c>
      <c r="CT63" s="63">
        <v>0</v>
      </c>
      <c r="CU63" s="63">
        <v>-75578</v>
      </c>
      <c r="CV63" s="63">
        <v>0</v>
      </c>
      <c r="CW63" s="63">
        <v>-75578</v>
      </c>
      <c r="CX63" s="63">
        <v>0</v>
      </c>
      <c r="CY63" s="63">
        <v>0</v>
      </c>
      <c r="CZ63" s="63">
        <v>0</v>
      </c>
      <c r="DA63" s="63">
        <v>-42245</v>
      </c>
      <c r="DB63" s="63">
        <v>0</v>
      </c>
      <c r="DC63" s="63">
        <v>-42245</v>
      </c>
      <c r="DD63" s="63">
        <v>-6399</v>
      </c>
      <c r="DE63" s="63">
        <v>0</v>
      </c>
      <c r="DF63" s="63">
        <v>-6399</v>
      </c>
      <c r="DG63" s="63">
        <v>-48644</v>
      </c>
      <c r="DH63" s="63">
        <v>0</v>
      </c>
      <c r="DI63" s="63">
        <v>0</v>
      </c>
      <c r="DJ63" s="63">
        <v>0</v>
      </c>
      <c r="DK63" s="63">
        <v>-48644</v>
      </c>
      <c r="DL63" s="63">
        <v>0</v>
      </c>
      <c r="DM63" s="63">
        <v>-48644</v>
      </c>
      <c r="DN63" s="63">
        <v>38456496</v>
      </c>
      <c r="DO63" s="63">
        <v>1143100</v>
      </c>
      <c r="DP63" s="63">
        <v>39599596</v>
      </c>
      <c r="DQ63" s="63"/>
      <c r="DR63" s="585" t="s">
        <v>768</v>
      </c>
    </row>
    <row r="64" spans="1:122" x14ac:dyDescent="0.2">
      <c r="A64" s="90">
        <v>57</v>
      </c>
      <c r="B64" s="129" t="s">
        <v>709</v>
      </c>
      <c r="C64" s="130" t="s">
        <v>742</v>
      </c>
      <c r="D64" s="131" t="s">
        <v>743</v>
      </c>
      <c r="E64" s="132" t="s">
        <v>708</v>
      </c>
      <c r="F64" s="475" t="s">
        <v>808</v>
      </c>
      <c r="G64" s="63">
        <v>110390858</v>
      </c>
      <c r="H64" s="63">
        <v>0</v>
      </c>
      <c r="I64" s="63">
        <v>110390858</v>
      </c>
      <c r="J64" s="608">
        <v>48.4</v>
      </c>
      <c r="K64" s="63">
        <v>53429175</v>
      </c>
      <c r="L64" s="63">
        <v>0</v>
      </c>
      <c r="M64" s="63">
        <v>592000</v>
      </c>
      <c r="N64" s="63">
        <v>0</v>
      </c>
      <c r="O64" s="63">
        <v>54021175</v>
      </c>
      <c r="P64" s="63">
        <v>0</v>
      </c>
      <c r="Q64" s="63">
        <v>54021175</v>
      </c>
      <c r="R64" s="63">
        <v>0</v>
      </c>
      <c r="S64" s="63">
        <v>0</v>
      </c>
      <c r="T64" s="63">
        <v>0</v>
      </c>
      <c r="U64" s="63">
        <v>0</v>
      </c>
      <c r="V64" s="63">
        <v>0</v>
      </c>
      <c r="W64" s="63">
        <v>0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0</v>
      </c>
      <c r="AE64" s="63">
        <v>0</v>
      </c>
      <c r="AF64" s="63">
        <v>0</v>
      </c>
      <c r="AG64" s="63">
        <v>0</v>
      </c>
      <c r="AH64" s="63">
        <v>-3274213</v>
      </c>
      <c r="AI64" s="63">
        <v>0</v>
      </c>
      <c r="AJ64" s="63">
        <v>-3274213</v>
      </c>
      <c r="AK64" s="63">
        <v>-16576</v>
      </c>
      <c r="AL64" s="63">
        <v>0</v>
      </c>
      <c r="AM64" s="63">
        <v>-16576</v>
      </c>
      <c r="AN64" s="63">
        <v>1208198</v>
      </c>
      <c r="AO64" s="63">
        <v>0</v>
      </c>
      <c r="AP64" s="63">
        <v>1208198</v>
      </c>
      <c r="AQ64" s="63">
        <v>-2066015</v>
      </c>
      <c r="AR64" s="63">
        <v>0</v>
      </c>
      <c r="AS64" s="63">
        <v>-2066015</v>
      </c>
      <c r="AT64" s="63">
        <v>-3750557</v>
      </c>
      <c r="AU64" s="63">
        <v>0</v>
      </c>
      <c r="AV64" s="63">
        <v>-3750557</v>
      </c>
      <c r="AW64" s="63">
        <v>-38354</v>
      </c>
      <c r="AX64" s="63">
        <v>0</v>
      </c>
      <c r="AY64" s="63">
        <v>-38354</v>
      </c>
      <c r="AZ64" s="63">
        <v>-43331</v>
      </c>
      <c r="BA64" s="63">
        <v>0</v>
      </c>
      <c r="BB64" s="63">
        <v>-43331</v>
      </c>
      <c r="BC64" s="63">
        <v>-5898257</v>
      </c>
      <c r="BD64" s="63">
        <v>0</v>
      </c>
      <c r="BE64" s="63">
        <v>-325000</v>
      </c>
      <c r="BF64" s="63">
        <v>0</v>
      </c>
      <c r="BG64" s="63">
        <v>-6223257</v>
      </c>
      <c r="BH64" s="63">
        <v>0</v>
      </c>
      <c r="BI64" s="63">
        <v>-6223257</v>
      </c>
      <c r="BJ64" s="63">
        <v>-90000</v>
      </c>
      <c r="BK64" s="63">
        <v>0</v>
      </c>
      <c r="BL64" s="63">
        <v>-90000</v>
      </c>
      <c r="BM64" s="63">
        <v>-582497</v>
      </c>
      <c r="BN64" s="63">
        <v>0</v>
      </c>
      <c r="BO64" s="63">
        <v>-582497</v>
      </c>
      <c r="BP64" s="63">
        <v>-672497</v>
      </c>
      <c r="BQ64" s="63">
        <v>0</v>
      </c>
      <c r="BR64" s="63">
        <v>0</v>
      </c>
      <c r="BS64" s="63">
        <v>0</v>
      </c>
      <c r="BT64" s="63">
        <v>-672497</v>
      </c>
      <c r="BU64" s="63">
        <v>0</v>
      </c>
      <c r="BV64" s="63">
        <v>-672497</v>
      </c>
      <c r="BW64" s="63">
        <v>-9000</v>
      </c>
      <c r="BX64" s="63">
        <v>0</v>
      </c>
      <c r="BY64" s="63">
        <v>-9000</v>
      </c>
      <c r="BZ64" s="63">
        <v>-15000</v>
      </c>
      <c r="CA64" s="63">
        <v>0</v>
      </c>
      <c r="CB64" s="63">
        <v>-15000</v>
      </c>
      <c r="CC64" s="63">
        <v>-1000</v>
      </c>
      <c r="CD64" s="63">
        <v>0</v>
      </c>
      <c r="CE64" s="63">
        <v>-1000</v>
      </c>
      <c r="CF64" s="63">
        <v>-46399</v>
      </c>
      <c r="CG64" s="63">
        <v>0</v>
      </c>
      <c r="CH64" s="63">
        <v>-46399</v>
      </c>
      <c r="CI64" s="63">
        <v>-8500</v>
      </c>
      <c r="CJ64" s="63">
        <v>0</v>
      </c>
      <c r="CK64" s="63">
        <v>-8500</v>
      </c>
      <c r="CL64" s="63">
        <v>-5000</v>
      </c>
      <c r="CM64" s="63">
        <v>0</v>
      </c>
      <c r="CN64" s="63">
        <v>-5000</v>
      </c>
      <c r="CO64" s="63">
        <v>0</v>
      </c>
      <c r="CP64" s="63">
        <v>0</v>
      </c>
      <c r="CQ64" s="63">
        <v>-84899</v>
      </c>
      <c r="CR64" s="63">
        <v>0</v>
      </c>
      <c r="CS64" s="63">
        <v>0</v>
      </c>
      <c r="CT64" s="63">
        <v>0</v>
      </c>
      <c r="CU64" s="63">
        <v>-84899</v>
      </c>
      <c r="CV64" s="63">
        <v>0</v>
      </c>
      <c r="CW64" s="63">
        <v>-84899</v>
      </c>
      <c r="CX64" s="63">
        <v>-10000</v>
      </c>
      <c r="CY64" s="63">
        <v>0</v>
      </c>
      <c r="CZ64" s="63">
        <v>-10000</v>
      </c>
      <c r="DA64" s="63">
        <v>-10000</v>
      </c>
      <c r="DB64" s="63">
        <v>0</v>
      </c>
      <c r="DC64" s="63">
        <v>-10000</v>
      </c>
      <c r="DD64" s="63">
        <v>-3000</v>
      </c>
      <c r="DE64" s="63">
        <v>0</v>
      </c>
      <c r="DF64" s="63">
        <v>-3000</v>
      </c>
      <c r="DG64" s="63">
        <v>-23000</v>
      </c>
      <c r="DH64" s="63">
        <v>0</v>
      </c>
      <c r="DI64" s="63">
        <v>0</v>
      </c>
      <c r="DJ64" s="63">
        <v>0</v>
      </c>
      <c r="DK64" s="63">
        <v>-23000</v>
      </c>
      <c r="DL64" s="63">
        <v>0</v>
      </c>
      <c r="DM64" s="63">
        <v>-23000</v>
      </c>
      <c r="DN64" s="63">
        <v>47017522</v>
      </c>
      <c r="DO64" s="63">
        <v>0</v>
      </c>
      <c r="DP64" s="63">
        <v>47017522</v>
      </c>
      <c r="DQ64" s="63"/>
      <c r="DR64" s="585"/>
    </row>
    <row r="65" spans="1:122" x14ac:dyDescent="0.2">
      <c r="A65" s="90">
        <v>58</v>
      </c>
      <c r="B65" s="129" t="s">
        <v>711</v>
      </c>
      <c r="C65" s="130" t="s">
        <v>742</v>
      </c>
      <c r="D65" s="131" t="s">
        <v>743</v>
      </c>
      <c r="E65" s="132" t="s">
        <v>710</v>
      </c>
      <c r="F65" s="475" t="s">
        <v>808</v>
      </c>
      <c r="G65" s="63">
        <v>54114550</v>
      </c>
      <c r="H65" s="63">
        <v>0</v>
      </c>
      <c r="I65" s="63">
        <v>54114550</v>
      </c>
      <c r="J65" s="608">
        <v>48.4</v>
      </c>
      <c r="K65" s="63">
        <v>26191442</v>
      </c>
      <c r="L65" s="63">
        <v>0</v>
      </c>
      <c r="M65" s="63">
        <v>0</v>
      </c>
      <c r="N65" s="63">
        <v>0</v>
      </c>
      <c r="O65" s="63">
        <v>26191442</v>
      </c>
      <c r="P65" s="63">
        <v>0</v>
      </c>
      <c r="Q65" s="63">
        <v>26191442</v>
      </c>
      <c r="R65" s="63">
        <v>0</v>
      </c>
      <c r="S65" s="63">
        <v>0</v>
      </c>
      <c r="T65" s="63">
        <v>0</v>
      </c>
      <c r="U65" s="63">
        <v>0</v>
      </c>
      <c r="V65" s="63">
        <v>0</v>
      </c>
      <c r="W65" s="63">
        <v>0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0</v>
      </c>
      <c r="AE65" s="63">
        <v>0</v>
      </c>
      <c r="AF65" s="63">
        <v>0</v>
      </c>
      <c r="AG65" s="63">
        <v>0</v>
      </c>
      <c r="AH65" s="63">
        <v>-1515340</v>
      </c>
      <c r="AI65" s="63">
        <v>0</v>
      </c>
      <c r="AJ65" s="63">
        <v>-1515340</v>
      </c>
      <c r="AK65" s="63">
        <v>0</v>
      </c>
      <c r="AL65" s="63">
        <v>0</v>
      </c>
      <c r="AM65" s="63">
        <v>0</v>
      </c>
      <c r="AN65" s="63">
        <v>547519</v>
      </c>
      <c r="AO65" s="63">
        <v>0</v>
      </c>
      <c r="AP65" s="63">
        <v>547519</v>
      </c>
      <c r="AQ65" s="63">
        <v>-967821</v>
      </c>
      <c r="AR65" s="63">
        <v>0</v>
      </c>
      <c r="AS65" s="63">
        <v>-967821</v>
      </c>
      <c r="AT65" s="63">
        <v>-2357485</v>
      </c>
      <c r="AU65" s="63">
        <v>0</v>
      </c>
      <c r="AV65" s="63">
        <v>-2357485</v>
      </c>
      <c r="AW65" s="63">
        <v>-37802</v>
      </c>
      <c r="AX65" s="63">
        <v>0</v>
      </c>
      <c r="AY65" s="63">
        <v>-37802</v>
      </c>
      <c r="AZ65" s="63">
        <v>-14251</v>
      </c>
      <c r="BA65" s="63">
        <v>0</v>
      </c>
      <c r="BB65" s="63">
        <v>-14251</v>
      </c>
      <c r="BC65" s="63">
        <v>-3377359</v>
      </c>
      <c r="BD65" s="63">
        <v>0</v>
      </c>
      <c r="BE65" s="63">
        <v>0</v>
      </c>
      <c r="BF65" s="63">
        <v>0</v>
      </c>
      <c r="BG65" s="63">
        <v>-3377359</v>
      </c>
      <c r="BH65" s="63">
        <v>0</v>
      </c>
      <c r="BI65" s="63">
        <v>-3377359</v>
      </c>
      <c r="BJ65" s="63">
        <v>0</v>
      </c>
      <c r="BK65" s="63">
        <v>0</v>
      </c>
      <c r="BL65" s="63">
        <v>0</v>
      </c>
      <c r="BM65" s="63">
        <v>-335284</v>
      </c>
      <c r="BN65" s="63">
        <v>0</v>
      </c>
      <c r="BO65" s="63">
        <v>-335284</v>
      </c>
      <c r="BP65" s="63">
        <v>-335284</v>
      </c>
      <c r="BQ65" s="63">
        <v>0</v>
      </c>
      <c r="BR65" s="63">
        <v>0</v>
      </c>
      <c r="BS65" s="63">
        <v>0</v>
      </c>
      <c r="BT65" s="63">
        <v>-335284</v>
      </c>
      <c r="BU65" s="63">
        <v>0</v>
      </c>
      <c r="BV65" s="63">
        <v>-335284</v>
      </c>
      <c r="BW65" s="63">
        <v>-118507</v>
      </c>
      <c r="BX65" s="63">
        <v>0</v>
      </c>
      <c r="BY65" s="63">
        <v>-118507</v>
      </c>
      <c r="BZ65" s="63">
        <v>-30156</v>
      </c>
      <c r="CA65" s="63">
        <v>0</v>
      </c>
      <c r="CB65" s="63">
        <v>-30156</v>
      </c>
      <c r="CC65" s="63">
        <v>-1439</v>
      </c>
      <c r="CD65" s="63">
        <v>0</v>
      </c>
      <c r="CE65" s="63">
        <v>-1439</v>
      </c>
      <c r="CF65" s="63">
        <v>-3969.79</v>
      </c>
      <c r="CG65" s="63">
        <v>0</v>
      </c>
      <c r="CH65" s="63">
        <v>-3969.79</v>
      </c>
      <c r="CI65" s="63">
        <v>0</v>
      </c>
      <c r="CJ65" s="63">
        <v>0</v>
      </c>
      <c r="CK65" s="63">
        <v>0</v>
      </c>
      <c r="CL65" s="63">
        <v>0</v>
      </c>
      <c r="CM65" s="63">
        <v>0</v>
      </c>
      <c r="CN65" s="63">
        <v>0</v>
      </c>
      <c r="CO65" s="63">
        <v>0</v>
      </c>
      <c r="CP65" s="63">
        <v>0</v>
      </c>
      <c r="CQ65" s="63">
        <v>-154071.79</v>
      </c>
      <c r="CR65" s="63">
        <v>0</v>
      </c>
      <c r="CS65" s="63">
        <v>0</v>
      </c>
      <c r="CT65" s="63">
        <v>0</v>
      </c>
      <c r="CU65" s="63">
        <v>-154071.79</v>
      </c>
      <c r="CV65" s="63">
        <v>0</v>
      </c>
      <c r="CW65" s="63">
        <v>-154071.79</v>
      </c>
      <c r="CX65" s="63">
        <v>0</v>
      </c>
      <c r="CY65" s="63">
        <v>0</v>
      </c>
      <c r="CZ65" s="63">
        <v>0</v>
      </c>
      <c r="DA65" s="63">
        <v>-4260</v>
      </c>
      <c r="DB65" s="63">
        <v>0</v>
      </c>
      <c r="DC65" s="63">
        <v>-4260</v>
      </c>
      <c r="DD65" s="63">
        <v>0</v>
      </c>
      <c r="DE65" s="63">
        <v>0</v>
      </c>
      <c r="DF65" s="63">
        <v>0</v>
      </c>
      <c r="DG65" s="63">
        <v>-4260</v>
      </c>
      <c r="DH65" s="63">
        <v>0</v>
      </c>
      <c r="DI65" s="63">
        <v>0</v>
      </c>
      <c r="DJ65" s="63">
        <v>0</v>
      </c>
      <c r="DK65" s="63">
        <v>-4260</v>
      </c>
      <c r="DL65" s="63">
        <v>0</v>
      </c>
      <c r="DM65" s="63">
        <v>-4260</v>
      </c>
      <c r="DN65" s="63">
        <v>22320467.210000001</v>
      </c>
      <c r="DO65" s="63">
        <v>0</v>
      </c>
      <c r="DP65" s="63">
        <v>22320467.210000001</v>
      </c>
      <c r="DQ65" s="63"/>
      <c r="DR65" s="585"/>
    </row>
    <row r="66" spans="1:122" x14ac:dyDescent="0.2">
      <c r="A66" s="90">
        <v>59</v>
      </c>
      <c r="B66" s="129" t="s">
        <v>713</v>
      </c>
      <c r="C66" s="130" t="s">
        <v>742</v>
      </c>
      <c r="D66" s="131" t="s">
        <v>744</v>
      </c>
      <c r="E66" s="132" t="s">
        <v>712</v>
      </c>
      <c r="F66" s="475" t="s">
        <v>808</v>
      </c>
      <c r="G66" s="63">
        <v>70783320</v>
      </c>
      <c r="H66" s="63">
        <v>0</v>
      </c>
      <c r="I66" s="63">
        <v>70783320</v>
      </c>
      <c r="J66" s="608">
        <v>48.4</v>
      </c>
      <c r="K66" s="63">
        <v>34259127</v>
      </c>
      <c r="L66" s="63">
        <v>0</v>
      </c>
      <c r="M66" s="63">
        <v>0</v>
      </c>
      <c r="N66" s="63">
        <v>0</v>
      </c>
      <c r="O66" s="63">
        <v>34259127</v>
      </c>
      <c r="P66" s="63">
        <v>0</v>
      </c>
      <c r="Q66" s="63">
        <v>34259127</v>
      </c>
      <c r="R66" s="63">
        <v>0</v>
      </c>
      <c r="S66" s="63">
        <v>0</v>
      </c>
      <c r="T66" s="63">
        <v>0</v>
      </c>
      <c r="U66" s="63">
        <v>0</v>
      </c>
      <c r="V66" s="63">
        <v>0</v>
      </c>
      <c r="W66" s="63">
        <v>0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0</v>
      </c>
      <c r="AE66" s="63">
        <v>0</v>
      </c>
      <c r="AF66" s="63">
        <v>0</v>
      </c>
      <c r="AG66" s="63">
        <v>0</v>
      </c>
      <c r="AH66" s="63">
        <v>-2550859</v>
      </c>
      <c r="AI66" s="63">
        <v>0</v>
      </c>
      <c r="AJ66" s="63">
        <v>-2550859</v>
      </c>
      <c r="AK66" s="63">
        <v>0</v>
      </c>
      <c r="AL66" s="63">
        <v>0</v>
      </c>
      <c r="AM66" s="63">
        <v>0</v>
      </c>
      <c r="AN66" s="63">
        <v>754448</v>
      </c>
      <c r="AO66" s="63">
        <v>0</v>
      </c>
      <c r="AP66" s="63">
        <v>754448</v>
      </c>
      <c r="AQ66" s="63">
        <v>-1796411</v>
      </c>
      <c r="AR66" s="63">
        <v>0</v>
      </c>
      <c r="AS66" s="63">
        <v>-1796411</v>
      </c>
      <c r="AT66" s="63">
        <v>-1983032</v>
      </c>
      <c r="AU66" s="63">
        <v>0</v>
      </c>
      <c r="AV66" s="63">
        <v>-1983032</v>
      </c>
      <c r="AW66" s="63">
        <v>-32080</v>
      </c>
      <c r="AX66" s="63">
        <v>0</v>
      </c>
      <c r="AY66" s="63">
        <v>-32080</v>
      </c>
      <c r="AZ66" s="63">
        <v>-5560</v>
      </c>
      <c r="BA66" s="63">
        <v>0</v>
      </c>
      <c r="BB66" s="63">
        <v>-5560</v>
      </c>
      <c r="BC66" s="63">
        <v>-3817083</v>
      </c>
      <c r="BD66" s="63">
        <v>0</v>
      </c>
      <c r="BE66" s="63">
        <v>-15000</v>
      </c>
      <c r="BF66" s="63">
        <v>0</v>
      </c>
      <c r="BG66" s="63">
        <v>-3832083</v>
      </c>
      <c r="BH66" s="63">
        <v>0</v>
      </c>
      <c r="BI66" s="63">
        <v>-3832083</v>
      </c>
      <c r="BJ66" s="63">
        <v>-5000</v>
      </c>
      <c r="BK66" s="63">
        <v>0</v>
      </c>
      <c r="BL66" s="63">
        <v>-5000</v>
      </c>
      <c r="BM66" s="63">
        <v>-335382</v>
      </c>
      <c r="BN66" s="63">
        <v>0</v>
      </c>
      <c r="BO66" s="63">
        <v>-335382</v>
      </c>
      <c r="BP66" s="63">
        <v>-340382</v>
      </c>
      <c r="BQ66" s="63">
        <v>0</v>
      </c>
      <c r="BR66" s="63">
        <v>0</v>
      </c>
      <c r="BS66" s="63">
        <v>0</v>
      </c>
      <c r="BT66" s="63">
        <v>-340382</v>
      </c>
      <c r="BU66" s="63">
        <v>0</v>
      </c>
      <c r="BV66" s="63">
        <v>-340382</v>
      </c>
      <c r="BW66" s="63">
        <v>-11794</v>
      </c>
      <c r="BX66" s="63">
        <v>0</v>
      </c>
      <c r="BY66" s="63">
        <v>-11794</v>
      </c>
      <c r="BZ66" s="63">
        <v>0</v>
      </c>
      <c r="CA66" s="63">
        <v>0</v>
      </c>
      <c r="CB66" s="63">
        <v>0</v>
      </c>
      <c r="CC66" s="63">
        <v>0</v>
      </c>
      <c r="CD66" s="63">
        <v>0</v>
      </c>
      <c r="CE66" s="63">
        <v>0</v>
      </c>
      <c r="CF66" s="63">
        <v>0</v>
      </c>
      <c r="CG66" s="63">
        <v>0</v>
      </c>
      <c r="CH66" s="63">
        <v>0</v>
      </c>
      <c r="CI66" s="63">
        <v>0</v>
      </c>
      <c r="CJ66" s="63">
        <v>0</v>
      </c>
      <c r="CK66" s="63">
        <v>0</v>
      </c>
      <c r="CL66" s="63">
        <v>0</v>
      </c>
      <c r="CM66" s="63">
        <v>0</v>
      </c>
      <c r="CN66" s="63">
        <v>0</v>
      </c>
      <c r="CO66" s="63">
        <v>0</v>
      </c>
      <c r="CP66" s="63">
        <v>0</v>
      </c>
      <c r="CQ66" s="63">
        <v>-11794</v>
      </c>
      <c r="CR66" s="63">
        <v>0</v>
      </c>
      <c r="CS66" s="63">
        <v>0</v>
      </c>
      <c r="CT66" s="63">
        <v>0</v>
      </c>
      <c r="CU66" s="63">
        <v>-11794</v>
      </c>
      <c r="CV66" s="63">
        <v>0</v>
      </c>
      <c r="CW66" s="63">
        <v>-11794</v>
      </c>
      <c r="CX66" s="63">
        <v>0</v>
      </c>
      <c r="CY66" s="63">
        <v>0</v>
      </c>
      <c r="CZ66" s="63">
        <v>0</v>
      </c>
      <c r="DA66" s="63">
        <v>-10377</v>
      </c>
      <c r="DB66" s="63">
        <v>0</v>
      </c>
      <c r="DC66" s="63">
        <v>-10377</v>
      </c>
      <c r="DD66" s="63">
        <v>-16496</v>
      </c>
      <c r="DE66" s="63">
        <v>0</v>
      </c>
      <c r="DF66" s="63">
        <v>-16496</v>
      </c>
      <c r="DG66" s="63">
        <v>-26873</v>
      </c>
      <c r="DH66" s="63">
        <v>0</v>
      </c>
      <c r="DI66" s="63">
        <v>0</v>
      </c>
      <c r="DJ66" s="63">
        <v>0</v>
      </c>
      <c r="DK66" s="63">
        <v>-26873</v>
      </c>
      <c r="DL66" s="63">
        <v>0</v>
      </c>
      <c r="DM66" s="63">
        <v>-26873</v>
      </c>
      <c r="DN66" s="63">
        <v>30047995</v>
      </c>
      <c r="DO66" s="63">
        <v>0</v>
      </c>
      <c r="DP66" s="63">
        <v>30047995</v>
      </c>
      <c r="DQ66" s="63"/>
      <c r="DR66" s="585"/>
    </row>
    <row r="67" spans="1:122" x14ac:dyDescent="0.2">
      <c r="A67" s="90">
        <v>60</v>
      </c>
      <c r="B67" s="129" t="s">
        <v>715</v>
      </c>
      <c r="C67" s="130" t="s">
        <v>742</v>
      </c>
      <c r="D67" s="131" t="s">
        <v>751</v>
      </c>
      <c r="E67" s="132" t="s">
        <v>714</v>
      </c>
      <c r="F67" s="475" t="s">
        <v>808</v>
      </c>
      <c r="G67" s="63">
        <v>45034431</v>
      </c>
      <c r="H67" s="63">
        <v>0</v>
      </c>
      <c r="I67" s="63">
        <v>45034431</v>
      </c>
      <c r="J67" s="608">
        <v>48.4</v>
      </c>
      <c r="K67" s="63">
        <v>21796665</v>
      </c>
      <c r="L67" s="63">
        <v>0</v>
      </c>
      <c r="M67" s="63">
        <v>-250000</v>
      </c>
      <c r="N67" s="63">
        <v>0</v>
      </c>
      <c r="O67" s="63">
        <v>21546665</v>
      </c>
      <c r="P67" s="63">
        <v>0</v>
      </c>
      <c r="Q67" s="63">
        <v>21546665</v>
      </c>
      <c r="R67" s="63">
        <v>0</v>
      </c>
      <c r="S67" s="63">
        <v>0</v>
      </c>
      <c r="T67" s="63">
        <v>0</v>
      </c>
      <c r="U67" s="63">
        <v>0</v>
      </c>
      <c r="V67" s="63">
        <v>0</v>
      </c>
      <c r="W67" s="63">
        <v>0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0</v>
      </c>
      <c r="AE67" s="63">
        <v>0</v>
      </c>
      <c r="AF67" s="63">
        <v>0</v>
      </c>
      <c r="AG67" s="63">
        <v>0</v>
      </c>
      <c r="AH67" s="63">
        <v>-1258152</v>
      </c>
      <c r="AI67" s="63">
        <v>0</v>
      </c>
      <c r="AJ67" s="63">
        <v>-1258152</v>
      </c>
      <c r="AK67" s="63">
        <v>-2057</v>
      </c>
      <c r="AL67" s="63">
        <v>0</v>
      </c>
      <c r="AM67" s="63">
        <v>-2057</v>
      </c>
      <c r="AN67" s="63">
        <v>491906</v>
      </c>
      <c r="AO67" s="63">
        <v>0</v>
      </c>
      <c r="AP67" s="63">
        <v>491906</v>
      </c>
      <c r="AQ67" s="63">
        <v>-766246</v>
      </c>
      <c r="AR67" s="63">
        <v>0</v>
      </c>
      <c r="AS67" s="63">
        <v>-766246</v>
      </c>
      <c r="AT67" s="63">
        <v>-762920</v>
      </c>
      <c r="AU67" s="63">
        <v>0</v>
      </c>
      <c r="AV67" s="63">
        <v>-762920</v>
      </c>
      <c r="AW67" s="63">
        <v>-37598</v>
      </c>
      <c r="AX67" s="63">
        <v>0</v>
      </c>
      <c r="AY67" s="63">
        <v>-37598</v>
      </c>
      <c r="AZ67" s="63">
        <v>-1764</v>
      </c>
      <c r="BA67" s="63">
        <v>0</v>
      </c>
      <c r="BB67" s="63">
        <v>-1764</v>
      </c>
      <c r="BC67" s="63">
        <v>-1568528</v>
      </c>
      <c r="BD67" s="63">
        <v>0</v>
      </c>
      <c r="BE67" s="63">
        <v>0</v>
      </c>
      <c r="BF67" s="63">
        <v>0</v>
      </c>
      <c r="BG67" s="63">
        <v>-1568528</v>
      </c>
      <c r="BH67" s="63">
        <v>0</v>
      </c>
      <c r="BI67" s="63">
        <v>-1568528</v>
      </c>
      <c r="BJ67" s="63">
        <v>0</v>
      </c>
      <c r="BK67" s="63">
        <v>0</v>
      </c>
      <c r="BL67" s="63">
        <v>0</v>
      </c>
      <c r="BM67" s="63">
        <v>-211026</v>
      </c>
      <c r="BN67" s="63">
        <v>0</v>
      </c>
      <c r="BO67" s="63">
        <v>-211026</v>
      </c>
      <c r="BP67" s="63">
        <v>-211026</v>
      </c>
      <c r="BQ67" s="63">
        <v>0</v>
      </c>
      <c r="BR67" s="63">
        <v>0</v>
      </c>
      <c r="BS67" s="63">
        <v>0</v>
      </c>
      <c r="BT67" s="63">
        <v>-211026</v>
      </c>
      <c r="BU67" s="63">
        <v>0</v>
      </c>
      <c r="BV67" s="63">
        <v>-211026</v>
      </c>
      <c r="BW67" s="63">
        <v>-6313</v>
      </c>
      <c r="BX67" s="63">
        <v>0</v>
      </c>
      <c r="BY67" s="63">
        <v>-6313</v>
      </c>
      <c r="BZ67" s="63">
        <v>-4295</v>
      </c>
      <c r="CA67" s="63">
        <v>0</v>
      </c>
      <c r="CB67" s="63">
        <v>-4295</v>
      </c>
      <c r="CC67" s="63">
        <v>0</v>
      </c>
      <c r="CD67" s="63">
        <v>0</v>
      </c>
      <c r="CE67" s="63">
        <v>0</v>
      </c>
      <c r="CF67" s="63">
        <v>0</v>
      </c>
      <c r="CG67" s="63">
        <v>0</v>
      </c>
      <c r="CH67" s="63">
        <v>0</v>
      </c>
      <c r="CI67" s="63">
        <v>0</v>
      </c>
      <c r="CJ67" s="63">
        <v>0</v>
      </c>
      <c r="CK67" s="63">
        <v>0</v>
      </c>
      <c r="CL67" s="63">
        <v>0</v>
      </c>
      <c r="CM67" s="63">
        <v>0</v>
      </c>
      <c r="CN67" s="63">
        <v>0</v>
      </c>
      <c r="CO67" s="63">
        <v>0</v>
      </c>
      <c r="CP67" s="63">
        <v>0</v>
      </c>
      <c r="CQ67" s="63">
        <v>-10608</v>
      </c>
      <c r="CR67" s="63">
        <v>0</v>
      </c>
      <c r="CS67" s="63">
        <v>0</v>
      </c>
      <c r="CT67" s="63">
        <v>0</v>
      </c>
      <c r="CU67" s="63">
        <v>-10608</v>
      </c>
      <c r="CV67" s="63">
        <v>0</v>
      </c>
      <c r="CW67" s="63">
        <v>-10608</v>
      </c>
      <c r="CX67" s="63">
        <v>0</v>
      </c>
      <c r="CY67" s="63">
        <v>0</v>
      </c>
      <c r="CZ67" s="63">
        <v>0</v>
      </c>
      <c r="DA67" s="63">
        <v>-20750</v>
      </c>
      <c r="DB67" s="63">
        <v>0</v>
      </c>
      <c r="DC67" s="63">
        <v>-20750</v>
      </c>
      <c r="DD67" s="63">
        <v>-6982</v>
      </c>
      <c r="DE67" s="63">
        <v>0</v>
      </c>
      <c r="DF67" s="63">
        <v>-6982</v>
      </c>
      <c r="DG67" s="63">
        <v>-27732</v>
      </c>
      <c r="DH67" s="63">
        <v>0</v>
      </c>
      <c r="DI67" s="63">
        <v>0</v>
      </c>
      <c r="DJ67" s="63">
        <v>0</v>
      </c>
      <c r="DK67" s="63">
        <v>-27732</v>
      </c>
      <c r="DL67" s="63">
        <v>0</v>
      </c>
      <c r="DM67" s="63">
        <v>-27732</v>
      </c>
      <c r="DN67" s="63">
        <v>19728771</v>
      </c>
      <c r="DO67" s="63">
        <v>0</v>
      </c>
      <c r="DP67" s="63">
        <v>19728771</v>
      </c>
      <c r="DQ67" s="63"/>
      <c r="DR67" s="585"/>
    </row>
    <row r="68" spans="1:122" x14ac:dyDescent="0.2">
      <c r="A68" s="90">
        <v>61</v>
      </c>
      <c r="B68" s="129" t="s">
        <v>0</v>
      </c>
      <c r="C68" s="130" t="s">
        <v>754</v>
      </c>
      <c r="D68" s="131" t="s">
        <v>748</v>
      </c>
      <c r="E68" s="132" t="s">
        <v>716</v>
      </c>
      <c r="F68" s="475" t="s">
        <v>808</v>
      </c>
      <c r="G68" s="63">
        <v>1929641039</v>
      </c>
      <c r="H68" s="63">
        <v>0</v>
      </c>
      <c r="I68" s="63">
        <v>1929641039</v>
      </c>
      <c r="J68" s="608">
        <v>48.4</v>
      </c>
      <c r="K68" s="63">
        <v>933946263</v>
      </c>
      <c r="L68" s="63">
        <v>0</v>
      </c>
      <c r="M68" s="63">
        <v>-61640453</v>
      </c>
      <c r="N68" s="63">
        <v>0</v>
      </c>
      <c r="O68" s="63">
        <v>872305810</v>
      </c>
      <c r="P68" s="63">
        <v>0</v>
      </c>
      <c r="Q68" s="63">
        <v>872305810</v>
      </c>
      <c r="R68" s="63">
        <v>0</v>
      </c>
      <c r="S68" s="63">
        <v>0</v>
      </c>
      <c r="T68" s="63">
        <v>0</v>
      </c>
      <c r="U68" s="63">
        <v>0</v>
      </c>
      <c r="V68" s="63">
        <v>0</v>
      </c>
      <c r="W68" s="63">
        <v>0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0</v>
      </c>
      <c r="AE68" s="63">
        <v>0</v>
      </c>
      <c r="AF68" s="63">
        <v>0</v>
      </c>
      <c r="AG68" s="63">
        <v>0</v>
      </c>
      <c r="AH68" s="63">
        <v>-439807</v>
      </c>
      <c r="AI68" s="63">
        <v>0</v>
      </c>
      <c r="AJ68" s="63">
        <v>-439807</v>
      </c>
      <c r="AK68" s="63">
        <v>0</v>
      </c>
      <c r="AL68" s="63">
        <v>0</v>
      </c>
      <c r="AM68" s="63">
        <v>0</v>
      </c>
      <c r="AN68" s="63">
        <v>24153971</v>
      </c>
      <c r="AO68" s="63">
        <v>0</v>
      </c>
      <c r="AP68" s="63">
        <v>24153971</v>
      </c>
      <c r="AQ68" s="63">
        <v>23714164</v>
      </c>
      <c r="AR68" s="63">
        <v>0</v>
      </c>
      <c r="AS68" s="63">
        <v>23714164</v>
      </c>
      <c r="AT68" s="63">
        <v>-11975487</v>
      </c>
      <c r="AU68" s="63">
        <v>0</v>
      </c>
      <c r="AV68" s="63">
        <v>-11975487</v>
      </c>
      <c r="AW68" s="63">
        <v>0</v>
      </c>
      <c r="AX68" s="63">
        <v>0</v>
      </c>
      <c r="AY68" s="63">
        <v>0</v>
      </c>
      <c r="AZ68" s="63">
        <v>0</v>
      </c>
      <c r="BA68" s="63">
        <v>0</v>
      </c>
      <c r="BB68" s="63">
        <v>0</v>
      </c>
      <c r="BC68" s="63">
        <v>11738677</v>
      </c>
      <c r="BD68" s="63">
        <v>0</v>
      </c>
      <c r="BE68" s="63">
        <v>-3881666</v>
      </c>
      <c r="BF68" s="63">
        <v>0</v>
      </c>
      <c r="BG68" s="63">
        <v>7857011</v>
      </c>
      <c r="BH68" s="63">
        <v>0</v>
      </c>
      <c r="BI68" s="63">
        <v>7857011</v>
      </c>
      <c r="BJ68" s="63">
        <v>-2777854</v>
      </c>
      <c r="BK68" s="63">
        <v>0</v>
      </c>
      <c r="BL68" s="63">
        <v>-2777854</v>
      </c>
      <c r="BM68" s="63">
        <v>-37115956</v>
      </c>
      <c r="BN68" s="63">
        <v>0</v>
      </c>
      <c r="BO68" s="63">
        <v>-37115956</v>
      </c>
      <c r="BP68" s="63">
        <v>-39893810</v>
      </c>
      <c r="BQ68" s="63">
        <v>0</v>
      </c>
      <c r="BR68" s="63">
        <v>2632991</v>
      </c>
      <c r="BS68" s="63">
        <v>0</v>
      </c>
      <c r="BT68" s="63">
        <v>-37260819</v>
      </c>
      <c r="BU68" s="63">
        <v>0</v>
      </c>
      <c r="BV68" s="63">
        <v>-37260819</v>
      </c>
      <c r="BW68" s="63">
        <v>-138928</v>
      </c>
      <c r="BX68" s="63">
        <v>0</v>
      </c>
      <c r="BY68" s="63">
        <v>-138928</v>
      </c>
      <c r="BZ68" s="63">
        <v>-206478</v>
      </c>
      <c r="CA68" s="63">
        <v>0</v>
      </c>
      <c r="CB68" s="63">
        <v>-206478</v>
      </c>
      <c r="CC68" s="63">
        <v>0</v>
      </c>
      <c r="CD68" s="63">
        <v>0</v>
      </c>
      <c r="CE68" s="63">
        <v>0</v>
      </c>
      <c r="CF68" s="63">
        <v>0</v>
      </c>
      <c r="CG68" s="63">
        <v>0</v>
      </c>
      <c r="CH68" s="63">
        <v>0</v>
      </c>
      <c r="CI68" s="63">
        <v>0</v>
      </c>
      <c r="CJ68" s="63">
        <v>0</v>
      </c>
      <c r="CK68" s="63">
        <v>0</v>
      </c>
      <c r="CL68" s="63">
        <v>0</v>
      </c>
      <c r="CM68" s="63">
        <v>0</v>
      </c>
      <c r="CN68" s="63">
        <v>0</v>
      </c>
      <c r="CO68" s="63">
        <v>0</v>
      </c>
      <c r="CP68" s="63">
        <v>0</v>
      </c>
      <c r="CQ68" s="63">
        <v>-345406</v>
      </c>
      <c r="CR68" s="63">
        <v>0</v>
      </c>
      <c r="CS68" s="63">
        <v>22797</v>
      </c>
      <c r="CT68" s="63">
        <v>0</v>
      </c>
      <c r="CU68" s="63">
        <v>-322609</v>
      </c>
      <c r="CV68" s="63">
        <v>0</v>
      </c>
      <c r="CW68" s="63">
        <v>-322609</v>
      </c>
      <c r="CX68" s="63">
        <v>-140403</v>
      </c>
      <c r="CY68" s="63">
        <v>0</v>
      </c>
      <c r="CZ68" s="63">
        <v>-140403</v>
      </c>
      <c r="DA68" s="63">
        <v>-87657</v>
      </c>
      <c r="DB68" s="63">
        <v>0</v>
      </c>
      <c r="DC68" s="63">
        <v>-87657</v>
      </c>
      <c r="DD68" s="63">
        <v>-10053</v>
      </c>
      <c r="DE68" s="63">
        <v>0</v>
      </c>
      <c r="DF68" s="63">
        <v>-10053</v>
      </c>
      <c r="DG68" s="63">
        <v>-238113</v>
      </c>
      <c r="DH68" s="63">
        <v>0</v>
      </c>
      <c r="DI68" s="63">
        <v>0</v>
      </c>
      <c r="DJ68" s="63">
        <v>0</v>
      </c>
      <c r="DK68" s="63">
        <v>-238113</v>
      </c>
      <c r="DL68" s="63">
        <v>0</v>
      </c>
      <c r="DM68" s="63">
        <v>-238113</v>
      </c>
      <c r="DN68" s="63">
        <v>842341280</v>
      </c>
      <c r="DO68" s="63">
        <v>0</v>
      </c>
      <c r="DP68" s="63">
        <v>842341280</v>
      </c>
      <c r="DQ68" s="63"/>
      <c r="DR68" s="585"/>
    </row>
    <row r="69" spans="1:122" x14ac:dyDescent="0.2">
      <c r="A69" s="90">
        <v>62</v>
      </c>
      <c r="B69" s="129" t="s">
        <v>2</v>
      </c>
      <c r="C69" s="130" t="s">
        <v>742</v>
      </c>
      <c r="D69" s="131" t="s">
        <v>746</v>
      </c>
      <c r="E69" s="132" t="s">
        <v>1</v>
      </c>
      <c r="F69" s="475" t="s">
        <v>808</v>
      </c>
      <c r="G69" s="63">
        <v>154889103</v>
      </c>
      <c r="H69" s="63">
        <v>0</v>
      </c>
      <c r="I69" s="63">
        <v>154889103</v>
      </c>
      <c r="J69" s="608">
        <v>48.4</v>
      </c>
      <c r="K69" s="63">
        <v>74966326</v>
      </c>
      <c r="L69" s="63">
        <v>0</v>
      </c>
      <c r="M69" s="63">
        <v>0</v>
      </c>
      <c r="N69" s="63">
        <v>0</v>
      </c>
      <c r="O69" s="63">
        <v>74966326</v>
      </c>
      <c r="P69" s="63">
        <v>0</v>
      </c>
      <c r="Q69" s="63">
        <v>74966326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-3170972</v>
      </c>
      <c r="AI69" s="63">
        <v>0</v>
      </c>
      <c r="AJ69" s="63">
        <v>-3170972</v>
      </c>
      <c r="AK69" s="63">
        <v>0</v>
      </c>
      <c r="AL69" s="63">
        <v>0</v>
      </c>
      <c r="AM69" s="63">
        <v>0</v>
      </c>
      <c r="AN69" s="63">
        <v>1750073</v>
      </c>
      <c r="AO69" s="63">
        <v>0</v>
      </c>
      <c r="AP69" s="63">
        <v>1750073</v>
      </c>
      <c r="AQ69" s="63">
        <v>-1420899</v>
      </c>
      <c r="AR69" s="63">
        <v>0</v>
      </c>
      <c r="AS69" s="63">
        <v>-1420899</v>
      </c>
      <c r="AT69" s="63">
        <v>-4769299</v>
      </c>
      <c r="AU69" s="63">
        <v>0</v>
      </c>
      <c r="AV69" s="63">
        <v>-4769299</v>
      </c>
      <c r="AW69" s="63">
        <v>-54769</v>
      </c>
      <c r="AX69" s="63">
        <v>0</v>
      </c>
      <c r="AY69" s="63">
        <v>-54769</v>
      </c>
      <c r="AZ69" s="63">
        <v>-13630</v>
      </c>
      <c r="BA69" s="63">
        <v>0</v>
      </c>
      <c r="BB69" s="63">
        <v>-13630</v>
      </c>
      <c r="BC69" s="63">
        <v>-6258597</v>
      </c>
      <c r="BD69" s="63">
        <v>0</v>
      </c>
      <c r="BE69" s="63">
        <v>0</v>
      </c>
      <c r="BF69" s="63">
        <v>0</v>
      </c>
      <c r="BG69" s="63">
        <v>-6258597</v>
      </c>
      <c r="BH69" s="63">
        <v>0</v>
      </c>
      <c r="BI69" s="63">
        <v>-6258597</v>
      </c>
      <c r="BJ69" s="63">
        <v>-25613</v>
      </c>
      <c r="BK69" s="63">
        <v>0</v>
      </c>
      <c r="BL69" s="63">
        <v>-25613</v>
      </c>
      <c r="BM69" s="63">
        <v>-2353257</v>
      </c>
      <c r="BN69" s="63">
        <v>0</v>
      </c>
      <c r="BO69" s="63">
        <v>-2353257</v>
      </c>
      <c r="BP69" s="63">
        <v>-2378870</v>
      </c>
      <c r="BQ69" s="63">
        <v>0</v>
      </c>
      <c r="BR69" s="63">
        <v>0</v>
      </c>
      <c r="BS69" s="63">
        <v>0</v>
      </c>
      <c r="BT69" s="63">
        <v>-2378870</v>
      </c>
      <c r="BU69" s="63">
        <v>0</v>
      </c>
      <c r="BV69" s="63">
        <v>-2378870</v>
      </c>
      <c r="BW69" s="63">
        <v>-148202</v>
      </c>
      <c r="BX69" s="63">
        <v>0</v>
      </c>
      <c r="BY69" s="63">
        <v>-148202</v>
      </c>
      <c r="BZ69" s="63">
        <v>0</v>
      </c>
      <c r="CA69" s="63">
        <v>0</v>
      </c>
      <c r="CB69" s="63">
        <v>0</v>
      </c>
      <c r="CC69" s="63">
        <v>-13185</v>
      </c>
      <c r="CD69" s="63">
        <v>0</v>
      </c>
      <c r="CE69" s="63">
        <v>-13185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-161387</v>
      </c>
      <c r="CR69" s="63">
        <v>0</v>
      </c>
      <c r="CS69" s="63">
        <v>0</v>
      </c>
      <c r="CT69" s="63">
        <v>0</v>
      </c>
      <c r="CU69" s="63">
        <v>-161387</v>
      </c>
      <c r="CV69" s="63">
        <v>0</v>
      </c>
      <c r="CW69" s="63">
        <v>-161387</v>
      </c>
      <c r="CX69" s="63">
        <v>-143111</v>
      </c>
      <c r="CY69" s="63">
        <v>0</v>
      </c>
      <c r="CZ69" s="63">
        <v>-143111</v>
      </c>
      <c r="DA69" s="63">
        <v>-1000</v>
      </c>
      <c r="DB69" s="63">
        <v>0</v>
      </c>
      <c r="DC69" s="63">
        <v>-1000</v>
      </c>
      <c r="DD69" s="63">
        <v>-13851</v>
      </c>
      <c r="DE69" s="63">
        <v>0</v>
      </c>
      <c r="DF69" s="63">
        <v>-13851</v>
      </c>
      <c r="DG69" s="63">
        <v>-157962</v>
      </c>
      <c r="DH69" s="63">
        <v>0</v>
      </c>
      <c r="DI69" s="63">
        <v>0</v>
      </c>
      <c r="DJ69" s="63">
        <v>0</v>
      </c>
      <c r="DK69" s="63">
        <v>-157962</v>
      </c>
      <c r="DL69" s="63">
        <v>0</v>
      </c>
      <c r="DM69" s="63">
        <v>-157962</v>
      </c>
      <c r="DN69" s="63">
        <v>66009510</v>
      </c>
      <c r="DO69" s="63">
        <v>0</v>
      </c>
      <c r="DP69" s="63">
        <v>66009510</v>
      </c>
      <c r="DQ69" s="63"/>
      <c r="DR69" s="585"/>
    </row>
    <row r="70" spans="1:122" x14ac:dyDescent="0.2">
      <c r="A70" s="90">
        <v>63</v>
      </c>
      <c r="B70" s="129" t="s">
        <v>4</v>
      </c>
      <c r="C70" s="130" t="s">
        <v>742</v>
      </c>
      <c r="D70" s="131" t="s">
        <v>744</v>
      </c>
      <c r="E70" s="132" t="s">
        <v>3</v>
      </c>
      <c r="F70" s="475" t="s">
        <v>808</v>
      </c>
      <c r="G70" s="63">
        <v>98650470</v>
      </c>
      <c r="H70" s="63">
        <v>0</v>
      </c>
      <c r="I70" s="63">
        <v>98650470</v>
      </c>
      <c r="J70" s="608">
        <v>48.4</v>
      </c>
      <c r="K70" s="63">
        <v>47746827</v>
      </c>
      <c r="L70" s="63">
        <v>0</v>
      </c>
      <c r="M70" s="63">
        <v>0</v>
      </c>
      <c r="N70" s="63">
        <v>0</v>
      </c>
      <c r="O70" s="63">
        <v>47746827</v>
      </c>
      <c r="P70" s="63">
        <v>0</v>
      </c>
      <c r="Q70" s="63">
        <v>47746827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0</v>
      </c>
      <c r="AE70" s="63">
        <v>0</v>
      </c>
      <c r="AF70" s="63">
        <v>0</v>
      </c>
      <c r="AG70" s="63">
        <v>0</v>
      </c>
      <c r="AH70" s="63">
        <v>-1511690</v>
      </c>
      <c r="AI70" s="63">
        <v>0</v>
      </c>
      <c r="AJ70" s="63">
        <v>-1511690</v>
      </c>
      <c r="AK70" s="63">
        <v>-877</v>
      </c>
      <c r="AL70" s="63">
        <v>0</v>
      </c>
      <c r="AM70" s="63">
        <v>-877</v>
      </c>
      <c r="AN70" s="63">
        <v>1175820</v>
      </c>
      <c r="AO70" s="63">
        <v>0</v>
      </c>
      <c r="AP70" s="63">
        <v>1175820</v>
      </c>
      <c r="AQ70" s="63">
        <v>-335870</v>
      </c>
      <c r="AR70" s="63">
        <v>0</v>
      </c>
      <c r="AS70" s="63">
        <v>-335870</v>
      </c>
      <c r="AT70" s="63">
        <v>-1248950</v>
      </c>
      <c r="AU70" s="63">
        <v>0</v>
      </c>
      <c r="AV70" s="63">
        <v>-1248950</v>
      </c>
      <c r="AW70" s="63">
        <v>-65279</v>
      </c>
      <c r="AX70" s="63">
        <v>0</v>
      </c>
      <c r="AY70" s="63">
        <v>-65279</v>
      </c>
      <c r="AZ70" s="63">
        <v>-22390</v>
      </c>
      <c r="BA70" s="63">
        <v>0</v>
      </c>
      <c r="BB70" s="63">
        <v>-22390</v>
      </c>
      <c r="BC70" s="63">
        <v>-1672489</v>
      </c>
      <c r="BD70" s="63">
        <v>0</v>
      </c>
      <c r="BE70" s="63">
        <v>0</v>
      </c>
      <c r="BF70" s="63">
        <v>0</v>
      </c>
      <c r="BG70" s="63">
        <v>-1672489</v>
      </c>
      <c r="BH70" s="63">
        <v>0</v>
      </c>
      <c r="BI70" s="63">
        <v>-1672489</v>
      </c>
      <c r="BJ70" s="63">
        <v>0</v>
      </c>
      <c r="BK70" s="63">
        <v>0</v>
      </c>
      <c r="BL70" s="63">
        <v>0</v>
      </c>
      <c r="BM70" s="63">
        <v>-332312</v>
      </c>
      <c r="BN70" s="63">
        <v>0</v>
      </c>
      <c r="BO70" s="63">
        <v>-332312</v>
      </c>
      <c r="BP70" s="63">
        <v>-332312</v>
      </c>
      <c r="BQ70" s="63">
        <v>0</v>
      </c>
      <c r="BR70" s="63">
        <v>0</v>
      </c>
      <c r="BS70" s="63">
        <v>0</v>
      </c>
      <c r="BT70" s="63">
        <v>-332312</v>
      </c>
      <c r="BU70" s="63">
        <v>0</v>
      </c>
      <c r="BV70" s="63">
        <v>-332312</v>
      </c>
      <c r="BW70" s="63">
        <v>0</v>
      </c>
      <c r="BX70" s="63">
        <v>0</v>
      </c>
      <c r="BY70" s="63">
        <v>0</v>
      </c>
      <c r="BZ70" s="63">
        <v>0</v>
      </c>
      <c r="CA70" s="63">
        <v>0</v>
      </c>
      <c r="CB70" s="63">
        <v>0</v>
      </c>
      <c r="CC70" s="63">
        <v>0</v>
      </c>
      <c r="CD70" s="63">
        <v>0</v>
      </c>
      <c r="CE70" s="63">
        <v>0</v>
      </c>
      <c r="CF70" s="63">
        <v>0</v>
      </c>
      <c r="CG70" s="63">
        <v>0</v>
      </c>
      <c r="CH70" s="63">
        <v>0</v>
      </c>
      <c r="CI70" s="63">
        <v>0</v>
      </c>
      <c r="CJ70" s="63">
        <v>0</v>
      </c>
      <c r="CK70" s="63">
        <v>0</v>
      </c>
      <c r="CL70" s="63">
        <v>0</v>
      </c>
      <c r="CM70" s="63">
        <v>0</v>
      </c>
      <c r="CN70" s="63">
        <v>0</v>
      </c>
      <c r="CO70" s="63">
        <v>0</v>
      </c>
      <c r="CP70" s="63">
        <v>0</v>
      </c>
      <c r="CQ70" s="63">
        <v>0</v>
      </c>
      <c r="CR70" s="63">
        <v>0</v>
      </c>
      <c r="CS70" s="63">
        <v>0</v>
      </c>
      <c r="CT70" s="63">
        <v>0</v>
      </c>
      <c r="CU70" s="63">
        <v>0</v>
      </c>
      <c r="CV70" s="63">
        <v>0</v>
      </c>
      <c r="CW70" s="63">
        <v>0</v>
      </c>
      <c r="CX70" s="63">
        <v>0</v>
      </c>
      <c r="CY70" s="63">
        <v>0</v>
      </c>
      <c r="CZ70" s="63">
        <v>0</v>
      </c>
      <c r="DA70" s="63">
        <v>-7407</v>
      </c>
      <c r="DB70" s="63">
        <v>0</v>
      </c>
      <c r="DC70" s="63">
        <v>-7407</v>
      </c>
      <c r="DD70" s="63">
        <v>-10000</v>
      </c>
      <c r="DE70" s="63">
        <v>0</v>
      </c>
      <c r="DF70" s="63">
        <v>-10000</v>
      </c>
      <c r="DG70" s="63">
        <v>-17407</v>
      </c>
      <c r="DH70" s="63">
        <v>0</v>
      </c>
      <c r="DI70" s="63">
        <v>0</v>
      </c>
      <c r="DJ70" s="63">
        <v>0</v>
      </c>
      <c r="DK70" s="63">
        <v>-17407</v>
      </c>
      <c r="DL70" s="63">
        <v>0</v>
      </c>
      <c r="DM70" s="63">
        <v>-17407</v>
      </c>
      <c r="DN70" s="63">
        <v>45724619</v>
      </c>
      <c r="DO70" s="63">
        <v>0</v>
      </c>
      <c r="DP70" s="63">
        <v>45724619</v>
      </c>
      <c r="DQ70" s="63"/>
      <c r="DR70" s="585"/>
    </row>
    <row r="71" spans="1:122" x14ac:dyDescent="0.2">
      <c r="A71" s="90">
        <v>64</v>
      </c>
      <c r="B71" s="129" t="s">
        <v>6</v>
      </c>
      <c r="C71" s="130" t="s">
        <v>742</v>
      </c>
      <c r="D71" s="131" t="s">
        <v>745</v>
      </c>
      <c r="E71" s="132" t="s">
        <v>5</v>
      </c>
      <c r="F71" s="475" t="s">
        <v>808</v>
      </c>
      <c r="G71" s="63">
        <v>79868121</v>
      </c>
      <c r="H71" s="63">
        <v>0</v>
      </c>
      <c r="I71" s="63">
        <v>79868121</v>
      </c>
      <c r="J71" s="608">
        <v>48.4</v>
      </c>
      <c r="K71" s="63">
        <v>38656171</v>
      </c>
      <c r="L71" s="63">
        <v>0</v>
      </c>
      <c r="M71" s="63">
        <v>-250000</v>
      </c>
      <c r="N71" s="63">
        <v>0</v>
      </c>
      <c r="O71" s="63">
        <v>38406171</v>
      </c>
      <c r="P71" s="63">
        <v>0</v>
      </c>
      <c r="Q71" s="63">
        <v>38406171</v>
      </c>
      <c r="R71" s="63">
        <v>0</v>
      </c>
      <c r="S71" s="63">
        <v>0</v>
      </c>
      <c r="T71" s="63">
        <v>0</v>
      </c>
      <c r="U71" s="63">
        <v>0</v>
      </c>
      <c r="V71" s="63">
        <v>0</v>
      </c>
      <c r="W71" s="63">
        <v>0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0</v>
      </c>
      <c r="AE71" s="63">
        <v>0</v>
      </c>
      <c r="AF71" s="63">
        <v>0</v>
      </c>
      <c r="AG71" s="63">
        <v>0</v>
      </c>
      <c r="AH71" s="63">
        <v>-1173002</v>
      </c>
      <c r="AI71" s="63">
        <v>0</v>
      </c>
      <c r="AJ71" s="63">
        <v>-1173002</v>
      </c>
      <c r="AK71" s="63">
        <v>0</v>
      </c>
      <c r="AL71" s="63">
        <v>0</v>
      </c>
      <c r="AM71" s="63">
        <v>0</v>
      </c>
      <c r="AN71" s="63">
        <v>983936</v>
      </c>
      <c r="AO71" s="63">
        <v>0</v>
      </c>
      <c r="AP71" s="63">
        <v>983936</v>
      </c>
      <c r="AQ71" s="63">
        <v>-189066</v>
      </c>
      <c r="AR71" s="63">
        <v>0</v>
      </c>
      <c r="AS71" s="63">
        <v>-189066</v>
      </c>
      <c r="AT71" s="63">
        <v>-1848217</v>
      </c>
      <c r="AU71" s="63">
        <v>0</v>
      </c>
      <c r="AV71" s="63">
        <v>-1848217</v>
      </c>
      <c r="AW71" s="63">
        <v>0</v>
      </c>
      <c r="AX71" s="63">
        <v>0</v>
      </c>
      <c r="AY71" s="63">
        <v>0</v>
      </c>
      <c r="AZ71" s="63">
        <v>-542</v>
      </c>
      <c r="BA71" s="63">
        <v>0</v>
      </c>
      <c r="BB71" s="63">
        <v>-542</v>
      </c>
      <c r="BC71" s="63">
        <v>-2037825</v>
      </c>
      <c r="BD71" s="63">
        <v>0</v>
      </c>
      <c r="BE71" s="63">
        <v>0</v>
      </c>
      <c r="BF71" s="63">
        <v>0</v>
      </c>
      <c r="BG71" s="63">
        <v>-2037825</v>
      </c>
      <c r="BH71" s="63">
        <v>0</v>
      </c>
      <c r="BI71" s="63">
        <v>-2037825</v>
      </c>
      <c r="BJ71" s="63">
        <v>-250000</v>
      </c>
      <c r="BK71" s="63">
        <v>0</v>
      </c>
      <c r="BL71" s="63">
        <v>-250000</v>
      </c>
      <c r="BM71" s="63">
        <v>-1380050</v>
      </c>
      <c r="BN71" s="63">
        <v>0</v>
      </c>
      <c r="BO71" s="63">
        <v>-1380050</v>
      </c>
      <c r="BP71" s="63">
        <v>-1630050</v>
      </c>
      <c r="BQ71" s="63">
        <v>0</v>
      </c>
      <c r="BR71" s="63">
        <v>0</v>
      </c>
      <c r="BS71" s="63">
        <v>0</v>
      </c>
      <c r="BT71" s="63">
        <v>-1630050</v>
      </c>
      <c r="BU71" s="63">
        <v>0</v>
      </c>
      <c r="BV71" s="63">
        <v>-1630050</v>
      </c>
      <c r="BW71" s="63">
        <v>-30000</v>
      </c>
      <c r="BX71" s="63">
        <v>0</v>
      </c>
      <c r="BY71" s="63">
        <v>-30000</v>
      </c>
      <c r="BZ71" s="63">
        <v>-30000</v>
      </c>
      <c r="CA71" s="63">
        <v>0</v>
      </c>
      <c r="CB71" s="63">
        <v>-30000</v>
      </c>
      <c r="CC71" s="63">
        <v>0</v>
      </c>
      <c r="CD71" s="63">
        <v>0</v>
      </c>
      <c r="CE71" s="63">
        <v>0</v>
      </c>
      <c r="CF71" s="63">
        <v>0</v>
      </c>
      <c r="CG71" s="63">
        <v>0</v>
      </c>
      <c r="CH71" s="63">
        <v>0</v>
      </c>
      <c r="CI71" s="63">
        <v>0</v>
      </c>
      <c r="CJ71" s="63">
        <v>0</v>
      </c>
      <c r="CK71" s="63">
        <v>0</v>
      </c>
      <c r="CL71" s="63">
        <v>0</v>
      </c>
      <c r="CM71" s="63">
        <v>0</v>
      </c>
      <c r="CN71" s="63">
        <v>0</v>
      </c>
      <c r="CO71" s="63">
        <v>0</v>
      </c>
      <c r="CP71" s="63">
        <v>0</v>
      </c>
      <c r="CQ71" s="63">
        <v>-60000</v>
      </c>
      <c r="CR71" s="63">
        <v>0</v>
      </c>
      <c r="CS71" s="63">
        <v>0</v>
      </c>
      <c r="CT71" s="63">
        <v>0</v>
      </c>
      <c r="CU71" s="63">
        <v>-60000</v>
      </c>
      <c r="CV71" s="63">
        <v>0</v>
      </c>
      <c r="CW71" s="63">
        <v>-60000</v>
      </c>
      <c r="CX71" s="63">
        <v>0</v>
      </c>
      <c r="CY71" s="63">
        <v>0</v>
      </c>
      <c r="CZ71" s="63">
        <v>0</v>
      </c>
      <c r="DA71" s="63">
        <v>-50000</v>
      </c>
      <c r="DB71" s="63">
        <v>0</v>
      </c>
      <c r="DC71" s="63">
        <v>-50000</v>
      </c>
      <c r="DD71" s="63">
        <v>0</v>
      </c>
      <c r="DE71" s="63">
        <v>0</v>
      </c>
      <c r="DF71" s="63">
        <v>0</v>
      </c>
      <c r="DG71" s="63">
        <v>-50000</v>
      </c>
      <c r="DH71" s="63">
        <v>0</v>
      </c>
      <c r="DI71" s="63">
        <v>0</v>
      </c>
      <c r="DJ71" s="63">
        <v>0</v>
      </c>
      <c r="DK71" s="63">
        <v>-50000</v>
      </c>
      <c r="DL71" s="63">
        <v>0</v>
      </c>
      <c r="DM71" s="63">
        <v>-50000</v>
      </c>
      <c r="DN71" s="63">
        <v>34628296</v>
      </c>
      <c r="DO71" s="63">
        <v>0</v>
      </c>
      <c r="DP71" s="63">
        <v>34628296</v>
      </c>
      <c r="DQ71" s="63"/>
      <c r="DR71" s="585"/>
    </row>
    <row r="72" spans="1:122" x14ac:dyDescent="0.2">
      <c r="A72" s="90">
        <v>65</v>
      </c>
      <c r="B72" s="129" t="s">
        <v>8</v>
      </c>
      <c r="C72" s="130" t="s">
        <v>501</v>
      </c>
      <c r="D72" s="131" t="s">
        <v>751</v>
      </c>
      <c r="E72" s="132" t="s">
        <v>7</v>
      </c>
      <c r="F72" s="475" t="s">
        <v>808</v>
      </c>
      <c r="G72" s="63">
        <v>427311152</v>
      </c>
      <c r="H72" s="63">
        <v>1401450</v>
      </c>
      <c r="I72" s="63">
        <v>428712602</v>
      </c>
      <c r="J72" s="608">
        <v>48.4</v>
      </c>
      <c r="K72" s="63">
        <v>206818598</v>
      </c>
      <c r="L72" s="63">
        <v>678302</v>
      </c>
      <c r="M72" s="63">
        <v>1400000</v>
      </c>
      <c r="N72" s="63">
        <v>0</v>
      </c>
      <c r="O72" s="63">
        <v>208218598</v>
      </c>
      <c r="P72" s="63">
        <v>678302</v>
      </c>
      <c r="Q72" s="63">
        <v>208896900</v>
      </c>
      <c r="R72" s="63">
        <v>0</v>
      </c>
      <c r="S72" s="63">
        <v>0</v>
      </c>
      <c r="T72" s="63">
        <v>0</v>
      </c>
      <c r="U72" s="63">
        <v>0</v>
      </c>
      <c r="V72" s="63">
        <v>0</v>
      </c>
      <c r="W72" s="63">
        <v>0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0</v>
      </c>
      <c r="AE72" s="63">
        <v>0</v>
      </c>
      <c r="AF72" s="63">
        <v>0</v>
      </c>
      <c r="AG72" s="63">
        <v>0</v>
      </c>
      <c r="AH72" s="63">
        <v>-24099976</v>
      </c>
      <c r="AI72" s="63">
        <v>-4525</v>
      </c>
      <c r="AJ72" s="63">
        <v>-24104501</v>
      </c>
      <c r="AK72" s="63">
        <v>-29548</v>
      </c>
      <c r="AL72" s="63">
        <v>0</v>
      </c>
      <c r="AM72" s="63">
        <v>-29548</v>
      </c>
      <c r="AN72" s="63">
        <v>4052916</v>
      </c>
      <c r="AO72" s="63">
        <v>17734</v>
      </c>
      <c r="AP72" s="63">
        <v>4070650</v>
      </c>
      <c r="AQ72" s="63">
        <v>-20047060</v>
      </c>
      <c r="AR72" s="63">
        <v>13209</v>
      </c>
      <c r="AS72" s="63">
        <v>-20033851</v>
      </c>
      <c r="AT72" s="63">
        <v>-16051928</v>
      </c>
      <c r="AU72" s="63">
        <v>-1948</v>
      </c>
      <c r="AV72" s="63">
        <v>-16053876</v>
      </c>
      <c r="AW72" s="63">
        <v>-240397</v>
      </c>
      <c r="AX72" s="63">
        <v>0</v>
      </c>
      <c r="AY72" s="63">
        <v>-240397</v>
      </c>
      <c r="AZ72" s="63">
        <v>-232655</v>
      </c>
      <c r="BA72" s="63">
        <v>0</v>
      </c>
      <c r="BB72" s="63">
        <v>-232655</v>
      </c>
      <c r="BC72" s="63">
        <v>-36572040</v>
      </c>
      <c r="BD72" s="63">
        <v>11261</v>
      </c>
      <c r="BE72" s="63">
        <v>-1450000</v>
      </c>
      <c r="BF72" s="63">
        <v>0</v>
      </c>
      <c r="BG72" s="63">
        <v>-38022040</v>
      </c>
      <c r="BH72" s="63">
        <v>11261</v>
      </c>
      <c r="BI72" s="63">
        <v>-38010779</v>
      </c>
      <c r="BJ72" s="63">
        <v>-47684</v>
      </c>
      <c r="BK72" s="63">
        <v>0</v>
      </c>
      <c r="BL72" s="63">
        <v>-47684</v>
      </c>
      <c r="BM72" s="63">
        <v>-3372305</v>
      </c>
      <c r="BN72" s="63">
        <v>0</v>
      </c>
      <c r="BO72" s="63">
        <v>-3372305</v>
      </c>
      <c r="BP72" s="63">
        <v>-3419989</v>
      </c>
      <c r="BQ72" s="63">
        <v>0</v>
      </c>
      <c r="BR72" s="63">
        <v>0</v>
      </c>
      <c r="BS72" s="63">
        <v>0</v>
      </c>
      <c r="BT72" s="63">
        <v>-3419989</v>
      </c>
      <c r="BU72" s="63">
        <v>0</v>
      </c>
      <c r="BV72" s="63">
        <v>-3419989</v>
      </c>
      <c r="BW72" s="63">
        <v>-676151</v>
      </c>
      <c r="BX72" s="63">
        <v>0</v>
      </c>
      <c r="BY72" s="63">
        <v>-676151</v>
      </c>
      <c r="BZ72" s="63">
        <v>-309737</v>
      </c>
      <c r="CA72" s="63">
        <v>0</v>
      </c>
      <c r="CB72" s="63">
        <v>-309737</v>
      </c>
      <c r="CC72" s="63">
        <v>-5595</v>
      </c>
      <c r="CD72" s="63">
        <v>0</v>
      </c>
      <c r="CE72" s="63">
        <v>-5595</v>
      </c>
      <c r="CF72" s="63">
        <v>-105057</v>
      </c>
      <c r="CG72" s="63">
        <v>0</v>
      </c>
      <c r="CH72" s="63">
        <v>-105057</v>
      </c>
      <c r="CI72" s="63">
        <v>-16922</v>
      </c>
      <c r="CJ72" s="63">
        <v>0</v>
      </c>
      <c r="CK72" s="63">
        <v>-16922</v>
      </c>
      <c r="CL72" s="63">
        <v>0</v>
      </c>
      <c r="CM72" s="63">
        <v>-293073</v>
      </c>
      <c r="CN72" s="63">
        <v>-293073</v>
      </c>
      <c r="CO72" s="63">
        <v>-293073</v>
      </c>
      <c r="CP72" s="63">
        <v>0</v>
      </c>
      <c r="CQ72" s="63">
        <v>-1113462</v>
      </c>
      <c r="CR72" s="63">
        <v>-293073</v>
      </c>
      <c r="CS72" s="63">
        <v>0</v>
      </c>
      <c r="CT72" s="63">
        <v>0</v>
      </c>
      <c r="CU72" s="63">
        <v>-1113462</v>
      </c>
      <c r="CV72" s="63">
        <v>-293073</v>
      </c>
      <c r="CW72" s="63">
        <v>-1406535</v>
      </c>
      <c r="CX72" s="63">
        <v>-15000</v>
      </c>
      <c r="CY72" s="63">
        <v>0</v>
      </c>
      <c r="CZ72" s="63">
        <v>-15000</v>
      </c>
      <c r="DA72" s="63">
        <v>-34163</v>
      </c>
      <c r="DB72" s="63">
        <v>0</v>
      </c>
      <c r="DC72" s="63">
        <v>-34163</v>
      </c>
      <c r="DD72" s="63">
        <v>-163886</v>
      </c>
      <c r="DE72" s="63">
        <v>0</v>
      </c>
      <c r="DF72" s="63">
        <v>-163886</v>
      </c>
      <c r="DG72" s="63">
        <v>-213049</v>
      </c>
      <c r="DH72" s="63">
        <v>0</v>
      </c>
      <c r="DI72" s="63">
        <v>0</v>
      </c>
      <c r="DJ72" s="63">
        <v>0</v>
      </c>
      <c r="DK72" s="63">
        <v>-213049</v>
      </c>
      <c r="DL72" s="63">
        <v>0</v>
      </c>
      <c r="DM72" s="63">
        <v>-213049</v>
      </c>
      <c r="DN72" s="63">
        <v>165450058</v>
      </c>
      <c r="DO72" s="63">
        <v>396490</v>
      </c>
      <c r="DP72" s="63">
        <v>165846548</v>
      </c>
      <c r="DQ72" s="63"/>
      <c r="DR72" s="585" t="s">
        <v>768</v>
      </c>
    </row>
    <row r="73" spans="1:122" x14ac:dyDescent="0.2">
      <c r="A73" s="90">
        <v>66</v>
      </c>
      <c r="B73" s="129" t="s">
        <v>10</v>
      </c>
      <c r="C73" s="130" t="s">
        <v>742</v>
      </c>
      <c r="D73" s="131" t="s">
        <v>751</v>
      </c>
      <c r="E73" s="132" t="s">
        <v>9</v>
      </c>
      <c r="F73" s="475" t="s">
        <v>808</v>
      </c>
      <c r="G73" s="63">
        <v>76633113</v>
      </c>
      <c r="H73" s="63">
        <v>0</v>
      </c>
      <c r="I73" s="63">
        <v>76633113</v>
      </c>
      <c r="J73" s="608">
        <v>48.4</v>
      </c>
      <c r="K73" s="63">
        <v>37090427</v>
      </c>
      <c r="L73" s="63">
        <v>0</v>
      </c>
      <c r="M73" s="63">
        <v>50106</v>
      </c>
      <c r="N73" s="63">
        <v>0</v>
      </c>
      <c r="O73" s="63">
        <v>37140533</v>
      </c>
      <c r="P73" s="63">
        <v>0</v>
      </c>
      <c r="Q73" s="63">
        <v>37140533</v>
      </c>
      <c r="R73" s="63">
        <v>0</v>
      </c>
      <c r="S73" s="63">
        <v>0</v>
      </c>
      <c r="T73" s="63">
        <v>0</v>
      </c>
      <c r="U73" s="63">
        <v>0</v>
      </c>
      <c r="V73" s="63">
        <v>0</v>
      </c>
      <c r="W73" s="63">
        <v>0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0</v>
      </c>
      <c r="AE73" s="63">
        <v>0</v>
      </c>
      <c r="AF73" s="63">
        <v>0</v>
      </c>
      <c r="AG73" s="63">
        <v>0</v>
      </c>
      <c r="AH73" s="63">
        <v>-3035945</v>
      </c>
      <c r="AI73" s="63">
        <v>0</v>
      </c>
      <c r="AJ73" s="63">
        <v>-3035945</v>
      </c>
      <c r="AK73" s="63">
        <v>-3695</v>
      </c>
      <c r="AL73" s="63">
        <v>0</v>
      </c>
      <c r="AM73" s="63">
        <v>-3695</v>
      </c>
      <c r="AN73" s="63">
        <v>753190</v>
      </c>
      <c r="AO73" s="63">
        <v>0</v>
      </c>
      <c r="AP73" s="63">
        <v>753190</v>
      </c>
      <c r="AQ73" s="63">
        <v>-2282755</v>
      </c>
      <c r="AR73" s="63">
        <v>0</v>
      </c>
      <c r="AS73" s="63">
        <v>-2282755</v>
      </c>
      <c r="AT73" s="63">
        <v>-2100761</v>
      </c>
      <c r="AU73" s="63">
        <v>0</v>
      </c>
      <c r="AV73" s="63">
        <v>-2100761</v>
      </c>
      <c r="AW73" s="63">
        <v>-115851</v>
      </c>
      <c r="AX73" s="63">
        <v>0</v>
      </c>
      <c r="AY73" s="63">
        <v>-115851</v>
      </c>
      <c r="AZ73" s="63">
        <v>-33423</v>
      </c>
      <c r="BA73" s="63">
        <v>0</v>
      </c>
      <c r="BB73" s="63">
        <v>-33423</v>
      </c>
      <c r="BC73" s="63">
        <v>-4532790</v>
      </c>
      <c r="BD73" s="63">
        <v>0</v>
      </c>
      <c r="BE73" s="63">
        <v>0</v>
      </c>
      <c r="BF73" s="63">
        <v>0</v>
      </c>
      <c r="BG73" s="63">
        <v>-4532790</v>
      </c>
      <c r="BH73" s="63">
        <v>0</v>
      </c>
      <c r="BI73" s="63">
        <v>-4532790</v>
      </c>
      <c r="BJ73" s="63">
        <v>0</v>
      </c>
      <c r="BK73" s="63">
        <v>0</v>
      </c>
      <c r="BL73" s="63">
        <v>0</v>
      </c>
      <c r="BM73" s="63">
        <v>-747456</v>
      </c>
      <c r="BN73" s="63">
        <v>0</v>
      </c>
      <c r="BO73" s="63">
        <v>-747456</v>
      </c>
      <c r="BP73" s="63">
        <v>-747456</v>
      </c>
      <c r="BQ73" s="63">
        <v>0</v>
      </c>
      <c r="BR73" s="63">
        <v>0</v>
      </c>
      <c r="BS73" s="63">
        <v>0</v>
      </c>
      <c r="BT73" s="63">
        <v>-747456</v>
      </c>
      <c r="BU73" s="63">
        <v>0</v>
      </c>
      <c r="BV73" s="63">
        <v>-747456</v>
      </c>
      <c r="BW73" s="63">
        <v>-92355</v>
      </c>
      <c r="BX73" s="63">
        <v>0</v>
      </c>
      <c r="BY73" s="63">
        <v>-92355</v>
      </c>
      <c r="BZ73" s="63">
        <v>-8623</v>
      </c>
      <c r="CA73" s="63">
        <v>0</v>
      </c>
      <c r="CB73" s="63">
        <v>-8623</v>
      </c>
      <c r="CC73" s="63">
        <v>-79</v>
      </c>
      <c r="CD73" s="63">
        <v>0</v>
      </c>
      <c r="CE73" s="63">
        <v>-79</v>
      </c>
      <c r="CF73" s="63">
        <v>-6318</v>
      </c>
      <c r="CG73" s="63">
        <v>0</v>
      </c>
      <c r="CH73" s="63">
        <v>-6318</v>
      </c>
      <c r="CI73" s="63">
        <v>0</v>
      </c>
      <c r="CJ73" s="63">
        <v>0</v>
      </c>
      <c r="CK73" s="63">
        <v>0</v>
      </c>
      <c r="CL73" s="63">
        <v>0</v>
      </c>
      <c r="CM73" s="63">
        <v>0</v>
      </c>
      <c r="CN73" s="63">
        <v>0</v>
      </c>
      <c r="CO73" s="63">
        <v>0</v>
      </c>
      <c r="CP73" s="63">
        <v>0</v>
      </c>
      <c r="CQ73" s="63">
        <v>-107375</v>
      </c>
      <c r="CR73" s="63">
        <v>0</v>
      </c>
      <c r="CS73" s="63">
        <v>0</v>
      </c>
      <c r="CT73" s="63">
        <v>0</v>
      </c>
      <c r="CU73" s="63">
        <v>-107375</v>
      </c>
      <c r="CV73" s="63">
        <v>0</v>
      </c>
      <c r="CW73" s="63">
        <v>-107375</v>
      </c>
      <c r="CX73" s="63">
        <v>-7082</v>
      </c>
      <c r="CY73" s="63">
        <v>0</v>
      </c>
      <c r="CZ73" s="63">
        <v>-7082</v>
      </c>
      <c r="DA73" s="63">
        <v>-3013</v>
      </c>
      <c r="DB73" s="63">
        <v>0</v>
      </c>
      <c r="DC73" s="63">
        <v>-3013</v>
      </c>
      <c r="DD73" s="63">
        <v>-15207</v>
      </c>
      <c r="DE73" s="63">
        <v>0</v>
      </c>
      <c r="DF73" s="63">
        <v>-15207</v>
      </c>
      <c r="DG73" s="63">
        <v>-25302</v>
      </c>
      <c r="DH73" s="63">
        <v>0</v>
      </c>
      <c r="DI73" s="63">
        <v>0</v>
      </c>
      <c r="DJ73" s="63">
        <v>0</v>
      </c>
      <c r="DK73" s="63">
        <v>-25302</v>
      </c>
      <c r="DL73" s="63">
        <v>0</v>
      </c>
      <c r="DM73" s="63">
        <v>-25302</v>
      </c>
      <c r="DN73" s="63">
        <v>31727610</v>
      </c>
      <c r="DO73" s="63">
        <v>0</v>
      </c>
      <c r="DP73" s="63">
        <v>31727610</v>
      </c>
      <c r="DQ73" s="63"/>
      <c r="DR73" s="585"/>
    </row>
    <row r="74" spans="1:122" ht="12.75" x14ac:dyDescent="0.2">
      <c r="A74" s="90">
        <v>67</v>
      </c>
      <c r="B74" s="129" t="s">
        <v>12</v>
      </c>
      <c r="C74" s="130" t="s">
        <v>749</v>
      </c>
      <c r="D74" s="131" t="s">
        <v>752</v>
      </c>
      <c r="E74" s="132" t="s">
        <v>11</v>
      </c>
      <c r="F74" s="475" t="s">
        <v>808</v>
      </c>
      <c r="G74" s="63">
        <v>297537147</v>
      </c>
      <c r="H74" s="63">
        <v>0</v>
      </c>
      <c r="I74" s="63">
        <v>297537147</v>
      </c>
      <c r="J74" s="608">
        <v>48.4</v>
      </c>
      <c r="K74" s="63">
        <v>144007979</v>
      </c>
      <c r="L74" s="63">
        <v>0</v>
      </c>
      <c r="M74" s="63">
        <v>0</v>
      </c>
      <c r="N74" s="63">
        <v>0</v>
      </c>
      <c r="O74" s="63">
        <v>144007979</v>
      </c>
      <c r="P74" s="63">
        <v>0</v>
      </c>
      <c r="Q74" s="63">
        <v>144007979</v>
      </c>
      <c r="R74" s="63">
        <v>0</v>
      </c>
      <c r="S74" s="63">
        <v>0</v>
      </c>
      <c r="T74" s="63">
        <v>0</v>
      </c>
      <c r="U74" s="63">
        <v>0</v>
      </c>
      <c r="V74" s="63">
        <v>0</v>
      </c>
      <c r="W74" s="63">
        <v>0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0</v>
      </c>
      <c r="AE74" s="63">
        <v>0</v>
      </c>
      <c r="AF74" s="63">
        <v>0</v>
      </c>
      <c r="AG74" s="63">
        <v>0</v>
      </c>
      <c r="AH74" s="63">
        <v>-5599510</v>
      </c>
      <c r="AI74" s="63">
        <v>0</v>
      </c>
      <c r="AJ74" s="63">
        <v>-5599510</v>
      </c>
      <c r="AK74" s="63">
        <v>0</v>
      </c>
      <c r="AL74" s="63">
        <v>0</v>
      </c>
      <c r="AM74" s="63">
        <v>0</v>
      </c>
      <c r="AN74" s="63">
        <v>3496469</v>
      </c>
      <c r="AO74" s="63">
        <v>0</v>
      </c>
      <c r="AP74" s="63">
        <v>3496469</v>
      </c>
      <c r="AQ74" s="63">
        <v>-2103041</v>
      </c>
      <c r="AR74" s="63">
        <v>0</v>
      </c>
      <c r="AS74" s="63">
        <v>-2103041</v>
      </c>
      <c r="AT74" s="63">
        <v>-12563289</v>
      </c>
      <c r="AU74" s="63">
        <v>0</v>
      </c>
      <c r="AV74" s="63">
        <v>-12563289</v>
      </c>
      <c r="AW74" s="63">
        <v>-87710</v>
      </c>
      <c r="AX74" s="63">
        <v>0</v>
      </c>
      <c r="AY74" s="63">
        <v>-87710</v>
      </c>
      <c r="AZ74" s="63">
        <v>0</v>
      </c>
      <c r="BA74" s="63">
        <v>0</v>
      </c>
      <c r="BB74" s="63">
        <v>0</v>
      </c>
      <c r="BC74" s="63">
        <v>-14754040</v>
      </c>
      <c r="BD74" s="63">
        <v>0</v>
      </c>
      <c r="BE74" s="63">
        <v>0</v>
      </c>
      <c r="BF74" s="63">
        <v>0</v>
      </c>
      <c r="BG74" s="63">
        <v>-14754040</v>
      </c>
      <c r="BH74" s="63">
        <v>0</v>
      </c>
      <c r="BI74" s="63">
        <v>-14754040</v>
      </c>
      <c r="BJ74" s="63">
        <v>-58820</v>
      </c>
      <c r="BK74" s="63">
        <v>0</v>
      </c>
      <c r="BL74" s="63">
        <v>-58820</v>
      </c>
      <c r="BM74" s="63">
        <v>-2301512</v>
      </c>
      <c r="BN74" s="63">
        <v>0</v>
      </c>
      <c r="BO74" s="63">
        <v>-2301512</v>
      </c>
      <c r="BP74" s="63">
        <v>-2360332</v>
      </c>
      <c r="BQ74" s="63">
        <v>0</v>
      </c>
      <c r="BR74" s="63">
        <v>0</v>
      </c>
      <c r="BS74" s="63">
        <v>0</v>
      </c>
      <c r="BT74" s="63">
        <v>-2360332</v>
      </c>
      <c r="BU74" s="63">
        <v>0</v>
      </c>
      <c r="BV74" s="63">
        <v>-2360332</v>
      </c>
      <c r="BW74" s="63">
        <v>-248597</v>
      </c>
      <c r="BX74" s="63">
        <v>0</v>
      </c>
      <c r="BY74" s="63">
        <v>-248597</v>
      </c>
      <c r="BZ74" s="63">
        <v>-19167</v>
      </c>
      <c r="CA74" s="63">
        <v>0</v>
      </c>
      <c r="CB74" s="63">
        <v>-19167</v>
      </c>
      <c r="CC74" s="63">
        <v>-10439</v>
      </c>
      <c r="CD74" s="63">
        <v>0</v>
      </c>
      <c r="CE74" s="63">
        <v>-10439</v>
      </c>
      <c r="CF74" s="63">
        <v>0</v>
      </c>
      <c r="CG74" s="63">
        <v>0</v>
      </c>
      <c r="CH74" s="63">
        <v>0</v>
      </c>
      <c r="CI74" s="63">
        <v>0</v>
      </c>
      <c r="CJ74" s="63">
        <v>0</v>
      </c>
      <c r="CK74" s="63">
        <v>0</v>
      </c>
      <c r="CL74" s="63">
        <v>0</v>
      </c>
      <c r="CM74" s="63">
        <v>0</v>
      </c>
      <c r="CN74" s="63">
        <v>0</v>
      </c>
      <c r="CO74" s="63">
        <v>0</v>
      </c>
      <c r="CP74" s="63">
        <v>0</v>
      </c>
      <c r="CQ74" s="63">
        <v>-278203</v>
      </c>
      <c r="CR74" s="63">
        <v>0</v>
      </c>
      <c r="CS74" s="63">
        <v>0</v>
      </c>
      <c r="CT74" s="63">
        <v>0</v>
      </c>
      <c r="CU74" s="63">
        <v>-278203</v>
      </c>
      <c r="CV74" s="63">
        <v>0</v>
      </c>
      <c r="CW74" s="63">
        <v>-278203</v>
      </c>
      <c r="CX74" s="63">
        <v>-9144</v>
      </c>
      <c r="CY74" s="63">
        <v>0</v>
      </c>
      <c r="CZ74" s="63">
        <v>-9144</v>
      </c>
      <c r="DA74" s="63">
        <v>-93617</v>
      </c>
      <c r="DB74" s="63">
        <v>0</v>
      </c>
      <c r="DC74" s="63">
        <v>-93617</v>
      </c>
      <c r="DD74" s="63">
        <v>-6675</v>
      </c>
      <c r="DE74" s="63">
        <v>0</v>
      </c>
      <c r="DF74" s="63">
        <v>-6675</v>
      </c>
      <c r="DG74" s="63">
        <v>-109436</v>
      </c>
      <c r="DH74" s="63">
        <v>0</v>
      </c>
      <c r="DI74" s="63">
        <v>0</v>
      </c>
      <c r="DJ74" s="63">
        <v>0</v>
      </c>
      <c r="DK74" s="63">
        <v>-109436</v>
      </c>
      <c r="DL74" s="63">
        <v>0</v>
      </c>
      <c r="DM74" s="63">
        <v>-109436</v>
      </c>
      <c r="DN74" s="63">
        <v>126505968</v>
      </c>
      <c r="DO74" s="63">
        <v>0</v>
      </c>
      <c r="DP74" s="63">
        <v>126505968</v>
      </c>
      <c r="DQ74" s="63"/>
      <c r="DR74" s="586"/>
    </row>
    <row r="75" spans="1:122" x14ac:dyDescent="0.2">
      <c r="A75" s="90">
        <v>68</v>
      </c>
      <c r="B75" s="129" t="s">
        <v>14</v>
      </c>
      <c r="C75" s="130" t="s">
        <v>742</v>
      </c>
      <c r="D75" s="131" t="s">
        <v>750</v>
      </c>
      <c r="E75" s="132" t="s">
        <v>13</v>
      </c>
      <c r="F75" s="475" t="s">
        <v>808</v>
      </c>
      <c r="G75" s="63">
        <v>47318192</v>
      </c>
      <c r="H75" s="63">
        <v>0</v>
      </c>
      <c r="I75" s="63">
        <v>47318192</v>
      </c>
      <c r="J75" s="608">
        <v>48.4</v>
      </c>
      <c r="K75" s="63">
        <v>22902005</v>
      </c>
      <c r="L75" s="63">
        <v>0</v>
      </c>
      <c r="M75" s="63">
        <v>0</v>
      </c>
      <c r="N75" s="63">
        <v>0</v>
      </c>
      <c r="O75" s="63">
        <v>22902005</v>
      </c>
      <c r="P75" s="63">
        <v>0</v>
      </c>
      <c r="Q75" s="63">
        <v>22902005</v>
      </c>
      <c r="R75" s="63">
        <v>0</v>
      </c>
      <c r="S75" s="63">
        <v>0</v>
      </c>
      <c r="T75" s="63">
        <v>0</v>
      </c>
      <c r="U75" s="63">
        <v>0</v>
      </c>
      <c r="V75" s="63">
        <v>0</v>
      </c>
      <c r="W75" s="63">
        <v>0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-2331953</v>
      </c>
      <c r="AI75" s="63">
        <v>0</v>
      </c>
      <c r="AJ75" s="63">
        <v>-2331953</v>
      </c>
      <c r="AK75" s="63">
        <v>-2323</v>
      </c>
      <c r="AL75" s="63">
        <v>0</v>
      </c>
      <c r="AM75" s="63">
        <v>-2323</v>
      </c>
      <c r="AN75" s="63">
        <v>456415</v>
      </c>
      <c r="AO75" s="63">
        <v>0</v>
      </c>
      <c r="AP75" s="63">
        <v>456415</v>
      </c>
      <c r="AQ75" s="63">
        <v>-1875538</v>
      </c>
      <c r="AR75" s="63">
        <v>0</v>
      </c>
      <c r="AS75" s="63">
        <v>-1875538</v>
      </c>
      <c r="AT75" s="63">
        <v>-1070926</v>
      </c>
      <c r="AU75" s="63">
        <v>0</v>
      </c>
      <c r="AV75" s="63">
        <v>-1070926</v>
      </c>
      <c r="AW75" s="63">
        <v>-28597</v>
      </c>
      <c r="AX75" s="63">
        <v>0</v>
      </c>
      <c r="AY75" s="63">
        <v>-28597</v>
      </c>
      <c r="AZ75" s="63">
        <v>-28136</v>
      </c>
      <c r="BA75" s="63">
        <v>0</v>
      </c>
      <c r="BB75" s="63">
        <v>-28136</v>
      </c>
      <c r="BC75" s="63">
        <v>-3003197</v>
      </c>
      <c r="BD75" s="63">
        <v>0</v>
      </c>
      <c r="BE75" s="63">
        <v>0</v>
      </c>
      <c r="BF75" s="63">
        <v>0</v>
      </c>
      <c r="BG75" s="63">
        <v>-3003197</v>
      </c>
      <c r="BH75" s="63">
        <v>0</v>
      </c>
      <c r="BI75" s="63">
        <v>-3003197</v>
      </c>
      <c r="BJ75" s="63">
        <v>-3815</v>
      </c>
      <c r="BK75" s="63">
        <v>0</v>
      </c>
      <c r="BL75" s="63">
        <v>-3815</v>
      </c>
      <c r="BM75" s="63">
        <v>-630306</v>
      </c>
      <c r="BN75" s="63">
        <v>0</v>
      </c>
      <c r="BO75" s="63">
        <v>-630306</v>
      </c>
      <c r="BP75" s="63">
        <v>-634121</v>
      </c>
      <c r="BQ75" s="63">
        <v>0</v>
      </c>
      <c r="BR75" s="63">
        <v>0</v>
      </c>
      <c r="BS75" s="63">
        <v>0</v>
      </c>
      <c r="BT75" s="63">
        <v>-634121</v>
      </c>
      <c r="BU75" s="63">
        <v>0</v>
      </c>
      <c r="BV75" s="63">
        <v>-634121</v>
      </c>
      <c r="BW75" s="63">
        <v>-21659</v>
      </c>
      <c r="BX75" s="63">
        <v>0</v>
      </c>
      <c r="BY75" s="63">
        <v>-21659</v>
      </c>
      <c r="BZ75" s="63">
        <v>-3627</v>
      </c>
      <c r="CA75" s="63">
        <v>0</v>
      </c>
      <c r="CB75" s="63">
        <v>-3627</v>
      </c>
      <c r="CC75" s="63">
        <v>0</v>
      </c>
      <c r="CD75" s="63">
        <v>0</v>
      </c>
      <c r="CE75" s="63">
        <v>0</v>
      </c>
      <c r="CF75" s="63">
        <v>-30342</v>
      </c>
      <c r="CG75" s="63">
        <v>0</v>
      </c>
      <c r="CH75" s="63">
        <v>-30342</v>
      </c>
      <c r="CI75" s="63">
        <v>0</v>
      </c>
      <c r="CJ75" s="63">
        <v>0</v>
      </c>
      <c r="CK75" s="63">
        <v>0</v>
      </c>
      <c r="CL75" s="63">
        <v>0</v>
      </c>
      <c r="CM75" s="63">
        <v>0</v>
      </c>
      <c r="CN75" s="63">
        <v>0</v>
      </c>
      <c r="CO75" s="63">
        <v>0</v>
      </c>
      <c r="CP75" s="63">
        <v>0</v>
      </c>
      <c r="CQ75" s="63">
        <v>-55628</v>
      </c>
      <c r="CR75" s="63">
        <v>0</v>
      </c>
      <c r="CS75" s="63">
        <v>0</v>
      </c>
      <c r="CT75" s="63">
        <v>0</v>
      </c>
      <c r="CU75" s="63">
        <v>-55628</v>
      </c>
      <c r="CV75" s="63">
        <v>0</v>
      </c>
      <c r="CW75" s="63">
        <v>-55628</v>
      </c>
      <c r="CX75" s="63">
        <v>-3529</v>
      </c>
      <c r="CY75" s="63">
        <v>0</v>
      </c>
      <c r="CZ75" s="63">
        <v>-3529</v>
      </c>
      <c r="DA75" s="63">
        <v>-24297</v>
      </c>
      <c r="DB75" s="63">
        <v>0</v>
      </c>
      <c r="DC75" s="63">
        <v>-24297</v>
      </c>
      <c r="DD75" s="63">
        <v>0</v>
      </c>
      <c r="DE75" s="63">
        <v>0</v>
      </c>
      <c r="DF75" s="63">
        <v>0</v>
      </c>
      <c r="DG75" s="63">
        <v>-27826</v>
      </c>
      <c r="DH75" s="63">
        <v>0</v>
      </c>
      <c r="DI75" s="63">
        <v>0</v>
      </c>
      <c r="DJ75" s="63">
        <v>0</v>
      </c>
      <c r="DK75" s="63">
        <v>-27826</v>
      </c>
      <c r="DL75" s="63">
        <v>0</v>
      </c>
      <c r="DM75" s="63">
        <v>-27826</v>
      </c>
      <c r="DN75" s="63">
        <v>19181233</v>
      </c>
      <c r="DO75" s="63">
        <v>0</v>
      </c>
      <c r="DP75" s="63">
        <v>19181233</v>
      </c>
      <c r="DQ75" s="63"/>
      <c r="DR75" s="585"/>
    </row>
    <row r="76" spans="1:122" x14ac:dyDescent="0.2">
      <c r="A76" s="90">
        <v>69</v>
      </c>
      <c r="B76" s="129" t="s">
        <v>16</v>
      </c>
      <c r="C76" s="130" t="s">
        <v>742</v>
      </c>
      <c r="D76" s="131" t="s">
        <v>743</v>
      </c>
      <c r="E76" s="132" t="s">
        <v>15</v>
      </c>
      <c r="F76" s="475" t="s">
        <v>808</v>
      </c>
      <c r="G76" s="63">
        <v>261502211</v>
      </c>
      <c r="H76" s="63">
        <v>0</v>
      </c>
      <c r="I76" s="63">
        <v>261502211</v>
      </c>
      <c r="J76" s="608">
        <v>48.4</v>
      </c>
      <c r="K76" s="63">
        <v>126567070</v>
      </c>
      <c r="L76" s="63">
        <v>0</v>
      </c>
      <c r="M76" s="63">
        <v>818823</v>
      </c>
      <c r="N76" s="63">
        <v>0</v>
      </c>
      <c r="O76" s="63">
        <v>127385893</v>
      </c>
      <c r="P76" s="63">
        <v>0</v>
      </c>
      <c r="Q76" s="63">
        <v>127385893</v>
      </c>
      <c r="R76" s="63">
        <v>0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0</v>
      </c>
      <c r="AE76" s="63">
        <v>0</v>
      </c>
      <c r="AF76" s="63">
        <v>0</v>
      </c>
      <c r="AG76" s="63">
        <v>0</v>
      </c>
      <c r="AH76" s="63">
        <v>-797614</v>
      </c>
      <c r="AI76" s="63">
        <v>0</v>
      </c>
      <c r="AJ76" s="63">
        <v>-797614</v>
      </c>
      <c r="AK76" s="63">
        <v>-2863</v>
      </c>
      <c r="AL76" s="63">
        <v>0</v>
      </c>
      <c r="AM76" s="63">
        <v>-2863</v>
      </c>
      <c r="AN76" s="63">
        <v>3268228</v>
      </c>
      <c r="AO76" s="63">
        <v>0</v>
      </c>
      <c r="AP76" s="63">
        <v>3268228</v>
      </c>
      <c r="AQ76" s="63">
        <v>2470614</v>
      </c>
      <c r="AR76" s="63">
        <v>0</v>
      </c>
      <c r="AS76" s="63">
        <v>2470614</v>
      </c>
      <c r="AT76" s="63">
        <v>-2750112</v>
      </c>
      <c r="AU76" s="63">
        <v>0</v>
      </c>
      <c r="AV76" s="63">
        <v>-2750112</v>
      </c>
      <c r="AW76" s="63">
        <v>-29259</v>
      </c>
      <c r="AX76" s="63">
        <v>0</v>
      </c>
      <c r="AY76" s="63">
        <v>-29259</v>
      </c>
      <c r="AZ76" s="63">
        <v>0</v>
      </c>
      <c r="BA76" s="63">
        <v>0</v>
      </c>
      <c r="BB76" s="63">
        <v>0</v>
      </c>
      <c r="BC76" s="63">
        <v>-308757</v>
      </c>
      <c r="BD76" s="63">
        <v>0</v>
      </c>
      <c r="BE76" s="63">
        <v>0</v>
      </c>
      <c r="BF76" s="63">
        <v>0</v>
      </c>
      <c r="BG76" s="63">
        <v>-308757</v>
      </c>
      <c r="BH76" s="63">
        <v>0</v>
      </c>
      <c r="BI76" s="63">
        <v>-308757</v>
      </c>
      <c r="BJ76" s="63">
        <v>-85000</v>
      </c>
      <c r="BK76" s="63">
        <v>0</v>
      </c>
      <c r="BL76" s="63">
        <v>-85000</v>
      </c>
      <c r="BM76" s="63">
        <v>-4260027</v>
      </c>
      <c r="BN76" s="63">
        <v>0</v>
      </c>
      <c r="BO76" s="63">
        <v>-4260027</v>
      </c>
      <c r="BP76" s="63">
        <v>-4345027</v>
      </c>
      <c r="BQ76" s="63">
        <v>0</v>
      </c>
      <c r="BR76" s="63">
        <v>181000</v>
      </c>
      <c r="BS76" s="63">
        <v>0</v>
      </c>
      <c r="BT76" s="63">
        <v>-4164027</v>
      </c>
      <c r="BU76" s="63">
        <v>0</v>
      </c>
      <c r="BV76" s="63">
        <v>-4164027</v>
      </c>
      <c r="BW76" s="63">
        <v>-295944</v>
      </c>
      <c r="BX76" s="63">
        <v>0</v>
      </c>
      <c r="BY76" s="63">
        <v>-295944</v>
      </c>
      <c r="BZ76" s="63">
        <v>-108266</v>
      </c>
      <c r="CA76" s="63">
        <v>0</v>
      </c>
      <c r="CB76" s="63">
        <v>-108266</v>
      </c>
      <c r="CC76" s="63">
        <v>-1696</v>
      </c>
      <c r="CD76" s="63">
        <v>0</v>
      </c>
      <c r="CE76" s="63">
        <v>-1696</v>
      </c>
      <c r="CF76" s="63">
        <v>0</v>
      </c>
      <c r="CG76" s="63">
        <v>0</v>
      </c>
      <c r="CH76" s="63">
        <v>0</v>
      </c>
      <c r="CI76" s="63">
        <v>0</v>
      </c>
      <c r="CJ76" s="63">
        <v>0</v>
      </c>
      <c r="CK76" s="63">
        <v>0</v>
      </c>
      <c r="CL76" s="63">
        <v>0</v>
      </c>
      <c r="CM76" s="63">
        <v>0</v>
      </c>
      <c r="CN76" s="63">
        <v>0</v>
      </c>
      <c r="CO76" s="63">
        <v>0</v>
      </c>
      <c r="CP76" s="63">
        <v>0</v>
      </c>
      <c r="CQ76" s="63">
        <v>-405906</v>
      </c>
      <c r="CR76" s="63">
        <v>0</v>
      </c>
      <c r="CS76" s="63">
        <v>0</v>
      </c>
      <c r="CT76" s="63">
        <v>0</v>
      </c>
      <c r="CU76" s="63">
        <v>-405906</v>
      </c>
      <c r="CV76" s="63">
        <v>0</v>
      </c>
      <c r="CW76" s="63">
        <v>-405906</v>
      </c>
      <c r="CX76" s="63">
        <v>-110885</v>
      </c>
      <c r="CY76" s="63">
        <v>0</v>
      </c>
      <c r="CZ76" s="63">
        <v>-110885</v>
      </c>
      <c r="DA76" s="63">
        <v>-71304</v>
      </c>
      <c r="DB76" s="63">
        <v>0</v>
      </c>
      <c r="DC76" s="63">
        <v>-71304</v>
      </c>
      <c r="DD76" s="63">
        <v>-3548</v>
      </c>
      <c r="DE76" s="63">
        <v>0</v>
      </c>
      <c r="DF76" s="63">
        <v>-3548</v>
      </c>
      <c r="DG76" s="63">
        <v>-185737</v>
      </c>
      <c r="DH76" s="63">
        <v>0</v>
      </c>
      <c r="DI76" s="63">
        <v>0</v>
      </c>
      <c r="DJ76" s="63">
        <v>0</v>
      </c>
      <c r="DK76" s="63">
        <v>-185737</v>
      </c>
      <c r="DL76" s="63">
        <v>0</v>
      </c>
      <c r="DM76" s="63">
        <v>-185737</v>
      </c>
      <c r="DN76" s="63">
        <v>122321466</v>
      </c>
      <c r="DO76" s="63">
        <v>0</v>
      </c>
      <c r="DP76" s="63">
        <v>122321466</v>
      </c>
      <c r="DQ76" s="63"/>
      <c r="DR76" s="585"/>
    </row>
    <row r="77" spans="1:122" x14ac:dyDescent="0.2">
      <c r="A77" s="90">
        <v>70</v>
      </c>
      <c r="B77" s="129" t="s">
        <v>18</v>
      </c>
      <c r="C77" s="130" t="s">
        <v>747</v>
      </c>
      <c r="D77" s="131" t="s">
        <v>748</v>
      </c>
      <c r="E77" s="132" t="s">
        <v>17</v>
      </c>
      <c r="F77" s="475" t="s">
        <v>808</v>
      </c>
      <c r="G77" s="63">
        <v>278464336</v>
      </c>
      <c r="H77" s="63">
        <v>0</v>
      </c>
      <c r="I77" s="63">
        <v>278464336</v>
      </c>
      <c r="J77" s="608">
        <v>48.4</v>
      </c>
      <c r="K77" s="63">
        <v>134776739</v>
      </c>
      <c r="L77" s="63">
        <v>0</v>
      </c>
      <c r="M77" s="63">
        <v>0</v>
      </c>
      <c r="N77" s="63">
        <v>0</v>
      </c>
      <c r="O77" s="63">
        <v>134776739</v>
      </c>
      <c r="P77" s="63">
        <v>0</v>
      </c>
      <c r="Q77" s="63">
        <v>134776739</v>
      </c>
      <c r="R77" s="63">
        <v>0</v>
      </c>
      <c r="S77" s="63">
        <v>0</v>
      </c>
      <c r="T77" s="63">
        <v>0</v>
      </c>
      <c r="U77" s="63">
        <v>0</v>
      </c>
      <c r="V77" s="63">
        <v>0</v>
      </c>
      <c r="W77" s="63">
        <v>0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0</v>
      </c>
      <c r="AE77" s="63">
        <v>0</v>
      </c>
      <c r="AF77" s="63">
        <v>0</v>
      </c>
      <c r="AG77" s="63">
        <v>0</v>
      </c>
      <c r="AH77" s="63">
        <v>-6143027</v>
      </c>
      <c r="AI77" s="63">
        <v>0</v>
      </c>
      <c r="AJ77" s="63">
        <v>-6143027</v>
      </c>
      <c r="AK77" s="63">
        <v>0</v>
      </c>
      <c r="AL77" s="63">
        <v>0</v>
      </c>
      <c r="AM77" s="63">
        <v>0</v>
      </c>
      <c r="AN77" s="63">
        <v>3144840</v>
      </c>
      <c r="AO77" s="63">
        <v>0</v>
      </c>
      <c r="AP77" s="63">
        <v>3144840</v>
      </c>
      <c r="AQ77" s="63">
        <v>-2998187</v>
      </c>
      <c r="AR77" s="63">
        <v>0</v>
      </c>
      <c r="AS77" s="63">
        <v>-2998187</v>
      </c>
      <c r="AT77" s="63">
        <v>-9388165</v>
      </c>
      <c r="AU77" s="63">
        <v>0</v>
      </c>
      <c r="AV77" s="63">
        <v>-9388165</v>
      </c>
      <c r="AW77" s="63">
        <v>-170270</v>
      </c>
      <c r="AX77" s="63">
        <v>0</v>
      </c>
      <c r="AY77" s="63">
        <v>-170270</v>
      </c>
      <c r="AZ77" s="63">
        <v>0</v>
      </c>
      <c r="BA77" s="63">
        <v>0</v>
      </c>
      <c r="BB77" s="63">
        <v>0</v>
      </c>
      <c r="BC77" s="63">
        <v>-12556622</v>
      </c>
      <c r="BD77" s="63">
        <v>0</v>
      </c>
      <c r="BE77" s="63">
        <v>-492900</v>
      </c>
      <c r="BF77" s="63">
        <v>0</v>
      </c>
      <c r="BG77" s="63">
        <v>-13049522</v>
      </c>
      <c r="BH77" s="63">
        <v>0</v>
      </c>
      <c r="BI77" s="63">
        <v>-13049522</v>
      </c>
      <c r="BJ77" s="63">
        <v>-659521</v>
      </c>
      <c r="BK77" s="63">
        <v>0</v>
      </c>
      <c r="BL77" s="63">
        <v>-659521</v>
      </c>
      <c r="BM77" s="63">
        <v>-7287195</v>
      </c>
      <c r="BN77" s="63">
        <v>0</v>
      </c>
      <c r="BO77" s="63">
        <v>-7287195</v>
      </c>
      <c r="BP77" s="63">
        <v>-7946716</v>
      </c>
      <c r="BQ77" s="63">
        <v>0</v>
      </c>
      <c r="BR77" s="63">
        <v>-300000</v>
      </c>
      <c r="BS77" s="63">
        <v>0</v>
      </c>
      <c r="BT77" s="63">
        <v>-8246716</v>
      </c>
      <c r="BU77" s="63">
        <v>0</v>
      </c>
      <c r="BV77" s="63">
        <v>-8246716</v>
      </c>
      <c r="BW77" s="63">
        <v>-37115</v>
      </c>
      <c r="BX77" s="63">
        <v>0</v>
      </c>
      <c r="BY77" s="63">
        <v>-37115</v>
      </c>
      <c r="BZ77" s="63">
        <v>-55131</v>
      </c>
      <c r="CA77" s="63">
        <v>0</v>
      </c>
      <c r="CB77" s="63">
        <v>-55131</v>
      </c>
      <c r="CC77" s="63">
        <v>0</v>
      </c>
      <c r="CD77" s="63">
        <v>0</v>
      </c>
      <c r="CE77" s="63">
        <v>0</v>
      </c>
      <c r="CF77" s="63">
        <v>0</v>
      </c>
      <c r="CG77" s="63">
        <v>0</v>
      </c>
      <c r="CH77" s="63">
        <v>0</v>
      </c>
      <c r="CI77" s="63">
        <v>0</v>
      </c>
      <c r="CJ77" s="63">
        <v>0</v>
      </c>
      <c r="CK77" s="63">
        <v>0</v>
      </c>
      <c r="CL77" s="63">
        <v>0</v>
      </c>
      <c r="CM77" s="63">
        <v>0</v>
      </c>
      <c r="CN77" s="63">
        <v>0</v>
      </c>
      <c r="CO77" s="63">
        <v>0</v>
      </c>
      <c r="CP77" s="63">
        <v>0</v>
      </c>
      <c r="CQ77" s="63">
        <v>-92246</v>
      </c>
      <c r="CR77" s="63">
        <v>0</v>
      </c>
      <c r="CS77" s="63">
        <v>0</v>
      </c>
      <c r="CT77" s="63">
        <v>0</v>
      </c>
      <c r="CU77" s="63">
        <v>-92246</v>
      </c>
      <c r="CV77" s="63">
        <v>0</v>
      </c>
      <c r="CW77" s="63">
        <v>-92246</v>
      </c>
      <c r="CX77" s="63">
        <v>0</v>
      </c>
      <c r="CY77" s="63">
        <v>0</v>
      </c>
      <c r="CZ77" s="63">
        <v>0</v>
      </c>
      <c r="DA77" s="63">
        <v>-786</v>
      </c>
      <c r="DB77" s="63">
        <v>0</v>
      </c>
      <c r="DC77" s="63">
        <v>-786</v>
      </c>
      <c r="DD77" s="63">
        <v>-1322768</v>
      </c>
      <c r="DE77" s="63">
        <v>0</v>
      </c>
      <c r="DF77" s="63">
        <v>-1322768</v>
      </c>
      <c r="DG77" s="63">
        <v>-1323554</v>
      </c>
      <c r="DH77" s="63">
        <v>0</v>
      </c>
      <c r="DI77" s="63">
        <v>0</v>
      </c>
      <c r="DJ77" s="63">
        <v>0</v>
      </c>
      <c r="DK77" s="63">
        <v>-1323554</v>
      </c>
      <c r="DL77" s="63">
        <v>0</v>
      </c>
      <c r="DM77" s="63">
        <v>-1323554</v>
      </c>
      <c r="DN77" s="63">
        <v>112064701</v>
      </c>
      <c r="DO77" s="63">
        <v>0</v>
      </c>
      <c r="DP77" s="63">
        <v>112064701</v>
      </c>
      <c r="DQ77" s="63"/>
      <c r="DR77" s="585"/>
    </row>
    <row r="78" spans="1:122" x14ac:dyDescent="0.2">
      <c r="A78" s="90">
        <v>71</v>
      </c>
      <c r="B78" s="129" t="s">
        <v>21</v>
      </c>
      <c r="C78" s="130" t="s">
        <v>742</v>
      </c>
      <c r="D78" s="131" t="s">
        <v>746</v>
      </c>
      <c r="E78" s="132" t="s">
        <v>19</v>
      </c>
      <c r="F78" s="475" t="s">
        <v>808</v>
      </c>
      <c r="G78" s="63">
        <v>151059973</v>
      </c>
      <c r="H78" s="63">
        <v>0</v>
      </c>
      <c r="I78" s="63">
        <v>151059973</v>
      </c>
      <c r="J78" s="608">
        <v>48.4</v>
      </c>
      <c r="K78" s="63">
        <v>73113027</v>
      </c>
      <c r="L78" s="63">
        <v>0</v>
      </c>
      <c r="M78" s="63">
        <v>-1000000</v>
      </c>
      <c r="N78" s="63">
        <v>0</v>
      </c>
      <c r="O78" s="63">
        <v>72113027</v>
      </c>
      <c r="P78" s="63">
        <v>0</v>
      </c>
      <c r="Q78" s="63">
        <v>72113027</v>
      </c>
      <c r="R78" s="63">
        <v>0</v>
      </c>
      <c r="S78" s="63">
        <v>0</v>
      </c>
      <c r="T78" s="63">
        <v>0</v>
      </c>
      <c r="U78" s="63">
        <v>0</v>
      </c>
      <c r="V78" s="63">
        <v>0</v>
      </c>
      <c r="W78" s="63">
        <v>0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0</v>
      </c>
      <c r="AE78" s="63">
        <v>0</v>
      </c>
      <c r="AF78" s="63">
        <v>0</v>
      </c>
      <c r="AG78" s="63">
        <v>0</v>
      </c>
      <c r="AH78" s="63">
        <v>-2238067</v>
      </c>
      <c r="AI78" s="63">
        <v>0</v>
      </c>
      <c r="AJ78" s="63">
        <v>-2238067</v>
      </c>
      <c r="AK78" s="63">
        <v>-5037</v>
      </c>
      <c r="AL78" s="63">
        <v>0</v>
      </c>
      <c r="AM78" s="63">
        <v>-5037</v>
      </c>
      <c r="AN78" s="63">
        <v>1747882</v>
      </c>
      <c r="AO78" s="63">
        <v>0</v>
      </c>
      <c r="AP78" s="63">
        <v>1747882</v>
      </c>
      <c r="AQ78" s="63">
        <v>-490185</v>
      </c>
      <c r="AR78" s="63">
        <v>0</v>
      </c>
      <c r="AS78" s="63">
        <v>-490185</v>
      </c>
      <c r="AT78" s="63">
        <v>-4008164</v>
      </c>
      <c r="AU78" s="63">
        <v>0</v>
      </c>
      <c r="AV78" s="63">
        <v>-4008164</v>
      </c>
      <c r="AW78" s="63">
        <v>-81041</v>
      </c>
      <c r="AX78" s="63">
        <v>0</v>
      </c>
      <c r="AY78" s="63">
        <v>-81041</v>
      </c>
      <c r="AZ78" s="63">
        <v>-4125</v>
      </c>
      <c r="BA78" s="63">
        <v>0</v>
      </c>
      <c r="BB78" s="63">
        <v>-4125</v>
      </c>
      <c r="BC78" s="63">
        <v>-4583515</v>
      </c>
      <c r="BD78" s="63">
        <v>0</v>
      </c>
      <c r="BE78" s="63">
        <v>-600000</v>
      </c>
      <c r="BF78" s="63">
        <v>0</v>
      </c>
      <c r="BG78" s="63">
        <v>-5183515</v>
      </c>
      <c r="BH78" s="63">
        <v>0</v>
      </c>
      <c r="BI78" s="63">
        <v>-5183515</v>
      </c>
      <c r="BJ78" s="63">
        <v>-90000</v>
      </c>
      <c r="BK78" s="63">
        <v>0</v>
      </c>
      <c r="BL78" s="63">
        <v>-90000</v>
      </c>
      <c r="BM78" s="63">
        <v>-786372</v>
      </c>
      <c r="BN78" s="63">
        <v>0</v>
      </c>
      <c r="BO78" s="63">
        <v>-786372</v>
      </c>
      <c r="BP78" s="63">
        <v>-876372</v>
      </c>
      <c r="BQ78" s="63">
        <v>0</v>
      </c>
      <c r="BR78" s="63">
        <v>0</v>
      </c>
      <c r="BS78" s="63">
        <v>0</v>
      </c>
      <c r="BT78" s="63">
        <v>-876372</v>
      </c>
      <c r="BU78" s="63">
        <v>0</v>
      </c>
      <c r="BV78" s="63">
        <v>-876372</v>
      </c>
      <c r="BW78" s="63">
        <v>-255953</v>
      </c>
      <c r="BX78" s="63">
        <v>0</v>
      </c>
      <c r="BY78" s="63">
        <v>-255953</v>
      </c>
      <c r="BZ78" s="63">
        <v>-1851</v>
      </c>
      <c r="CA78" s="63">
        <v>0</v>
      </c>
      <c r="CB78" s="63">
        <v>-1851</v>
      </c>
      <c r="CC78" s="63">
        <v>0</v>
      </c>
      <c r="CD78" s="63">
        <v>0</v>
      </c>
      <c r="CE78" s="63">
        <v>0</v>
      </c>
      <c r="CF78" s="63">
        <v>0</v>
      </c>
      <c r="CG78" s="63">
        <v>0</v>
      </c>
      <c r="CH78" s="63">
        <v>0</v>
      </c>
      <c r="CI78" s="63">
        <v>-2013</v>
      </c>
      <c r="CJ78" s="63">
        <v>0</v>
      </c>
      <c r="CK78" s="63">
        <v>-2013</v>
      </c>
      <c r="CL78" s="63">
        <v>0</v>
      </c>
      <c r="CM78" s="63">
        <v>0</v>
      </c>
      <c r="CN78" s="63">
        <v>0</v>
      </c>
      <c r="CO78" s="63">
        <v>0</v>
      </c>
      <c r="CP78" s="63">
        <v>0</v>
      </c>
      <c r="CQ78" s="63">
        <v>-259817</v>
      </c>
      <c r="CR78" s="63">
        <v>0</v>
      </c>
      <c r="CS78" s="63">
        <v>0</v>
      </c>
      <c r="CT78" s="63">
        <v>0</v>
      </c>
      <c r="CU78" s="63">
        <v>-259817</v>
      </c>
      <c r="CV78" s="63">
        <v>0</v>
      </c>
      <c r="CW78" s="63">
        <v>-259817</v>
      </c>
      <c r="CX78" s="63">
        <v>0</v>
      </c>
      <c r="CY78" s="63">
        <v>0</v>
      </c>
      <c r="CZ78" s="63">
        <v>0</v>
      </c>
      <c r="DA78" s="63">
        <v>-2601</v>
      </c>
      <c r="DB78" s="63">
        <v>0</v>
      </c>
      <c r="DC78" s="63">
        <v>-2601</v>
      </c>
      <c r="DD78" s="63">
        <v>0</v>
      </c>
      <c r="DE78" s="63">
        <v>0</v>
      </c>
      <c r="DF78" s="63">
        <v>0</v>
      </c>
      <c r="DG78" s="63">
        <v>-2601</v>
      </c>
      <c r="DH78" s="63">
        <v>0</v>
      </c>
      <c r="DI78" s="63">
        <v>0</v>
      </c>
      <c r="DJ78" s="63">
        <v>0</v>
      </c>
      <c r="DK78" s="63">
        <v>-2601</v>
      </c>
      <c r="DL78" s="63">
        <v>0</v>
      </c>
      <c r="DM78" s="63">
        <v>-2601</v>
      </c>
      <c r="DN78" s="63">
        <v>65790722</v>
      </c>
      <c r="DO78" s="63">
        <v>0</v>
      </c>
      <c r="DP78" s="63">
        <v>65790722</v>
      </c>
      <c r="DQ78" s="63"/>
      <c r="DR78" s="585"/>
    </row>
    <row r="79" spans="1:122" x14ac:dyDescent="0.2">
      <c r="A79" s="90">
        <v>72</v>
      </c>
      <c r="B79" s="129" t="s">
        <v>22</v>
      </c>
      <c r="C79" s="130" t="s">
        <v>501</v>
      </c>
      <c r="D79" s="131" t="s">
        <v>755</v>
      </c>
      <c r="E79" s="132" t="s">
        <v>527</v>
      </c>
      <c r="F79" s="475" t="s">
        <v>808</v>
      </c>
      <c r="G79" s="63">
        <v>85507983</v>
      </c>
      <c r="H79" s="63">
        <v>303725</v>
      </c>
      <c r="I79" s="63">
        <v>85811708</v>
      </c>
      <c r="J79" s="608">
        <v>48.4</v>
      </c>
      <c r="K79" s="63">
        <v>41385864</v>
      </c>
      <c r="L79" s="63">
        <v>147003</v>
      </c>
      <c r="M79" s="63">
        <v>392000</v>
      </c>
      <c r="N79" s="63">
        <v>0</v>
      </c>
      <c r="O79" s="63">
        <v>41777864</v>
      </c>
      <c r="P79" s="63">
        <v>147003</v>
      </c>
      <c r="Q79" s="63">
        <v>41924867</v>
      </c>
      <c r="R79" s="63">
        <v>0</v>
      </c>
      <c r="S79" s="63">
        <v>0</v>
      </c>
      <c r="T79" s="63">
        <v>0</v>
      </c>
      <c r="U79" s="63">
        <v>0</v>
      </c>
      <c r="V79" s="63">
        <v>0</v>
      </c>
      <c r="W79" s="63">
        <v>0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0</v>
      </c>
      <c r="AE79" s="63">
        <v>0</v>
      </c>
      <c r="AF79" s="63">
        <v>0</v>
      </c>
      <c r="AG79" s="63">
        <v>0</v>
      </c>
      <c r="AH79" s="63">
        <v>-2429360</v>
      </c>
      <c r="AI79" s="63">
        <v>0</v>
      </c>
      <c r="AJ79" s="63">
        <v>-2429360</v>
      </c>
      <c r="AK79" s="63">
        <v>0</v>
      </c>
      <c r="AL79" s="63">
        <v>0</v>
      </c>
      <c r="AM79" s="63">
        <v>0</v>
      </c>
      <c r="AN79" s="63">
        <v>944593</v>
      </c>
      <c r="AO79" s="63">
        <v>0</v>
      </c>
      <c r="AP79" s="63">
        <v>944593</v>
      </c>
      <c r="AQ79" s="63">
        <v>-1484767</v>
      </c>
      <c r="AR79" s="63">
        <v>0</v>
      </c>
      <c r="AS79" s="63">
        <v>-1484767</v>
      </c>
      <c r="AT79" s="63">
        <v>-2605369</v>
      </c>
      <c r="AU79" s="63">
        <v>0</v>
      </c>
      <c r="AV79" s="63">
        <v>-2605369</v>
      </c>
      <c r="AW79" s="63">
        <v>-54276</v>
      </c>
      <c r="AX79" s="63">
        <v>0</v>
      </c>
      <c r="AY79" s="63">
        <v>-54276</v>
      </c>
      <c r="AZ79" s="63">
        <v>-4249</v>
      </c>
      <c r="BA79" s="63">
        <v>0</v>
      </c>
      <c r="BB79" s="63">
        <v>-4249</v>
      </c>
      <c r="BC79" s="63">
        <v>-4148661</v>
      </c>
      <c r="BD79" s="63">
        <v>0</v>
      </c>
      <c r="BE79" s="63">
        <v>0</v>
      </c>
      <c r="BF79" s="63">
        <v>0</v>
      </c>
      <c r="BG79" s="63">
        <v>-4148661</v>
      </c>
      <c r="BH79" s="63">
        <v>0</v>
      </c>
      <c r="BI79" s="63">
        <v>-4148661</v>
      </c>
      <c r="BJ79" s="63">
        <v>0</v>
      </c>
      <c r="BK79" s="63">
        <v>0</v>
      </c>
      <c r="BL79" s="63">
        <v>0</v>
      </c>
      <c r="BM79" s="63">
        <v>-1026201</v>
      </c>
      <c r="BN79" s="63">
        <v>0</v>
      </c>
      <c r="BO79" s="63">
        <v>-1026201</v>
      </c>
      <c r="BP79" s="63">
        <v>-1026201</v>
      </c>
      <c r="BQ79" s="63">
        <v>0</v>
      </c>
      <c r="BR79" s="63">
        <v>0</v>
      </c>
      <c r="BS79" s="63">
        <v>0</v>
      </c>
      <c r="BT79" s="63">
        <v>-1026201</v>
      </c>
      <c r="BU79" s="63">
        <v>0</v>
      </c>
      <c r="BV79" s="63">
        <v>-1026201</v>
      </c>
      <c r="BW79" s="63">
        <v>-45572</v>
      </c>
      <c r="BX79" s="63">
        <v>0</v>
      </c>
      <c r="BY79" s="63">
        <v>-45572</v>
      </c>
      <c r="BZ79" s="63">
        <v>0</v>
      </c>
      <c r="CA79" s="63">
        <v>0</v>
      </c>
      <c r="CB79" s="63">
        <v>0</v>
      </c>
      <c r="CC79" s="63">
        <v>0</v>
      </c>
      <c r="CD79" s="63">
        <v>0</v>
      </c>
      <c r="CE79" s="63">
        <v>0</v>
      </c>
      <c r="CF79" s="63">
        <v>0</v>
      </c>
      <c r="CG79" s="63">
        <v>0</v>
      </c>
      <c r="CH79" s="63">
        <v>0</v>
      </c>
      <c r="CI79" s="63">
        <v>0</v>
      </c>
      <c r="CJ79" s="63">
        <v>0</v>
      </c>
      <c r="CK79" s="63">
        <v>0</v>
      </c>
      <c r="CL79" s="63">
        <v>0</v>
      </c>
      <c r="CM79" s="63">
        <v>0</v>
      </c>
      <c r="CN79" s="63">
        <v>0</v>
      </c>
      <c r="CO79" s="63">
        <v>0</v>
      </c>
      <c r="CP79" s="63">
        <v>0</v>
      </c>
      <c r="CQ79" s="63">
        <v>-45572</v>
      </c>
      <c r="CR79" s="63">
        <v>0</v>
      </c>
      <c r="CS79" s="63">
        <v>0</v>
      </c>
      <c r="CT79" s="63">
        <v>0</v>
      </c>
      <c r="CU79" s="63">
        <v>-45572</v>
      </c>
      <c r="CV79" s="63">
        <v>0</v>
      </c>
      <c r="CW79" s="63">
        <v>-45572</v>
      </c>
      <c r="CX79" s="63">
        <v>-124300</v>
      </c>
      <c r="CY79" s="63">
        <v>0</v>
      </c>
      <c r="CZ79" s="63">
        <v>-124300</v>
      </c>
      <c r="DA79" s="63">
        <v>-47726</v>
      </c>
      <c r="DB79" s="63">
        <v>0</v>
      </c>
      <c r="DC79" s="63">
        <v>-47726</v>
      </c>
      <c r="DD79" s="63">
        <v>0</v>
      </c>
      <c r="DE79" s="63">
        <v>0</v>
      </c>
      <c r="DF79" s="63">
        <v>0</v>
      </c>
      <c r="DG79" s="63">
        <v>-172026</v>
      </c>
      <c r="DH79" s="63">
        <v>0</v>
      </c>
      <c r="DI79" s="63">
        <v>0</v>
      </c>
      <c r="DJ79" s="63">
        <v>0</v>
      </c>
      <c r="DK79" s="63">
        <v>-172026</v>
      </c>
      <c r="DL79" s="63">
        <v>0</v>
      </c>
      <c r="DM79" s="63">
        <v>-172026</v>
      </c>
      <c r="DN79" s="63">
        <v>36385404</v>
      </c>
      <c r="DO79" s="63">
        <v>147003</v>
      </c>
      <c r="DP79" s="63">
        <v>36532407</v>
      </c>
      <c r="DQ79" s="63"/>
      <c r="DR79" s="585" t="s">
        <v>768</v>
      </c>
    </row>
    <row r="80" spans="1:122" x14ac:dyDescent="0.2">
      <c r="A80" s="90">
        <v>73</v>
      </c>
      <c r="B80" s="129" t="s">
        <v>24</v>
      </c>
      <c r="C80" s="130" t="s">
        <v>742</v>
      </c>
      <c r="D80" s="131" t="s">
        <v>743</v>
      </c>
      <c r="E80" s="132" t="s">
        <v>23</v>
      </c>
      <c r="F80" s="475" t="s">
        <v>808</v>
      </c>
      <c r="G80" s="63">
        <v>197387221</v>
      </c>
      <c r="H80" s="63">
        <v>0</v>
      </c>
      <c r="I80" s="63">
        <v>197387221</v>
      </c>
      <c r="J80" s="608">
        <v>48.4</v>
      </c>
      <c r="K80" s="63">
        <v>95535415</v>
      </c>
      <c r="L80" s="63">
        <v>0</v>
      </c>
      <c r="M80" s="63">
        <v>-2000000</v>
      </c>
      <c r="N80" s="63">
        <v>0</v>
      </c>
      <c r="O80" s="63">
        <v>93535415</v>
      </c>
      <c r="P80" s="63">
        <v>0</v>
      </c>
      <c r="Q80" s="63">
        <v>93535415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-1377486</v>
      </c>
      <c r="AI80" s="63">
        <v>0</v>
      </c>
      <c r="AJ80" s="63">
        <v>-1377486</v>
      </c>
      <c r="AK80" s="63">
        <v>-8424</v>
      </c>
      <c r="AL80" s="63">
        <v>0</v>
      </c>
      <c r="AM80" s="63">
        <v>-8424</v>
      </c>
      <c r="AN80" s="63">
        <v>2426346</v>
      </c>
      <c r="AO80" s="63">
        <v>0</v>
      </c>
      <c r="AP80" s="63">
        <v>2426346</v>
      </c>
      <c r="AQ80" s="63">
        <v>1048860</v>
      </c>
      <c r="AR80" s="63">
        <v>0</v>
      </c>
      <c r="AS80" s="63">
        <v>1048860</v>
      </c>
      <c r="AT80" s="63">
        <v>-2622121</v>
      </c>
      <c r="AU80" s="63">
        <v>0</v>
      </c>
      <c r="AV80" s="63">
        <v>-2622121</v>
      </c>
      <c r="AW80" s="63">
        <v>-52257</v>
      </c>
      <c r="AX80" s="63">
        <v>0</v>
      </c>
      <c r="AY80" s="63">
        <v>-52257</v>
      </c>
      <c r="AZ80" s="63">
        <v>0</v>
      </c>
      <c r="BA80" s="63">
        <v>0</v>
      </c>
      <c r="BB80" s="63">
        <v>0</v>
      </c>
      <c r="BC80" s="63">
        <v>-1625518</v>
      </c>
      <c r="BD80" s="63">
        <v>0</v>
      </c>
      <c r="BE80" s="63">
        <v>-24354</v>
      </c>
      <c r="BF80" s="63">
        <v>0</v>
      </c>
      <c r="BG80" s="63">
        <v>-1649872</v>
      </c>
      <c r="BH80" s="63">
        <v>0</v>
      </c>
      <c r="BI80" s="63">
        <v>-1649872</v>
      </c>
      <c r="BJ80" s="63">
        <v>0</v>
      </c>
      <c r="BK80" s="63">
        <v>0</v>
      </c>
      <c r="BL80" s="63">
        <v>0</v>
      </c>
      <c r="BM80" s="63">
        <v>-1455259</v>
      </c>
      <c r="BN80" s="63">
        <v>0</v>
      </c>
      <c r="BO80" s="63">
        <v>-1455259</v>
      </c>
      <c r="BP80" s="63">
        <v>-1455259</v>
      </c>
      <c r="BQ80" s="63">
        <v>0</v>
      </c>
      <c r="BR80" s="63">
        <v>-400000</v>
      </c>
      <c r="BS80" s="63">
        <v>0</v>
      </c>
      <c r="BT80" s="63">
        <v>-1855259</v>
      </c>
      <c r="BU80" s="63">
        <v>0</v>
      </c>
      <c r="BV80" s="63">
        <v>-1855259</v>
      </c>
      <c r="BW80" s="63">
        <v>-41724</v>
      </c>
      <c r="BX80" s="63">
        <v>0</v>
      </c>
      <c r="BY80" s="63">
        <v>-41724</v>
      </c>
      <c r="BZ80" s="63">
        <v>-203</v>
      </c>
      <c r="CA80" s="63">
        <v>0</v>
      </c>
      <c r="CB80" s="63">
        <v>-203</v>
      </c>
      <c r="CC80" s="63">
        <v>-8051</v>
      </c>
      <c r="CD80" s="63">
        <v>0</v>
      </c>
      <c r="CE80" s="63">
        <v>-8051</v>
      </c>
      <c r="CF80" s="63">
        <v>0</v>
      </c>
      <c r="CG80" s="63">
        <v>0</v>
      </c>
      <c r="CH80" s="63">
        <v>0</v>
      </c>
      <c r="CI80" s="63">
        <v>-2530</v>
      </c>
      <c r="CJ80" s="63">
        <v>0</v>
      </c>
      <c r="CK80" s="63">
        <v>-2530</v>
      </c>
      <c r="CL80" s="63">
        <v>-2500</v>
      </c>
      <c r="CM80" s="63">
        <v>0</v>
      </c>
      <c r="CN80" s="63">
        <v>-2500</v>
      </c>
      <c r="CO80" s="63">
        <v>0</v>
      </c>
      <c r="CP80" s="63">
        <v>0</v>
      </c>
      <c r="CQ80" s="63">
        <v>-55008</v>
      </c>
      <c r="CR80" s="63">
        <v>0</v>
      </c>
      <c r="CS80" s="63">
        <v>-12500</v>
      </c>
      <c r="CT80" s="63">
        <v>0</v>
      </c>
      <c r="CU80" s="63">
        <v>-67508</v>
      </c>
      <c r="CV80" s="63">
        <v>0</v>
      </c>
      <c r="CW80" s="63">
        <v>-67508</v>
      </c>
      <c r="CX80" s="63">
        <v>0</v>
      </c>
      <c r="CY80" s="63">
        <v>0</v>
      </c>
      <c r="CZ80" s="63">
        <v>0</v>
      </c>
      <c r="DA80" s="63">
        <v>-1955</v>
      </c>
      <c r="DB80" s="63">
        <v>0</v>
      </c>
      <c r="DC80" s="63">
        <v>-1955</v>
      </c>
      <c r="DD80" s="63">
        <v>-6</v>
      </c>
      <c r="DE80" s="63">
        <v>0</v>
      </c>
      <c r="DF80" s="63">
        <v>-6</v>
      </c>
      <c r="DG80" s="63">
        <v>-1961</v>
      </c>
      <c r="DH80" s="63">
        <v>0</v>
      </c>
      <c r="DI80" s="63">
        <v>0</v>
      </c>
      <c r="DJ80" s="63">
        <v>0</v>
      </c>
      <c r="DK80" s="63">
        <v>-1961</v>
      </c>
      <c r="DL80" s="63">
        <v>0</v>
      </c>
      <c r="DM80" s="63">
        <v>-1961</v>
      </c>
      <c r="DN80" s="63">
        <v>89960815</v>
      </c>
      <c r="DO80" s="63">
        <v>0</v>
      </c>
      <c r="DP80" s="63">
        <v>89960815</v>
      </c>
      <c r="DQ80" s="63"/>
      <c r="DR80" s="585"/>
    </row>
    <row r="81" spans="1:122" x14ac:dyDescent="0.2">
      <c r="A81" s="90">
        <v>74</v>
      </c>
      <c r="B81" s="129" t="s">
        <v>26</v>
      </c>
      <c r="C81" s="130" t="s">
        <v>742</v>
      </c>
      <c r="D81" s="131" t="s">
        <v>745</v>
      </c>
      <c r="E81" s="132" t="s">
        <v>25</v>
      </c>
      <c r="F81" s="475" t="s">
        <v>808</v>
      </c>
      <c r="G81" s="63">
        <v>95353137</v>
      </c>
      <c r="H81" s="63">
        <v>0</v>
      </c>
      <c r="I81" s="63">
        <v>95353137</v>
      </c>
      <c r="J81" s="608">
        <v>48.4</v>
      </c>
      <c r="K81" s="63">
        <v>46150918</v>
      </c>
      <c r="L81" s="63">
        <v>0</v>
      </c>
      <c r="M81" s="63">
        <v>2414221</v>
      </c>
      <c r="N81" s="63">
        <v>0</v>
      </c>
      <c r="O81" s="63">
        <v>48565139</v>
      </c>
      <c r="P81" s="63">
        <v>0</v>
      </c>
      <c r="Q81" s="63">
        <v>48565139</v>
      </c>
      <c r="R81" s="63">
        <v>0</v>
      </c>
      <c r="S81" s="63">
        <v>0</v>
      </c>
      <c r="T81" s="63">
        <v>0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0</v>
      </c>
      <c r="AE81" s="63">
        <v>0</v>
      </c>
      <c r="AF81" s="63">
        <v>0</v>
      </c>
      <c r="AG81" s="63">
        <v>0</v>
      </c>
      <c r="AH81" s="63">
        <v>-1709104</v>
      </c>
      <c r="AI81" s="63">
        <v>0</v>
      </c>
      <c r="AJ81" s="63">
        <v>-1709104</v>
      </c>
      <c r="AK81" s="63">
        <v>0</v>
      </c>
      <c r="AL81" s="63">
        <v>0</v>
      </c>
      <c r="AM81" s="63">
        <v>0</v>
      </c>
      <c r="AN81" s="63">
        <v>1099537</v>
      </c>
      <c r="AO81" s="63">
        <v>0</v>
      </c>
      <c r="AP81" s="63">
        <v>1099537</v>
      </c>
      <c r="AQ81" s="63">
        <v>-609567</v>
      </c>
      <c r="AR81" s="63">
        <v>0</v>
      </c>
      <c r="AS81" s="63">
        <v>-609567</v>
      </c>
      <c r="AT81" s="63">
        <v>-1772640</v>
      </c>
      <c r="AU81" s="63">
        <v>0</v>
      </c>
      <c r="AV81" s="63">
        <v>-1772640</v>
      </c>
      <c r="AW81" s="63">
        <v>-24065</v>
      </c>
      <c r="AX81" s="63">
        <v>0</v>
      </c>
      <c r="AY81" s="63">
        <v>-24065</v>
      </c>
      <c r="AZ81" s="63">
        <v>-42879</v>
      </c>
      <c r="BA81" s="63">
        <v>0</v>
      </c>
      <c r="BB81" s="63">
        <v>-42879</v>
      </c>
      <c r="BC81" s="63">
        <v>-2449151</v>
      </c>
      <c r="BD81" s="63">
        <v>0</v>
      </c>
      <c r="BE81" s="63">
        <v>0</v>
      </c>
      <c r="BF81" s="63">
        <v>0</v>
      </c>
      <c r="BG81" s="63">
        <v>-2449151</v>
      </c>
      <c r="BH81" s="63">
        <v>0</v>
      </c>
      <c r="BI81" s="63">
        <v>-2449151</v>
      </c>
      <c r="BJ81" s="63">
        <v>0</v>
      </c>
      <c r="BK81" s="63">
        <v>0</v>
      </c>
      <c r="BL81" s="63">
        <v>0</v>
      </c>
      <c r="BM81" s="63">
        <v>-933817</v>
      </c>
      <c r="BN81" s="63">
        <v>0</v>
      </c>
      <c r="BO81" s="63">
        <v>-933817</v>
      </c>
      <c r="BP81" s="63">
        <v>-933817</v>
      </c>
      <c r="BQ81" s="63">
        <v>0</v>
      </c>
      <c r="BR81" s="63">
        <v>0</v>
      </c>
      <c r="BS81" s="63">
        <v>0</v>
      </c>
      <c r="BT81" s="63">
        <v>-933817</v>
      </c>
      <c r="BU81" s="63">
        <v>0</v>
      </c>
      <c r="BV81" s="63">
        <v>-933817</v>
      </c>
      <c r="BW81" s="63">
        <v>-38426</v>
      </c>
      <c r="BX81" s="63">
        <v>0</v>
      </c>
      <c r="BY81" s="63">
        <v>-38426</v>
      </c>
      <c r="BZ81" s="63">
        <v>-15869</v>
      </c>
      <c r="CA81" s="63">
        <v>0</v>
      </c>
      <c r="CB81" s="63">
        <v>-15869</v>
      </c>
      <c r="CC81" s="63">
        <v>-392</v>
      </c>
      <c r="CD81" s="63">
        <v>0</v>
      </c>
      <c r="CE81" s="63">
        <v>-392</v>
      </c>
      <c r="CF81" s="63">
        <v>0</v>
      </c>
      <c r="CG81" s="63">
        <v>0</v>
      </c>
      <c r="CH81" s="63">
        <v>0</v>
      </c>
      <c r="CI81" s="63">
        <v>0</v>
      </c>
      <c r="CJ81" s="63">
        <v>0</v>
      </c>
      <c r="CK81" s="63">
        <v>0</v>
      </c>
      <c r="CL81" s="63">
        <v>0</v>
      </c>
      <c r="CM81" s="63">
        <v>0</v>
      </c>
      <c r="CN81" s="63">
        <v>0</v>
      </c>
      <c r="CO81" s="63">
        <v>0</v>
      </c>
      <c r="CP81" s="63">
        <v>0</v>
      </c>
      <c r="CQ81" s="63">
        <v>-54687</v>
      </c>
      <c r="CR81" s="63">
        <v>0</v>
      </c>
      <c r="CS81" s="63">
        <v>0</v>
      </c>
      <c r="CT81" s="63">
        <v>0</v>
      </c>
      <c r="CU81" s="63">
        <v>-54687</v>
      </c>
      <c r="CV81" s="63">
        <v>0</v>
      </c>
      <c r="CW81" s="63">
        <v>-54687</v>
      </c>
      <c r="CX81" s="63">
        <v>0</v>
      </c>
      <c r="CY81" s="63">
        <v>0</v>
      </c>
      <c r="CZ81" s="63">
        <v>0</v>
      </c>
      <c r="DA81" s="63">
        <v>0</v>
      </c>
      <c r="DB81" s="63">
        <v>0</v>
      </c>
      <c r="DC81" s="63">
        <v>0</v>
      </c>
      <c r="DD81" s="63">
        <v>0</v>
      </c>
      <c r="DE81" s="63">
        <v>0</v>
      </c>
      <c r="DF81" s="63">
        <v>0</v>
      </c>
      <c r="DG81" s="63">
        <v>0</v>
      </c>
      <c r="DH81" s="63">
        <v>0</v>
      </c>
      <c r="DI81" s="63">
        <v>0</v>
      </c>
      <c r="DJ81" s="63">
        <v>0</v>
      </c>
      <c r="DK81" s="63">
        <v>0</v>
      </c>
      <c r="DL81" s="63">
        <v>0</v>
      </c>
      <c r="DM81" s="63">
        <v>0</v>
      </c>
      <c r="DN81" s="63">
        <v>45127484</v>
      </c>
      <c r="DO81" s="63">
        <v>0</v>
      </c>
      <c r="DP81" s="63">
        <v>45127484</v>
      </c>
      <c r="DQ81" s="63"/>
      <c r="DR81" s="585"/>
    </row>
    <row r="82" spans="1:122" x14ac:dyDescent="0.2">
      <c r="A82" s="90">
        <v>75</v>
      </c>
      <c r="B82" s="129" t="s">
        <v>27</v>
      </c>
      <c r="C82" s="130" t="s">
        <v>501</v>
      </c>
      <c r="D82" s="131" t="s">
        <v>745</v>
      </c>
      <c r="E82" s="132" t="s">
        <v>520</v>
      </c>
      <c r="F82" s="475" t="s">
        <v>808</v>
      </c>
      <c r="G82" s="63">
        <v>215540526</v>
      </c>
      <c r="H82" s="63">
        <v>0</v>
      </c>
      <c r="I82" s="63">
        <v>215540526</v>
      </c>
      <c r="J82" s="608">
        <v>48.4</v>
      </c>
      <c r="K82" s="63">
        <v>104321615</v>
      </c>
      <c r="L82" s="63">
        <v>0</v>
      </c>
      <c r="M82" s="63">
        <v>675000</v>
      </c>
      <c r="N82" s="63">
        <v>40000</v>
      </c>
      <c r="O82" s="63">
        <v>104996615</v>
      </c>
      <c r="P82" s="63">
        <v>40000</v>
      </c>
      <c r="Q82" s="63">
        <v>105036615</v>
      </c>
      <c r="R82" s="63">
        <v>0</v>
      </c>
      <c r="S82" s="63">
        <v>0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0</v>
      </c>
      <c r="AE82" s="63">
        <v>0</v>
      </c>
      <c r="AF82" s="63">
        <v>0</v>
      </c>
      <c r="AG82" s="63">
        <v>0</v>
      </c>
      <c r="AH82" s="63">
        <v>-4257230</v>
      </c>
      <c r="AI82" s="63">
        <v>0</v>
      </c>
      <c r="AJ82" s="63">
        <v>-4257230</v>
      </c>
      <c r="AK82" s="63">
        <v>0</v>
      </c>
      <c r="AL82" s="63">
        <v>0</v>
      </c>
      <c r="AM82" s="63">
        <v>0</v>
      </c>
      <c r="AN82" s="63">
        <v>2468285</v>
      </c>
      <c r="AO82" s="63">
        <v>0</v>
      </c>
      <c r="AP82" s="63">
        <v>2468285</v>
      </c>
      <c r="AQ82" s="63">
        <v>-1788945</v>
      </c>
      <c r="AR82" s="63">
        <v>0</v>
      </c>
      <c r="AS82" s="63">
        <v>-1788945</v>
      </c>
      <c r="AT82" s="63">
        <v>-5550822</v>
      </c>
      <c r="AU82" s="63">
        <v>0</v>
      </c>
      <c r="AV82" s="63">
        <v>-5550822</v>
      </c>
      <c r="AW82" s="63">
        <v>-34790</v>
      </c>
      <c r="AX82" s="63">
        <v>0</v>
      </c>
      <c r="AY82" s="63">
        <v>-34790</v>
      </c>
      <c r="AZ82" s="63">
        <v>0</v>
      </c>
      <c r="BA82" s="63">
        <v>0</v>
      </c>
      <c r="BB82" s="63">
        <v>0</v>
      </c>
      <c r="BC82" s="63">
        <v>-7374557</v>
      </c>
      <c r="BD82" s="63">
        <v>0</v>
      </c>
      <c r="BE82" s="63">
        <v>0</v>
      </c>
      <c r="BF82" s="63">
        <v>0</v>
      </c>
      <c r="BG82" s="63">
        <v>-7374557</v>
      </c>
      <c r="BH82" s="63">
        <v>0</v>
      </c>
      <c r="BI82" s="63">
        <v>-7374557</v>
      </c>
      <c r="BJ82" s="63">
        <v>0</v>
      </c>
      <c r="BK82" s="63">
        <v>0</v>
      </c>
      <c r="BL82" s="63">
        <v>0</v>
      </c>
      <c r="BM82" s="63">
        <v>-1801241</v>
      </c>
      <c r="BN82" s="63">
        <v>0</v>
      </c>
      <c r="BO82" s="63">
        <v>-1801241</v>
      </c>
      <c r="BP82" s="63">
        <v>-1801241</v>
      </c>
      <c r="BQ82" s="63">
        <v>0</v>
      </c>
      <c r="BR82" s="63">
        <v>-15000</v>
      </c>
      <c r="BS82" s="63">
        <v>0</v>
      </c>
      <c r="BT82" s="63">
        <v>-1816241</v>
      </c>
      <c r="BU82" s="63">
        <v>0</v>
      </c>
      <c r="BV82" s="63">
        <v>-1816241</v>
      </c>
      <c r="BW82" s="63">
        <v>-59506</v>
      </c>
      <c r="BX82" s="63">
        <v>0</v>
      </c>
      <c r="BY82" s="63">
        <v>-59506</v>
      </c>
      <c r="BZ82" s="63">
        <v>-162235</v>
      </c>
      <c r="CA82" s="63">
        <v>0</v>
      </c>
      <c r="CB82" s="63">
        <v>-162235</v>
      </c>
      <c r="CC82" s="63">
        <v>-7206</v>
      </c>
      <c r="CD82" s="63">
        <v>0</v>
      </c>
      <c r="CE82" s="63">
        <v>-7206</v>
      </c>
      <c r="CF82" s="63">
        <v>0</v>
      </c>
      <c r="CG82" s="63">
        <v>0</v>
      </c>
      <c r="CH82" s="63">
        <v>0</v>
      </c>
      <c r="CI82" s="63">
        <v>0</v>
      </c>
      <c r="CJ82" s="63">
        <v>0</v>
      </c>
      <c r="CK82" s="63">
        <v>0</v>
      </c>
      <c r="CL82" s="63">
        <v>0</v>
      </c>
      <c r="CM82" s="63">
        <v>-25000</v>
      </c>
      <c r="CN82" s="63">
        <v>-25000</v>
      </c>
      <c r="CO82" s="63">
        <v>-25000</v>
      </c>
      <c r="CP82" s="63">
        <v>0</v>
      </c>
      <c r="CQ82" s="63">
        <v>-228947</v>
      </c>
      <c r="CR82" s="63">
        <v>-25000</v>
      </c>
      <c r="CS82" s="63">
        <v>0</v>
      </c>
      <c r="CT82" s="63">
        <v>0</v>
      </c>
      <c r="CU82" s="63">
        <v>-228947</v>
      </c>
      <c r="CV82" s="63">
        <v>-25000</v>
      </c>
      <c r="CW82" s="63">
        <v>-253947</v>
      </c>
      <c r="CX82" s="63">
        <v>-50000</v>
      </c>
      <c r="CY82" s="63">
        <v>0</v>
      </c>
      <c r="CZ82" s="63">
        <v>-50000</v>
      </c>
      <c r="DA82" s="63">
        <v>-5788</v>
      </c>
      <c r="DB82" s="63">
        <v>0</v>
      </c>
      <c r="DC82" s="63">
        <v>-5788</v>
      </c>
      <c r="DD82" s="63">
        <v>0</v>
      </c>
      <c r="DE82" s="63">
        <v>0</v>
      </c>
      <c r="DF82" s="63">
        <v>0</v>
      </c>
      <c r="DG82" s="63">
        <v>-55788</v>
      </c>
      <c r="DH82" s="63">
        <v>0</v>
      </c>
      <c r="DI82" s="63">
        <v>0</v>
      </c>
      <c r="DJ82" s="63">
        <v>0</v>
      </c>
      <c r="DK82" s="63">
        <v>-55788</v>
      </c>
      <c r="DL82" s="63">
        <v>0</v>
      </c>
      <c r="DM82" s="63">
        <v>-55788</v>
      </c>
      <c r="DN82" s="63">
        <v>95521082</v>
      </c>
      <c r="DO82" s="63">
        <v>15000</v>
      </c>
      <c r="DP82" s="63">
        <v>95536082</v>
      </c>
      <c r="DQ82" s="63"/>
      <c r="DR82" s="585" t="s">
        <v>768</v>
      </c>
    </row>
    <row r="83" spans="1:122" x14ac:dyDescent="0.2">
      <c r="A83" s="90">
        <v>76</v>
      </c>
      <c r="B83" s="129" t="s">
        <v>29</v>
      </c>
      <c r="C83" s="130" t="s">
        <v>742</v>
      </c>
      <c r="D83" s="131" t="s">
        <v>745</v>
      </c>
      <c r="E83" s="132" t="s">
        <v>28</v>
      </c>
      <c r="F83" s="475" t="s">
        <v>808</v>
      </c>
      <c r="G83" s="63">
        <v>46873229</v>
      </c>
      <c r="H83" s="63">
        <v>0</v>
      </c>
      <c r="I83" s="63">
        <v>46873229</v>
      </c>
      <c r="J83" s="608">
        <v>48.4</v>
      </c>
      <c r="K83" s="63">
        <v>22686643</v>
      </c>
      <c r="L83" s="63">
        <v>0</v>
      </c>
      <c r="M83" s="63">
        <v>114833</v>
      </c>
      <c r="N83" s="63">
        <v>0</v>
      </c>
      <c r="O83" s="63">
        <v>22801476</v>
      </c>
      <c r="P83" s="63">
        <v>0</v>
      </c>
      <c r="Q83" s="63">
        <v>22801476</v>
      </c>
      <c r="R83" s="63">
        <v>0</v>
      </c>
      <c r="S83" s="63">
        <v>0</v>
      </c>
      <c r="T83" s="63">
        <v>0</v>
      </c>
      <c r="U83" s="63">
        <v>0</v>
      </c>
      <c r="V83" s="63">
        <v>0</v>
      </c>
      <c r="W83" s="63">
        <v>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0</v>
      </c>
      <c r="AE83" s="63">
        <v>0</v>
      </c>
      <c r="AF83" s="63">
        <v>0</v>
      </c>
      <c r="AG83" s="63">
        <v>0</v>
      </c>
      <c r="AH83" s="63">
        <v>-2703351</v>
      </c>
      <c r="AI83" s="63">
        <v>0</v>
      </c>
      <c r="AJ83" s="63">
        <v>-2703351</v>
      </c>
      <c r="AK83" s="63">
        <v>0</v>
      </c>
      <c r="AL83" s="63">
        <v>0</v>
      </c>
      <c r="AM83" s="63">
        <v>0</v>
      </c>
      <c r="AN83" s="63">
        <v>411220</v>
      </c>
      <c r="AO83" s="63">
        <v>0</v>
      </c>
      <c r="AP83" s="63">
        <v>411220</v>
      </c>
      <c r="AQ83" s="63">
        <v>-2292131</v>
      </c>
      <c r="AR83" s="63">
        <v>0</v>
      </c>
      <c r="AS83" s="63">
        <v>-2292131</v>
      </c>
      <c r="AT83" s="63">
        <v>-1077288</v>
      </c>
      <c r="AU83" s="63">
        <v>0</v>
      </c>
      <c r="AV83" s="63">
        <v>-1077288</v>
      </c>
      <c r="AW83" s="63">
        <v>-45088</v>
      </c>
      <c r="AX83" s="63">
        <v>0</v>
      </c>
      <c r="AY83" s="63">
        <v>-45088</v>
      </c>
      <c r="AZ83" s="63">
        <v>-60951</v>
      </c>
      <c r="BA83" s="63">
        <v>0</v>
      </c>
      <c r="BB83" s="63">
        <v>-60951</v>
      </c>
      <c r="BC83" s="63">
        <v>-3475458</v>
      </c>
      <c r="BD83" s="63">
        <v>0</v>
      </c>
      <c r="BE83" s="63">
        <v>-11140</v>
      </c>
      <c r="BF83" s="63">
        <v>0</v>
      </c>
      <c r="BG83" s="63">
        <v>-3486598</v>
      </c>
      <c r="BH83" s="63">
        <v>0</v>
      </c>
      <c r="BI83" s="63">
        <v>-3486598</v>
      </c>
      <c r="BJ83" s="63">
        <v>0</v>
      </c>
      <c r="BK83" s="63">
        <v>0</v>
      </c>
      <c r="BL83" s="63">
        <v>0</v>
      </c>
      <c r="BM83" s="63">
        <v>-461421</v>
      </c>
      <c r="BN83" s="63">
        <v>0</v>
      </c>
      <c r="BO83" s="63">
        <v>-461421</v>
      </c>
      <c r="BP83" s="63">
        <v>-461421</v>
      </c>
      <c r="BQ83" s="63">
        <v>0</v>
      </c>
      <c r="BR83" s="63">
        <v>0</v>
      </c>
      <c r="BS83" s="63">
        <v>0</v>
      </c>
      <c r="BT83" s="63">
        <v>-461421</v>
      </c>
      <c r="BU83" s="63">
        <v>0</v>
      </c>
      <c r="BV83" s="63">
        <v>-461421</v>
      </c>
      <c r="BW83" s="63">
        <v>-117120</v>
      </c>
      <c r="BX83" s="63">
        <v>0</v>
      </c>
      <c r="BY83" s="63">
        <v>-117120</v>
      </c>
      <c r="BZ83" s="63">
        <v>-128307</v>
      </c>
      <c r="CA83" s="63">
        <v>0</v>
      </c>
      <c r="CB83" s="63">
        <v>-128307</v>
      </c>
      <c r="CC83" s="63">
        <v>-4065</v>
      </c>
      <c r="CD83" s="63">
        <v>0</v>
      </c>
      <c r="CE83" s="63">
        <v>-4065</v>
      </c>
      <c r="CF83" s="63">
        <v>-60951</v>
      </c>
      <c r="CG83" s="63">
        <v>0</v>
      </c>
      <c r="CH83" s="63">
        <v>-60951</v>
      </c>
      <c r="CI83" s="63">
        <v>-9414</v>
      </c>
      <c r="CJ83" s="63">
        <v>0</v>
      </c>
      <c r="CK83" s="63">
        <v>-9414</v>
      </c>
      <c r="CL83" s="63">
        <v>0</v>
      </c>
      <c r="CM83" s="63">
        <v>0</v>
      </c>
      <c r="CN83" s="63">
        <v>0</v>
      </c>
      <c r="CO83" s="63">
        <v>0</v>
      </c>
      <c r="CP83" s="63">
        <v>0</v>
      </c>
      <c r="CQ83" s="63">
        <v>-319857</v>
      </c>
      <c r="CR83" s="63">
        <v>0</v>
      </c>
      <c r="CS83" s="63">
        <v>-206</v>
      </c>
      <c r="CT83" s="63">
        <v>0</v>
      </c>
      <c r="CU83" s="63">
        <v>-320063</v>
      </c>
      <c r="CV83" s="63">
        <v>0</v>
      </c>
      <c r="CW83" s="63">
        <v>-320063</v>
      </c>
      <c r="CX83" s="63">
        <v>0</v>
      </c>
      <c r="CY83" s="63">
        <v>0</v>
      </c>
      <c r="CZ83" s="63">
        <v>0</v>
      </c>
      <c r="DA83" s="63">
        <v>0</v>
      </c>
      <c r="DB83" s="63">
        <v>0</v>
      </c>
      <c r="DC83" s="63">
        <v>0</v>
      </c>
      <c r="DD83" s="63">
        <v>-10130</v>
      </c>
      <c r="DE83" s="63">
        <v>0</v>
      </c>
      <c r="DF83" s="63">
        <v>-10130</v>
      </c>
      <c r="DG83" s="63">
        <v>-10130</v>
      </c>
      <c r="DH83" s="63">
        <v>0</v>
      </c>
      <c r="DI83" s="63">
        <v>0</v>
      </c>
      <c r="DJ83" s="63">
        <v>0</v>
      </c>
      <c r="DK83" s="63">
        <v>-10130</v>
      </c>
      <c r="DL83" s="63">
        <v>0</v>
      </c>
      <c r="DM83" s="63">
        <v>-10130</v>
      </c>
      <c r="DN83" s="63">
        <v>18523264</v>
      </c>
      <c r="DO83" s="63">
        <v>0</v>
      </c>
      <c r="DP83" s="63">
        <v>18523264</v>
      </c>
      <c r="DQ83" s="63"/>
      <c r="DR83" s="585"/>
    </row>
    <row r="84" spans="1:122" ht="12.75" x14ac:dyDescent="0.2">
      <c r="A84" s="90">
        <v>77</v>
      </c>
      <c r="B84" s="129" t="s">
        <v>31</v>
      </c>
      <c r="C84" s="130" t="s">
        <v>749</v>
      </c>
      <c r="D84" s="131" t="s">
        <v>750</v>
      </c>
      <c r="E84" s="132" t="s">
        <v>30</v>
      </c>
      <c r="F84" s="475" t="s">
        <v>808</v>
      </c>
      <c r="G84" s="63">
        <v>230844545</v>
      </c>
      <c r="H84" s="63">
        <v>0</v>
      </c>
      <c r="I84" s="63">
        <v>230844545</v>
      </c>
      <c r="J84" s="608">
        <v>48.4</v>
      </c>
      <c r="K84" s="63">
        <v>111728760</v>
      </c>
      <c r="L84" s="63">
        <v>0</v>
      </c>
      <c r="M84" s="63">
        <v>3408350</v>
      </c>
      <c r="N84" s="63">
        <v>0</v>
      </c>
      <c r="O84" s="63">
        <v>115137110</v>
      </c>
      <c r="P84" s="63">
        <v>0</v>
      </c>
      <c r="Q84" s="63">
        <v>115137110</v>
      </c>
      <c r="R84" s="63">
        <v>0</v>
      </c>
      <c r="S84" s="63">
        <v>0</v>
      </c>
      <c r="T84" s="63">
        <v>0</v>
      </c>
      <c r="U84" s="63">
        <v>0</v>
      </c>
      <c r="V84" s="63">
        <v>0</v>
      </c>
      <c r="W84" s="63">
        <v>0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0</v>
      </c>
      <c r="AE84" s="63">
        <v>0</v>
      </c>
      <c r="AF84" s="63">
        <v>0</v>
      </c>
      <c r="AG84" s="63">
        <v>0</v>
      </c>
      <c r="AH84" s="63">
        <v>-6157672</v>
      </c>
      <c r="AI84" s="63">
        <v>0</v>
      </c>
      <c r="AJ84" s="63">
        <v>-6157672</v>
      </c>
      <c r="AK84" s="63">
        <v>-27232</v>
      </c>
      <c r="AL84" s="63">
        <v>0</v>
      </c>
      <c r="AM84" s="63">
        <v>-27232</v>
      </c>
      <c r="AN84" s="63">
        <v>2578168</v>
      </c>
      <c r="AO84" s="63">
        <v>0</v>
      </c>
      <c r="AP84" s="63">
        <v>2578168</v>
      </c>
      <c r="AQ84" s="63">
        <v>-3579504</v>
      </c>
      <c r="AR84" s="63">
        <v>0</v>
      </c>
      <c r="AS84" s="63">
        <v>-3579504</v>
      </c>
      <c r="AT84" s="63">
        <v>-5863525</v>
      </c>
      <c r="AU84" s="63">
        <v>0</v>
      </c>
      <c r="AV84" s="63">
        <v>-5863525</v>
      </c>
      <c r="AW84" s="63">
        <v>-29403</v>
      </c>
      <c r="AX84" s="63">
        <v>0</v>
      </c>
      <c r="AY84" s="63">
        <v>-29403</v>
      </c>
      <c r="AZ84" s="63">
        <v>-9281</v>
      </c>
      <c r="BA84" s="63">
        <v>0</v>
      </c>
      <c r="BB84" s="63">
        <v>-9281</v>
      </c>
      <c r="BC84" s="63">
        <v>-9481713</v>
      </c>
      <c r="BD84" s="63">
        <v>0</v>
      </c>
      <c r="BE84" s="63">
        <v>-107750</v>
      </c>
      <c r="BF84" s="63">
        <v>0</v>
      </c>
      <c r="BG84" s="63">
        <v>-9589463</v>
      </c>
      <c r="BH84" s="63">
        <v>0</v>
      </c>
      <c r="BI84" s="63">
        <v>-9589463</v>
      </c>
      <c r="BJ84" s="63">
        <v>-100000</v>
      </c>
      <c r="BK84" s="63">
        <v>0</v>
      </c>
      <c r="BL84" s="63">
        <v>-100000</v>
      </c>
      <c r="BM84" s="63">
        <v>-2898144</v>
      </c>
      <c r="BN84" s="63">
        <v>0</v>
      </c>
      <c r="BO84" s="63">
        <v>-2898144</v>
      </c>
      <c r="BP84" s="63">
        <v>-2998144</v>
      </c>
      <c r="BQ84" s="63">
        <v>0</v>
      </c>
      <c r="BR84" s="63">
        <v>-326647</v>
      </c>
      <c r="BS84" s="63">
        <v>0</v>
      </c>
      <c r="BT84" s="63">
        <v>-3324791</v>
      </c>
      <c r="BU84" s="63">
        <v>0</v>
      </c>
      <c r="BV84" s="63">
        <v>-3324791</v>
      </c>
      <c r="BW84" s="63">
        <v>-282826</v>
      </c>
      <c r="BX84" s="63">
        <v>0</v>
      </c>
      <c r="BY84" s="63">
        <v>-282826</v>
      </c>
      <c r="BZ84" s="63">
        <v>-112340</v>
      </c>
      <c r="CA84" s="63">
        <v>0</v>
      </c>
      <c r="CB84" s="63">
        <v>-112340</v>
      </c>
      <c r="CC84" s="63">
        <v>0</v>
      </c>
      <c r="CD84" s="63">
        <v>0</v>
      </c>
      <c r="CE84" s="63">
        <v>0</v>
      </c>
      <c r="CF84" s="63">
        <v>0</v>
      </c>
      <c r="CG84" s="63">
        <v>0</v>
      </c>
      <c r="CH84" s="63">
        <v>0</v>
      </c>
      <c r="CI84" s="63">
        <v>0</v>
      </c>
      <c r="CJ84" s="63">
        <v>0</v>
      </c>
      <c r="CK84" s="63">
        <v>0</v>
      </c>
      <c r="CL84" s="63">
        <v>0</v>
      </c>
      <c r="CM84" s="63">
        <v>0</v>
      </c>
      <c r="CN84" s="63">
        <v>0</v>
      </c>
      <c r="CO84" s="63">
        <v>0</v>
      </c>
      <c r="CP84" s="63">
        <v>0</v>
      </c>
      <c r="CQ84" s="63">
        <v>-395166</v>
      </c>
      <c r="CR84" s="63">
        <v>0</v>
      </c>
      <c r="CS84" s="63">
        <v>0</v>
      </c>
      <c r="CT84" s="63">
        <v>0</v>
      </c>
      <c r="CU84" s="63">
        <v>-395166</v>
      </c>
      <c r="CV84" s="63">
        <v>0</v>
      </c>
      <c r="CW84" s="63">
        <v>-395166</v>
      </c>
      <c r="CX84" s="63">
        <v>-40829</v>
      </c>
      <c r="CY84" s="63">
        <v>0</v>
      </c>
      <c r="CZ84" s="63">
        <v>-40829</v>
      </c>
      <c r="DA84" s="63">
        <v>-41850</v>
      </c>
      <c r="DB84" s="63">
        <v>0</v>
      </c>
      <c r="DC84" s="63">
        <v>-41850</v>
      </c>
      <c r="DD84" s="63">
        <v>-19878</v>
      </c>
      <c r="DE84" s="63">
        <v>0</v>
      </c>
      <c r="DF84" s="63">
        <v>-19878</v>
      </c>
      <c r="DG84" s="63">
        <v>-102557</v>
      </c>
      <c r="DH84" s="63">
        <v>0</v>
      </c>
      <c r="DI84" s="63">
        <v>-255613</v>
      </c>
      <c r="DJ84" s="63">
        <v>0</v>
      </c>
      <c r="DK84" s="63">
        <v>-358170</v>
      </c>
      <c r="DL84" s="63">
        <v>0</v>
      </c>
      <c r="DM84" s="63">
        <v>-358170</v>
      </c>
      <c r="DN84" s="63">
        <v>101469520</v>
      </c>
      <c r="DO84" s="63">
        <v>0</v>
      </c>
      <c r="DP84" s="63">
        <v>101469520</v>
      </c>
      <c r="DQ84" s="63"/>
      <c r="DR84" s="586"/>
    </row>
    <row r="85" spans="1:122" x14ac:dyDescent="0.2">
      <c r="A85" s="90">
        <v>78</v>
      </c>
      <c r="B85" s="129" t="s">
        <v>39</v>
      </c>
      <c r="C85" s="130" t="s">
        <v>742</v>
      </c>
      <c r="D85" s="131" t="s">
        <v>743</v>
      </c>
      <c r="E85" s="132" t="s">
        <v>38</v>
      </c>
      <c r="F85" s="475" t="s">
        <v>808</v>
      </c>
      <c r="G85" s="63">
        <v>89605150</v>
      </c>
      <c r="H85" s="63">
        <v>0</v>
      </c>
      <c r="I85" s="63">
        <v>89605150</v>
      </c>
      <c r="J85" s="608">
        <v>48.4</v>
      </c>
      <c r="K85" s="63">
        <v>43368893</v>
      </c>
      <c r="L85" s="63">
        <v>0</v>
      </c>
      <c r="M85" s="63">
        <v>216107</v>
      </c>
      <c r="N85" s="63">
        <v>0</v>
      </c>
      <c r="O85" s="63">
        <v>43585000</v>
      </c>
      <c r="P85" s="63">
        <v>0</v>
      </c>
      <c r="Q85" s="63">
        <v>43585000</v>
      </c>
      <c r="R85" s="63">
        <v>0</v>
      </c>
      <c r="S85" s="63">
        <v>0</v>
      </c>
      <c r="T85" s="63">
        <v>0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0</v>
      </c>
      <c r="AE85" s="63">
        <v>0</v>
      </c>
      <c r="AF85" s="63">
        <v>0</v>
      </c>
      <c r="AG85" s="63">
        <v>0</v>
      </c>
      <c r="AH85" s="63">
        <v>-2594000</v>
      </c>
      <c r="AI85" s="63">
        <v>0</v>
      </c>
      <c r="AJ85" s="63">
        <v>-2594000</v>
      </c>
      <c r="AK85" s="63">
        <v>-3427</v>
      </c>
      <c r="AL85" s="63">
        <v>0</v>
      </c>
      <c r="AM85" s="63">
        <v>-3427</v>
      </c>
      <c r="AN85" s="63">
        <v>924000</v>
      </c>
      <c r="AO85" s="63">
        <v>0</v>
      </c>
      <c r="AP85" s="63">
        <v>924000</v>
      </c>
      <c r="AQ85" s="63">
        <v>-1670000</v>
      </c>
      <c r="AR85" s="63">
        <v>0</v>
      </c>
      <c r="AS85" s="63">
        <v>-1670000</v>
      </c>
      <c r="AT85" s="63">
        <v>-2404277</v>
      </c>
      <c r="AU85" s="63">
        <v>0</v>
      </c>
      <c r="AV85" s="63">
        <v>-2404277</v>
      </c>
      <c r="AW85" s="63">
        <v>-58825</v>
      </c>
      <c r="AX85" s="63">
        <v>0</v>
      </c>
      <c r="AY85" s="63">
        <v>-58825</v>
      </c>
      <c r="AZ85" s="63">
        <v>-25950</v>
      </c>
      <c r="BA85" s="63">
        <v>0</v>
      </c>
      <c r="BB85" s="63">
        <v>-25950</v>
      </c>
      <c r="BC85" s="63">
        <v>-4159052</v>
      </c>
      <c r="BD85" s="63">
        <v>0</v>
      </c>
      <c r="BE85" s="63">
        <v>-12948</v>
      </c>
      <c r="BF85" s="63">
        <v>0</v>
      </c>
      <c r="BG85" s="63">
        <v>-4172000</v>
      </c>
      <c r="BH85" s="63">
        <v>0</v>
      </c>
      <c r="BI85" s="63">
        <v>-4172000</v>
      </c>
      <c r="BJ85" s="63">
        <v>0</v>
      </c>
      <c r="BK85" s="63">
        <v>0</v>
      </c>
      <c r="BL85" s="63">
        <v>0</v>
      </c>
      <c r="BM85" s="63">
        <v>-679819</v>
      </c>
      <c r="BN85" s="63">
        <v>0</v>
      </c>
      <c r="BO85" s="63">
        <v>-679819</v>
      </c>
      <c r="BP85" s="63">
        <v>-679819</v>
      </c>
      <c r="BQ85" s="63">
        <v>0</v>
      </c>
      <c r="BR85" s="63">
        <v>-320181</v>
      </c>
      <c r="BS85" s="63">
        <v>0</v>
      </c>
      <c r="BT85" s="63">
        <v>-1000000</v>
      </c>
      <c r="BU85" s="63">
        <v>0</v>
      </c>
      <c r="BV85" s="63">
        <v>-1000000</v>
      </c>
      <c r="BW85" s="63">
        <v>-147078</v>
      </c>
      <c r="BX85" s="63">
        <v>0</v>
      </c>
      <c r="BY85" s="63">
        <v>-147078</v>
      </c>
      <c r="BZ85" s="63">
        <v>-45047</v>
      </c>
      <c r="CA85" s="63">
        <v>0</v>
      </c>
      <c r="CB85" s="63">
        <v>-45047</v>
      </c>
      <c r="CC85" s="63">
        <v>0</v>
      </c>
      <c r="CD85" s="63">
        <v>0</v>
      </c>
      <c r="CE85" s="63">
        <v>0</v>
      </c>
      <c r="CF85" s="63">
        <v>0</v>
      </c>
      <c r="CG85" s="63">
        <v>0</v>
      </c>
      <c r="CH85" s="63">
        <v>0</v>
      </c>
      <c r="CI85" s="63">
        <v>0</v>
      </c>
      <c r="CJ85" s="63">
        <v>0</v>
      </c>
      <c r="CK85" s="63">
        <v>0</v>
      </c>
      <c r="CL85" s="63">
        <v>-2560000</v>
      </c>
      <c r="CM85" s="63">
        <v>0</v>
      </c>
      <c r="CN85" s="63">
        <v>-2560000</v>
      </c>
      <c r="CO85" s="63">
        <v>0</v>
      </c>
      <c r="CP85" s="63">
        <v>-2560000</v>
      </c>
      <c r="CQ85" s="63">
        <v>-2752125</v>
      </c>
      <c r="CR85" s="63">
        <v>0</v>
      </c>
      <c r="CS85" s="63">
        <v>-6875</v>
      </c>
      <c r="CT85" s="63">
        <v>0</v>
      </c>
      <c r="CU85" s="63">
        <v>-2759000</v>
      </c>
      <c r="CV85" s="63">
        <v>0</v>
      </c>
      <c r="CW85" s="63">
        <v>-2759000</v>
      </c>
      <c r="CX85" s="63">
        <v>0</v>
      </c>
      <c r="CY85" s="63">
        <v>0</v>
      </c>
      <c r="CZ85" s="63">
        <v>0</v>
      </c>
      <c r="DA85" s="63">
        <v>-21000</v>
      </c>
      <c r="DB85" s="63">
        <v>0</v>
      </c>
      <c r="DC85" s="63">
        <v>-21000</v>
      </c>
      <c r="DD85" s="63">
        <v>-11000</v>
      </c>
      <c r="DE85" s="63">
        <v>0</v>
      </c>
      <c r="DF85" s="63">
        <v>-11000</v>
      </c>
      <c r="DG85" s="63">
        <v>-32000</v>
      </c>
      <c r="DH85" s="63">
        <v>0</v>
      </c>
      <c r="DI85" s="63">
        <v>0</v>
      </c>
      <c r="DJ85" s="63">
        <v>0</v>
      </c>
      <c r="DK85" s="63">
        <v>-32000</v>
      </c>
      <c r="DL85" s="63">
        <v>0</v>
      </c>
      <c r="DM85" s="63">
        <v>-32000</v>
      </c>
      <c r="DN85" s="63">
        <v>35622000</v>
      </c>
      <c r="DO85" s="63">
        <v>0</v>
      </c>
      <c r="DP85" s="63">
        <v>35622000</v>
      </c>
      <c r="DQ85" s="63"/>
      <c r="DR85" s="585"/>
    </row>
    <row r="86" spans="1:122" x14ac:dyDescent="0.2">
      <c r="A86" s="90">
        <v>79</v>
      </c>
      <c r="B86" s="129" t="s">
        <v>41</v>
      </c>
      <c r="C86" s="130" t="s">
        <v>749</v>
      </c>
      <c r="D86" s="131" t="s">
        <v>752</v>
      </c>
      <c r="E86" s="132" t="s">
        <v>40</v>
      </c>
      <c r="F86" s="475" t="s">
        <v>808</v>
      </c>
      <c r="G86" s="63">
        <v>242304763</v>
      </c>
      <c r="H86" s="63">
        <v>0</v>
      </c>
      <c r="I86" s="63">
        <v>242304763</v>
      </c>
      <c r="J86" s="608">
        <v>48.4</v>
      </c>
      <c r="K86" s="63">
        <v>117275505</v>
      </c>
      <c r="L86" s="63">
        <v>0</v>
      </c>
      <c r="M86" s="63">
        <v>-1000000</v>
      </c>
      <c r="N86" s="63">
        <v>0</v>
      </c>
      <c r="O86" s="63">
        <v>116275505</v>
      </c>
      <c r="P86" s="63">
        <v>0</v>
      </c>
      <c r="Q86" s="63">
        <v>116275505</v>
      </c>
      <c r="R86" s="63">
        <v>0</v>
      </c>
      <c r="S86" s="63">
        <v>0</v>
      </c>
      <c r="T86" s="63">
        <v>0</v>
      </c>
      <c r="U86" s="63">
        <v>0</v>
      </c>
      <c r="V86" s="63">
        <v>0</v>
      </c>
      <c r="W86" s="63">
        <v>0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0</v>
      </c>
      <c r="AE86" s="63">
        <v>0</v>
      </c>
      <c r="AF86" s="63">
        <v>0</v>
      </c>
      <c r="AG86" s="63">
        <v>0</v>
      </c>
      <c r="AH86" s="63">
        <v>-7420291</v>
      </c>
      <c r="AI86" s="63">
        <v>0</v>
      </c>
      <c r="AJ86" s="63">
        <v>-7420291</v>
      </c>
      <c r="AK86" s="63">
        <v>-16448</v>
      </c>
      <c r="AL86" s="63">
        <v>0</v>
      </c>
      <c r="AM86" s="63">
        <v>-16448</v>
      </c>
      <c r="AN86" s="63">
        <v>2654748</v>
      </c>
      <c r="AO86" s="63">
        <v>0</v>
      </c>
      <c r="AP86" s="63">
        <v>2654748</v>
      </c>
      <c r="AQ86" s="63">
        <v>-4765543</v>
      </c>
      <c r="AR86" s="63">
        <v>0</v>
      </c>
      <c r="AS86" s="63">
        <v>-4765543</v>
      </c>
      <c r="AT86" s="63">
        <v>-5339503</v>
      </c>
      <c r="AU86" s="63">
        <v>0</v>
      </c>
      <c r="AV86" s="63">
        <v>-5339503</v>
      </c>
      <c r="AW86" s="63">
        <v>-36161</v>
      </c>
      <c r="AX86" s="63">
        <v>0</v>
      </c>
      <c r="AY86" s="63">
        <v>-36161</v>
      </c>
      <c r="AZ86" s="63">
        <v>0</v>
      </c>
      <c r="BA86" s="63">
        <v>0</v>
      </c>
      <c r="BB86" s="63">
        <v>0</v>
      </c>
      <c r="BC86" s="63">
        <v>-10141207</v>
      </c>
      <c r="BD86" s="63">
        <v>0</v>
      </c>
      <c r="BE86" s="63">
        <v>-200000</v>
      </c>
      <c r="BF86" s="63">
        <v>0</v>
      </c>
      <c r="BG86" s="63">
        <v>-10341207</v>
      </c>
      <c r="BH86" s="63">
        <v>0</v>
      </c>
      <c r="BI86" s="63">
        <v>-10341207</v>
      </c>
      <c r="BJ86" s="63">
        <v>-200000</v>
      </c>
      <c r="BK86" s="63">
        <v>0</v>
      </c>
      <c r="BL86" s="63">
        <v>-200000</v>
      </c>
      <c r="BM86" s="63">
        <v>-6300000</v>
      </c>
      <c r="BN86" s="63">
        <v>0</v>
      </c>
      <c r="BO86" s="63">
        <v>-6300000</v>
      </c>
      <c r="BP86" s="63">
        <v>-6500000</v>
      </c>
      <c r="BQ86" s="63">
        <v>0</v>
      </c>
      <c r="BR86" s="63">
        <v>-200000</v>
      </c>
      <c r="BS86" s="63">
        <v>0</v>
      </c>
      <c r="BT86" s="63">
        <v>-6700000</v>
      </c>
      <c r="BU86" s="63">
        <v>0</v>
      </c>
      <c r="BV86" s="63">
        <v>-6700000</v>
      </c>
      <c r="BW86" s="63">
        <v>-540605</v>
      </c>
      <c r="BX86" s="63">
        <v>0</v>
      </c>
      <c r="BY86" s="63">
        <v>-540605</v>
      </c>
      <c r="BZ86" s="63">
        <v>-79862</v>
      </c>
      <c r="CA86" s="63">
        <v>0</v>
      </c>
      <c r="CB86" s="63">
        <v>-79862</v>
      </c>
      <c r="CC86" s="63">
        <v>-9040</v>
      </c>
      <c r="CD86" s="63">
        <v>0</v>
      </c>
      <c r="CE86" s="63">
        <v>-9040</v>
      </c>
      <c r="CF86" s="63">
        <v>0</v>
      </c>
      <c r="CG86" s="63">
        <v>0</v>
      </c>
      <c r="CH86" s="63">
        <v>0</v>
      </c>
      <c r="CI86" s="63">
        <v>0</v>
      </c>
      <c r="CJ86" s="63">
        <v>0</v>
      </c>
      <c r="CK86" s="63">
        <v>0</v>
      </c>
      <c r="CL86" s="63">
        <v>-24910</v>
      </c>
      <c r="CM86" s="63">
        <v>0</v>
      </c>
      <c r="CN86" s="63">
        <v>-24910</v>
      </c>
      <c r="CO86" s="63">
        <v>0</v>
      </c>
      <c r="CP86" s="63">
        <v>0</v>
      </c>
      <c r="CQ86" s="63">
        <v>-654417</v>
      </c>
      <c r="CR86" s="63">
        <v>0</v>
      </c>
      <c r="CS86" s="63">
        <v>-100000</v>
      </c>
      <c r="CT86" s="63">
        <v>0</v>
      </c>
      <c r="CU86" s="63">
        <v>-754417</v>
      </c>
      <c r="CV86" s="63">
        <v>0</v>
      </c>
      <c r="CW86" s="63">
        <v>-754417</v>
      </c>
      <c r="CX86" s="63">
        <v>-100000</v>
      </c>
      <c r="CY86" s="63">
        <v>0</v>
      </c>
      <c r="CZ86" s="63">
        <v>-100000</v>
      </c>
      <c r="DA86" s="63">
        <v>-67474</v>
      </c>
      <c r="DB86" s="63">
        <v>0</v>
      </c>
      <c r="DC86" s="63">
        <v>-67474</v>
      </c>
      <c r="DD86" s="63">
        <v>-6766</v>
      </c>
      <c r="DE86" s="63">
        <v>0</v>
      </c>
      <c r="DF86" s="63">
        <v>-6766</v>
      </c>
      <c r="DG86" s="63">
        <v>-174240</v>
      </c>
      <c r="DH86" s="63">
        <v>0</v>
      </c>
      <c r="DI86" s="63">
        <v>0</v>
      </c>
      <c r="DJ86" s="63">
        <v>0</v>
      </c>
      <c r="DK86" s="63">
        <v>-174240</v>
      </c>
      <c r="DL86" s="63">
        <v>0</v>
      </c>
      <c r="DM86" s="63">
        <v>-174240</v>
      </c>
      <c r="DN86" s="63">
        <v>98305641</v>
      </c>
      <c r="DO86" s="63">
        <v>0</v>
      </c>
      <c r="DP86" s="63">
        <v>98305641</v>
      </c>
      <c r="DQ86" s="63"/>
      <c r="DR86" s="585"/>
    </row>
    <row r="87" spans="1:122" x14ac:dyDescent="0.2">
      <c r="A87" s="90">
        <v>80</v>
      </c>
      <c r="B87" s="129" t="s">
        <v>43</v>
      </c>
      <c r="C87" s="130" t="s">
        <v>501</v>
      </c>
      <c r="D87" s="131" t="s">
        <v>755</v>
      </c>
      <c r="E87" s="132" t="s">
        <v>42</v>
      </c>
      <c r="F87" s="475" t="s">
        <v>808</v>
      </c>
      <c r="G87" s="63">
        <v>304083288</v>
      </c>
      <c r="H87" s="63">
        <v>0</v>
      </c>
      <c r="I87" s="63">
        <v>304083288</v>
      </c>
      <c r="J87" s="608">
        <v>48.4</v>
      </c>
      <c r="K87" s="63">
        <v>147176311</v>
      </c>
      <c r="L87" s="63">
        <v>0</v>
      </c>
      <c r="M87" s="63">
        <v>-2311697</v>
      </c>
      <c r="N87" s="63">
        <v>0</v>
      </c>
      <c r="O87" s="63">
        <v>144864614</v>
      </c>
      <c r="P87" s="63">
        <v>0</v>
      </c>
      <c r="Q87" s="63">
        <v>144864614</v>
      </c>
      <c r="R87" s="63">
        <v>0</v>
      </c>
      <c r="S87" s="63">
        <v>0</v>
      </c>
      <c r="T87" s="63">
        <v>0</v>
      </c>
      <c r="U87" s="63">
        <v>0</v>
      </c>
      <c r="V87" s="63">
        <v>0</v>
      </c>
      <c r="W87" s="63">
        <v>0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0</v>
      </c>
      <c r="AE87" s="63">
        <v>0</v>
      </c>
      <c r="AF87" s="63">
        <v>0</v>
      </c>
      <c r="AG87" s="63">
        <v>0</v>
      </c>
      <c r="AH87" s="63">
        <v>-9799911</v>
      </c>
      <c r="AI87" s="63">
        <v>0</v>
      </c>
      <c r="AJ87" s="63">
        <v>-9799911</v>
      </c>
      <c r="AK87" s="63">
        <v>-14881</v>
      </c>
      <c r="AL87" s="63">
        <v>0</v>
      </c>
      <c r="AM87" s="63">
        <v>-14881</v>
      </c>
      <c r="AN87" s="63">
        <v>3265475</v>
      </c>
      <c r="AO87" s="63">
        <v>0</v>
      </c>
      <c r="AP87" s="63">
        <v>3265475</v>
      </c>
      <c r="AQ87" s="63">
        <v>-6534436</v>
      </c>
      <c r="AR87" s="63">
        <v>0</v>
      </c>
      <c r="AS87" s="63">
        <v>-6534436</v>
      </c>
      <c r="AT87" s="63">
        <v>-10617964</v>
      </c>
      <c r="AU87" s="63">
        <v>0</v>
      </c>
      <c r="AV87" s="63">
        <v>-10617964</v>
      </c>
      <c r="AW87" s="63">
        <v>-248303</v>
      </c>
      <c r="AX87" s="63">
        <v>0</v>
      </c>
      <c r="AY87" s="63">
        <v>-248303</v>
      </c>
      <c r="AZ87" s="63">
        <v>-91806</v>
      </c>
      <c r="BA87" s="63">
        <v>0</v>
      </c>
      <c r="BB87" s="63">
        <v>-91806</v>
      </c>
      <c r="BC87" s="63">
        <v>-17492509</v>
      </c>
      <c r="BD87" s="63">
        <v>0</v>
      </c>
      <c r="BE87" s="63">
        <v>-197484</v>
      </c>
      <c r="BF87" s="63">
        <v>0</v>
      </c>
      <c r="BG87" s="63">
        <v>-17689993</v>
      </c>
      <c r="BH87" s="63">
        <v>0</v>
      </c>
      <c r="BI87" s="63">
        <v>-17689993</v>
      </c>
      <c r="BJ87" s="63">
        <v>-245014</v>
      </c>
      <c r="BK87" s="63">
        <v>0</v>
      </c>
      <c r="BL87" s="63">
        <v>-245014</v>
      </c>
      <c r="BM87" s="63">
        <v>-2991471</v>
      </c>
      <c r="BN87" s="63">
        <v>0</v>
      </c>
      <c r="BO87" s="63">
        <v>-2991471</v>
      </c>
      <c r="BP87" s="63">
        <v>-3236485</v>
      </c>
      <c r="BQ87" s="63">
        <v>0</v>
      </c>
      <c r="BR87" s="63">
        <v>-3539130</v>
      </c>
      <c r="BS87" s="63">
        <v>0</v>
      </c>
      <c r="BT87" s="63">
        <v>-6775615</v>
      </c>
      <c r="BU87" s="63">
        <v>0</v>
      </c>
      <c r="BV87" s="63">
        <v>-6775615</v>
      </c>
      <c r="BW87" s="63">
        <v>-518997</v>
      </c>
      <c r="BX87" s="63">
        <v>0</v>
      </c>
      <c r="BY87" s="63">
        <v>-518997</v>
      </c>
      <c r="BZ87" s="63">
        <v>-138187</v>
      </c>
      <c r="CA87" s="63">
        <v>0</v>
      </c>
      <c r="CB87" s="63">
        <v>-138187</v>
      </c>
      <c r="CC87" s="63">
        <v>0</v>
      </c>
      <c r="CD87" s="63">
        <v>0</v>
      </c>
      <c r="CE87" s="63">
        <v>0</v>
      </c>
      <c r="CF87" s="63">
        <v>-67235</v>
      </c>
      <c r="CG87" s="63">
        <v>0</v>
      </c>
      <c r="CH87" s="63">
        <v>-67235</v>
      </c>
      <c r="CI87" s="63">
        <v>-2118</v>
      </c>
      <c r="CJ87" s="63">
        <v>0</v>
      </c>
      <c r="CK87" s="63">
        <v>-2118</v>
      </c>
      <c r="CL87" s="63">
        <v>0</v>
      </c>
      <c r="CM87" s="63">
        <v>0</v>
      </c>
      <c r="CN87" s="63">
        <v>0</v>
      </c>
      <c r="CO87" s="63">
        <v>0</v>
      </c>
      <c r="CP87" s="63">
        <v>0</v>
      </c>
      <c r="CQ87" s="63">
        <v>-726537</v>
      </c>
      <c r="CR87" s="63">
        <v>0</v>
      </c>
      <c r="CS87" s="63">
        <v>-65035</v>
      </c>
      <c r="CT87" s="63">
        <v>0</v>
      </c>
      <c r="CU87" s="63">
        <v>-791572</v>
      </c>
      <c r="CV87" s="63">
        <v>0</v>
      </c>
      <c r="CW87" s="63">
        <v>-791572</v>
      </c>
      <c r="CX87" s="63">
        <v>0</v>
      </c>
      <c r="CY87" s="63">
        <v>0</v>
      </c>
      <c r="CZ87" s="63">
        <v>0</v>
      </c>
      <c r="DA87" s="63">
        <v>-33623</v>
      </c>
      <c r="DB87" s="63">
        <v>0</v>
      </c>
      <c r="DC87" s="63">
        <v>-33623</v>
      </c>
      <c r="DD87" s="63">
        <v>-10170</v>
      </c>
      <c r="DE87" s="63">
        <v>0</v>
      </c>
      <c r="DF87" s="63">
        <v>-10170</v>
      </c>
      <c r="DG87" s="63">
        <v>-43793</v>
      </c>
      <c r="DH87" s="63">
        <v>0</v>
      </c>
      <c r="DI87" s="63">
        <v>-266822</v>
      </c>
      <c r="DJ87" s="63">
        <v>0</v>
      </c>
      <c r="DK87" s="63">
        <v>-310615</v>
      </c>
      <c r="DL87" s="63">
        <v>0</v>
      </c>
      <c r="DM87" s="63">
        <v>-310615</v>
      </c>
      <c r="DN87" s="63">
        <v>119296819</v>
      </c>
      <c r="DO87" s="63">
        <v>0</v>
      </c>
      <c r="DP87" s="63">
        <v>119296819</v>
      </c>
      <c r="DQ87" s="63"/>
      <c r="DR87" s="585"/>
    </row>
    <row r="88" spans="1:122" x14ac:dyDescent="0.2">
      <c r="A88" s="90">
        <v>81</v>
      </c>
      <c r="B88" s="129" t="s">
        <v>45</v>
      </c>
      <c r="C88" s="130" t="s">
        <v>747</v>
      </c>
      <c r="D88" s="131" t="s">
        <v>748</v>
      </c>
      <c r="E88" s="132" t="s">
        <v>44</v>
      </c>
      <c r="F88" s="475" t="s">
        <v>808</v>
      </c>
      <c r="G88" s="63">
        <v>350853527</v>
      </c>
      <c r="H88" s="63">
        <v>0</v>
      </c>
      <c r="I88" s="63">
        <v>350853527</v>
      </c>
      <c r="J88" s="608">
        <v>48.4</v>
      </c>
      <c r="K88" s="63">
        <v>169813107</v>
      </c>
      <c r="L88" s="63">
        <v>0</v>
      </c>
      <c r="M88" s="63">
        <v>1712282</v>
      </c>
      <c r="N88" s="63">
        <v>0</v>
      </c>
      <c r="O88" s="63">
        <v>171525389</v>
      </c>
      <c r="P88" s="63">
        <v>0</v>
      </c>
      <c r="Q88" s="63">
        <v>171525389</v>
      </c>
      <c r="R88" s="63">
        <v>0</v>
      </c>
      <c r="S88" s="63">
        <v>0</v>
      </c>
      <c r="T88" s="63">
        <v>0</v>
      </c>
      <c r="U88" s="63">
        <v>0</v>
      </c>
      <c r="V88" s="63">
        <v>0</v>
      </c>
      <c r="W88" s="63">
        <v>0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0</v>
      </c>
      <c r="AE88" s="63">
        <v>0</v>
      </c>
      <c r="AF88" s="63">
        <v>0</v>
      </c>
      <c r="AG88" s="63">
        <v>0</v>
      </c>
      <c r="AH88" s="63">
        <v>-4718356</v>
      </c>
      <c r="AI88" s="63">
        <v>0</v>
      </c>
      <c r="AJ88" s="63">
        <v>-4718356</v>
      </c>
      <c r="AK88" s="63">
        <v>-15600</v>
      </c>
      <c r="AL88" s="63">
        <v>0</v>
      </c>
      <c r="AM88" s="63">
        <v>-15600</v>
      </c>
      <c r="AN88" s="63">
        <v>2621917</v>
      </c>
      <c r="AO88" s="63">
        <v>0</v>
      </c>
      <c r="AP88" s="63">
        <v>2621917</v>
      </c>
      <c r="AQ88" s="63">
        <v>-2096439</v>
      </c>
      <c r="AR88" s="63">
        <v>0</v>
      </c>
      <c r="AS88" s="63">
        <v>-2096439</v>
      </c>
      <c r="AT88" s="63">
        <v>-7106370</v>
      </c>
      <c r="AU88" s="63">
        <v>0</v>
      </c>
      <c r="AV88" s="63">
        <v>-7106370</v>
      </c>
      <c r="AW88" s="63">
        <v>-76133</v>
      </c>
      <c r="AX88" s="63">
        <v>0</v>
      </c>
      <c r="AY88" s="63">
        <v>-76133</v>
      </c>
      <c r="AZ88" s="63">
        <v>0</v>
      </c>
      <c r="BA88" s="63">
        <v>0</v>
      </c>
      <c r="BB88" s="63">
        <v>0</v>
      </c>
      <c r="BC88" s="63">
        <v>-9278942</v>
      </c>
      <c r="BD88" s="63">
        <v>0</v>
      </c>
      <c r="BE88" s="63">
        <v>-500000</v>
      </c>
      <c r="BF88" s="63">
        <v>0</v>
      </c>
      <c r="BG88" s="63">
        <v>-9778942</v>
      </c>
      <c r="BH88" s="63">
        <v>0</v>
      </c>
      <c r="BI88" s="63">
        <v>-9778942</v>
      </c>
      <c r="BJ88" s="63">
        <v>-350000</v>
      </c>
      <c r="BK88" s="63">
        <v>0</v>
      </c>
      <c r="BL88" s="63">
        <v>-350000</v>
      </c>
      <c r="BM88" s="63">
        <v>-2630106</v>
      </c>
      <c r="BN88" s="63">
        <v>0</v>
      </c>
      <c r="BO88" s="63">
        <v>-2630106</v>
      </c>
      <c r="BP88" s="63">
        <v>-2980106</v>
      </c>
      <c r="BQ88" s="63">
        <v>0</v>
      </c>
      <c r="BR88" s="63">
        <v>-2000000</v>
      </c>
      <c r="BS88" s="63">
        <v>0</v>
      </c>
      <c r="BT88" s="63">
        <v>-4980106</v>
      </c>
      <c r="BU88" s="63">
        <v>0</v>
      </c>
      <c r="BV88" s="63">
        <v>-4980106</v>
      </c>
      <c r="BW88" s="63">
        <v>-91000</v>
      </c>
      <c r="BX88" s="63">
        <v>0</v>
      </c>
      <c r="BY88" s="63">
        <v>-91000</v>
      </c>
      <c r="BZ88" s="63">
        <v>-301132</v>
      </c>
      <c r="CA88" s="63">
        <v>0</v>
      </c>
      <c r="CB88" s="63">
        <v>-301132</v>
      </c>
      <c r="CC88" s="63">
        <v>0</v>
      </c>
      <c r="CD88" s="63">
        <v>0</v>
      </c>
      <c r="CE88" s="63">
        <v>0</v>
      </c>
      <c r="CF88" s="63">
        <v>0</v>
      </c>
      <c r="CG88" s="63">
        <v>0</v>
      </c>
      <c r="CH88" s="63">
        <v>0</v>
      </c>
      <c r="CI88" s="63">
        <v>0</v>
      </c>
      <c r="CJ88" s="63">
        <v>0</v>
      </c>
      <c r="CK88" s="63">
        <v>0</v>
      </c>
      <c r="CL88" s="63">
        <v>-200000</v>
      </c>
      <c r="CM88" s="63">
        <v>0</v>
      </c>
      <c r="CN88" s="63">
        <v>-200000</v>
      </c>
      <c r="CO88" s="63">
        <v>0</v>
      </c>
      <c r="CP88" s="63">
        <v>0</v>
      </c>
      <c r="CQ88" s="63">
        <v>-592132</v>
      </c>
      <c r="CR88" s="63">
        <v>0</v>
      </c>
      <c r="CS88" s="63">
        <v>0</v>
      </c>
      <c r="CT88" s="63">
        <v>0</v>
      </c>
      <c r="CU88" s="63">
        <v>-592132</v>
      </c>
      <c r="CV88" s="63">
        <v>0</v>
      </c>
      <c r="CW88" s="63">
        <v>-592132</v>
      </c>
      <c r="CX88" s="63">
        <v>-525267</v>
      </c>
      <c r="CY88" s="63">
        <v>0</v>
      </c>
      <c r="CZ88" s="63">
        <v>-525267</v>
      </c>
      <c r="DA88" s="63">
        <v>-71511</v>
      </c>
      <c r="DB88" s="63">
        <v>0</v>
      </c>
      <c r="DC88" s="63">
        <v>-71511</v>
      </c>
      <c r="DD88" s="63">
        <v>0</v>
      </c>
      <c r="DE88" s="63">
        <v>0</v>
      </c>
      <c r="DF88" s="63">
        <v>0</v>
      </c>
      <c r="DG88" s="63">
        <v>-596778</v>
      </c>
      <c r="DH88" s="63">
        <v>0</v>
      </c>
      <c r="DI88" s="63">
        <v>0</v>
      </c>
      <c r="DJ88" s="63">
        <v>0</v>
      </c>
      <c r="DK88" s="63">
        <v>-596778</v>
      </c>
      <c r="DL88" s="63">
        <v>0</v>
      </c>
      <c r="DM88" s="63">
        <v>-596778</v>
      </c>
      <c r="DN88" s="63">
        <v>155577431</v>
      </c>
      <c r="DO88" s="63">
        <v>0</v>
      </c>
      <c r="DP88" s="63">
        <v>155577431</v>
      </c>
      <c r="DQ88" s="63"/>
      <c r="DR88" s="585"/>
    </row>
    <row r="89" spans="1:122" x14ac:dyDescent="0.2">
      <c r="A89" s="90">
        <v>82</v>
      </c>
      <c r="B89" s="129" t="s">
        <v>47</v>
      </c>
      <c r="C89" s="130" t="s">
        <v>742</v>
      </c>
      <c r="D89" s="131" t="s">
        <v>746</v>
      </c>
      <c r="E89" s="132" t="s">
        <v>46</v>
      </c>
      <c r="F89" s="475" t="s">
        <v>808</v>
      </c>
      <c r="G89" s="63">
        <v>47313448</v>
      </c>
      <c r="H89" s="63">
        <v>0</v>
      </c>
      <c r="I89" s="63">
        <v>47313448</v>
      </c>
      <c r="J89" s="608">
        <v>48.4</v>
      </c>
      <c r="K89" s="63">
        <v>22899709</v>
      </c>
      <c r="L89" s="63">
        <v>0</v>
      </c>
      <c r="M89" s="63">
        <v>0</v>
      </c>
      <c r="N89" s="63">
        <v>0</v>
      </c>
      <c r="O89" s="63">
        <v>22899709</v>
      </c>
      <c r="P89" s="63">
        <v>0</v>
      </c>
      <c r="Q89" s="63">
        <v>22899709</v>
      </c>
      <c r="R89" s="63">
        <v>0</v>
      </c>
      <c r="S89" s="63">
        <v>0</v>
      </c>
      <c r="T89" s="63">
        <v>0</v>
      </c>
      <c r="U89" s="63">
        <v>0</v>
      </c>
      <c r="V89" s="63">
        <v>0</v>
      </c>
      <c r="W89" s="63">
        <v>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0</v>
      </c>
      <c r="AE89" s="63">
        <v>0</v>
      </c>
      <c r="AF89" s="63">
        <v>0</v>
      </c>
      <c r="AG89" s="63">
        <v>0</v>
      </c>
      <c r="AH89" s="63">
        <v>-1617285</v>
      </c>
      <c r="AI89" s="63">
        <v>0</v>
      </c>
      <c r="AJ89" s="63">
        <v>-1617285</v>
      </c>
      <c r="AK89" s="63">
        <v>-1912</v>
      </c>
      <c r="AL89" s="63">
        <v>0</v>
      </c>
      <c r="AM89" s="63">
        <v>-1912</v>
      </c>
      <c r="AN89" s="63">
        <v>481830</v>
      </c>
      <c r="AO89" s="63">
        <v>0</v>
      </c>
      <c r="AP89" s="63">
        <v>481830</v>
      </c>
      <c r="AQ89" s="63">
        <v>-1135455</v>
      </c>
      <c r="AR89" s="63">
        <v>0</v>
      </c>
      <c r="AS89" s="63">
        <v>-1135455</v>
      </c>
      <c r="AT89" s="63">
        <v>-1573136</v>
      </c>
      <c r="AU89" s="63">
        <v>0</v>
      </c>
      <c r="AV89" s="63">
        <v>-1573136</v>
      </c>
      <c r="AW89" s="63">
        <v>-50237</v>
      </c>
      <c r="AX89" s="63">
        <v>0</v>
      </c>
      <c r="AY89" s="63">
        <v>-50237</v>
      </c>
      <c r="AZ89" s="63">
        <v>-37486</v>
      </c>
      <c r="BA89" s="63">
        <v>0</v>
      </c>
      <c r="BB89" s="63">
        <v>-37486</v>
      </c>
      <c r="BC89" s="63">
        <v>-2796314</v>
      </c>
      <c r="BD89" s="63">
        <v>0</v>
      </c>
      <c r="BE89" s="63">
        <v>0</v>
      </c>
      <c r="BF89" s="63">
        <v>0</v>
      </c>
      <c r="BG89" s="63">
        <v>-2796314</v>
      </c>
      <c r="BH89" s="63">
        <v>0</v>
      </c>
      <c r="BI89" s="63">
        <v>-2796314</v>
      </c>
      <c r="BJ89" s="63">
        <v>-2000</v>
      </c>
      <c r="BK89" s="63">
        <v>0</v>
      </c>
      <c r="BL89" s="63">
        <v>-2000</v>
      </c>
      <c r="BM89" s="63">
        <v>-469942</v>
      </c>
      <c r="BN89" s="63">
        <v>0</v>
      </c>
      <c r="BO89" s="63">
        <v>-469942</v>
      </c>
      <c r="BP89" s="63">
        <v>-471942</v>
      </c>
      <c r="BQ89" s="63">
        <v>0</v>
      </c>
      <c r="BR89" s="63">
        <v>0</v>
      </c>
      <c r="BS89" s="63">
        <v>0</v>
      </c>
      <c r="BT89" s="63">
        <v>-471942</v>
      </c>
      <c r="BU89" s="63">
        <v>0</v>
      </c>
      <c r="BV89" s="63">
        <v>-471942</v>
      </c>
      <c r="BW89" s="63">
        <v>-39142</v>
      </c>
      <c r="BX89" s="63">
        <v>0</v>
      </c>
      <c r="BY89" s="63">
        <v>-39142</v>
      </c>
      <c r="BZ89" s="63">
        <v>-9812</v>
      </c>
      <c r="CA89" s="63">
        <v>0</v>
      </c>
      <c r="CB89" s="63">
        <v>-9812</v>
      </c>
      <c r="CC89" s="63">
        <v>-4893</v>
      </c>
      <c r="CD89" s="63">
        <v>0</v>
      </c>
      <c r="CE89" s="63">
        <v>-4893</v>
      </c>
      <c r="CF89" s="63">
        <v>-7206</v>
      </c>
      <c r="CG89" s="63">
        <v>0</v>
      </c>
      <c r="CH89" s="63">
        <v>-7206</v>
      </c>
      <c r="CI89" s="63">
        <v>0</v>
      </c>
      <c r="CJ89" s="63">
        <v>0</v>
      </c>
      <c r="CK89" s="63">
        <v>0</v>
      </c>
      <c r="CL89" s="63">
        <v>0</v>
      </c>
      <c r="CM89" s="63">
        <v>0</v>
      </c>
      <c r="CN89" s="63">
        <v>0</v>
      </c>
      <c r="CO89" s="63">
        <v>0</v>
      </c>
      <c r="CP89" s="63">
        <v>0</v>
      </c>
      <c r="CQ89" s="63">
        <v>-61053</v>
      </c>
      <c r="CR89" s="63">
        <v>0</v>
      </c>
      <c r="CS89" s="63">
        <v>0</v>
      </c>
      <c r="CT89" s="63">
        <v>0</v>
      </c>
      <c r="CU89" s="63">
        <v>-61053</v>
      </c>
      <c r="CV89" s="63">
        <v>0</v>
      </c>
      <c r="CW89" s="63">
        <v>-61053</v>
      </c>
      <c r="CX89" s="63">
        <v>-5527</v>
      </c>
      <c r="CY89" s="63">
        <v>0</v>
      </c>
      <c r="CZ89" s="63">
        <v>-5527</v>
      </c>
      <c r="DA89" s="63">
        <v>0</v>
      </c>
      <c r="DB89" s="63">
        <v>0</v>
      </c>
      <c r="DC89" s="63">
        <v>0</v>
      </c>
      <c r="DD89" s="63">
        <v>0</v>
      </c>
      <c r="DE89" s="63">
        <v>0</v>
      </c>
      <c r="DF89" s="63">
        <v>0</v>
      </c>
      <c r="DG89" s="63">
        <v>-5527</v>
      </c>
      <c r="DH89" s="63">
        <v>0</v>
      </c>
      <c r="DI89" s="63">
        <v>0</v>
      </c>
      <c r="DJ89" s="63">
        <v>0</v>
      </c>
      <c r="DK89" s="63">
        <v>-5527</v>
      </c>
      <c r="DL89" s="63">
        <v>0</v>
      </c>
      <c r="DM89" s="63">
        <v>-5527</v>
      </c>
      <c r="DN89" s="63">
        <v>19564873</v>
      </c>
      <c r="DO89" s="63">
        <v>0</v>
      </c>
      <c r="DP89" s="63">
        <v>19564873</v>
      </c>
      <c r="DQ89" s="63"/>
      <c r="DR89" s="585" t="s">
        <v>768</v>
      </c>
    </row>
    <row r="90" spans="1:122" x14ac:dyDescent="0.2">
      <c r="A90" s="90">
        <v>83</v>
      </c>
      <c r="B90" s="129" t="s">
        <v>49</v>
      </c>
      <c r="C90" s="130" t="s">
        <v>742</v>
      </c>
      <c r="D90" s="131" t="s">
        <v>751</v>
      </c>
      <c r="E90" s="132" t="s">
        <v>48</v>
      </c>
      <c r="F90" s="475" t="s">
        <v>808</v>
      </c>
      <c r="G90" s="63">
        <v>87044226</v>
      </c>
      <c r="H90" s="63">
        <v>0</v>
      </c>
      <c r="I90" s="63">
        <v>87044226</v>
      </c>
      <c r="J90" s="608">
        <v>48.4</v>
      </c>
      <c r="K90" s="63">
        <v>42129405</v>
      </c>
      <c r="L90" s="63">
        <v>0</v>
      </c>
      <c r="M90" s="63">
        <v>221967</v>
      </c>
      <c r="N90" s="63">
        <v>0</v>
      </c>
      <c r="O90" s="63">
        <v>42351372</v>
      </c>
      <c r="P90" s="63">
        <v>0</v>
      </c>
      <c r="Q90" s="63">
        <v>42351372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3">
        <v>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0</v>
      </c>
      <c r="AE90" s="63">
        <v>0</v>
      </c>
      <c r="AF90" s="63">
        <v>0</v>
      </c>
      <c r="AG90" s="63">
        <v>0</v>
      </c>
      <c r="AH90" s="63">
        <v>-4362698</v>
      </c>
      <c r="AI90" s="63">
        <v>0</v>
      </c>
      <c r="AJ90" s="63">
        <v>-4362698</v>
      </c>
      <c r="AK90" s="63">
        <v>0</v>
      </c>
      <c r="AL90" s="63">
        <v>0</v>
      </c>
      <c r="AM90" s="63">
        <v>0</v>
      </c>
      <c r="AN90" s="63">
        <v>831513</v>
      </c>
      <c r="AO90" s="63">
        <v>0</v>
      </c>
      <c r="AP90" s="63">
        <v>831513</v>
      </c>
      <c r="AQ90" s="63">
        <v>-3531185</v>
      </c>
      <c r="AR90" s="63">
        <v>0</v>
      </c>
      <c r="AS90" s="63">
        <v>-3531185</v>
      </c>
      <c r="AT90" s="63">
        <v>-2242844</v>
      </c>
      <c r="AU90" s="63">
        <v>0</v>
      </c>
      <c r="AV90" s="63">
        <v>-2242844</v>
      </c>
      <c r="AW90" s="63">
        <v>-416023</v>
      </c>
      <c r="AX90" s="63">
        <v>0</v>
      </c>
      <c r="AY90" s="63">
        <v>-416023</v>
      </c>
      <c r="AZ90" s="63">
        <v>-39915</v>
      </c>
      <c r="BA90" s="63">
        <v>0</v>
      </c>
      <c r="BB90" s="63">
        <v>-39915</v>
      </c>
      <c r="BC90" s="63">
        <v>-6229967</v>
      </c>
      <c r="BD90" s="63">
        <v>0</v>
      </c>
      <c r="BE90" s="63">
        <v>0</v>
      </c>
      <c r="BF90" s="63">
        <v>0</v>
      </c>
      <c r="BG90" s="63">
        <v>-6229967</v>
      </c>
      <c r="BH90" s="63">
        <v>0</v>
      </c>
      <c r="BI90" s="63">
        <v>-6229967</v>
      </c>
      <c r="BJ90" s="63">
        <v>0</v>
      </c>
      <c r="BK90" s="63">
        <v>0</v>
      </c>
      <c r="BL90" s="63">
        <v>0</v>
      </c>
      <c r="BM90" s="63">
        <v>-1283785</v>
      </c>
      <c r="BN90" s="63">
        <v>0</v>
      </c>
      <c r="BO90" s="63">
        <v>-1283785</v>
      </c>
      <c r="BP90" s="63">
        <v>-1283785</v>
      </c>
      <c r="BQ90" s="63">
        <v>0</v>
      </c>
      <c r="BR90" s="63">
        <v>-150000</v>
      </c>
      <c r="BS90" s="63">
        <v>0</v>
      </c>
      <c r="BT90" s="63">
        <v>-1433785</v>
      </c>
      <c r="BU90" s="63">
        <v>0</v>
      </c>
      <c r="BV90" s="63">
        <v>-1433785</v>
      </c>
      <c r="BW90" s="63">
        <v>-113346</v>
      </c>
      <c r="BX90" s="63">
        <v>0</v>
      </c>
      <c r="BY90" s="63">
        <v>-113346</v>
      </c>
      <c r="BZ90" s="63">
        <v>-339</v>
      </c>
      <c r="CA90" s="63">
        <v>0</v>
      </c>
      <c r="CB90" s="63">
        <v>-339</v>
      </c>
      <c r="CC90" s="63">
        <v>-82404</v>
      </c>
      <c r="CD90" s="63">
        <v>0</v>
      </c>
      <c r="CE90" s="63">
        <v>-82404</v>
      </c>
      <c r="CF90" s="63">
        <v>-12326</v>
      </c>
      <c r="CG90" s="63">
        <v>0</v>
      </c>
      <c r="CH90" s="63">
        <v>-12326</v>
      </c>
      <c r="CI90" s="63">
        <v>0</v>
      </c>
      <c r="CJ90" s="63">
        <v>0</v>
      </c>
      <c r="CK90" s="63">
        <v>0</v>
      </c>
      <c r="CL90" s="63">
        <v>-20000</v>
      </c>
      <c r="CM90" s="63">
        <v>0</v>
      </c>
      <c r="CN90" s="63">
        <v>-20000</v>
      </c>
      <c r="CO90" s="63">
        <v>0</v>
      </c>
      <c r="CP90" s="63">
        <v>0</v>
      </c>
      <c r="CQ90" s="63">
        <v>-228415</v>
      </c>
      <c r="CR90" s="63">
        <v>0</v>
      </c>
      <c r="CS90" s="63">
        <v>0</v>
      </c>
      <c r="CT90" s="63">
        <v>0</v>
      </c>
      <c r="CU90" s="63">
        <v>-228415</v>
      </c>
      <c r="CV90" s="63">
        <v>0</v>
      </c>
      <c r="CW90" s="63">
        <v>-228415</v>
      </c>
      <c r="CX90" s="63">
        <v>0</v>
      </c>
      <c r="CY90" s="63">
        <v>0</v>
      </c>
      <c r="CZ90" s="63">
        <v>0</v>
      </c>
      <c r="DA90" s="63">
        <v>-3207</v>
      </c>
      <c r="DB90" s="63">
        <v>0</v>
      </c>
      <c r="DC90" s="63">
        <v>-3207</v>
      </c>
      <c r="DD90" s="63">
        <v>-34496</v>
      </c>
      <c r="DE90" s="63">
        <v>0</v>
      </c>
      <c r="DF90" s="63">
        <v>-34496</v>
      </c>
      <c r="DG90" s="63">
        <v>-37703</v>
      </c>
      <c r="DH90" s="63">
        <v>0</v>
      </c>
      <c r="DI90" s="63">
        <v>0</v>
      </c>
      <c r="DJ90" s="63">
        <v>0</v>
      </c>
      <c r="DK90" s="63">
        <v>-37703</v>
      </c>
      <c r="DL90" s="63">
        <v>0</v>
      </c>
      <c r="DM90" s="63">
        <v>-37703</v>
      </c>
      <c r="DN90" s="63">
        <v>34421502</v>
      </c>
      <c r="DO90" s="63">
        <v>0</v>
      </c>
      <c r="DP90" s="63">
        <v>34421502</v>
      </c>
      <c r="DQ90" s="63"/>
      <c r="DR90" s="585"/>
    </row>
    <row r="91" spans="1:122" x14ac:dyDescent="0.2">
      <c r="A91" s="90">
        <v>84</v>
      </c>
      <c r="B91" s="129" t="s">
        <v>51</v>
      </c>
      <c r="C91" s="130" t="s">
        <v>742</v>
      </c>
      <c r="D91" s="131" t="s">
        <v>751</v>
      </c>
      <c r="E91" s="132" t="s">
        <v>50</v>
      </c>
      <c r="F91" s="475" t="s">
        <v>808</v>
      </c>
      <c r="G91" s="63">
        <v>54146046</v>
      </c>
      <c r="H91" s="63">
        <v>0</v>
      </c>
      <c r="I91" s="63">
        <v>54146046</v>
      </c>
      <c r="J91" s="608">
        <v>48.4</v>
      </c>
      <c r="K91" s="63">
        <v>26206686</v>
      </c>
      <c r="L91" s="63">
        <v>0</v>
      </c>
      <c r="M91" s="63">
        <v>-250000</v>
      </c>
      <c r="N91" s="63">
        <v>0</v>
      </c>
      <c r="O91" s="63">
        <v>25956686</v>
      </c>
      <c r="P91" s="63">
        <v>0</v>
      </c>
      <c r="Q91" s="63">
        <v>25956686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3">
        <v>0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0</v>
      </c>
      <c r="AE91" s="63">
        <v>0</v>
      </c>
      <c r="AF91" s="63">
        <v>0</v>
      </c>
      <c r="AG91" s="63">
        <v>0</v>
      </c>
      <c r="AH91" s="63">
        <v>-2086259</v>
      </c>
      <c r="AI91" s="63">
        <v>0</v>
      </c>
      <c r="AJ91" s="63">
        <v>-2086259</v>
      </c>
      <c r="AK91" s="63">
        <v>-2806</v>
      </c>
      <c r="AL91" s="63">
        <v>0</v>
      </c>
      <c r="AM91" s="63">
        <v>-2806</v>
      </c>
      <c r="AN91" s="63">
        <v>541467</v>
      </c>
      <c r="AO91" s="63">
        <v>0</v>
      </c>
      <c r="AP91" s="63">
        <v>541467</v>
      </c>
      <c r="AQ91" s="63">
        <v>-1544792</v>
      </c>
      <c r="AR91" s="63">
        <v>0</v>
      </c>
      <c r="AS91" s="63">
        <v>-1544792</v>
      </c>
      <c r="AT91" s="63">
        <v>-1279664</v>
      </c>
      <c r="AU91" s="63">
        <v>0</v>
      </c>
      <c r="AV91" s="63">
        <v>-1279664</v>
      </c>
      <c r="AW91" s="63">
        <v>-40887</v>
      </c>
      <c r="AX91" s="63">
        <v>0</v>
      </c>
      <c r="AY91" s="63">
        <v>-40887</v>
      </c>
      <c r="AZ91" s="63">
        <v>-14867</v>
      </c>
      <c r="BA91" s="63">
        <v>0</v>
      </c>
      <c r="BB91" s="63">
        <v>-14867</v>
      </c>
      <c r="BC91" s="63">
        <v>-2880210</v>
      </c>
      <c r="BD91" s="63">
        <v>0</v>
      </c>
      <c r="BE91" s="63">
        <v>0</v>
      </c>
      <c r="BF91" s="63">
        <v>0</v>
      </c>
      <c r="BG91" s="63">
        <v>-2880210</v>
      </c>
      <c r="BH91" s="63">
        <v>0</v>
      </c>
      <c r="BI91" s="63">
        <v>-2880210</v>
      </c>
      <c r="BJ91" s="63">
        <v>0</v>
      </c>
      <c r="BK91" s="63">
        <v>0</v>
      </c>
      <c r="BL91" s="63">
        <v>0</v>
      </c>
      <c r="BM91" s="63">
        <v>-242695</v>
      </c>
      <c r="BN91" s="63">
        <v>0</v>
      </c>
      <c r="BO91" s="63">
        <v>-242695</v>
      </c>
      <c r="BP91" s="63">
        <v>-242695</v>
      </c>
      <c r="BQ91" s="63">
        <v>0</v>
      </c>
      <c r="BR91" s="63">
        <v>0</v>
      </c>
      <c r="BS91" s="63">
        <v>0</v>
      </c>
      <c r="BT91" s="63">
        <v>-242695</v>
      </c>
      <c r="BU91" s="63">
        <v>0</v>
      </c>
      <c r="BV91" s="63">
        <v>-242695</v>
      </c>
      <c r="BW91" s="63">
        <v>-27986</v>
      </c>
      <c r="BX91" s="63">
        <v>0</v>
      </c>
      <c r="BY91" s="63">
        <v>-27986</v>
      </c>
      <c r="BZ91" s="63">
        <v>-2366</v>
      </c>
      <c r="CA91" s="63">
        <v>0</v>
      </c>
      <c r="CB91" s="63">
        <v>-2366</v>
      </c>
      <c r="CC91" s="63">
        <v>0</v>
      </c>
      <c r="CD91" s="63">
        <v>0</v>
      </c>
      <c r="CE91" s="63">
        <v>0</v>
      </c>
      <c r="CF91" s="63">
        <v>-7771</v>
      </c>
      <c r="CG91" s="63">
        <v>0</v>
      </c>
      <c r="CH91" s="63">
        <v>-7771</v>
      </c>
      <c r="CI91" s="63">
        <v>0</v>
      </c>
      <c r="CJ91" s="63">
        <v>0</v>
      </c>
      <c r="CK91" s="63">
        <v>0</v>
      </c>
      <c r="CL91" s="63">
        <v>0</v>
      </c>
      <c r="CM91" s="63">
        <v>0</v>
      </c>
      <c r="CN91" s="63">
        <v>0</v>
      </c>
      <c r="CO91" s="63">
        <v>0</v>
      </c>
      <c r="CP91" s="63">
        <v>0</v>
      </c>
      <c r="CQ91" s="63">
        <v>-38123</v>
      </c>
      <c r="CR91" s="63">
        <v>0</v>
      </c>
      <c r="CS91" s="63">
        <v>0</v>
      </c>
      <c r="CT91" s="63">
        <v>0</v>
      </c>
      <c r="CU91" s="63">
        <v>-38123</v>
      </c>
      <c r="CV91" s="63">
        <v>0</v>
      </c>
      <c r="CW91" s="63">
        <v>-38123</v>
      </c>
      <c r="CX91" s="63">
        <v>0</v>
      </c>
      <c r="CY91" s="63">
        <v>0</v>
      </c>
      <c r="CZ91" s="63">
        <v>0</v>
      </c>
      <c r="DA91" s="63">
        <v>0</v>
      </c>
      <c r="DB91" s="63">
        <v>0</v>
      </c>
      <c r="DC91" s="63">
        <v>0</v>
      </c>
      <c r="DD91" s="63">
        <v>-4511</v>
      </c>
      <c r="DE91" s="63">
        <v>0</v>
      </c>
      <c r="DF91" s="63">
        <v>-4511</v>
      </c>
      <c r="DG91" s="63">
        <v>-4511</v>
      </c>
      <c r="DH91" s="63">
        <v>0</v>
      </c>
      <c r="DI91" s="63">
        <v>0</v>
      </c>
      <c r="DJ91" s="63">
        <v>0</v>
      </c>
      <c r="DK91" s="63">
        <v>-4511</v>
      </c>
      <c r="DL91" s="63">
        <v>0</v>
      </c>
      <c r="DM91" s="63">
        <v>-4511</v>
      </c>
      <c r="DN91" s="63">
        <v>22791147</v>
      </c>
      <c r="DO91" s="63">
        <v>0</v>
      </c>
      <c r="DP91" s="63">
        <v>22791147</v>
      </c>
      <c r="DQ91" s="63"/>
      <c r="DR91" s="585"/>
    </row>
    <row r="92" spans="1:122" x14ac:dyDescent="0.2">
      <c r="A92" s="90">
        <v>85</v>
      </c>
      <c r="B92" s="129" t="s">
        <v>53</v>
      </c>
      <c r="C92" s="130" t="s">
        <v>742</v>
      </c>
      <c r="D92" s="131" t="s">
        <v>743</v>
      </c>
      <c r="E92" s="132" t="s">
        <v>52</v>
      </c>
      <c r="F92" s="475" t="s">
        <v>808</v>
      </c>
      <c r="G92" s="63">
        <v>75775585</v>
      </c>
      <c r="H92" s="63">
        <v>0</v>
      </c>
      <c r="I92" s="63">
        <v>75775585</v>
      </c>
      <c r="J92" s="608">
        <v>48.4</v>
      </c>
      <c r="K92" s="63">
        <v>36675383</v>
      </c>
      <c r="L92" s="63">
        <v>0</v>
      </c>
      <c r="M92" s="63">
        <v>-1025000</v>
      </c>
      <c r="N92" s="63">
        <v>0</v>
      </c>
      <c r="O92" s="63">
        <v>35650383</v>
      </c>
      <c r="P92" s="63">
        <v>0</v>
      </c>
      <c r="Q92" s="63">
        <v>35650383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3">
        <v>0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0</v>
      </c>
      <c r="AE92" s="63">
        <v>0</v>
      </c>
      <c r="AF92" s="63">
        <v>0</v>
      </c>
      <c r="AG92" s="63">
        <v>0</v>
      </c>
      <c r="AH92" s="63">
        <v>-2576968.2400000002</v>
      </c>
      <c r="AI92" s="63">
        <v>0</v>
      </c>
      <c r="AJ92" s="63">
        <v>-2576968.2400000002</v>
      </c>
      <c r="AK92" s="63">
        <v>-27917</v>
      </c>
      <c r="AL92" s="63">
        <v>0</v>
      </c>
      <c r="AM92" s="63">
        <v>-27917</v>
      </c>
      <c r="AN92" s="63">
        <v>772833.37</v>
      </c>
      <c r="AO92" s="63">
        <v>0</v>
      </c>
      <c r="AP92" s="63">
        <v>772833.37</v>
      </c>
      <c r="AQ92" s="63">
        <v>-1804134.87</v>
      </c>
      <c r="AR92" s="63">
        <v>0</v>
      </c>
      <c r="AS92" s="63">
        <v>-1804134.87</v>
      </c>
      <c r="AT92" s="63">
        <v>-2372964.27</v>
      </c>
      <c r="AU92" s="63">
        <v>0</v>
      </c>
      <c r="AV92" s="63">
        <v>-2372964.27</v>
      </c>
      <c r="AW92" s="63">
        <v>-69868.259999999995</v>
      </c>
      <c r="AX92" s="63">
        <v>0</v>
      </c>
      <c r="AY92" s="63">
        <v>-69868.259999999995</v>
      </c>
      <c r="AZ92" s="63">
        <v>-32106.25</v>
      </c>
      <c r="BA92" s="63">
        <v>0</v>
      </c>
      <c r="BB92" s="63">
        <v>-32106.25</v>
      </c>
      <c r="BC92" s="63">
        <v>-4279073.6500000004</v>
      </c>
      <c r="BD92" s="63">
        <v>0</v>
      </c>
      <c r="BE92" s="63">
        <v>0</v>
      </c>
      <c r="BF92" s="63">
        <v>0</v>
      </c>
      <c r="BG92" s="63">
        <v>-4279073.6500000004</v>
      </c>
      <c r="BH92" s="63">
        <v>0</v>
      </c>
      <c r="BI92" s="63">
        <v>-4279073.6500000004</v>
      </c>
      <c r="BJ92" s="63">
        <v>-240000</v>
      </c>
      <c r="BK92" s="63">
        <v>0</v>
      </c>
      <c r="BL92" s="63">
        <v>-240000</v>
      </c>
      <c r="BM92" s="63">
        <v>-736537.7</v>
      </c>
      <c r="BN92" s="63">
        <v>0</v>
      </c>
      <c r="BO92" s="63">
        <v>-736537.7</v>
      </c>
      <c r="BP92" s="63">
        <v>-976537.7</v>
      </c>
      <c r="BQ92" s="63">
        <v>0</v>
      </c>
      <c r="BR92" s="63">
        <v>0</v>
      </c>
      <c r="BS92" s="63">
        <v>0</v>
      </c>
      <c r="BT92" s="63">
        <v>-976537.7</v>
      </c>
      <c r="BU92" s="63">
        <v>0</v>
      </c>
      <c r="BV92" s="63">
        <v>-976537.7</v>
      </c>
      <c r="BW92" s="63">
        <v>-124927.81</v>
      </c>
      <c r="BX92" s="63">
        <v>0</v>
      </c>
      <c r="BY92" s="63">
        <v>-124927.81</v>
      </c>
      <c r="BZ92" s="63">
        <v>-9365</v>
      </c>
      <c r="CA92" s="63">
        <v>0</v>
      </c>
      <c r="CB92" s="63">
        <v>-9365</v>
      </c>
      <c r="CC92" s="63">
        <v>-8300</v>
      </c>
      <c r="CD92" s="63">
        <v>0</v>
      </c>
      <c r="CE92" s="63">
        <v>-8300</v>
      </c>
      <c r="CF92" s="63">
        <v>-32106.16</v>
      </c>
      <c r="CG92" s="63">
        <v>0</v>
      </c>
      <c r="CH92" s="63">
        <v>-32106.16</v>
      </c>
      <c r="CI92" s="63">
        <v>0</v>
      </c>
      <c r="CJ92" s="63">
        <v>0</v>
      </c>
      <c r="CK92" s="63">
        <v>0</v>
      </c>
      <c r="CL92" s="63">
        <v>0</v>
      </c>
      <c r="CM92" s="63">
        <v>0</v>
      </c>
      <c r="CN92" s="63">
        <v>0</v>
      </c>
      <c r="CO92" s="63">
        <v>0</v>
      </c>
      <c r="CP92" s="63">
        <v>0</v>
      </c>
      <c r="CQ92" s="63">
        <v>-174698.97</v>
      </c>
      <c r="CR92" s="63">
        <v>0</v>
      </c>
      <c r="CS92" s="63">
        <v>0</v>
      </c>
      <c r="CT92" s="63">
        <v>0</v>
      </c>
      <c r="CU92" s="63">
        <v>-174698.97</v>
      </c>
      <c r="CV92" s="63">
        <v>0</v>
      </c>
      <c r="CW92" s="63">
        <v>-174698.97</v>
      </c>
      <c r="CX92" s="63">
        <v>0</v>
      </c>
      <c r="CY92" s="63">
        <v>0</v>
      </c>
      <c r="CZ92" s="63">
        <v>0</v>
      </c>
      <c r="DA92" s="63">
        <v>-15000</v>
      </c>
      <c r="DB92" s="63">
        <v>0</v>
      </c>
      <c r="DC92" s="63">
        <v>-15000</v>
      </c>
      <c r="DD92" s="63">
        <v>-7373.24</v>
      </c>
      <c r="DE92" s="63">
        <v>0</v>
      </c>
      <c r="DF92" s="63">
        <v>-7373.24</v>
      </c>
      <c r="DG92" s="63">
        <v>-22373.239999999998</v>
      </c>
      <c r="DH92" s="63">
        <v>0</v>
      </c>
      <c r="DI92" s="63">
        <v>0</v>
      </c>
      <c r="DJ92" s="63">
        <v>0</v>
      </c>
      <c r="DK92" s="63">
        <v>-22373.239999999998</v>
      </c>
      <c r="DL92" s="63">
        <v>0</v>
      </c>
      <c r="DM92" s="63">
        <v>-22373.239999999998</v>
      </c>
      <c r="DN92" s="63">
        <v>30197699.440000005</v>
      </c>
      <c r="DO92" s="63">
        <v>0</v>
      </c>
      <c r="DP92" s="63">
        <v>30197699.440000005</v>
      </c>
      <c r="DQ92" s="63"/>
      <c r="DR92" s="585"/>
    </row>
    <row r="93" spans="1:122" x14ac:dyDescent="0.2">
      <c r="A93" s="90">
        <v>86</v>
      </c>
      <c r="B93" s="129" t="s">
        <v>55</v>
      </c>
      <c r="C93" s="130" t="s">
        <v>742</v>
      </c>
      <c r="D93" s="131" t="s">
        <v>746</v>
      </c>
      <c r="E93" s="132" t="s">
        <v>54</v>
      </c>
      <c r="F93" s="475" t="s">
        <v>808</v>
      </c>
      <c r="G93" s="63">
        <v>112899479</v>
      </c>
      <c r="H93" s="63">
        <v>0</v>
      </c>
      <c r="I93" s="63">
        <v>112899479</v>
      </c>
      <c r="J93" s="608">
        <v>48.4</v>
      </c>
      <c r="K93" s="63">
        <v>54643348</v>
      </c>
      <c r="L93" s="63">
        <v>0</v>
      </c>
      <c r="M93" s="63">
        <v>-343701</v>
      </c>
      <c r="N93" s="63">
        <v>0</v>
      </c>
      <c r="O93" s="63">
        <v>54299647</v>
      </c>
      <c r="P93" s="63">
        <v>0</v>
      </c>
      <c r="Q93" s="63">
        <v>54299647</v>
      </c>
      <c r="R93" s="63">
        <v>0</v>
      </c>
      <c r="S93" s="63">
        <v>0</v>
      </c>
      <c r="T93" s="63">
        <v>0</v>
      </c>
      <c r="U93" s="63">
        <v>0</v>
      </c>
      <c r="V93" s="63">
        <v>0</v>
      </c>
      <c r="W93" s="63">
        <v>0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0</v>
      </c>
      <c r="AE93" s="63">
        <v>0</v>
      </c>
      <c r="AF93" s="63">
        <v>0</v>
      </c>
      <c r="AG93" s="63">
        <v>0</v>
      </c>
      <c r="AH93" s="63">
        <v>-2662490</v>
      </c>
      <c r="AI93" s="63">
        <v>0</v>
      </c>
      <c r="AJ93" s="63">
        <v>-2662490</v>
      </c>
      <c r="AK93" s="63">
        <v>0</v>
      </c>
      <c r="AL93" s="63">
        <v>0</v>
      </c>
      <c r="AM93" s="63">
        <v>0</v>
      </c>
      <c r="AN93" s="63">
        <v>1225715</v>
      </c>
      <c r="AO93" s="63">
        <v>0</v>
      </c>
      <c r="AP93" s="63">
        <v>1225715</v>
      </c>
      <c r="AQ93" s="63">
        <v>-1436775</v>
      </c>
      <c r="AR93" s="63">
        <v>0</v>
      </c>
      <c r="AS93" s="63">
        <v>-1436775</v>
      </c>
      <c r="AT93" s="63">
        <v>-4149356</v>
      </c>
      <c r="AU93" s="63">
        <v>0</v>
      </c>
      <c r="AV93" s="63">
        <v>-4149356</v>
      </c>
      <c r="AW93" s="63">
        <v>-108276</v>
      </c>
      <c r="AX93" s="63">
        <v>0</v>
      </c>
      <c r="AY93" s="63">
        <v>-108276</v>
      </c>
      <c r="AZ93" s="63">
        <v>-48284</v>
      </c>
      <c r="BA93" s="63">
        <v>0</v>
      </c>
      <c r="BB93" s="63">
        <v>-48284</v>
      </c>
      <c r="BC93" s="63">
        <v>-5742691</v>
      </c>
      <c r="BD93" s="63">
        <v>0</v>
      </c>
      <c r="BE93" s="63">
        <v>-1069675</v>
      </c>
      <c r="BF93" s="63">
        <v>0</v>
      </c>
      <c r="BG93" s="63">
        <v>-6812366</v>
      </c>
      <c r="BH93" s="63">
        <v>0</v>
      </c>
      <c r="BI93" s="63">
        <v>-6812366</v>
      </c>
      <c r="BJ93" s="63">
        <v>-19136</v>
      </c>
      <c r="BK93" s="63">
        <v>0</v>
      </c>
      <c r="BL93" s="63">
        <v>-19136</v>
      </c>
      <c r="BM93" s="63">
        <v>-1493712</v>
      </c>
      <c r="BN93" s="63">
        <v>0</v>
      </c>
      <c r="BO93" s="63">
        <v>-1493712</v>
      </c>
      <c r="BP93" s="63">
        <v>-1512848</v>
      </c>
      <c r="BQ93" s="63">
        <v>0</v>
      </c>
      <c r="BR93" s="63">
        <v>-199650</v>
      </c>
      <c r="BS93" s="63">
        <v>0</v>
      </c>
      <c r="BT93" s="63">
        <v>-1712498</v>
      </c>
      <c r="BU93" s="63">
        <v>0</v>
      </c>
      <c r="BV93" s="63">
        <v>-1712498</v>
      </c>
      <c r="BW93" s="63">
        <v>-177680</v>
      </c>
      <c r="BX93" s="63">
        <v>0</v>
      </c>
      <c r="BY93" s="63">
        <v>-177680</v>
      </c>
      <c r="BZ93" s="63">
        <v>-41401</v>
      </c>
      <c r="CA93" s="63">
        <v>0</v>
      </c>
      <c r="CB93" s="63">
        <v>-41401</v>
      </c>
      <c r="CC93" s="63">
        <v>0</v>
      </c>
      <c r="CD93" s="63">
        <v>0</v>
      </c>
      <c r="CE93" s="63">
        <v>0</v>
      </c>
      <c r="CF93" s="63">
        <v>-21247</v>
      </c>
      <c r="CG93" s="63">
        <v>0</v>
      </c>
      <c r="CH93" s="63">
        <v>-21247</v>
      </c>
      <c r="CI93" s="63">
        <v>-1447</v>
      </c>
      <c r="CJ93" s="63">
        <v>0</v>
      </c>
      <c r="CK93" s="63">
        <v>-1447</v>
      </c>
      <c r="CL93" s="63">
        <v>0</v>
      </c>
      <c r="CM93" s="63">
        <v>0</v>
      </c>
      <c r="CN93" s="63">
        <v>0</v>
      </c>
      <c r="CO93" s="63">
        <v>0</v>
      </c>
      <c r="CP93" s="63">
        <v>0</v>
      </c>
      <c r="CQ93" s="63">
        <v>-241775</v>
      </c>
      <c r="CR93" s="63">
        <v>0</v>
      </c>
      <c r="CS93" s="63">
        <v>-30250</v>
      </c>
      <c r="CT93" s="63">
        <v>0</v>
      </c>
      <c r="CU93" s="63">
        <v>-272025</v>
      </c>
      <c r="CV93" s="63">
        <v>0</v>
      </c>
      <c r="CW93" s="63">
        <v>-272025</v>
      </c>
      <c r="CX93" s="63">
        <v>-34293</v>
      </c>
      <c r="CY93" s="63">
        <v>0</v>
      </c>
      <c r="CZ93" s="63">
        <v>-34293</v>
      </c>
      <c r="DA93" s="63">
        <v>-13803</v>
      </c>
      <c r="DB93" s="63">
        <v>0</v>
      </c>
      <c r="DC93" s="63">
        <v>-13803</v>
      </c>
      <c r="DD93" s="63">
        <v>-51917</v>
      </c>
      <c r="DE93" s="63">
        <v>0</v>
      </c>
      <c r="DF93" s="63">
        <v>-51917</v>
      </c>
      <c r="DG93" s="63">
        <v>-100013</v>
      </c>
      <c r="DH93" s="63">
        <v>0</v>
      </c>
      <c r="DI93" s="63">
        <v>-50417</v>
      </c>
      <c r="DJ93" s="63">
        <v>0</v>
      </c>
      <c r="DK93" s="63">
        <v>-150430</v>
      </c>
      <c r="DL93" s="63">
        <v>0</v>
      </c>
      <c r="DM93" s="63">
        <v>-150430</v>
      </c>
      <c r="DN93" s="63">
        <v>45352328</v>
      </c>
      <c r="DO93" s="63">
        <v>0</v>
      </c>
      <c r="DP93" s="63">
        <v>45352328</v>
      </c>
      <c r="DQ93" s="63"/>
      <c r="DR93" s="585"/>
    </row>
    <row r="94" spans="1:122" x14ac:dyDescent="0.2">
      <c r="A94" s="90">
        <v>87</v>
      </c>
      <c r="B94" s="129" t="s">
        <v>57</v>
      </c>
      <c r="C94" s="130" t="s">
        <v>742</v>
      </c>
      <c r="D94" s="131" t="s">
        <v>745</v>
      </c>
      <c r="E94" s="132" t="s">
        <v>56</v>
      </c>
      <c r="F94" s="475" t="s">
        <v>808</v>
      </c>
      <c r="G94" s="63">
        <v>87948239</v>
      </c>
      <c r="H94" s="63">
        <v>0</v>
      </c>
      <c r="I94" s="63">
        <v>87948239</v>
      </c>
      <c r="J94" s="608">
        <v>48.4</v>
      </c>
      <c r="K94" s="63">
        <v>42566948</v>
      </c>
      <c r="L94" s="63">
        <v>0</v>
      </c>
      <c r="M94" s="63">
        <v>0</v>
      </c>
      <c r="N94" s="63">
        <v>0</v>
      </c>
      <c r="O94" s="63">
        <v>42566948</v>
      </c>
      <c r="P94" s="63">
        <v>0</v>
      </c>
      <c r="Q94" s="63">
        <v>42566948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3">
        <v>0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0</v>
      </c>
      <c r="AE94" s="63">
        <v>0</v>
      </c>
      <c r="AF94" s="63">
        <v>0</v>
      </c>
      <c r="AG94" s="63">
        <v>0</v>
      </c>
      <c r="AH94" s="63">
        <v>-4776521</v>
      </c>
      <c r="AI94" s="63">
        <v>0</v>
      </c>
      <c r="AJ94" s="63">
        <v>-4776521</v>
      </c>
      <c r="AK94" s="63">
        <v>-11301</v>
      </c>
      <c r="AL94" s="63">
        <v>0</v>
      </c>
      <c r="AM94" s="63">
        <v>-11301</v>
      </c>
      <c r="AN94" s="63">
        <v>839821</v>
      </c>
      <c r="AO94" s="63">
        <v>0</v>
      </c>
      <c r="AP94" s="63">
        <v>839821</v>
      </c>
      <c r="AQ94" s="63">
        <v>-3936700</v>
      </c>
      <c r="AR94" s="63">
        <v>0</v>
      </c>
      <c r="AS94" s="63">
        <v>-3936700</v>
      </c>
      <c r="AT94" s="63">
        <v>-2557389</v>
      </c>
      <c r="AU94" s="63">
        <v>0</v>
      </c>
      <c r="AV94" s="63">
        <v>-2557389</v>
      </c>
      <c r="AW94" s="63">
        <v>-78099</v>
      </c>
      <c r="AX94" s="63">
        <v>0</v>
      </c>
      <c r="AY94" s="63">
        <v>-78099</v>
      </c>
      <c r="AZ94" s="63">
        <v>-114259</v>
      </c>
      <c r="BA94" s="63">
        <v>0</v>
      </c>
      <c r="BB94" s="63">
        <v>-114259</v>
      </c>
      <c r="BC94" s="63">
        <v>-6686447</v>
      </c>
      <c r="BD94" s="63">
        <v>0</v>
      </c>
      <c r="BE94" s="63">
        <v>0</v>
      </c>
      <c r="BF94" s="63">
        <v>0</v>
      </c>
      <c r="BG94" s="63">
        <v>-6686447</v>
      </c>
      <c r="BH94" s="63">
        <v>0</v>
      </c>
      <c r="BI94" s="63">
        <v>-6686447</v>
      </c>
      <c r="BJ94" s="63">
        <v>0</v>
      </c>
      <c r="BK94" s="63">
        <v>0</v>
      </c>
      <c r="BL94" s="63">
        <v>0</v>
      </c>
      <c r="BM94" s="63">
        <v>-597712</v>
      </c>
      <c r="BN94" s="63">
        <v>0</v>
      </c>
      <c r="BO94" s="63">
        <v>-597712</v>
      </c>
      <c r="BP94" s="63">
        <v>-597712</v>
      </c>
      <c r="BQ94" s="63">
        <v>0</v>
      </c>
      <c r="BR94" s="63">
        <v>0</v>
      </c>
      <c r="BS94" s="63">
        <v>0</v>
      </c>
      <c r="BT94" s="63">
        <v>-597712</v>
      </c>
      <c r="BU94" s="63">
        <v>0</v>
      </c>
      <c r="BV94" s="63">
        <v>-597712</v>
      </c>
      <c r="BW94" s="63">
        <v>-81019</v>
      </c>
      <c r="BX94" s="63">
        <v>0</v>
      </c>
      <c r="BY94" s="63">
        <v>-81019</v>
      </c>
      <c r="BZ94" s="63">
        <v>-6202</v>
      </c>
      <c r="CA94" s="63">
        <v>0</v>
      </c>
      <c r="CB94" s="63">
        <v>-6202</v>
      </c>
      <c r="CC94" s="63">
        <v>-8909</v>
      </c>
      <c r="CD94" s="63">
        <v>0</v>
      </c>
      <c r="CE94" s="63">
        <v>-8909</v>
      </c>
      <c r="CF94" s="63">
        <v>-23071</v>
      </c>
      <c r="CG94" s="63">
        <v>0</v>
      </c>
      <c r="CH94" s="63">
        <v>-23071</v>
      </c>
      <c r="CI94" s="63">
        <v>0</v>
      </c>
      <c r="CJ94" s="63">
        <v>0</v>
      </c>
      <c r="CK94" s="63">
        <v>0</v>
      </c>
      <c r="CL94" s="63">
        <v>0</v>
      </c>
      <c r="CM94" s="63">
        <v>0</v>
      </c>
      <c r="CN94" s="63">
        <v>0</v>
      </c>
      <c r="CO94" s="63">
        <v>0</v>
      </c>
      <c r="CP94" s="63">
        <v>0</v>
      </c>
      <c r="CQ94" s="63">
        <v>-119201</v>
      </c>
      <c r="CR94" s="63">
        <v>0</v>
      </c>
      <c r="CS94" s="63">
        <v>0</v>
      </c>
      <c r="CT94" s="63">
        <v>0</v>
      </c>
      <c r="CU94" s="63">
        <v>-119201</v>
      </c>
      <c r="CV94" s="63">
        <v>0</v>
      </c>
      <c r="CW94" s="63">
        <v>-119201</v>
      </c>
      <c r="CX94" s="63">
        <v>0</v>
      </c>
      <c r="CY94" s="63">
        <v>0</v>
      </c>
      <c r="CZ94" s="63">
        <v>0</v>
      </c>
      <c r="DA94" s="63">
        <v>-2541</v>
      </c>
      <c r="DB94" s="63">
        <v>0</v>
      </c>
      <c r="DC94" s="63">
        <v>-2541</v>
      </c>
      <c r="DD94" s="63">
        <v>-7494</v>
      </c>
      <c r="DE94" s="63">
        <v>0</v>
      </c>
      <c r="DF94" s="63">
        <v>-7494</v>
      </c>
      <c r="DG94" s="63">
        <v>-10035</v>
      </c>
      <c r="DH94" s="63">
        <v>0</v>
      </c>
      <c r="DI94" s="63">
        <v>0</v>
      </c>
      <c r="DJ94" s="63">
        <v>0</v>
      </c>
      <c r="DK94" s="63">
        <v>-10035</v>
      </c>
      <c r="DL94" s="63">
        <v>0</v>
      </c>
      <c r="DM94" s="63">
        <v>-10035</v>
      </c>
      <c r="DN94" s="63">
        <v>35153553</v>
      </c>
      <c r="DO94" s="63">
        <v>0</v>
      </c>
      <c r="DP94" s="63">
        <v>35153553</v>
      </c>
      <c r="DQ94" s="63"/>
      <c r="DR94" s="585"/>
    </row>
    <row r="95" spans="1:122" x14ac:dyDescent="0.2">
      <c r="A95" s="90">
        <v>88</v>
      </c>
      <c r="B95" s="129" t="s">
        <v>59</v>
      </c>
      <c r="C95" s="130" t="s">
        <v>742</v>
      </c>
      <c r="D95" s="131" t="s">
        <v>745</v>
      </c>
      <c r="E95" s="132" t="s">
        <v>58</v>
      </c>
      <c r="F95" s="475" t="s">
        <v>808</v>
      </c>
      <c r="G95" s="63">
        <v>59363175</v>
      </c>
      <c r="H95" s="63">
        <v>0</v>
      </c>
      <c r="I95" s="63">
        <v>59363175</v>
      </c>
      <c r="J95" s="608">
        <v>48.4</v>
      </c>
      <c r="K95" s="63">
        <v>28731777</v>
      </c>
      <c r="L95" s="63">
        <v>0</v>
      </c>
      <c r="M95" s="63">
        <v>1006728</v>
      </c>
      <c r="N95" s="63">
        <v>0</v>
      </c>
      <c r="O95" s="63">
        <v>29738505</v>
      </c>
      <c r="P95" s="63">
        <v>0</v>
      </c>
      <c r="Q95" s="63">
        <v>29738505</v>
      </c>
      <c r="R95" s="63">
        <v>0</v>
      </c>
      <c r="S95" s="63">
        <v>0</v>
      </c>
      <c r="T95" s="63">
        <v>0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0</v>
      </c>
      <c r="AE95" s="63">
        <v>0</v>
      </c>
      <c r="AF95" s="63">
        <v>0</v>
      </c>
      <c r="AG95" s="63">
        <v>0</v>
      </c>
      <c r="AH95" s="63">
        <v>-1935940</v>
      </c>
      <c r="AI95" s="63">
        <v>0</v>
      </c>
      <c r="AJ95" s="63">
        <v>-1935940</v>
      </c>
      <c r="AK95" s="63">
        <v>-12124</v>
      </c>
      <c r="AL95" s="63">
        <v>0</v>
      </c>
      <c r="AM95" s="63">
        <v>-12124</v>
      </c>
      <c r="AN95" s="63">
        <v>641783</v>
      </c>
      <c r="AO95" s="63">
        <v>0</v>
      </c>
      <c r="AP95" s="63">
        <v>641783</v>
      </c>
      <c r="AQ95" s="63">
        <v>-1294157</v>
      </c>
      <c r="AR95" s="63">
        <v>0</v>
      </c>
      <c r="AS95" s="63">
        <v>-1294157</v>
      </c>
      <c r="AT95" s="63">
        <v>-1815548</v>
      </c>
      <c r="AU95" s="63">
        <v>0</v>
      </c>
      <c r="AV95" s="63">
        <v>-1815548</v>
      </c>
      <c r="AW95" s="63">
        <v>-15397</v>
      </c>
      <c r="AX95" s="63">
        <v>0</v>
      </c>
      <c r="AY95" s="63">
        <v>-15397</v>
      </c>
      <c r="AZ95" s="63">
        <v>-35094</v>
      </c>
      <c r="BA95" s="63">
        <v>0</v>
      </c>
      <c r="BB95" s="63">
        <v>-35094</v>
      </c>
      <c r="BC95" s="63">
        <v>-3160196</v>
      </c>
      <c r="BD95" s="63">
        <v>0</v>
      </c>
      <c r="BE95" s="63">
        <v>-239677</v>
      </c>
      <c r="BF95" s="63">
        <v>0</v>
      </c>
      <c r="BG95" s="63">
        <v>-3399873</v>
      </c>
      <c r="BH95" s="63">
        <v>0</v>
      </c>
      <c r="BI95" s="63">
        <v>-3399873</v>
      </c>
      <c r="BJ95" s="63">
        <v>-1025626</v>
      </c>
      <c r="BK95" s="63">
        <v>0</v>
      </c>
      <c r="BL95" s="63">
        <v>-1025626</v>
      </c>
      <c r="BM95" s="63">
        <v>-511380</v>
      </c>
      <c r="BN95" s="63">
        <v>0</v>
      </c>
      <c r="BO95" s="63">
        <v>-511380</v>
      </c>
      <c r="BP95" s="63">
        <v>-1537006</v>
      </c>
      <c r="BQ95" s="63">
        <v>0</v>
      </c>
      <c r="BR95" s="63">
        <v>-30000</v>
      </c>
      <c r="BS95" s="63">
        <v>0</v>
      </c>
      <c r="BT95" s="63">
        <v>-1567006</v>
      </c>
      <c r="BU95" s="63">
        <v>0</v>
      </c>
      <c r="BV95" s="63">
        <v>-1567006</v>
      </c>
      <c r="BW95" s="63">
        <v>-96472</v>
      </c>
      <c r="BX95" s="63">
        <v>0</v>
      </c>
      <c r="BY95" s="63">
        <v>-96472</v>
      </c>
      <c r="BZ95" s="63">
        <v>-68790</v>
      </c>
      <c r="CA95" s="63">
        <v>0</v>
      </c>
      <c r="CB95" s="63">
        <v>-68790</v>
      </c>
      <c r="CC95" s="63">
        <v>-3849</v>
      </c>
      <c r="CD95" s="63">
        <v>0</v>
      </c>
      <c r="CE95" s="63">
        <v>-3849</v>
      </c>
      <c r="CF95" s="63">
        <v>-21930</v>
      </c>
      <c r="CG95" s="63">
        <v>0</v>
      </c>
      <c r="CH95" s="63">
        <v>-21930</v>
      </c>
      <c r="CI95" s="63">
        <v>-57644</v>
      </c>
      <c r="CJ95" s="63">
        <v>0</v>
      </c>
      <c r="CK95" s="63">
        <v>-57644</v>
      </c>
      <c r="CL95" s="63">
        <v>0</v>
      </c>
      <c r="CM95" s="63">
        <v>0</v>
      </c>
      <c r="CN95" s="63">
        <v>0</v>
      </c>
      <c r="CO95" s="63">
        <v>0</v>
      </c>
      <c r="CP95" s="63">
        <v>0</v>
      </c>
      <c r="CQ95" s="63">
        <v>-248685</v>
      </c>
      <c r="CR95" s="63">
        <v>0</v>
      </c>
      <c r="CS95" s="63">
        <v>-42000</v>
      </c>
      <c r="CT95" s="63">
        <v>0</v>
      </c>
      <c r="CU95" s="63">
        <v>-290685</v>
      </c>
      <c r="CV95" s="63">
        <v>0</v>
      </c>
      <c r="CW95" s="63">
        <v>-290685</v>
      </c>
      <c r="CX95" s="63">
        <v>-4473</v>
      </c>
      <c r="CY95" s="63">
        <v>0</v>
      </c>
      <c r="CZ95" s="63">
        <v>-4473</v>
      </c>
      <c r="DA95" s="63">
        <v>0</v>
      </c>
      <c r="DB95" s="63">
        <v>0</v>
      </c>
      <c r="DC95" s="63">
        <v>0</v>
      </c>
      <c r="DD95" s="63">
        <v>0</v>
      </c>
      <c r="DE95" s="63">
        <v>0</v>
      </c>
      <c r="DF95" s="63">
        <v>0</v>
      </c>
      <c r="DG95" s="63">
        <v>-4473</v>
      </c>
      <c r="DH95" s="63">
        <v>0</v>
      </c>
      <c r="DI95" s="63">
        <v>0</v>
      </c>
      <c r="DJ95" s="63">
        <v>0</v>
      </c>
      <c r="DK95" s="63">
        <v>-4473</v>
      </c>
      <c r="DL95" s="63">
        <v>0</v>
      </c>
      <c r="DM95" s="63">
        <v>-4473</v>
      </c>
      <c r="DN95" s="63">
        <v>24476468</v>
      </c>
      <c r="DO95" s="63">
        <v>0</v>
      </c>
      <c r="DP95" s="63">
        <v>24476468</v>
      </c>
      <c r="DQ95" s="63"/>
      <c r="DR95" s="585"/>
    </row>
    <row r="96" spans="1:122" x14ac:dyDescent="0.2">
      <c r="A96" s="90">
        <v>89</v>
      </c>
      <c r="B96" s="129" t="s">
        <v>60</v>
      </c>
      <c r="C96" s="130" t="s">
        <v>501</v>
      </c>
      <c r="D96" s="131" t="s">
        <v>750</v>
      </c>
      <c r="E96" s="132" t="s">
        <v>533</v>
      </c>
      <c r="F96" s="475" t="s">
        <v>808</v>
      </c>
      <c r="G96" s="63">
        <v>252891143</v>
      </c>
      <c r="H96" s="63">
        <v>200000</v>
      </c>
      <c r="I96" s="63">
        <v>253091143</v>
      </c>
      <c r="J96" s="608">
        <v>48.4</v>
      </c>
      <c r="K96" s="63">
        <v>122399313</v>
      </c>
      <c r="L96" s="63">
        <v>96800</v>
      </c>
      <c r="M96" s="63">
        <v>1087719</v>
      </c>
      <c r="N96" s="63">
        <v>0</v>
      </c>
      <c r="O96" s="63">
        <v>123487032</v>
      </c>
      <c r="P96" s="63">
        <v>96800</v>
      </c>
      <c r="Q96" s="63">
        <v>123583832</v>
      </c>
      <c r="R96" s="63">
        <v>0</v>
      </c>
      <c r="S96" s="63">
        <v>0</v>
      </c>
      <c r="T96" s="63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0</v>
      </c>
      <c r="AE96" s="63">
        <v>0</v>
      </c>
      <c r="AF96" s="63">
        <v>0</v>
      </c>
      <c r="AG96" s="63">
        <v>0</v>
      </c>
      <c r="AH96" s="63">
        <v>-8028224</v>
      </c>
      <c r="AI96" s="63">
        <v>0</v>
      </c>
      <c r="AJ96" s="63">
        <v>-8028224</v>
      </c>
      <c r="AK96" s="63">
        <v>0</v>
      </c>
      <c r="AL96" s="63">
        <v>0</v>
      </c>
      <c r="AM96" s="63">
        <v>0</v>
      </c>
      <c r="AN96" s="63">
        <v>2726729</v>
      </c>
      <c r="AO96" s="63">
        <v>2600</v>
      </c>
      <c r="AP96" s="63">
        <v>2729329</v>
      </c>
      <c r="AQ96" s="63">
        <v>-5301495</v>
      </c>
      <c r="AR96" s="63">
        <v>2600</v>
      </c>
      <c r="AS96" s="63">
        <v>-5298895</v>
      </c>
      <c r="AT96" s="63">
        <v>-3251421</v>
      </c>
      <c r="AU96" s="63">
        <v>0</v>
      </c>
      <c r="AV96" s="63">
        <v>-3251421</v>
      </c>
      <c r="AW96" s="63">
        <v>-45493</v>
      </c>
      <c r="AX96" s="63">
        <v>0</v>
      </c>
      <c r="AY96" s="63">
        <v>-45493</v>
      </c>
      <c r="AZ96" s="63">
        <v>-116714</v>
      </c>
      <c r="BA96" s="63">
        <v>0</v>
      </c>
      <c r="BB96" s="63">
        <v>-116714</v>
      </c>
      <c r="BC96" s="63">
        <v>-8715123</v>
      </c>
      <c r="BD96" s="63">
        <v>2600</v>
      </c>
      <c r="BE96" s="63">
        <v>-168333</v>
      </c>
      <c r="BF96" s="63">
        <v>0</v>
      </c>
      <c r="BG96" s="63">
        <v>-8883456</v>
      </c>
      <c r="BH96" s="63">
        <v>2600</v>
      </c>
      <c r="BI96" s="63">
        <v>-8880856</v>
      </c>
      <c r="BJ96" s="63">
        <v>-109615</v>
      </c>
      <c r="BK96" s="63">
        <v>0</v>
      </c>
      <c r="BL96" s="63">
        <v>-109615</v>
      </c>
      <c r="BM96" s="63">
        <v>-2197034</v>
      </c>
      <c r="BN96" s="63">
        <v>0</v>
      </c>
      <c r="BO96" s="63">
        <v>-2197034</v>
      </c>
      <c r="BP96" s="63">
        <v>-2306649</v>
      </c>
      <c r="BQ96" s="63">
        <v>0</v>
      </c>
      <c r="BR96" s="63">
        <v>-7838</v>
      </c>
      <c r="BS96" s="63">
        <v>0</v>
      </c>
      <c r="BT96" s="63">
        <v>-2314487</v>
      </c>
      <c r="BU96" s="63">
        <v>0</v>
      </c>
      <c r="BV96" s="63">
        <v>-2314487</v>
      </c>
      <c r="BW96" s="63">
        <v>-124385</v>
      </c>
      <c r="BX96" s="63">
        <v>0</v>
      </c>
      <c r="BY96" s="63">
        <v>-124385</v>
      </c>
      <c r="BZ96" s="63">
        <v>-455562</v>
      </c>
      <c r="CA96" s="63">
        <v>0</v>
      </c>
      <c r="CB96" s="63">
        <v>-455562</v>
      </c>
      <c r="CC96" s="63">
        <v>-9898</v>
      </c>
      <c r="CD96" s="63">
        <v>0</v>
      </c>
      <c r="CE96" s="63">
        <v>-9898</v>
      </c>
      <c r="CF96" s="63">
        <v>-41155</v>
      </c>
      <c r="CG96" s="63">
        <v>0</v>
      </c>
      <c r="CH96" s="63">
        <v>-41155</v>
      </c>
      <c r="CI96" s="63">
        <v>-168444</v>
      </c>
      <c r="CJ96" s="63">
        <v>0</v>
      </c>
      <c r="CK96" s="63">
        <v>-168444</v>
      </c>
      <c r="CL96" s="63">
        <v>-200000</v>
      </c>
      <c r="CM96" s="63">
        <v>0</v>
      </c>
      <c r="CN96" s="63">
        <v>-200000</v>
      </c>
      <c r="CO96" s="63">
        <v>0</v>
      </c>
      <c r="CP96" s="63">
        <v>-200000</v>
      </c>
      <c r="CQ96" s="63">
        <v>-999444</v>
      </c>
      <c r="CR96" s="63">
        <v>0</v>
      </c>
      <c r="CS96" s="63">
        <v>-72121</v>
      </c>
      <c r="CT96" s="63">
        <v>0</v>
      </c>
      <c r="CU96" s="63">
        <v>-1071565</v>
      </c>
      <c r="CV96" s="63">
        <v>0</v>
      </c>
      <c r="CW96" s="63">
        <v>-1071565</v>
      </c>
      <c r="CX96" s="63">
        <v>0</v>
      </c>
      <c r="CY96" s="63">
        <v>0</v>
      </c>
      <c r="CZ96" s="63">
        <v>0</v>
      </c>
      <c r="DA96" s="63">
        <v>0</v>
      </c>
      <c r="DB96" s="63">
        <v>0</v>
      </c>
      <c r="DC96" s="63">
        <v>0</v>
      </c>
      <c r="DD96" s="63">
        <v>-14415</v>
      </c>
      <c r="DE96" s="63">
        <v>0</v>
      </c>
      <c r="DF96" s="63">
        <v>-14415</v>
      </c>
      <c r="DG96" s="63">
        <v>-14415</v>
      </c>
      <c r="DH96" s="63">
        <v>0</v>
      </c>
      <c r="DI96" s="63">
        <v>0</v>
      </c>
      <c r="DJ96" s="63">
        <v>0</v>
      </c>
      <c r="DK96" s="63">
        <v>-14415</v>
      </c>
      <c r="DL96" s="63">
        <v>0</v>
      </c>
      <c r="DM96" s="63">
        <v>-14415</v>
      </c>
      <c r="DN96" s="63">
        <v>111203109</v>
      </c>
      <c r="DO96" s="63">
        <v>99400</v>
      </c>
      <c r="DP96" s="63">
        <v>111302509</v>
      </c>
      <c r="DQ96" s="63"/>
      <c r="DR96" s="585" t="s">
        <v>768</v>
      </c>
    </row>
    <row r="97" spans="1:122" x14ac:dyDescent="0.2">
      <c r="A97" s="90">
        <v>90</v>
      </c>
      <c r="B97" s="129" t="s">
        <v>62</v>
      </c>
      <c r="C97" s="130" t="s">
        <v>742</v>
      </c>
      <c r="D97" s="131" t="s">
        <v>752</v>
      </c>
      <c r="E97" s="132" t="s">
        <v>61</v>
      </c>
      <c r="F97" s="475" t="s">
        <v>808</v>
      </c>
      <c r="G97" s="63">
        <v>133028933</v>
      </c>
      <c r="H97" s="63">
        <v>0</v>
      </c>
      <c r="I97" s="63">
        <v>133028933</v>
      </c>
      <c r="J97" s="608">
        <v>48.4</v>
      </c>
      <c r="K97" s="63">
        <v>64386004</v>
      </c>
      <c r="L97" s="63">
        <v>0</v>
      </c>
      <c r="M97" s="63">
        <v>-1287720</v>
      </c>
      <c r="N97" s="63">
        <v>0</v>
      </c>
      <c r="O97" s="63">
        <v>63098284</v>
      </c>
      <c r="P97" s="63">
        <v>0</v>
      </c>
      <c r="Q97" s="63">
        <v>63098284</v>
      </c>
      <c r="R97" s="63">
        <v>0</v>
      </c>
      <c r="S97" s="63">
        <v>0</v>
      </c>
      <c r="T97" s="63">
        <v>0</v>
      </c>
      <c r="U97" s="63">
        <v>0</v>
      </c>
      <c r="V97" s="63">
        <v>0</v>
      </c>
      <c r="W97" s="63">
        <v>0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0</v>
      </c>
      <c r="AE97" s="63">
        <v>0</v>
      </c>
      <c r="AF97" s="63">
        <v>0</v>
      </c>
      <c r="AG97" s="63">
        <v>0</v>
      </c>
      <c r="AH97" s="63">
        <v>-2859719</v>
      </c>
      <c r="AI97" s="63">
        <v>0</v>
      </c>
      <c r="AJ97" s="63">
        <v>-2859719</v>
      </c>
      <c r="AK97" s="63">
        <v>-5821</v>
      </c>
      <c r="AL97" s="63">
        <v>0</v>
      </c>
      <c r="AM97" s="63">
        <v>-5821</v>
      </c>
      <c r="AN97" s="63">
        <v>1387371</v>
      </c>
      <c r="AO97" s="63">
        <v>0</v>
      </c>
      <c r="AP97" s="63">
        <v>1387371</v>
      </c>
      <c r="AQ97" s="63">
        <v>-1472348</v>
      </c>
      <c r="AR97" s="63">
        <v>0</v>
      </c>
      <c r="AS97" s="63">
        <v>-1472348</v>
      </c>
      <c r="AT97" s="63">
        <v>-2113092</v>
      </c>
      <c r="AU97" s="63">
        <v>0</v>
      </c>
      <c r="AV97" s="63">
        <v>-2113092</v>
      </c>
      <c r="AW97" s="63">
        <v>-76042</v>
      </c>
      <c r="AX97" s="63">
        <v>0</v>
      </c>
      <c r="AY97" s="63">
        <v>-76042</v>
      </c>
      <c r="AZ97" s="63">
        <v>-6311</v>
      </c>
      <c r="BA97" s="63">
        <v>0</v>
      </c>
      <c r="BB97" s="63">
        <v>-6311</v>
      </c>
      <c r="BC97" s="63">
        <v>-3667793</v>
      </c>
      <c r="BD97" s="63">
        <v>0</v>
      </c>
      <c r="BE97" s="63">
        <v>-530910</v>
      </c>
      <c r="BF97" s="63">
        <v>0</v>
      </c>
      <c r="BG97" s="63">
        <v>-4198703</v>
      </c>
      <c r="BH97" s="63">
        <v>0</v>
      </c>
      <c r="BI97" s="63">
        <v>-4198703</v>
      </c>
      <c r="BJ97" s="63">
        <v>0</v>
      </c>
      <c r="BK97" s="63">
        <v>0</v>
      </c>
      <c r="BL97" s="63">
        <v>0</v>
      </c>
      <c r="BM97" s="63">
        <v>-1821939</v>
      </c>
      <c r="BN97" s="63">
        <v>0</v>
      </c>
      <c r="BO97" s="63">
        <v>-1821939</v>
      </c>
      <c r="BP97" s="63">
        <v>-1821939</v>
      </c>
      <c r="BQ97" s="63">
        <v>0</v>
      </c>
      <c r="BR97" s="63">
        <v>0</v>
      </c>
      <c r="BS97" s="63">
        <v>0</v>
      </c>
      <c r="BT97" s="63">
        <v>-1821939</v>
      </c>
      <c r="BU97" s="63">
        <v>0</v>
      </c>
      <c r="BV97" s="63">
        <v>-1821939</v>
      </c>
      <c r="BW97" s="63">
        <v>-114452</v>
      </c>
      <c r="BX97" s="63">
        <v>0</v>
      </c>
      <c r="BY97" s="63">
        <v>-114452</v>
      </c>
      <c r="BZ97" s="63">
        <v>-146921</v>
      </c>
      <c r="CA97" s="63">
        <v>0</v>
      </c>
      <c r="CB97" s="63">
        <v>-146921</v>
      </c>
      <c r="CC97" s="63">
        <v>-8885</v>
      </c>
      <c r="CD97" s="63">
        <v>0</v>
      </c>
      <c r="CE97" s="63">
        <v>-8885</v>
      </c>
      <c r="CF97" s="63">
        <v>-13097</v>
      </c>
      <c r="CG97" s="63">
        <v>0</v>
      </c>
      <c r="CH97" s="63">
        <v>-13097</v>
      </c>
      <c r="CI97" s="63">
        <v>-2109</v>
      </c>
      <c r="CJ97" s="63">
        <v>0</v>
      </c>
      <c r="CK97" s="63">
        <v>-2109</v>
      </c>
      <c r="CL97" s="63">
        <v>0</v>
      </c>
      <c r="CM97" s="63">
        <v>0</v>
      </c>
      <c r="CN97" s="63">
        <v>0</v>
      </c>
      <c r="CO97" s="63">
        <v>0</v>
      </c>
      <c r="CP97" s="63">
        <v>0</v>
      </c>
      <c r="CQ97" s="63">
        <v>-285464</v>
      </c>
      <c r="CR97" s="63">
        <v>0</v>
      </c>
      <c r="CS97" s="63">
        <v>0</v>
      </c>
      <c r="CT97" s="63">
        <v>0</v>
      </c>
      <c r="CU97" s="63">
        <v>-285464</v>
      </c>
      <c r="CV97" s="63">
        <v>0</v>
      </c>
      <c r="CW97" s="63">
        <v>-285464</v>
      </c>
      <c r="CX97" s="63">
        <v>-1168</v>
      </c>
      <c r="CY97" s="63">
        <v>0</v>
      </c>
      <c r="CZ97" s="63">
        <v>-1168</v>
      </c>
      <c r="DA97" s="63">
        <v>-1520</v>
      </c>
      <c r="DB97" s="63">
        <v>0</v>
      </c>
      <c r="DC97" s="63">
        <v>-1520</v>
      </c>
      <c r="DD97" s="63">
        <v>0</v>
      </c>
      <c r="DE97" s="63">
        <v>0</v>
      </c>
      <c r="DF97" s="63">
        <v>0</v>
      </c>
      <c r="DG97" s="63">
        <v>-2688</v>
      </c>
      <c r="DH97" s="63">
        <v>0</v>
      </c>
      <c r="DI97" s="63">
        <v>0</v>
      </c>
      <c r="DJ97" s="63">
        <v>0</v>
      </c>
      <c r="DK97" s="63">
        <v>-2688</v>
      </c>
      <c r="DL97" s="63">
        <v>0</v>
      </c>
      <c r="DM97" s="63">
        <v>-2688</v>
      </c>
      <c r="DN97" s="63">
        <v>56789490</v>
      </c>
      <c r="DO97" s="63">
        <v>0</v>
      </c>
      <c r="DP97" s="63">
        <v>56789490</v>
      </c>
      <c r="DQ97" s="63"/>
      <c r="DR97" s="585"/>
    </row>
    <row r="98" spans="1:122" x14ac:dyDescent="0.2">
      <c r="A98" s="90">
        <v>91</v>
      </c>
      <c r="B98" s="129" t="s">
        <v>64</v>
      </c>
      <c r="C98" s="130" t="s">
        <v>742</v>
      </c>
      <c r="D98" s="131" t="s">
        <v>743</v>
      </c>
      <c r="E98" s="132" t="s">
        <v>63</v>
      </c>
      <c r="F98" s="475" t="s">
        <v>808</v>
      </c>
      <c r="G98" s="63">
        <v>82813810</v>
      </c>
      <c r="H98" s="63">
        <v>0</v>
      </c>
      <c r="I98" s="63">
        <v>82813810</v>
      </c>
      <c r="J98" s="608">
        <v>48.4</v>
      </c>
      <c r="K98" s="63">
        <v>40081884</v>
      </c>
      <c r="L98" s="63">
        <v>0</v>
      </c>
      <c r="M98" s="63">
        <v>-144590</v>
      </c>
      <c r="N98" s="63">
        <v>0</v>
      </c>
      <c r="O98" s="63">
        <v>39937294</v>
      </c>
      <c r="P98" s="63">
        <v>0</v>
      </c>
      <c r="Q98" s="63">
        <v>39937294</v>
      </c>
      <c r="R98" s="63">
        <v>0</v>
      </c>
      <c r="S98" s="63">
        <v>0</v>
      </c>
      <c r="T98" s="63">
        <v>0</v>
      </c>
      <c r="U98" s="63">
        <v>0</v>
      </c>
      <c r="V98" s="63">
        <v>0</v>
      </c>
      <c r="W98" s="63">
        <v>0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0</v>
      </c>
      <c r="AE98" s="63">
        <v>0</v>
      </c>
      <c r="AF98" s="63">
        <v>0</v>
      </c>
      <c r="AG98" s="63">
        <v>0</v>
      </c>
      <c r="AH98" s="63">
        <v>-2080242.13</v>
      </c>
      <c r="AI98" s="63">
        <v>0</v>
      </c>
      <c r="AJ98" s="63">
        <v>-2080242.13</v>
      </c>
      <c r="AK98" s="63">
        <v>0</v>
      </c>
      <c r="AL98" s="63">
        <v>0</v>
      </c>
      <c r="AM98" s="63">
        <v>0</v>
      </c>
      <c r="AN98" s="63">
        <v>924360.36</v>
      </c>
      <c r="AO98" s="63">
        <v>0</v>
      </c>
      <c r="AP98" s="63">
        <v>924360.36</v>
      </c>
      <c r="AQ98" s="63">
        <v>-1155881.77</v>
      </c>
      <c r="AR98" s="63">
        <v>0</v>
      </c>
      <c r="AS98" s="63">
        <v>-1155881.77</v>
      </c>
      <c r="AT98" s="63">
        <v>-2812264.56</v>
      </c>
      <c r="AU98" s="63">
        <v>0</v>
      </c>
      <c r="AV98" s="63">
        <v>-2812264.56</v>
      </c>
      <c r="AW98" s="63">
        <v>-81478.179999999993</v>
      </c>
      <c r="AX98" s="63">
        <v>0</v>
      </c>
      <c r="AY98" s="63">
        <v>-81478.179999999993</v>
      </c>
      <c r="AZ98" s="63">
        <v>0</v>
      </c>
      <c r="BA98" s="63">
        <v>0</v>
      </c>
      <c r="BB98" s="63">
        <v>0</v>
      </c>
      <c r="BC98" s="63">
        <v>-4049624.5100000002</v>
      </c>
      <c r="BD98" s="63">
        <v>0</v>
      </c>
      <c r="BE98" s="63">
        <v>-16490</v>
      </c>
      <c r="BF98" s="63">
        <v>0</v>
      </c>
      <c r="BG98" s="63">
        <v>-4066114.5100000002</v>
      </c>
      <c r="BH98" s="63">
        <v>0</v>
      </c>
      <c r="BI98" s="63">
        <v>-4066114.5100000002</v>
      </c>
      <c r="BJ98" s="63">
        <v>0</v>
      </c>
      <c r="BK98" s="63">
        <v>0</v>
      </c>
      <c r="BL98" s="63">
        <v>0</v>
      </c>
      <c r="BM98" s="63">
        <v>-534043.99</v>
      </c>
      <c r="BN98" s="63">
        <v>0</v>
      </c>
      <c r="BO98" s="63">
        <v>-534043.99</v>
      </c>
      <c r="BP98" s="63">
        <v>-534043.99</v>
      </c>
      <c r="BQ98" s="63">
        <v>0</v>
      </c>
      <c r="BR98" s="63">
        <v>0</v>
      </c>
      <c r="BS98" s="63">
        <v>0</v>
      </c>
      <c r="BT98" s="63">
        <v>-534043.99</v>
      </c>
      <c r="BU98" s="63">
        <v>0</v>
      </c>
      <c r="BV98" s="63">
        <v>-534043.99</v>
      </c>
      <c r="BW98" s="63">
        <v>-42417.1</v>
      </c>
      <c r="BX98" s="63">
        <v>0</v>
      </c>
      <c r="BY98" s="63">
        <v>-42417.1</v>
      </c>
      <c r="BZ98" s="63">
        <v>-7511.59</v>
      </c>
      <c r="CA98" s="63">
        <v>0</v>
      </c>
      <c r="CB98" s="63">
        <v>-7511.59</v>
      </c>
      <c r="CC98" s="63">
        <v>0</v>
      </c>
      <c r="CD98" s="63">
        <v>0</v>
      </c>
      <c r="CE98" s="63">
        <v>0</v>
      </c>
      <c r="CF98" s="63">
        <v>0</v>
      </c>
      <c r="CG98" s="63">
        <v>0</v>
      </c>
      <c r="CH98" s="63">
        <v>0</v>
      </c>
      <c r="CI98" s="63">
        <v>0</v>
      </c>
      <c r="CJ98" s="63">
        <v>0</v>
      </c>
      <c r="CK98" s="63">
        <v>0</v>
      </c>
      <c r="CL98" s="63">
        <v>0</v>
      </c>
      <c r="CM98" s="63">
        <v>0</v>
      </c>
      <c r="CN98" s="63">
        <v>0</v>
      </c>
      <c r="CO98" s="63">
        <v>0</v>
      </c>
      <c r="CP98" s="63">
        <v>0</v>
      </c>
      <c r="CQ98" s="63">
        <v>-49928.69</v>
      </c>
      <c r="CR98" s="63">
        <v>0</v>
      </c>
      <c r="CS98" s="63">
        <v>0</v>
      </c>
      <c r="CT98" s="63">
        <v>0</v>
      </c>
      <c r="CU98" s="63">
        <v>-49928.69</v>
      </c>
      <c r="CV98" s="63">
        <v>0</v>
      </c>
      <c r="CW98" s="63">
        <v>-49928.69</v>
      </c>
      <c r="CX98" s="63">
        <v>0</v>
      </c>
      <c r="CY98" s="63">
        <v>0</v>
      </c>
      <c r="CZ98" s="63">
        <v>0</v>
      </c>
      <c r="DA98" s="63">
        <v>-48425.63</v>
      </c>
      <c r="DB98" s="63">
        <v>0</v>
      </c>
      <c r="DC98" s="63">
        <v>-48425.63</v>
      </c>
      <c r="DD98" s="63">
        <v>-9939</v>
      </c>
      <c r="DE98" s="63">
        <v>0</v>
      </c>
      <c r="DF98" s="63">
        <v>-9939</v>
      </c>
      <c r="DG98" s="63">
        <v>-58364.63</v>
      </c>
      <c r="DH98" s="63">
        <v>0</v>
      </c>
      <c r="DI98" s="63">
        <v>0</v>
      </c>
      <c r="DJ98" s="63">
        <v>0</v>
      </c>
      <c r="DK98" s="63">
        <v>-58364.63</v>
      </c>
      <c r="DL98" s="63">
        <v>0</v>
      </c>
      <c r="DM98" s="63">
        <v>-58364.63</v>
      </c>
      <c r="DN98" s="63">
        <v>35228842.18</v>
      </c>
      <c r="DO98" s="63">
        <v>0</v>
      </c>
      <c r="DP98" s="63">
        <v>35228842.18</v>
      </c>
      <c r="DQ98" s="63"/>
      <c r="DR98" s="585"/>
    </row>
    <row r="99" spans="1:122" x14ac:dyDescent="0.2">
      <c r="A99" s="90">
        <v>92</v>
      </c>
      <c r="B99" s="129" t="s">
        <v>66</v>
      </c>
      <c r="C99" s="130" t="s">
        <v>742</v>
      </c>
      <c r="D99" s="131" t="s">
        <v>743</v>
      </c>
      <c r="E99" s="132" t="s">
        <v>65</v>
      </c>
      <c r="F99" s="475" t="s">
        <v>808</v>
      </c>
      <c r="G99" s="63">
        <v>133542827</v>
      </c>
      <c r="H99" s="63">
        <v>0</v>
      </c>
      <c r="I99" s="63">
        <v>133542827</v>
      </c>
      <c r="J99" s="608">
        <v>48.4</v>
      </c>
      <c r="K99" s="63">
        <v>64634728</v>
      </c>
      <c r="L99" s="63">
        <v>0</v>
      </c>
      <c r="M99" s="63">
        <v>0</v>
      </c>
      <c r="N99" s="63">
        <v>0</v>
      </c>
      <c r="O99" s="63">
        <v>64634728</v>
      </c>
      <c r="P99" s="63">
        <v>0</v>
      </c>
      <c r="Q99" s="63">
        <v>64634728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63">
        <v>0</v>
      </c>
      <c r="AH99" s="63">
        <v>-1735549</v>
      </c>
      <c r="AI99" s="63">
        <v>0</v>
      </c>
      <c r="AJ99" s="63">
        <v>-1735549</v>
      </c>
      <c r="AK99" s="63">
        <v>0</v>
      </c>
      <c r="AL99" s="63">
        <v>0</v>
      </c>
      <c r="AM99" s="63">
        <v>0</v>
      </c>
      <c r="AN99" s="63">
        <v>1585694</v>
      </c>
      <c r="AO99" s="63">
        <v>0</v>
      </c>
      <c r="AP99" s="63">
        <v>1585694</v>
      </c>
      <c r="AQ99" s="63">
        <v>-149855</v>
      </c>
      <c r="AR99" s="63">
        <v>0</v>
      </c>
      <c r="AS99" s="63">
        <v>-149855</v>
      </c>
      <c r="AT99" s="63">
        <v>-2162598</v>
      </c>
      <c r="AU99" s="63">
        <v>0</v>
      </c>
      <c r="AV99" s="63">
        <v>-2162598</v>
      </c>
      <c r="AW99" s="63">
        <v>0</v>
      </c>
      <c r="AX99" s="63">
        <v>0</v>
      </c>
      <c r="AY99" s="63">
        <v>0</v>
      </c>
      <c r="AZ99" s="63">
        <v>0</v>
      </c>
      <c r="BA99" s="63">
        <v>0</v>
      </c>
      <c r="BB99" s="63">
        <v>0</v>
      </c>
      <c r="BC99" s="63">
        <v>-2312453</v>
      </c>
      <c r="BD99" s="63">
        <v>0</v>
      </c>
      <c r="BE99" s="63">
        <v>0</v>
      </c>
      <c r="BF99" s="63">
        <v>0</v>
      </c>
      <c r="BG99" s="63">
        <v>-2312453</v>
      </c>
      <c r="BH99" s="63">
        <v>0</v>
      </c>
      <c r="BI99" s="63">
        <v>-2312453</v>
      </c>
      <c r="BJ99" s="63">
        <v>-20000</v>
      </c>
      <c r="BK99" s="63">
        <v>0</v>
      </c>
      <c r="BL99" s="63">
        <v>-20000</v>
      </c>
      <c r="BM99" s="63">
        <v>-1600000</v>
      </c>
      <c r="BN99" s="63">
        <v>0</v>
      </c>
      <c r="BO99" s="63">
        <v>-1600000</v>
      </c>
      <c r="BP99" s="63">
        <v>-1620000</v>
      </c>
      <c r="BQ99" s="63">
        <v>0</v>
      </c>
      <c r="BR99" s="63">
        <v>0</v>
      </c>
      <c r="BS99" s="63">
        <v>0</v>
      </c>
      <c r="BT99" s="63">
        <v>-1620000</v>
      </c>
      <c r="BU99" s="63">
        <v>0</v>
      </c>
      <c r="BV99" s="63">
        <v>-1620000</v>
      </c>
      <c r="BW99" s="63">
        <v>-46664</v>
      </c>
      <c r="BX99" s="63">
        <v>0</v>
      </c>
      <c r="BY99" s="63">
        <v>-46664</v>
      </c>
      <c r="BZ99" s="63">
        <v>-135184</v>
      </c>
      <c r="CA99" s="63">
        <v>0</v>
      </c>
      <c r="CB99" s="63">
        <v>-135184</v>
      </c>
      <c r="CC99" s="63">
        <v>0</v>
      </c>
      <c r="CD99" s="63">
        <v>0</v>
      </c>
      <c r="CE99" s="63">
        <v>0</v>
      </c>
      <c r="CF99" s="63">
        <v>0</v>
      </c>
      <c r="CG99" s="63">
        <v>0</v>
      </c>
      <c r="CH99" s="63">
        <v>0</v>
      </c>
      <c r="CI99" s="63">
        <v>0</v>
      </c>
      <c r="CJ99" s="63">
        <v>0</v>
      </c>
      <c r="CK99" s="63">
        <v>0</v>
      </c>
      <c r="CL99" s="63">
        <v>0</v>
      </c>
      <c r="CM99" s="63">
        <v>0</v>
      </c>
      <c r="CN99" s="63">
        <v>0</v>
      </c>
      <c r="CO99" s="63">
        <v>0</v>
      </c>
      <c r="CP99" s="63">
        <v>0</v>
      </c>
      <c r="CQ99" s="63">
        <v>-181848</v>
      </c>
      <c r="CR99" s="63">
        <v>0</v>
      </c>
      <c r="CS99" s="63">
        <v>0</v>
      </c>
      <c r="CT99" s="63">
        <v>0</v>
      </c>
      <c r="CU99" s="63">
        <v>-181848</v>
      </c>
      <c r="CV99" s="63">
        <v>0</v>
      </c>
      <c r="CW99" s="63">
        <v>-181848</v>
      </c>
      <c r="CX99" s="63">
        <v>0</v>
      </c>
      <c r="CY99" s="63">
        <v>0</v>
      </c>
      <c r="CZ99" s="63">
        <v>0</v>
      </c>
      <c r="DA99" s="63">
        <v>-3933</v>
      </c>
      <c r="DB99" s="63">
        <v>0</v>
      </c>
      <c r="DC99" s="63">
        <v>-3933</v>
      </c>
      <c r="DD99" s="63">
        <v>-800</v>
      </c>
      <c r="DE99" s="63">
        <v>0</v>
      </c>
      <c r="DF99" s="63">
        <v>-800</v>
      </c>
      <c r="DG99" s="63">
        <v>-4733</v>
      </c>
      <c r="DH99" s="63">
        <v>0</v>
      </c>
      <c r="DI99" s="63">
        <v>0</v>
      </c>
      <c r="DJ99" s="63">
        <v>0</v>
      </c>
      <c r="DK99" s="63">
        <v>-4733</v>
      </c>
      <c r="DL99" s="63">
        <v>0</v>
      </c>
      <c r="DM99" s="63">
        <v>-4733</v>
      </c>
      <c r="DN99" s="63">
        <v>60515694</v>
      </c>
      <c r="DO99" s="63">
        <v>0</v>
      </c>
      <c r="DP99" s="63">
        <v>60515694</v>
      </c>
      <c r="DQ99" s="63"/>
      <c r="DR99" s="585"/>
    </row>
    <row r="100" spans="1:122" x14ac:dyDescent="0.2">
      <c r="A100" s="90">
        <v>93</v>
      </c>
      <c r="B100" s="129" t="s">
        <v>68</v>
      </c>
      <c r="C100" s="130" t="s">
        <v>742</v>
      </c>
      <c r="D100" s="131" t="s">
        <v>744</v>
      </c>
      <c r="E100" s="132" t="s">
        <v>67</v>
      </c>
      <c r="F100" s="475" t="s">
        <v>808</v>
      </c>
      <c r="G100" s="63">
        <v>53349354</v>
      </c>
      <c r="H100" s="63">
        <v>0</v>
      </c>
      <c r="I100" s="63">
        <v>53349354</v>
      </c>
      <c r="J100" s="608">
        <v>48.4</v>
      </c>
      <c r="K100" s="63">
        <v>25821087</v>
      </c>
      <c r="L100" s="63">
        <v>0</v>
      </c>
      <c r="M100" s="63">
        <v>87120</v>
      </c>
      <c r="N100" s="63">
        <v>0</v>
      </c>
      <c r="O100" s="63">
        <v>25908207</v>
      </c>
      <c r="P100" s="63">
        <v>0</v>
      </c>
      <c r="Q100" s="63">
        <v>25908207</v>
      </c>
      <c r="R100" s="63">
        <v>0</v>
      </c>
      <c r="S100" s="63">
        <v>0</v>
      </c>
      <c r="T100" s="63">
        <v>0</v>
      </c>
      <c r="U100" s="63">
        <v>0</v>
      </c>
      <c r="V100" s="63">
        <v>0</v>
      </c>
      <c r="W100" s="63">
        <v>0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0</v>
      </c>
      <c r="AE100" s="63">
        <v>0</v>
      </c>
      <c r="AF100" s="63">
        <v>0</v>
      </c>
      <c r="AG100" s="63">
        <v>0</v>
      </c>
      <c r="AH100" s="63">
        <v>-2219988</v>
      </c>
      <c r="AI100" s="63">
        <v>0</v>
      </c>
      <c r="AJ100" s="63">
        <v>-2219988</v>
      </c>
      <c r="AK100" s="63">
        <v>0</v>
      </c>
      <c r="AL100" s="63">
        <v>0</v>
      </c>
      <c r="AM100" s="63">
        <v>0</v>
      </c>
      <c r="AN100" s="63">
        <v>544082</v>
      </c>
      <c r="AO100" s="63">
        <v>0</v>
      </c>
      <c r="AP100" s="63">
        <v>544082</v>
      </c>
      <c r="AQ100" s="63">
        <v>-1675906</v>
      </c>
      <c r="AR100" s="63">
        <v>0</v>
      </c>
      <c r="AS100" s="63">
        <v>-1675906</v>
      </c>
      <c r="AT100" s="63">
        <v>-1303681</v>
      </c>
      <c r="AU100" s="63">
        <v>0</v>
      </c>
      <c r="AV100" s="63">
        <v>-1303681</v>
      </c>
      <c r="AW100" s="63">
        <v>-76548</v>
      </c>
      <c r="AX100" s="63">
        <v>0</v>
      </c>
      <c r="AY100" s="63">
        <v>-76548</v>
      </c>
      <c r="AZ100" s="63">
        <v>-64076</v>
      </c>
      <c r="BA100" s="63">
        <v>0</v>
      </c>
      <c r="BB100" s="63">
        <v>-64076</v>
      </c>
      <c r="BC100" s="63">
        <v>-3120211</v>
      </c>
      <c r="BD100" s="63">
        <v>0</v>
      </c>
      <c r="BE100" s="63">
        <v>0</v>
      </c>
      <c r="BF100" s="63">
        <v>0</v>
      </c>
      <c r="BG100" s="63">
        <v>-3120211</v>
      </c>
      <c r="BH100" s="63">
        <v>0</v>
      </c>
      <c r="BI100" s="63">
        <v>-3120211</v>
      </c>
      <c r="BJ100" s="63">
        <v>0</v>
      </c>
      <c r="BK100" s="63">
        <v>0</v>
      </c>
      <c r="BL100" s="63">
        <v>0</v>
      </c>
      <c r="BM100" s="63">
        <v>-454480</v>
      </c>
      <c r="BN100" s="63">
        <v>0</v>
      </c>
      <c r="BO100" s="63">
        <v>-454480</v>
      </c>
      <c r="BP100" s="63">
        <v>-454480</v>
      </c>
      <c r="BQ100" s="63">
        <v>0</v>
      </c>
      <c r="BR100" s="63">
        <v>0</v>
      </c>
      <c r="BS100" s="63">
        <v>0</v>
      </c>
      <c r="BT100" s="63">
        <v>-454480</v>
      </c>
      <c r="BU100" s="63">
        <v>0</v>
      </c>
      <c r="BV100" s="63">
        <v>-454480</v>
      </c>
      <c r="BW100" s="63">
        <v>-47864</v>
      </c>
      <c r="BX100" s="63">
        <v>0</v>
      </c>
      <c r="BY100" s="63">
        <v>-47864</v>
      </c>
      <c r="BZ100" s="63">
        <v>-38432</v>
      </c>
      <c r="CA100" s="63">
        <v>0</v>
      </c>
      <c r="CB100" s="63">
        <v>-38432</v>
      </c>
      <c r="CC100" s="63">
        <v>-2124</v>
      </c>
      <c r="CD100" s="63">
        <v>0</v>
      </c>
      <c r="CE100" s="63">
        <v>-2124</v>
      </c>
      <c r="CF100" s="63">
        <v>-33654</v>
      </c>
      <c r="CG100" s="63">
        <v>0</v>
      </c>
      <c r="CH100" s="63">
        <v>-33654</v>
      </c>
      <c r="CI100" s="63">
        <v>-3550</v>
      </c>
      <c r="CJ100" s="63">
        <v>0</v>
      </c>
      <c r="CK100" s="63">
        <v>-3550</v>
      </c>
      <c r="CL100" s="63">
        <v>0</v>
      </c>
      <c r="CM100" s="63">
        <v>0</v>
      </c>
      <c r="CN100" s="63">
        <v>0</v>
      </c>
      <c r="CO100" s="63">
        <v>0</v>
      </c>
      <c r="CP100" s="63">
        <v>0</v>
      </c>
      <c r="CQ100" s="63">
        <v>-125624</v>
      </c>
      <c r="CR100" s="63">
        <v>0</v>
      </c>
      <c r="CS100" s="63">
        <v>0</v>
      </c>
      <c r="CT100" s="63">
        <v>0</v>
      </c>
      <c r="CU100" s="63">
        <v>-125624</v>
      </c>
      <c r="CV100" s="63">
        <v>0</v>
      </c>
      <c r="CW100" s="63">
        <v>-125624</v>
      </c>
      <c r="CX100" s="63">
        <v>0</v>
      </c>
      <c r="CY100" s="63">
        <v>0</v>
      </c>
      <c r="CZ100" s="63">
        <v>0</v>
      </c>
      <c r="DA100" s="63">
        <v>-7196</v>
      </c>
      <c r="DB100" s="63">
        <v>0</v>
      </c>
      <c r="DC100" s="63">
        <v>-7196</v>
      </c>
      <c r="DD100" s="63">
        <v>-3556</v>
      </c>
      <c r="DE100" s="63">
        <v>0</v>
      </c>
      <c r="DF100" s="63">
        <v>-3556</v>
      </c>
      <c r="DG100" s="63">
        <v>-10752</v>
      </c>
      <c r="DH100" s="63">
        <v>0</v>
      </c>
      <c r="DI100" s="63">
        <v>0</v>
      </c>
      <c r="DJ100" s="63">
        <v>0</v>
      </c>
      <c r="DK100" s="63">
        <v>-10752</v>
      </c>
      <c r="DL100" s="63">
        <v>0</v>
      </c>
      <c r="DM100" s="63">
        <v>-10752</v>
      </c>
      <c r="DN100" s="63">
        <v>22197140</v>
      </c>
      <c r="DO100" s="63">
        <v>0</v>
      </c>
      <c r="DP100" s="63">
        <v>22197140</v>
      </c>
      <c r="DQ100" s="63"/>
      <c r="DR100" s="585"/>
    </row>
    <row r="101" spans="1:122" ht="12.75" x14ac:dyDescent="0.2">
      <c r="A101" s="90">
        <v>94</v>
      </c>
      <c r="B101" s="129" t="s">
        <v>70</v>
      </c>
      <c r="C101" s="130" t="s">
        <v>742</v>
      </c>
      <c r="D101" s="131" t="s">
        <v>743</v>
      </c>
      <c r="E101" s="132" t="s">
        <v>69</v>
      </c>
      <c r="F101" s="475" t="s">
        <v>808</v>
      </c>
      <c r="G101" s="63">
        <v>132095547</v>
      </c>
      <c r="H101" s="63">
        <v>0</v>
      </c>
      <c r="I101" s="63">
        <v>132095547</v>
      </c>
      <c r="J101" s="608">
        <v>48.4</v>
      </c>
      <c r="K101" s="63">
        <v>63934245</v>
      </c>
      <c r="L101" s="63">
        <v>0</v>
      </c>
      <c r="M101" s="63">
        <v>0</v>
      </c>
      <c r="N101" s="63">
        <v>0</v>
      </c>
      <c r="O101" s="63">
        <v>63934245</v>
      </c>
      <c r="P101" s="63">
        <v>0</v>
      </c>
      <c r="Q101" s="63">
        <v>63934245</v>
      </c>
      <c r="R101" s="63">
        <v>0</v>
      </c>
      <c r="S101" s="63">
        <v>0</v>
      </c>
      <c r="T101" s="63">
        <v>0</v>
      </c>
      <c r="U101" s="63">
        <v>0</v>
      </c>
      <c r="V101" s="63">
        <v>0</v>
      </c>
      <c r="W101" s="63">
        <v>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0</v>
      </c>
      <c r="AE101" s="63">
        <v>0</v>
      </c>
      <c r="AF101" s="63">
        <v>0</v>
      </c>
      <c r="AG101" s="63">
        <v>0</v>
      </c>
      <c r="AH101" s="63">
        <v>-1896398</v>
      </c>
      <c r="AI101" s="63">
        <v>0</v>
      </c>
      <c r="AJ101" s="63">
        <v>-1896398</v>
      </c>
      <c r="AK101" s="63">
        <v>0</v>
      </c>
      <c r="AL101" s="63">
        <v>0</v>
      </c>
      <c r="AM101" s="63">
        <v>0</v>
      </c>
      <c r="AN101" s="63">
        <v>1525470</v>
      </c>
      <c r="AO101" s="63">
        <v>0</v>
      </c>
      <c r="AP101" s="63">
        <v>1525470</v>
      </c>
      <c r="AQ101" s="63">
        <v>-370928</v>
      </c>
      <c r="AR101" s="63">
        <v>0</v>
      </c>
      <c r="AS101" s="63">
        <v>-370928</v>
      </c>
      <c r="AT101" s="63">
        <v>-3522494</v>
      </c>
      <c r="AU101" s="63">
        <v>0</v>
      </c>
      <c r="AV101" s="63">
        <v>-3522494</v>
      </c>
      <c r="AW101" s="63">
        <v>-53358</v>
      </c>
      <c r="AX101" s="63">
        <v>0</v>
      </c>
      <c r="AY101" s="63">
        <v>-53358</v>
      </c>
      <c r="AZ101" s="63">
        <v>0</v>
      </c>
      <c r="BA101" s="63">
        <v>0</v>
      </c>
      <c r="BB101" s="63">
        <v>0</v>
      </c>
      <c r="BC101" s="63">
        <v>-3946780</v>
      </c>
      <c r="BD101" s="63">
        <v>0</v>
      </c>
      <c r="BE101" s="63">
        <v>0</v>
      </c>
      <c r="BF101" s="63">
        <v>0</v>
      </c>
      <c r="BG101" s="63">
        <v>-3946780</v>
      </c>
      <c r="BH101" s="63">
        <v>0</v>
      </c>
      <c r="BI101" s="63">
        <v>-3946780</v>
      </c>
      <c r="BJ101" s="63">
        <v>0</v>
      </c>
      <c r="BK101" s="63">
        <v>0</v>
      </c>
      <c r="BL101" s="63">
        <v>0</v>
      </c>
      <c r="BM101" s="63">
        <v>-2409370</v>
      </c>
      <c r="BN101" s="63">
        <v>0</v>
      </c>
      <c r="BO101" s="63">
        <v>-2409370</v>
      </c>
      <c r="BP101" s="63">
        <v>-2409370</v>
      </c>
      <c r="BQ101" s="63">
        <v>0</v>
      </c>
      <c r="BR101" s="63">
        <v>0</v>
      </c>
      <c r="BS101" s="63">
        <v>0</v>
      </c>
      <c r="BT101" s="63">
        <v>-2409370</v>
      </c>
      <c r="BU101" s="63">
        <v>0</v>
      </c>
      <c r="BV101" s="63">
        <v>-2409370</v>
      </c>
      <c r="BW101" s="63">
        <v>-106900</v>
      </c>
      <c r="BX101" s="63">
        <v>0</v>
      </c>
      <c r="BY101" s="63">
        <v>-106900</v>
      </c>
      <c r="BZ101" s="63">
        <v>-327149</v>
      </c>
      <c r="CA101" s="63">
        <v>0</v>
      </c>
      <c r="CB101" s="63">
        <v>-327149</v>
      </c>
      <c r="CC101" s="63">
        <v>0</v>
      </c>
      <c r="CD101" s="63">
        <v>0</v>
      </c>
      <c r="CE101" s="63">
        <v>0</v>
      </c>
      <c r="CF101" s="63">
        <v>0</v>
      </c>
      <c r="CG101" s="63">
        <v>0</v>
      </c>
      <c r="CH101" s="63">
        <v>0</v>
      </c>
      <c r="CI101" s="63">
        <v>0</v>
      </c>
      <c r="CJ101" s="63">
        <v>0</v>
      </c>
      <c r="CK101" s="63">
        <v>0</v>
      </c>
      <c r="CL101" s="63">
        <v>0</v>
      </c>
      <c r="CM101" s="63">
        <v>0</v>
      </c>
      <c r="CN101" s="63">
        <v>0</v>
      </c>
      <c r="CO101" s="63">
        <v>0</v>
      </c>
      <c r="CP101" s="63">
        <v>0</v>
      </c>
      <c r="CQ101" s="63">
        <v>-434049</v>
      </c>
      <c r="CR101" s="63">
        <v>0</v>
      </c>
      <c r="CS101" s="63">
        <v>0</v>
      </c>
      <c r="CT101" s="63">
        <v>0</v>
      </c>
      <c r="CU101" s="63">
        <v>-434049</v>
      </c>
      <c r="CV101" s="63">
        <v>0</v>
      </c>
      <c r="CW101" s="63">
        <v>-434049</v>
      </c>
      <c r="CX101" s="63">
        <v>0</v>
      </c>
      <c r="CY101" s="63">
        <v>0</v>
      </c>
      <c r="CZ101" s="63">
        <v>0</v>
      </c>
      <c r="DA101" s="63">
        <v>-7854</v>
      </c>
      <c r="DB101" s="63">
        <v>0</v>
      </c>
      <c r="DC101" s="63">
        <v>-7854</v>
      </c>
      <c r="DD101" s="63">
        <v>-1863</v>
      </c>
      <c r="DE101" s="63">
        <v>0</v>
      </c>
      <c r="DF101" s="63">
        <v>-1863</v>
      </c>
      <c r="DG101" s="63">
        <v>-9717</v>
      </c>
      <c r="DH101" s="63">
        <v>0</v>
      </c>
      <c r="DI101" s="63">
        <v>0</v>
      </c>
      <c r="DJ101" s="63">
        <v>0</v>
      </c>
      <c r="DK101" s="63">
        <v>-9717</v>
      </c>
      <c r="DL101" s="63">
        <v>0</v>
      </c>
      <c r="DM101" s="63">
        <v>-9717</v>
      </c>
      <c r="DN101" s="63">
        <v>57134329</v>
      </c>
      <c r="DO101" s="63">
        <v>0</v>
      </c>
      <c r="DP101" s="63">
        <v>57134329</v>
      </c>
      <c r="DQ101" s="63"/>
      <c r="DR101" s="586"/>
    </row>
    <row r="102" spans="1:122" x14ac:dyDescent="0.2">
      <c r="A102" s="90">
        <v>95</v>
      </c>
      <c r="B102" s="129" t="s">
        <v>72</v>
      </c>
      <c r="C102" s="130" t="s">
        <v>747</v>
      </c>
      <c r="D102" s="131" t="s">
        <v>748</v>
      </c>
      <c r="E102" s="132" t="s">
        <v>71</v>
      </c>
      <c r="F102" s="475" t="s">
        <v>808</v>
      </c>
      <c r="G102" s="63">
        <v>256641332</v>
      </c>
      <c r="H102" s="63">
        <v>0</v>
      </c>
      <c r="I102" s="63">
        <v>256641332</v>
      </c>
      <c r="J102" s="608">
        <v>48.4</v>
      </c>
      <c r="K102" s="63">
        <v>124214405</v>
      </c>
      <c r="L102" s="63">
        <v>0</v>
      </c>
      <c r="M102" s="63">
        <v>-484000</v>
      </c>
      <c r="N102" s="63">
        <v>0</v>
      </c>
      <c r="O102" s="63">
        <v>123730405</v>
      </c>
      <c r="P102" s="63">
        <v>0</v>
      </c>
      <c r="Q102" s="63">
        <v>123730405</v>
      </c>
      <c r="R102" s="63">
        <v>0</v>
      </c>
      <c r="S102" s="63">
        <v>0</v>
      </c>
      <c r="T102" s="63">
        <v>0</v>
      </c>
      <c r="U102" s="63">
        <v>0</v>
      </c>
      <c r="V102" s="63">
        <v>0</v>
      </c>
      <c r="W102" s="63">
        <v>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0</v>
      </c>
      <c r="AE102" s="63">
        <v>0</v>
      </c>
      <c r="AF102" s="63">
        <v>0</v>
      </c>
      <c r="AG102" s="63">
        <v>0</v>
      </c>
      <c r="AH102" s="63">
        <v>-4015836</v>
      </c>
      <c r="AI102" s="63">
        <v>0</v>
      </c>
      <c r="AJ102" s="63">
        <v>-4015836</v>
      </c>
      <c r="AK102" s="63">
        <v>0</v>
      </c>
      <c r="AL102" s="63">
        <v>0</v>
      </c>
      <c r="AM102" s="63">
        <v>0</v>
      </c>
      <c r="AN102" s="63">
        <v>2757345</v>
      </c>
      <c r="AO102" s="63">
        <v>0</v>
      </c>
      <c r="AP102" s="63">
        <v>2757345</v>
      </c>
      <c r="AQ102" s="63">
        <v>-1258491</v>
      </c>
      <c r="AR102" s="63">
        <v>0</v>
      </c>
      <c r="AS102" s="63">
        <v>-1258491</v>
      </c>
      <c r="AT102" s="63">
        <v>-5379241</v>
      </c>
      <c r="AU102" s="63">
        <v>0</v>
      </c>
      <c r="AV102" s="63">
        <v>-5379241</v>
      </c>
      <c r="AW102" s="63">
        <v>-121964</v>
      </c>
      <c r="AX102" s="63">
        <v>0</v>
      </c>
      <c r="AY102" s="63">
        <v>-121964</v>
      </c>
      <c r="AZ102" s="63">
        <v>0</v>
      </c>
      <c r="BA102" s="63">
        <v>0</v>
      </c>
      <c r="BB102" s="63">
        <v>0</v>
      </c>
      <c r="BC102" s="63">
        <v>-6759696</v>
      </c>
      <c r="BD102" s="63">
        <v>0</v>
      </c>
      <c r="BE102" s="63">
        <v>0</v>
      </c>
      <c r="BF102" s="63">
        <v>0</v>
      </c>
      <c r="BG102" s="63">
        <v>-6759696</v>
      </c>
      <c r="BH102" s="63">
        <v>0</v>
      </c>
      <c r="BI102" s="63">
        <v>-6759696</v>
      </c>
      <c r="BJ102" s="63">
        <v>0</v>
      </c>
      <c r="BK102" s="63">
        <v>0</v>
      </c>
      <c r="BL102" s="63">
        <v>0</v>
      </c>
      <c r="BM102" s="63">
        <v>-2360533</v>
      </c>
      <c r="BN102" s="63">
        <v>0</v>
      </c>
      <c r="BO102" s="63">
        <v>-2360533</v>
      </c>
      <c r="BP102" s="63">
        <v>-2360533</v>
      </c>
      <c r="BQ102" s="63">
        <v>0</v>
      </c>
      <c r="BR102" s="63">
        <v>0</v>
      </c>
      <c r="BS102" s="63">
        <v>0</v>
      </c>
      <c r="BT102" s="63">
        <v>-2360533</v>
      </c>
      <c r="BU102" s="63">
        <v>0</v>
      </c>
      <c r="BV102" s="63">
        <v>-2360533</v>
      </c>
      <c r="BW102" s="63">
        <v>-215329</v>
      </c>
      <c r="BX102" s="63">
        <v>0</v>
      </c>
      <c r="BY102" s="63">
        <v>-215329</v>
      </c>
      <c r="BZ102" s="63">
        <v>-194699</v>
      </c>
      <c r="CA102" s="63">
        <v>0</v>
      </c>
      <c r="CB102" s="63">
        <v>-194699</v>
      </c>
      <c r="CC102" s="63">
        <v>0</v>
      </c>
      <c r="CD102" s="63">
        <v>0</v>
      </c>
      <c r="CE102" s="63">
        <v>0</v>
      </c>
      <c r="CF102" s="63">
        <v>0</v>
      </c>
      <c r="CG102" s="63">
        <v>0</v>
      </c>
      <c r="CH102" s="63">
        <v>0</v>
      </c>
      <c r="CI102" s="63">
        <v>0</v>
      </c>
      <c r="CJ102" s="63">
        <v>0</v>
      </c>
      <c r="CK102" s="63">
        <v>0</v>
      </c>
      <c r="CL102" s="63">
        <v>0</v>
      </c>
      <c r="CM102" s="63">
        <v>0</v>
      </c>
      <c r="CN102" s="63">
        <v>0</v>
      </c>
      <c r="CO102" s="63">
        <v>0</v>
      </c>
      <c r="CP102" s="63">
        <v>0</v>
      </c>
      <c r="CQ102" s="63">
        <v>-410028</v>
      </c>
      <c r="CR102" s="63">
        <v>0</v>
      </c>
      <c r="CS102" s="63">
        <v>0</v>
      </c>
      <c r="CT102" s="63">
        <v>0</v>
      </c>
      <c r="CU102" s="63">
        <v>-410028</v>
      </c>
      <c r="CV102" s="63">
        <v>0</v>
      </c>
      <c r="CW102" s="63">
        <v>-410028</v>
      </c>
      <c r="CX102" s="63">
        <v>0</v>
      </c>
      <c r="CY102" s="63">
        <v>0</v>
      </c>
      <c r="CZ102" s="63">
        <v>0</v>
      </c>
      <c r="DA102" s="63">
        <v>-49824</v>
      </c>
      <c r="DB102" s="63">
        <v>0</v>
      </c>
      <c r="DC102" s="63">
        <v>-49824</v>
      </c>
      <c r="DD102" s="63">
        <v>-7724</v>
      </c>
      <c r="DE102" s="63">
        <v>0</v>
      </c>
      <c r="DF102" s="63">
        <v>-7724</v>
      </c>
      <c r="DG102" s="63">
        <v>-57548</v>
      </c>
      <c r="DH102" s="63">
        <v>0</v>
      </c>
      <c r="DI102" s="63">
        <v>0</v>
      </c>
      <c r="DJ102" s="63">
        <v>0</v>
      </c>
      <c r="DK102" s="63">
        <v>-57548</v>
      </c>
      <c r="DL102" s="63">
        <v>0</v>
      </c>
      <c r="DM102" s="63">
        <v>-57548</v>
      </c>
      <c r="DN102" s="63">
        <v>114142600</v>
      </c>
      <c r="DO102" s="63">
        <v>0</v>
      </c>
      <c r="DP102" s="63">
        <v>114142600</v>
      </c>
      <c r="DQ102" s="63"/>
      <c r="DR102" s="585"/>
    </row>
    <row r="103" spans="1:122" x14ac:dyDescent="0.2">
      <c r="A103" s="90">
        <v>96</v>
      </c>
      <c r="B103" s="129" t="s">
        <v>74</v>
      </c>
      <c r="C103" s="130" t="s">
        <v>742</v>
      </c>
      <c r="D103" s="131" t="s">
        <v>746</v>
      </c>
      <c r="E103" s="132" t="s">
        <v>73</v>
      </c>
      <c r="F103" s="475" t="s">
        <v>808</v>
      </c>
      <c r="G103" s="63">
        <v>86469491</v>
      </c>
      <c r="H103" s="63">
        <v>0</v>
      </c>
      <c r="I103" s="63">
        <v>86469491</v>
      </c>
      <c r="J103" s="608">
        <v>48.4</v>
      </c>
      <c r="K103" s="63">
        <v>41851234</v>
      </c>
      <c r="L103" s="63">
        <v>0</v>
      </c>
      <c r="M103" s="63">
        <v>0</v>
      </c>
      <c r="N103" s="63">
        <v>0</v>
      </c>
      <c r="O103" s="63">
        <v>41851234</v>
      </c>
      <c r="P103" s="63">
        <v>0</v>
      </c>
      <c r="Q103" s="63">
        <v>41851234</v>
      </c>
      <c r="R103" s="63">
        <v>0</v>
      </c>
      <c r="S103" s="63">
        <v>0</v>
      </c>
      <c r="T103" s="63">
        <v>0</v>
      </c>
      <c r="U103" s="63">
        <v>0</v>
      </c>
      <c r="V103" s="63">
        <v>0</v>
      </c>
      <c r="W103" s="63">
        <v>0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0</v>
      </c>
      <c r="AE103" s="63">
        <v>0</v>
      </c>
      <c r="AF103" s="63">
        <v>0</v>
      </c>
      <c r="AG103" s="63">
        <v>0</v>
      </c>
      <c r="AH103" s="63">
        <v>-2570878</v>
      </c>
      <c r="AI103" s="63">
        <v>0</v>
      </c>
      <c r="AJ103" s="63">
        <v>-2570878</v>
      </c>
      <c r="AK103" s="63">
        <v>-7224</v>
      </c>
      <c r="AL103" s="63">
        <v>0</v>
      </c>
      <c r="AM103" s="63">
        <v>-7224</v>
      </c>
      <c r="AN103" s="63">
        <v>870507</v>
      </c>
      <c r="AO103" s="63">
        <v>0</v>
      </c>
      <c r="AP103" s="63">
        <v>870507</v>
      </c>
      <c r="AQ103" s="63">
        <v>-1700371</v>
      </c>
      <c r="AR103" s="63">
        <v>0</v>
      </c>
      <c r="AS103" s="63">
        <v>-1700371</v>
      </c>
      <c r="AT103" s="63">
        <v>-2256308</v>
      </c>
      <c r="AU103" s="63">
        <v>0</v>
      </c>
      <c r="AV103" s="63">
        <v>-2256308</v>
      </c>
      <c r="AW103" s="63">
        <v>-26679</v>
      </c>
      <c r="AX103" s="63">
        <v>0</v>
      </c>
      <c r="AY103" s="63">
        <v>-26679</v>
      </c>
      <c r="AZ103" s="63">
        <v>0</v>
      </c>
      <c r="BA103" s="63">
        <v>0</v>
      </c>
      <c r="BB103" s="63">
        <v>0</v>
      </c>
      <c r="BC103" s="63">
        <v>-3983358</v>
      </c>
      <c r="BD103" s="63">
        <v>0</v>
      </c>
      <c r="BE103" s="63">
        <v>0</v>
      </c>
      <c r="BF103" s="63">
        <v>0</v>
      </c>
      <c r="BG103" s="63">
        <v>-3983358</v>
      </c>
      <c r="BH103" s="63">
        <v>0</v>
      </c>
      <c r="BI103" s="63">
        <v>-3983358</v>
      </c>
      <c r="BJ103" s="63">
        <v>0</v>
      </c>
      <c r="BK103" s="63">
        <v>0</v>
      </c>
      <c r="BL103" s="63">
        <v>0</v>
      </c>
      <c r="BM103" s="63">
        <v>-1215412</v>
      </c>
      <c r="BN103" s="63">
        <v>0</v>
      </c>
      <c r="BO103" s="63">
        <v>-1215412</v>
      </c>
      <c r="BP103" s="63">
        <v>-1215412</v>
      </c>
      <c r="BQ103" s="63">
        <v>0</v>
      </c>
      <c r="BR103" s="63">
        <v>0</v>
      </c>
      <c r="BS103" s="63">
        <v>0</v>
      </c>
      <c r="BT103" s="63">
        <v>-1215412</v>
      </c>
      <c r="BU103" s="63">
        <v>0</v>
      </c>
      <c r="BV103" s="63">
        <v>-1215412</v>
      </c>
      <c r="BW103" s="63">
        <v>-14127</v>
      </c>
      <c r="BX103" s="63">
        <v>0</v>
      </c>
      <c r="BY103" s="63">
        <v>-14127</v>
      </c>
      <c r="BZ103" s="63">
        <v>-56489</v>
      </c>
      <c r="CA103" s="63">
        <v>0</v>
      </c>
      <c r="CB103" s="63">
        <v>-56489</v>
      </c>
      <c r="CC103" s="63">
        <v>0</v>
      </c>
      <c r="CD103" s="63">
        <v>0</v>
      </c>
      <c r="CE103" s="63">
        <v>0</v>
      </c>
      <c r="CF103" s="63">
        <v>-5576</v>
      </c>
      <c r="CG103" s="63">
        <v>0</v>
      </c>
      <c r="CH103" s="63">
        <v>-5576</v>
      </c>
      <c r="CI103" s="63">
        <v>-8364</v>
      </c>
      <c r="CJ103" s="63">
        <v>0</v>
      </c>
      <c r="CK103" s="63">
        <v>-8364</v>
      </c>
      <c r="CL103" s="63">
        <v>0</v>
      </c>
      <c r="CM103" s="63">
        <v>0</v>
      </c>
      <c r="CN103" s="63">
        <v>0</v>
      </c>
      <c r="CO103" s="63">
        <v>0</v>
      </c>
      <c r="CP103" s="63">
        <v>0</v>
      </c>
      <c r="CQ103" s="63">
        <v>-84556</v>
      </c>
      <c r="CR103" s="63">
        <v>0</v>
      </c>
      <c r="CS103" s="63">
        <v>0</v>
      </c>
      <c r="CT103" s="63">
        <v>0</v>
      </c>
      <c r="CU103" s="63">
        <v>-84556</v>
      </c>
      <c r="CV103" s="63">
        <v>0</v>
      </c>
      <c r="CW103" s="63">
        <v>-84556</v>
      </c>
      <c r="CX103" s="63">
        <v>-13295</v>
      </c>
      <c r="CY103" s="63">
        <v>0</v>
      </c>
      <c r="CZ103" s="63">
        <v>-13295</v>
      </c>
      <c r="DA103" s="63">
        <v>-3046</v>
      </c>
      <c r="DB103" s="63">
        <v>0</v>
      </c>
      <c r="DC103" s="63">
        <v>-3046</v>
      </c>
      <c r="DD103" s="63">
        <v>-38721</v>
      </c>
      <c r="DE103" s="63">
        <v>0</v>
      </c>
      <c r="DF103" s="63">
        <v>-38721</v>
      </c>
      <c r="DG103" s="63">
        <v>-55062</v>
      </c>
      <c r="DH103" s="63">
        <v>0</v>
      </c>
      <c r="DI103" s="63">
        <v>0</v>
      </c>
      <c r="DJ103" s="63">
        <v>0</v>
      </c>
      <c r="DK103" s="63">
        <v>-55062</v>
      </c>
      <c r="DL103" s="63">
        <v>0</v>
      </c>
      <c r="DM103" s="63">
        <v>-55062</v>
      </c>
      <c r="DN103" s="63">
        <v>36512846</v>
      </c>
      <c r="DO103" s="63">
        <v>0</v>
      </c>
      <c r="DP103" s="63">
        <v>36512846</v>
      </c>
      <c r="DQ103" s="63"/>
      <c r="DR103" s="585"/>
    </row>
    <row r="104" spans="1:122" x14ac:dyDescent="0.2">
      <c r="A104" s="90">
        <v>97</v>
      </c>
      <c r="B104" s="129" t="s">
        <v>75</v>
      </c>
      <c r="C104" s="130" t="s">
        <v>742</v>
      </c>
      <c r="D104" s="131" t="s">
        <v>743</v>
      </c>
      <c r="E104" s="132" t="s">
        <v>756</v>
      </c>
      <c r="F104" s="475" t="s">
        <v>808</v>
      </c>
      <c r="G104" s="63">
        <v>59468925</v>
      </c>
      <c r="H104" s="63">
        <v>0</v>
      </c>
      <c r="I104" s="63">
        <v>59468925</v>
      </c>
      <c r="J104" s="608">
        <v>48.4</v>
      </c>
      <c r="K104" s="63">
        <v>28782960</v>
      </c>
      <c r="L104" s="63">
        <v>0</v>
      </c>
      <c r="M104" s="63">
        <v>0</v>
      </c>
      <c r="N104" s="63">
        <v>0</v>
      </c>
      <c r="O104" s="63">
        <v>28782960</v>
      </c>
      <c r="P104" s="63">
        <v>0</v>
      </c>
      <c r="Q104" s="63">
        <v>28782960</v>
      </c>
      <c r="R104" s="63">
        <v>0</v>
      </c>
      <c r="S104" s="63">
        <v>0</v>
      </c>
      <c r="T104" s="63">
        <v>0</v>
      </c>
      <c r="U104" s="63">
        <v>0</v>
      </c>
      <c r="V104" s="63">
        <v>0</v>
      </c>
      <c r="W104" s="63">
        <v>0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0</v>
      </c>
      <c r="AE104" s="63">
        <v>0</v>
      </c>
      <c r="AF104" s="63">
        <v>0</v>
      </c>
      <c r="AG104" s="63">
        <v>0</v>
      </c>
      <c r="AH104" s="63">
        <v>-1078459</v>
      </c>
      <c r="AI104" s="63">
        <v>0</v>
      </c>
      <c r="AJ104" s="63">
        <v>-1078459</v>
      </c>
      <c r="AK104" s="63">
        <v>0</v>
      </c>
      <c r="AL104" s="63">
        <v>0</v>
      </c>
      <c r="AM104" s="63">
        <v>0</v>
      </c>
      <c r="AN104" s="63">
        <v>681665</v>
      </c>
      <c r="AO104" s="63">
        <v>0</v>
      </c>
      <c r="AP104" s="63">
        <v>681665</v>
      </c>
      <c r="AQ104" s="63">
        <v>-396794</v>
      </c>
      <c r="AR104" s="63">
        <v>0</v>
      </c>
      <c r="AS104" s="63">
        <v>-396794</v>
      </c>
      <c r="AT104" s="63">
        <v>-2787520</v>
      </c>
      <c r="AU104" s="63">
        <v>0</v>
      </c>
      <c r="AV104" s="63">
        <v>-2787520</v>
      </c>
      <c r="AW104" s="63">
        <v>-50296</v>
      </c>
      <c r="AX104" s="63">
        <v>0</v>
      </c>
      <c r="AY104" s="63">
        <v>-50296</v>
      </c>
      <c r="AZ104" s="63">
        <v>0</v>
      </c>
      <c r="BA104" s="63">
        <v>0</v>
      </c>
      <c r="BB104" s="63">
        <v>0</v>
      </c>
      <c r="BC104" s="63">
        <v>-3234610</v>
      </c>
      <c r="BD104" s="63">
        <v>0</v>
      </c>
      <c r="BE104" s="63">
        <v>5963</v>
      </c>
      <c r="BF104" s="63">
        <v>0</v>
      </c>
      <c r="BG104" s="63">
        <v>-3228647</v>
      </c>
      <c r="BH104" s="63">
        <v>0</v>
      </c>
      <c r="BI104" s="63">
        <v>-3228647</v>
      </c>
      <c r="BJ104" s="63">
        <v>0</v>
      </c>
      <c r="BK104" s="63">
        <v>0</v>
      </c>
      <c r="BL104" s="63">
        <v>0</v>
      </c>
      <c r="BM104" s="63">
        <v>-413496</v>
      </c>
      <c r="BN104" s="63">
        <v>0</v>
      </c>
      <c r="BO104" s="63">
        <v>-413496</v>
      </c>
      <c r="BP104" s="63">
        <v>-413496</v>
      </c>
      <c r="BQ104" s="63">
        <v>0</v>
      </c>
      <c r="BR104" s="63">
        <v>-353126</v>
      </c>
      <c r="BS104" s="63">
        <v>0</v>
      </c>
      <c r="BT104" s="63">
        <v>-766622</v>
      </c>
      <c r="BU104" s="63">
        <v>0</v>
      </c>
      <c r="BV104" s="63">
        <v>-766622</v>
      </c>
      <c r="BW104" s="63">
        <v>-88832</v>
      </c>
      <c r="BX104" s="63">
        <v>0</v>
      </c>
      <c r="BY104" s="63">
        <v>-88832</v>
      </c>
      <c r="BZ104" s="63">
        <v>-590</v>
      </c>
      <c r="CA104" s="63">
        <v>0</v>
      </c>
      <c r="CB104" s="63">
        <v>-590</v>
      </c>
      <c r="CC104" s="63">
        <v>-8817</v>
      </c>
      <c r="CD104" s="63">
        <v>0</v>
      </c>
      <c r="CE104" s="63">
        <v>-8817</v>
      </c>
      <c r="CF104" s="63">
        <v>0</v>
      </c>
      <c r="CG104" s="63">
        <v>0</v>
      </c>
      <c r="CH104" s="63">
        <v>0</v>
      </c>
      <c r="CI104" s="63">
        <v>0</v>
      </c>
      <c r="CJ104" s="63">
        <v>0</v>
      </c>
      <c r="CK104" s="63">
        <v>0</v>
      </c>
      <c r="CL104" s="63">
        <v>0</v>
      </c>
      <c r="CM104" s="63">
        <v>0</v>
      </c>
      <c r="CN104" s="63">
        <v>0</v>
      </c>
      <c r="CO104" s="63">
        <v>0</v>
      </c>
      <c r="CP104" s="63">
        <v>0</v>
      </c>
      <c r="CQ104" s="63">
        <v>-98239</v>
      </c>
      <c r="CR104" s="63">
        <v>0</v>
      </c>
      <c r="CS104" s="63">
        <v>1572</v>
      </c>
      <c r="CT104" s="63">
        <v>0</v>
      </c>
      <c r="CU104" s="63">
        <v>-96667</v>
      </c>
      <c r="CV104" s="63">
        <v>0</v>
      </c>
      <c r="CW104" s="63">
        <v>-96667</v>
      </c>
      <c r="CX104" s="63">
        <v>0</v>
      </c>
      <c r="CY104" s="63">
        <v>0</v>
      </c>
      <c r="CZ104" s="63">
        <v>0</v>
      </c>
      <c r="DA104" s="63">
        <v>-10872</v>
      </c>
      <c r="DB104" s="63">
        <v>0</v>
      </c>
      <c r="DC104" s="63">
        <v>-10872</v>
      </c>
      <c r="DD104" s="63">
        <v>0</v>
      </c>
      <c r="DE104" s="63">
        <v>0</v>
      </c>
      <c r="DF104" s="63">
        <v>0</v>
      </c>
      <c r="DG104" s="63">
        <v>-10872</v>
      </c>
      <c r="DH104" s="63">
        <v>0</v>
      </c>
      <c r="DI104" s="63">
        <v>0</v>
      </c>
      <c r="DJ104" s="63">
        <v>0</v>
      </c>
      <c r="DK104" s="63">
        <v>-10872</v>
      </c>
      <c r="DL104" s="63">
        <v>0</v>
      </c>
      <c r="DM104" s="63">
        <v>-10872</v>
      </c>
      <c r="DN104" s="63">
        <v>24680152</v>
      </c>
      <c r="DO104" s="63">
        <v>0</v>
      </c>
      <c r="DP104" s="63">
        <v>24680152</v>
      </c>
      <c r="DQ104" s="63"/>
      <c r="DR104" s="585"/>
    </row>
    <row r="105" spans="1:122" x14ac:dyDescent="0.2">
      <c r="A105" s="90">
        <v>98</v>
      </c>
      <c r="B105" s="129" t="s">
        <v>77</v>
      </c>
      <c r="C105" s="130" t="s">
        <v>742</v>
      </c>
      <c r="D105" s="131" t="s">
        <v>745</v>
      </c>
      <c r="E105" s="132" t="s">
        <v>76</v>
      </c>
      <c r="F105" s="475" t="s">
        <v>808</v>
      </c>
      <c r="G105" s="63">
        <v>63835813</v>
      </c>
      <c r="H105" s="63">
        <v>0</v>
      </c>
      <c r="I105" s="63">
        <v>63835813</v>
      </c>
      <c r="J105" s="608">
        <v>48.4</v>
      </c>
      <c r="K105" s="63">
        <v>30896533</v>
      </c>
      <c r="L105" s="63">
        <v>0</v>
      </c>
      <c r="M105" s="63">
        <v>177600</v>
      </c>
      <c r="N105" s="63">
        <v>0</v>
      </c>
      <c r="O105" s="63">
        <v>31074133</v>
      </c>
      <c r="P105" s="63">
        <v>0</v>
      </c>
      <c r="Q105" s="63">
        <v>31074133</v>
      </c>
      <c r="R105" s="63">
        <v>0</v>
      </c>
      <c r="S105" s="63">
        <v>0</v>
      </c>
      <c r="T105" s="63">
        <v>0</v>
      </c>
      <c r="U105" s="63">
        <v>0</v>
      </c>
      <c r="V105" s="63">
        <v>0</v>
      </c>
      <c r="W105" s="63">
        <v>0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0</v>
      </c>
      <c r="AE105" s="63">
        <v>0</v>
      </c>
      <c r="AF105" s="63">
        <v>0</v>
      </c>
      <c r="AG105" s="63">
        <v>0</v>
      </c>
      <c r="AH105" s="63">
        <v>-2566402</v>
      </c>
      <c r="AI105" s="63">
        <v>0</v>
      </c>
      <c r="AJ105" s="63">
        <v>-2566402</v>
      </c>
      <c r="AK105" s="63">
        <v>0</v>
      </c>
      <c r="AL105" s="63">
        <v>0</v>
      </c>
      <c r="AM105" s="63">
        <v>0</v>
      </c>
      <c r="AN105" s="63">
        <v>647018</v>
      </c>
      <c r="AO105" s="63">
        <v>0</v>
      </c>
      <c r="AP105" s="63">
        <v>647018</v>
      </c>
      <c r="AQ105" s="63">
        <v>-1919384</v>
      </c>
      <c r="AR105" s="63">
        <v>0</v>
      </c>
      <c r="AS105" s="63">
        <v>-1919384</v>
      </c>
      <c r="AT105" s="63">
        <v>-1690983</v>
      </c>
      <c r="AU105" s="63">
        <v>0</v>
      </c>
      <c r="AV105" s="63">
        <v>-1690983</v>
      </c>
      <c r="AW105" s="63">
        <v>-86657</v>
      </c>
      <c r="AX105" s="63">
        <v>0</v>
      </c>
      <c r="AY105" s="63">
        <v>-86657</v>
      </c>
      <c r="AZ105" s="63">
        <v>-1603</v>
      </c>
      <c r="BA105" s="63">
        <v>0</v>
      </c>
      <c r="BB105" s="63">
        <v>-1603</v>
      </c>
      <c r="BC105" s="63">
        <v>-3698627</v>
      </c>
      <c r="BD105" s="63">
        <v>0</v>
      </c>
      <c r="BE105" s="63">
        <v>25645</v>
      </c>
      <c r="BF105" s="63">
        <v>0</v>
      </c>
      <c r="BG105" s="63">
        <v>-3672982</v>
      </c>
      <c r="BH105" s="63">
        <v>0</v>
      </c>
      <c r="BI105" s="63">
        <v>-3672982</v>
      </c>
      <c r="BJ105" s="63">
        <v>0</v>
      </c>
      <c r="BK105" s="63">
        <v>0</v>
      </c>
      <c r="BL105" s="63">
        <v>0</v>
      </c>
      <c r="BM105" s="63">
        <v>-276538</v>
      </c>
      <c r="BN105" s="63">
        <v>0</v>
      </c>
      <c r="BO105" s="63">
        <v>-276538</v>
      </c>
      <c r="BP105" s="63">
        <v>-276538</v>
      </c>
      <c r="BQ105" s="63">
        <v>0</v>
      </c>
      <c r="BR105" s="63">
        <v>0</v>
      </c>
      <c r="BS105" s="63">
        <v>0</v>
      </c>
      <c r="BT105" s="63">
        <v>-276538</v>
      </c>
      <c r="BU105" s="63">
        <v>0</v>
      </c>
      <c r="BV105" s="63">
        <v>-276538</v>
      </c>
      <c r="BW105" s="63">
        <v>-17970</v>
      </c>
      <c r="BX105" s="63">
        <v>0</v>
      </c>
      <c r="BY105" s="63">
        <v>-17970</v>
      </c>
      <c r="BZ105" s="63">
        <v>-40807</v>
      </c>
      <c r="CA105" s="63">
        <v>0</v>
      </c>
      <c r="CB105" s="63">
        <v>-40807</v>
      </c>
      <c r="CC105" s="63">
        <v>0</v>
      </c>
      <c r="CD105" s="63">
        <v>0</v>
      </c>
      <c r="CE105" s="63">
        <v>0</v>
      </c>
      <c r="CF105" s="63">
        <v>-1230</v>
      </c>
      <c r="CG105" s="63">
        <v>0</v>
      </c>
      <c r="CH105" s="63">
        <v>-1230</v>
      </c>
      <c r="CI105" s="63">
        <v>0</v>
      </c>
      <c r="CJ105" s="63">
        <v>0</v>
      </c>
      <c r="CK105" s="63">
        <v>0</v>
      </c>
      <c r="CL105" s="63">
        <v>0</v>
      </c>
      <c r="CM105" s="63">
        <v>0</v>
      </c>
      <c r="CN105" s="63">
        <v>0</v>
      </c>
      <c r="CO105" s="63">
        <v>0</v>
      </c>
      <c r="CP105" s="63">
        <v>0</v>
      </c>
      <c r="CQ105" s="63">
        <v>-60007</v>
      </c>
      <c r="CR105" s="63">
        <v>0</v>
      </c>
      <c r="CS105" s="63">
        <v>0</v>
      </c>
      <c r="CT105" s="63">
        <v>0</v>
      </c>
      <c r="CU105" s="63">
        <v>-60007</v>
      </c>
      <c r="CV105" s="63">
        <v>0</v>
      </c>
      <c r="CW105" s="63">
        <v>-60007</v>
      </c>
      <c r="CX105" s="63">
        <v>0</v>
      </c>
      <c r="CY105" s="63">
        <v>0</v>
      </c>
      <c r="CZ105" s="63">
        <v>0</v>
      </c>
      <c r="DA105" s="63">
        <v>0</v>
      </c>
      <c r="DB105" s="63">
        <v>0</v>
      </c>
      <c r="DC105" s="63">
        <v>0</v>
      </c>
      <c r="DD105" s="63">
        <v>0</v>
      </c>
      <c r="DE105" s="63">
        <v>0</v>
      </c>
      <c r="DF105" s="63">
        <v>0</v>
      </c>
      <c r="DG105" s="63">
        <v>0</v>
      </c>
      <c r="DH105" s="63">
        <v>0</v>
      </c>
      <c r="DI105" s="63">
        <v>-4190</v>
      </c>
      <c r="DJ105" s="63">
        <v>0</v>
      </c>
      <c r="DK105" s="63">
        <v>-4190</v>
      </c>
      <c r="DL105" s="63">
        <v>0</v>
      </c>
      <c r="DM105" s="63">
        <v>-4190</v>
      </c>
      <c r="DN105" s="63">
        <v>27060416</v>
      </c>
      <c r="DO105" s="63">
        <v>0</v>
      </c>
      <c r="DP105" s="63">
        <v>27060416</v>
      </c>
      <c r="DQ105" s="63"/>
      <c r="DR105" s="585"/>
    </row>
    <row r="106" spans="1:122" x14ac:dyDescent="0.2">
      <c r="A106" s="90">
        <v>99</v>
      </c>
      <c r="B106" s="129" t="s">
        <v>79</v>
      </c>
      <c r="C106" s="130" t="s">
        <v>742</v>
      </c>
      <c r="D106" s="131" t="s">
        <v>751</v>
      </c>
      <c r="E106" s="132" t="s">
        <v>78</v>
      </c>
      <c r="F106" s="475" t="s">
        <v>808</v>
      </c>
      <c r="G106" s="63">
        <v>185393611</v>
      </c>
      <c r="H106" s="63">
        <v>0</v>
      </c>
      <c r="I106" s="63">
        <v>185393611</v>
      </c>
      <c r="J106" s="608">
        <v>48.4</v>
      </c>
      <c r="K106" s="63">
        <v>89730508</v>
      </c>
      <c r="L106" s="63">
        <v>0</v>
      </c>
      <c r="M106" s="63">
        <v>-500000</v>
      </c>
      <c r="N106" s="63">
        <v>0</v>
      </c>
      <c r="O106" s="63">
        <v>89230508</v>
      </c>
      <c r="P106" s="63">
        <v>0</v>
      </c>
      <c r="Q106" s="63">
        <v>89230508</v>
      </c>
      <c r="R106" s="63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0</v>
      </c>
      <c r="AE106" s="63">
        <v>0</v>
      </c>
      <c r="AF106" s="63">
        <v>0</v>
      </c>
      <c r="AG106" s="63">
        <v>0</v>
      </c>
      <c r="AH106" s="63">
        <v>-2182133</v>
      </c>
      <c r="AI106" s="63">
        <v>0</v>
      </c>
      <c r="AJ106" s="63">
        <v>-2182133</v>
      </c>
      <c r="AK106" s="63">
        <v>-6883</v>
      </c>
      <c r="AL106" s="63">
        <v>0</v>
      </c>
      <c r="AM106" s="63">
        <v>-6883</v>
      </c>
      <c r="AN106" s="63">
        <v>2194014</v>
      </c>
      <c r="AO106" s="63">
        <v>0</v>
      </c>
      <c r="AP106" s="63">
        <v>2194014</v>
      </c>
      <c r="AQ106" s="63">
        <v>11881</v>
      </c>
      <c r="AR106" s="63">
        <v>0</v>
      </c>
      <c r="AS106" s="63">
        <v>11881</v>
      </c>
      <c r="AT106" s="63">
        <v>-6154643</v>
      </c>
      <c r="AU106" s="63">
        <v>0</v>
      </c>
      <c r="AV106" s="63">
        <v>-6154643</v>
      </c>
      <c r="AW106" s="63">
        <v>-34462</v>
      </c>
      <c r="AX106" s="63">
        <v>0</v>
      </c>
      <c r="AY106" s="63">
        <v>-34462</v>
      </c>
      <c r="AZ106" s="63">
        <v>0</v>
      </c>
      <c r="BA106" s="63">
        <v>0</v>
      </c>
      <c r="BB106" s="63">
        <v>0</v>
      </c>
      <c r="BC106" s="63">
        <v>-6177224</v>
      </c>
      <c r="BD106" s="63">
        <v>0</v>
      </c>
      <c r="BE106" s="63">
        <v>0</v>
      </c>
      <c r="BF106" s="63">
        <v>0</v>
      </c>
      <c r="BG106" s="63">
        <v>-6177224</v>
      </c>
      <c r="BH106" s="63">
        <v>0</v>
      </c>
      <c r="BI106" s="63">
        <v>-6177224</v>
      </c>
      <c r="BJ106" s="63">
        <v>-11735</v>
      </c>
      <c r="BK106" s="63">
        <v>0</v>
      </c>
      <c r="BL106" s="63">
        <v>-11735</v>
      </c>
      <c r="BM106" s="63">
        <v>-2632020</v>
      </c>
      <c r="BN106" s="63">
        <v>0</v>
      </c>
      <c r="BO106" s="63">
        <v>-2632020</v>
      </c>
      <c r="BP106" s="63">
        <v>-2643755</v>
      </c>
      <c r="BQ106" s="63">
        <v>0</v>
      </c>
      <c r="BR106" s="63">
        <v>0</v>
      </c>
      <c r="BS106" s="63">
        <v>0</v>
      </c>
      <c r="BT106" s="63">
        <v>-2643755</v>
      </c>
      <c r="BU106" s="63">
        <v>0</v>
      </c>
      <c r="BV106" s="63">
        <v>-2643755</v>
      </c>
      <c r="BW106" s="63">
        <v>-227373</v>
      </c>
      <c r="BX106" s="63">
        <v>0</v>
      </c>
      <c r="BY106" s="63">
        <v>-227373</v>
      </c>
      <c r="BZ106" s="63">
        <v>-49700</v>
      </c>
      <c r="CA106" s="63">
        <v>0</v>
      </c>
      <c r="CB106" s="63">
        <v>-49700</v>
      </c>
      <c r="CC106" s="63">
        <v>-3020</v>
      </c>
      <c r="CD106" s="63">
        <v>0</v>
      </c>
      <c r="CE106" s="63">
        <v>-3020</v>
      </c>
      <c r="CF106" s="63">
        <v>0</v>
      </c>
      <c r="CG106" s="63">
        <v>0</v>
      </c>
      <c r="CH106" s="63">
        <v>0</v>
      </c>
      <c r="CI106" s="63">
        <v>0</v>
      </c>
      <c r="CJ106" s="63">
        <v>0</v>
      </c>
      <c r="CK106" s="63">
        <v>0</v>
      </c>
      <c r="CL106" s="63">
        <v>0</v>
      </c>
      <c r="CM106" s="63">
        <v>0</v>
      </c>
      <c r="CN106" s="63">
        <v>0</v>
      </c>
      <c r="CO106" s="63">
        <v>0</v>
      </c>
      <c r="CP106" s="63">
        <v>0</v>
      </c>
      <c r="CQ106" s="63">
        <v>-280093</v>
      </c>
      <c r="CR106" s="63">
        <v>0</v>
      </c>
      <c r="CS106" s="63">
        <v>0</v>
      </c>
      <c r="CT106" s="63">
        <v>0</v>
      </c>
      <c r="CU106" s="63">
        <v>-280093</v>
      </c>
      <c r="CV106" s="63">
        <v>0</v>
      </c>
      <c r="CW106" s="63">
        <v>-280093</v>
      </c>
      <c r="CX106" s="63">
        <v>0</v>
      </c>
      <c r="CY106" s="63">
        <v>0</v>
      </c>
      <c r="CZ106" s="63">
        <v>0</v>
      </c>
      <c r="DA106" s="63">
        <v>-15354</v>
      </c>
      <c r="DB106" s="63">
        <v>0</v>
      </c>
      <c r="DC106" s="63">
        <v>-15354</v>
      </c>
      <c r="DD106" s="63">
        <v>-23163</v>
      </c>
      <c r="DE106" s="63">
        <v>0</v>
      </c>
      <c r="DF106" s="63">
        <v>-23163</v>
      </c>
      <c r="DG106" s="63">
        <v>-38517</v>
      </c>
      <c r="DH106" s="63">
        <v>0</v>
      </c>
      <c r="DI106" s="63">
        <v>0</v>
      </c>
      <c r="DJ106" s="63">
        <v>0</v>
      </c>
      <c r="DK106" s="63">
        <v>-38517</v>
      </c>
      <c r="DL106" s="63">
        <v>0</v>
      </c>
      <c r="DM106" s="63">
        <v>-38517</v>
      </c>
      <c r="DN106" s="63">
        <v>80090919</v>
      </c>
      <c r="DO106" s="63">
        <v>0</v>
      </c>
      <c r="DP106" s="63">
        <v>80090919</v>
      </c>
      <c r="DQ106" s="63"/>
      <c r="DR106" s="585"/>
    </row>
    <row r="107" spans="1:122" x14ac:dyDescent="0.2">
      <c r="A107" s="90">
        <v>100</v>
      </c>
      <c r="B107" s="129" t="s">
        <v>81</v>
      </c>
      <c r="C107" s="130" t="s">
        <v>742</v>
      </c>
      <c r="D107" s="131" t="s">
        <v>743</v>
      </c>
      <c r="E107" s="132" t="s">
        <v>80</v>
      </c>
      <c r="F107" s="475" t="s">
        <v>808</v>
      </c>
      <c r="G107" s="63">
        <v>101987787</v>
      </c>
      <c r="H107" s="63">
        <v>770975</v>
      </c>
      <c r="I107" s="63">
        <v>102758762</v>
      </c>
      <c r="J107" s="608">
        <v>48.4</v>
      </c>
      <c r="K107" s="63">
        <v>49362089</v>
      </c>
      <c r="L107" s="63">
        <v>373152</v>
      </c>
      <c r="M107" s="63">
        <v>-1049832</v>
      </c>
      <c r="N107" s="63">
        <v>58661</v>
      </c>
      <c r="O107" s="63">
        <v>48312257</v>
      </c>
      <c r="P107" s="63">
        <v>431813</v>
      </c>
      <c r="Q107" s="63">
        <v>48744070</v>
      </c>
      <c r="R107" s="63">
        <v>0</v>
      </c>
      <c r="S107" s="63">
        <v>0</v>
      </c>
      <c r="T107" s="63">
        <v>0</v>
      </c>
      <c r="U107" s="63">
        <v>0</v>
      </c>
      <c r="V107" s="63">
        <v>0</v>
      </c>
      <c r="W107" s="63">
        <v>0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0</v>
      </c>
      <c r="AE107" s="63">
        <v>0</v>
      </c>
      <c r="AF107" s="63">
        <v>0</v>
      </c>
      <c r="AG107" s="63">
        <v>0</v>
      </c>
      <c r="AH107" s="63">
        <v>-1807434</v>
      </c>
      <c r="AI107" s="63">
        <v>0</v>
      </c>
      <c r="AJ107" s="63">
        <v>-1807434</v>
      </c>
      <c r="AK107" s="63">
        <v>-5693</v>
      </c>
      <c r="AL107" s="63">
        <v>0</v>
      </c>
      <c r="AM107" s="63">
        <v>-5693</v>
      </c>
      <c r="AN107" s="63">
        <v>1237323</v>
      </c>
      <c r="AO107" s="63">
        <v>4851</v>
      </c>
      <c r="AP107" s="63">
        <v>1242174</v>
      </c>
      <c r="AQ107" s="63">
        <v>-570111</v>
      </c>
      <c r="AR107" s="63">
        <v>4851</v>
      </c>
      <c r="AS107" s="63">
        <v>-565260</v>
      </c>
      <c r="AT107" s="63">
        <v>-2684197</v>
      </c>
      <c r="AU107" s="63">
        <v>-27452</v>
      </c>
      <c r="AV107" s="63">
        <v>-2711649</v>
      </c>
      <c r="AW107" s="63">
        <v>0</v>
      </c>
      <c r="AX107" s="63">
        <v>0</v>
      </c>
      <c r="AY107" s="63">
        <v>0</v>
      </c>
      <c r="AZ107" s="63">
        <v>0</v>
      </c>
      <c r="BA107" s="63">
        <v>0</v>
      </c>
      <c r="BB107" s="63">
        <v>0</v>
      </c>
      <c r="BC107" s="63">
        <v>-3254308</v>
      </c>
      <c r="BD107" s="63">
        <v>-22601</v>
      </c>
      <c r="BE107" s="63">
        <v>-75000</v>
      </c>
      <c r="BF107" s="63">
        <v>0</v>
      </c>
      <c r="BG107" s="63">
        <v>-3329308</v>
      </c>
      <c r="BH107" s="63">
        <v>-22601</v>
      </c>
      <c r="BI107" s="63">
        <v>-3351909</v>
      </c>
      <c r="BJ107" s="63">
        <v>-42183</v>
      </c>
      <c r="BK107" s="63">
        <v>0</v>
      </c>
      <c r="BL107" s="63">
        <v>-42183</v>
      </c>
      <c r="BM107" s="63">
        <v>-1863545</v>
      </c>
      <c r="BN107" s="63">
        <v>0</v>
      </c>
      <c r="BO107" s="63">
        <v>-1863545</v>
      </c>
      <c r="BP107" s="63">
        <v>-1905728</v>
      </c>
      <c r="BQ107" s="63">
        <v>0</v>
      </c>
      <c r="BR107" s="63">
        <v>1222620</v>
      </c>
      <c r="BS107" s="63">
        <v>0</v>
      </c>
      <c r="BT107" s="63">
        <v>-683108</v>
      </c>
      <c r="BU107" s="63">
        <v>0</v>
      </c>
      <c r="BV107" s="63">
        <v>-683108</v>
      </c>
      <c r="BW107" s="63">
        <v>-141493</v>
      </c>
      <c r="BX107" s="63">
        <v>-6863</v>
      </c>
      <c r="BY107" s="63">
        <v>-148356</v>
      </c>
      <c r="BZ107" s="63">
        <v>-413053</v>
      </c>
      <c r="CA107" s="63">
        <v>-17908</v>
      </c>
      <c r="CB107" s="63">
        <v>-430961</v>
      </c>
      <c r="CC107" s="63">
        <v>0</v>
      </c>
      <c r="CD107" s="63">
        <v>0</v>
      </c>
      <c r="CE107" s="63">
        <v>0</v>
      </c>
      <c r="CF107" s="63">
        <v>0</v>
      </c>
      <c r="CG107" s="63">
        <v>0</v>
      </c>
      <c r="CH107" s="63">
        <v>0</v>
      </c>
      <c r="CI107" s="63">
        <v>0</v>
      </c>
      <c r="CJ107" s="63">
        <v>0</v>
      </c>
      <c r="CK107" s="63">
        <v>0</v>
      </c>
      <c r="CL107" s="63">
        <v>0</v>
      </c>
      <c r="CM107" s="63">
        <v>-296414</v>
      </c>
      <c r="CN107" s="63">
        <v>-296414</v>
      </c>
      <c r="CO107" s="63">
        <v>-296414</v>
      </c>
      <c r="CP107" s="63">
        <v>0</v>
      </c>
      <c r="CQ107" s="63">
        <v>-554546</v>
      </c>
      <c r="CR107" s="63">
        <v>-321185</v>
      </c>
      <c r="CS107" s="63">
        <v>-25000</v>
      </c>
      <c r="CT107" s="63">
        <v>-58661</v>
      </c>
      <c r="CU107" s="63">
        <v>-579546</v>
      </c>
      <c r="CV107" s="63">
        <v>-379846</v>
      </c>
      <c r="CW107" s="63">
        <v>-959392</v>
      </c>
      <c r="CX107" s="63">
        <v>-13494</v>
      </c>
      <c r="CY107" s="63">
        <v>0</v>
      </c>
      <c r="CZ107" s="63">
        <v>-13494</v>
      </c>
      <c r="DA107" s="63">
        <v>-23839</v>
      </c>
      <c r="DB107" s="63">
        <v>0</v>
      </c>
      <c r="DC107" s="63">
        <v>-23839</v>
      </c>
      <c r="DD107" s="63">
        <v>-6042</v>
      </c>
      <c r="DE107" s="63">
        <v>0</v>
      </c>
      <c r="DF107" s="63">
        <v>-6042</v>
      </c>
      <c r="DG107" s="63">
        <v>-43375</v>
      </c>
      <c r="DH107" s="63">
        <v>0</v>
      </c>
      <c r="DI107" s="63">
        <v>0</v>
      </c>
      <c r="DJ107" s="63">
        <v>0</v>
      </c>
      <c r="DK107" s="63">
        <v>-43375</v>
      </c>
      <c r="DL107" s="63">
        <v>0</v>
      </c>
      <c r="DM107" s="63">
        <v>-43375</v>
      </c>
      <c r="DN107" s="63">
        <v>43676920</v>
      </c>
      <c r="DO107" s="63">
        <v>29366</v>
      </c>
      <c r="DP107" s="63">
        <v>43706286</v>
      </c>
      <c r="DQ107" s="63"/>
      <c r="DR107" s="585" t="s">
        <v>768</v>
      </c>
    </row>
    <row r="108" spans="1:122" x14ac:dyDescent="0.2">
      <c r="A108" s="90">
        <v>101</v>
      </c>
      <c r="B108" s="129" t="s">
        <v>83</v>
      </c>
      <c r="C108" s="130" t="s">
        <v>742</v>
      </c>
      <c r="D108" s="131" t="s">
        <v>746</v>
      </c>
      <c r="E108" s="132" t="s">
        <v>82</v>
      </c>
      <c r="F108" s="475" t="s">
        <v>808</v>
      </c>
      <c r="G108" s="63">
        <v>66091980</v>
      </c>
      <c r="H108" s="63">
        <v>0</v>
      </c>
      <c r="I108" s="63">
        <v>66091980</v>
      </c>
      <c r="J108" s="608">
        <v>48.4</v>
      </c>
      <c r="K108" s="63">
        <v>31988518</v>
      </c>
      <c r="L108" s="63">
        <v>0</v>
      </c>
      <c r="M108" s="63">
        <v>0</v>
      </c>
      <c r="N108" s="63">
        <v>0</v>
      </c>
      <c r="O108" s="63">
        <v>31988518</v>
      </c>
      <c r="P108" s="63">
        <v>0</v>
      </c>
      <c r="Q108" s="63">
        <v>31988518</v>
      </c>
      <c r="R108" s="63">
        <v>0</v>
      </c>
      <c r="S108" s="63">
        <v>0</v>
      </c>
      <c r="T108" s="63">
        <v>0</v>
      </c>
      <c r="U108" s="63">
        <v>0</v>
      </c>
      <c r="V108" s="63">
        <v>0</v>
      </c>
      <c r="W108" s="63">
        <v>0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0</v>
      </c>
      <c r="AE108" s="63">
        <v>0</v>
      </c>
      <c r="AF108" s="63">
        <v>0</v>
      </c>
      <c r="AG108" s="63">
        <v>0</v>
      </c>
      <c r="AH108" s="63">
        <v>-2415623</v>
      </c>
      <c r="AI108" s="63">
        <v>0</v>
      </c>
      <c r="AJ108" s="63">
        <v>-2415623</v>
      </c>
      <c r="AK108" s="63">
        <v>-1198</v>
      </c>
      <c r="AL108" s="63">
        <v>0</v>
      </c>
      <c r="AM108" s="63">
        <v>-1198</v>
      </c>
      <c r="AN108" s="63">
        <v>697161</v>
      </c>
      <c r="AO108" s="63">
        <v>0</v>
      </c>
      <c r="AP108" s="63">
        <v>697161</v>
      </c>
      <c r="AQ108" s="63">
        <v>-1718462</v>
      </c>
      <c r="AR108" s="63">
        <v>0</v>
      </c>
      <c r="AS108" s="63">
        <v>-1718462</v>
      </c>
      <c r="AT108" s="63">
        <v>-1937298</v>
      </c>
      <c r="AU108" s="63">
        <v>0</v>
      </c>
      <c r="AV108" s="63">
        <v>-1937298</v>
      </c>
      <c r="AW108" s="63">
        <v>-29880</v>
      </c>
      <c r="AX108" s="63">
        <v>0</v>
      </c>
      <c r="AY108" s="63">
        <v>-29880</v>
      </c>
      <c r="AZ108" s="63">
        <v>-32308</v>
      </c>
      <c r="BA108" s="63">
        <v>0</v>
      </c>
      <c r="BB108" s="63">
        <v>-32308</v>
      </c>
      <c r="BC108" s="63">
        <v>-3717948</v>
      </c>
      <c r="BD108" s="63">
        <v>0</v>
      </c>
      <c r="BE108" s="63">
        <v>-185850</v>
      </c>
      <c r="BF108" s="63">
        <v>0</v>
      </c>
      <c r="BG108" s="63">
        <v>-3903798</v>
      </c>
      <c r="BH108" s="63">
        <v>0</v>
      </c>
      <c r="BI108" s="63">
        <v>-3903798</v>
      </c>
      <c r="BJ108" s="63">
        <v>0</v>
      </c>
      <c r="BK108" s="63">
        <v>0</v>
      </c>
      <c r="BL108" s="63">
        <v>0</v>
      </c>
      <c r="BM108" s="63">
        <v>-746410</v>
      </c>
      <c r="BN108" s="63">
        <v>0</v>
      </c>
      <c r="BO108" s="63">
        <v>-746410</v>
      </c>
      <c r="BP108" s="63">
        <v>-746410</v>
      </c>
      <c r="BQ108" s="63">
        <v>0</v>
      </c>
      <c r="BR108" s="63">
        <v>0</v>
      </c>
      <c r="BS108" s="63">
        <v>0</v>
      </c>
      <c r="BT108" s="63">
        <v>-746410</v>
      </c>
      <c r="BU108" s="63">
        <v>0</v>
      </c>
      <c r="BV108" s="63">
        <v>-746410</v>
      </c>
      <c r="BW108" s="63">
        <v>-27866</v>
      </c>
      <c r="BX108" s="63">
        <v>0</v>
      </c>
      <c r="BY108" s="63">
        <v>-27866</v>
      </c>
      <c r="BZ108" s="63">
        <v>-70966</v>
      </c>
      <c r="CA108" s="63">
        <v>0</v>
      </c>
      <c r="CB108" s="63">
        <v>-70966</v>
      </c>
      <c r="CC108" s="63">
        <v>0</v>
      </c>
      <c r="CD108" s="63">
        <v>0</v>
      </c>
      <c r="CE108" s="63">
        <v>0</v>
      </c>
      <c r="CF108" s="63">
        <v>-29891</v>
      </c>
      <c r="CG108" s="63">
        <v>0</v>
      </c>
      <c r="CH108" s="63">
        <v>-29891</v>
      </c>
      <c r="CI108" s="63">
        <v>-22887</v>
      </c>
      <c r="CJ108" s="63">
        <v>0</v>
      </c>
      <c r="CK108" s="63">
        <v>-22887</v>
      </c>
      <c r="CL108" s="63">
        <v>0</v>
      </c>
      <c r="CM108" s="63">
        <v>0</v>
      </c>
      <c r="CN108" s="63">
        <v>0</v>
      </c>
      <c r="CO108" s="63">
        <v>0</v>
      </c>
      <c r="CP108" s="63">
        <v>0</v>
      </c>
      <c r="CQ108" s="63">
        <v>-151610</v>
      </c>
      <c r="CR108" s="63">
        <v>0</v>
      </c>
      <c r="CS108" s="63">
        <v>-5000</v>
      </c>
      <c r="CT108" s="63">
        <v>0</v>
      </c>
      <c r="CU108" s="63">
        <v>-156610</v>
      </c>
      <c r="CV108" s="63">
        <v>0</v>
      </c>
      <c r="CW108" s="63">
        <v>-156610</v>
      </c>
      <c r="CX108" s="63">
        <v>0</v>
      </c>
      <c r="CY108" s="63">
        <v>0</v>
      </c>
      <c r="CZ108" s="63">
        <v>0</v>
      </c>
      <c r="DA108" s="63">
        <v>-770</v>
      </c>
      <c r="DB108" s="63">
        <v>0</v>
      </c>
      <c r="DC108" s="63">
        <v>-770</v>
      </c>
      <c r="DD108" s="63">
        <v>-567</v>
      </c>
      <c r="DE108" s="63">
        <v>0</v>
      </c>
      <c r="DF108" s="63">
        <v>-567</v>
      </c>
      <c r="DG108" s="63">
        <v>-1337</v>
      </c>
      <c r="DH108" s="63">
        <v>0</v>
      </c>
      <c r="DI108" s="63">
        <v>0</v>
      </c>
      <c r="DJ108" s="63">
        <v>0</v>
      </c>
      <c r="DK108" s="63">
        <v>-1337</v>
      </c>
      <c r="DL108" s="63">
        <v>0</v>
      </c>
      <c r="DM108" s="63">
        <v>-1337</v>
      </c>
      <c r="DN108" s="63">
        <v>27180363</v>
      </c>
      <c r="DO108" s="63">
        <v>0</v>
      </c>
      <c r="DP108" s="63">
        <v>27180363</v>
      </c>
      <c r="DQ108" s="63"/>
      <c r="DR108" s="585"/>
    </row>
    <row r="109" spans="1:122" x14ac:dyDescent="0.2">
      <c r="A109" s="90">
        <v>102</v>
      </c>
      <c r="B109" s="129" t="s">
        <v>85</v>
      </c>
      <c r="C109" s="130" t="s">
        <v>742</v>
      </c>
      <c r="D109" s="131" t="s">
        <v>746</v>
      </c>
      <c r="E109" s="132" t="s">
        <v>84</v>
      </c>
      <c r="F109" s="475" t="s">
        <v>808</v>
      </c>
      <c r="G109" s="63">
        <v>53002505</v>
      </c>
      <c r="H109" s="63">
        <v>0</v>
      </c>
      <c r="I109" s="63">
        <v>53002505</v>
      </c>
      <c r="J109" s="608">
        <v>48.4</v>
      </c>
      <c r="K109" s="63">
        <v>25653212</v>
      </c>
      <c r="L109" s="63">
        <v>0</v>
      </c>
      <c r="M109" s="63">
        <v>0</v>
      </c>
      <c r="N109" s="63">
        <v>0</v>
      </c>
      <c r="O109" s="63">
        <v>25653212</v>
      </c>
      <c r="P109" s="63">
        <v>0</v>
      </c>
      <c r="Q109" s="63">
        <v>25653212</v>
      </c>
      <c r="R109" s="63">
        <v>0</v>
      </c>
      <c r="S109" s="63">
        <v>0</v>
      </c>
      <c r="T109" s="63">
        <v>0</v>
      </c>
      <c r="U109" s="63">
        <v>0</v>
      </c>
      <c r="V109" s="63">
        <v>0</v>
      </c>
      <c r="W109" s="63">
        <v>0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0</v>
      </c>
      <c r="AE109" s="63">
        <v>0</v>
      </c>
      <c r="AF109" s="63">
        <v>0</v>
      </c>
      <c r="AG109" s="63">
        <v>0</v>
      </c>
      <c r="AH109" s="63">
        <v>-1464018</v>
      </c>
      <c r="AI109" s="63">
        <v>0</v>
      </c>
      <c r="AJ109" s="63">
        <v>-1464018</v>
      </c>
      <c r="AK109" s="63">
        <v>-4066</v>
      </c>
      <c r="AL109" s="63">
        <v>0</v>
      </c>
      <c r="AM109" s="63">
        <v>-4066</v>
      </c>
      <c r="AN109" s="63">
        <v>573919</v>
      </c>
      <c r="AO109" s="63">
        <v>0</v>
      </c>
      <c r="AP109" s="63">
        <v>573919</v>
      </c>
      <c r="AQ109" s="63">
        <v>-890099</v>
      </c>
      <c r="AR109" s="63">
        <v>0</v>
      </c>
      <c r="AS109" s="63">
        <v>-890099</v>
      </c>
      <c r="AT109" s="63">
        <v>-1115318</v>
      </c>
      <c r="AU109" s="63">
        <v>0</v>
      </c>
      <c r="AV109" s="63">
        <v>-1115318</v>
      </c>
      <c r="AW109" s="63">
        <v>0</v>
      </c>
      <c r="AX109" s="63">
        <v>0</v>
      </c>
      <c r="AY109" s="63">
        <v>0</v>
      </c>
      <c r="AZ109" s="63">
        <v>-16289</v>
      </c>
      <c r="BA109" s="63">
        <v>0</v>
      </c>
      <c r="BB109" s="63">
        <v>-16289</v>
      </c>
      <c r="BC109" s="63">
        <v>-2021706</v>
      </c>
      <c r="BD109" s="63">
        <v>0</v>
      </c>
      <c r="BE109" s="63">
        <v>0</v>
      </c>
      <c r="BF109" s="63">
        <v>0</v>
      </c>
      <c r="BG109" s="63">
        <v>-2021706</v>
      </c>
      <c r="BH109" s="63">
        <v>0</v>
      </c>
      <c r="BI109" s="63">
        <v>-2021706</v>
      </c>
      <c r="BJ109" s="63">
        <v>-17000</v>
      </c>
      <c r="BK109" s="63">
        <v>0</v>
      </c>
      <c r="BL109" s="63">
        <v>-17000</v>
      </c>
      <c r="BM109" s="63">
        <v>-646849</v>
      </c>
      <c r="BN109" s="63">
        <v>0</v>
      </c>
      <c r="BO109" s="63">
        <v>-646849</v>
      </c>
      <c r="BP109" s="63">
        <v>-663849</v>
      </c>
      <c r="BQ109" s="63">
        <v>0</v>
      </c>
      <c r="BR109" s="63">
        <v>0</v>
      </c>
      <c r="BS109" s="63">
        <v>0</v>
      </c>
      <c r="BT109" s="63">
        <v>-663849</v>
      </c>
      <c r="BU109" s="63">
        <v>0</v>
      </c>
      <c r="BV109" s="63">
        <v>-663849</v>
      </c>
      <c r="BW109" s="63">
        <v>-14403</v>
      </c>
      <c r="BX109" s="63">
        <v>0</v>
      </c>
      <c r="BY109" s="63">
        <v>-14403</v>
      </c>
      <c r="BZ109" s="63">
        <v>0</v>
      </c>
      <c r="CA109" s="63">
        <v>0</v>
      </c>
      <c r="CB109" s="63">
        <v>0</v>
      </c>
      <c r="CC109" s="63">
        <v>0</v>
      </c>
      <c r="CD109" s="63">
        <v>0</v>
      </c>
      <c r="CE109" s="63">
        <v>0</v>
      </c>
      <c r="CF109" s="63">
        <v>-3032</v>
      </c>
      <c r="CG109" s="63">
        <v>0</v>
      </c>
      <c r="CH109" s="63">
        <v>-3032</v>
      </c>
      <c r="CI109" s="63">
        <v>0</v>
      </c>
      <c r="CJ109" s="63">
        <v>0</v>
      </c>
      <c r="CK109" s="63">
        <v>0</v>
      </c>
      <c r="CL109" s="63">
        <v>0</v>
      </c>
      <c r="CM109" s="63">
        <v>0</v>
      </c>
      <c r="CN109" s="63">
        <v>0</v>
      </c>
      <c r="CO109" s="63">
        <v>0</v>
      </c>
      <c r="CP109" s="63">
        <v>0</v>
      </c>
      <c r="CQ109" s="63">
        <v>-17435</v>
      </c>
      <c r="CR109" s="63">
        <v>0</v>
      </c>
      <c r="CS109" s="63">
        <v>0</v>
      </c>
      <c r="CT109" s="63">
        <v>0</v>
      </c>
      <c r="CU109" s="63">
        <v>-17435</v>
      </c>
      <c r="CV109" s="63">
        <v>0</v>
      </c>
      <c r="CW109" s="63">
        <v>-17435</v>
      </c>
      <c r="CX109" s="63">
        <v>0</v>
      </c>
      <c r="CY109" s="63">
        <v>0</v>
      </c>
      <c r="CZ109" s="63">
        <v>0</v>
      </c>
      <c r="DA109" s="63">
        <v>0</v>
      </c>
      <c r="DB109" s="63">
        <v>0</v>
      </c>
      <c r="DC109" s="63">
        <v>0</v>
      </c>
      <c r="DD109" s="63">
        <v>0</v>
      </c>
      <c r="DE109" s="63">
        <v>0</v>
      </c>
      <c r="DF109" s="63">
        <v>0</v>
      </c>
      <c r="DG109" s="63">
        <v>0</v>
      </c>
      <c r="DH109" s="63">
        <v>0</v>
      </c>
      <c r="DI109" s="63">
        <v>0</v>
      </c>
      <c r="DJ109" s="63">
        <v>0</v>
      </c>
      <c r="DK109" s="63">
        <v>0</v>
      </c>
      <c r="DL109" s="63">
        <v>0</v>
      </c>
      <c r="DM109" s="63">
        <v>0</v>
      </c>
      <c r="DN109" s="63">
        <v>22950222</v>
      </c>
      <c r="DO109" s="63">
        <v>0</v>
      </c>
      <c r="DP109" s="63">
        <v>22950222</v>
      </c>
      <c r="DQ109" s="63"/>
      <c r="DR109" s="585"/>
    </row>
    <row r="110" spans="1:122" x14ac:dyDescent="0.2">
      <c r="A110" s="90">
        <v>103</v>
      </c>
      <c r="B110" s="129" t="s">
        <v>87</v>
      </c>
      <c r="C110" s="130" t="s">
        <v>742</v>
      </c>
      <c r="D110" s="131" t="s">
        <v>751</v>
      </c>
      <c r="E110" s="132" t="s">
        <v>86</v>
      </c>
      <c r="F110" s="475" t="s">
        <v>808</v>
      </c>
      <c r="G110" s="63">
        <v>34895934</v>
      </c>
      <c r="H110" s="63">
        <v>0</v>
      </c>
      <c r="I110" s="63">
        <v>34895934</v>
      </c>
      <c r="J110" s="608">
        <v>48.4</v>
      </c>
      <c r="K110" s="63">
        <v>16889632</v>
      </c>
      <c r="L110" s="63">
        <v>0</v>
      </c>
      <c r="M110" s="63">
        <v>169394</v>
      </c>
      <c r="N110" s="63">
        <v>0</v>
      </c>
      <c r="O110" s="63">
        <v>17059026</v>
      </c>
      <c r="P110" s="63">
        <v>0</v>
      </c>
      <c r="Q110" s="63">
        <v>17059026</v>
      </c>
      <c r="R110" s="63">
        <v>0</v>
      </c>
      <c r="S110" s="63">
        <v>0</v>
      </c>
      <c r="T110" s="63">
        <v>0</v>
      </c>
      <c r="U110" s="63">
        <v>0</v>
      </c>
      <c r="V110" s="63">
        <v>0</v>
      </c>
      <c r="W110" s="63">
        <v>0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0</v>
      </c>
      <c r="AE110" s="63">
        <v>0</v>
      </c>
      <c r="AF110" s="63">
        <v>0</v>
      </c>
      <c r="AG110" s="63">
        <v>0</v>
      </c>
      <c r="AH110" s="63">
        <v>-2399464</v>
      </c>
      <c r="AI110" s="63">
        <v>0</v>
      </c>
      <c r="AJ110" s="63">
        <v>-2399464</v>
      </c>
      <c r="AK110" s="63">
        <v>-2065</v>
      </c>
      <c r="AL110" s="63">
        <v>0</v>
      </c>
      <c r="AM110" s="63">
        <v>-2065</v>
      </c>
      <c r="AN110" s="63">
        <v>315386</v>
      </c>
      <c r="AO110" s="63">
        <v>0</v>
      </c>
      <c r="AP110" s="63">
        <v>315386</v>
      </c>
      <c r="AQ110" s="63">
        <v>-2084078</v>
      </c>
      <c r="AR110" s="63">
        <v>0</v>
      </c>
      <c r="AS110" s="63">
        <v>-2084078</v>
      </c>
      <c r="AT110" s="63">
        <v>-1547874</v>
      </c>
      <c r="AU110" s="63">
        <v>0</v>
      </c>
      <c r="AV110" s="63">
        <v>-1547874</v>
      </c>
      <c r="AW110" s="63">
        <v>-6500</v>
      </c>
      <c r="AX110" s="63">
        <v>0</v>
      </c>
      <c r="AY110" s="63">
        <v>-6500</v>
      </c>
      <c r="AZ110" s="63">
        <v>-47356</v>
      </c>
      <c r="BA110" s="63">
        <v>0</v>
      </c>
      <c r="BB110" s="63">
        <v>-47356</v>
      </c>
      <c r="BC110" s="63">
        <v>-3685808</v>
      </c>
      <c r="BD110" s="63">
        <v>0</v>
      </c>
      <c r="BE110" s="63">
        <v>-207363</v>
      </c>
      <c r="BF110" s="63">
        <v>0</v>
      </c>
      <c r="BG110" s="63">
        <v>-3893171</v>
      </c>
      <c r="BH110" s="63">
        <v>0</v>
      </c>
      <c r="BI110" s="63">
        <v>-3893171</v>
      </c>
      <c r="BJ110" s="63">
        <v>0</v>
      </c>
      <c r="BK110" s="63">
        <v>0</v>
      </c>
      <c r="BL110" s="63">
        <v>0</v>
      </c>
      <c r="BM110" s="63">
        <v>-229051</v>
      </c>
      <c r="BN110" s="63">
        <v>0</v>
      </c>
      <c r="BO110" s="63">
        <v>-229051</v>
      </c>
      <c r="BP110" s="63">
        <v>-229051</v>
      </c>
      <c r="BQ110" s="63">
        <v>0</v>
      </c>
      <c r="BR110" s="63">
        <v>26666</v>
      </c>
      <c r="BS110" s="63">
        <v>0</v>
      </c>
      <c r="BT110" s="63">
        <v>-202385</v>
      </c>
      <c r="BU110" s="63">
        <v>0</v>
      </c>
      <c r="BV110" s="63">
        <v>-202385</v>
      </c>
      <c r="BW110" s="63">
        <v>-57990</v>
      </c>
      <c r="BX110" s="63">
        <v>0</v>
      </c>
      <c r="BY110" s="63">
        <v>-57990</v>
      </c>
      <c r="BZ110" s="63">
        <v>-47631</v>
      </c>
      <c r="CA110" s="63">
        <v>0</v>
      </c>
      <c r="CB110" s="63">
        <v>-47631</v>
      </c>
      <c r="CC110" s="63">
        <v>-690</v>
      </c>
      <c r="CD110" s="63">
        <v>0</v>
      </c>
      <c r="CE110" s="63">
        <v>-690</v>
      </c>
      <c r="CF110" s="63">
        <v>-37006</v>
      </c>
      <c r="CG110" s="63">
        <v>0</v>
      </c>
      <c r="CH110" s="63">
        <v>-37006</v>
      </c>
      <c r="CI110" s="63">
        <v>0</v>
      </c>
      <c r="CJ110" s="63">
        <v>0</v>
      </c>
      <c r="CK110" s="63">
        <v>0</v>
      </c>
      <c r="CL110" s="63">
        <v>0</v>
      </c>
      <c r="CM110" s="63">
        <v>0</v>
      </c>
      <c r="CN110" s="63">
        <v>0</v>
      </c>
      <c r="CO110" s="63">
        <v>0</v>
      </c>
      <c r="CP110" s="63">
        <v>0</v>
      </c>
      <c r="CQ110" s="63">
        <v>-143317</v>
      </c>
      <c r="CR110" s="63">
        <v>0</v>
      </c>
      <c r="CS110" s="63">
        <v>61407</v>
      </c>
      <c r="CT110" s="63">
        <v>0</v>
      </c>
      <c r="CU110" s="63">
        <v>-81910</v>
      </c>
      <c r="CV110" s="63">
        <v>0</v>
      </c>
      <c r="CW110" s="63">
        <v>-81910</v>
      </c>
      <c r="CX110" s="63">
        <v>0</v>
      </c>
      <c r="CY110" s="63">
        <v>0</v>
      </c>
      <c r="CZ110" s="63">
        <v>0</v>
      </c>
      <c r="DA110" s="63">
        <v>-5117</v>
      </c>
      <c r="DB110" s="63">
        <v>0</v>
      </c>
      <c r="DC110" s="63">
        <v>-5117</v>
      </c>
      <c r="DD110" s="63">
        <v>-28076</v>
      </c>
      <c r="DE110" s="63">
        <v>0</v>
      </c>
      <c r="DF110" s="63">
        <v>-28076</v>
      </c>
      <c r="DG110" s="63">
        <v>-33193</v>
      </c>
      <c r="DH110" s="63">
        <v>0</v>
      </c>
      <c r="DI110" s="63">
        <v>-7693</v>
      </c>
      <c r="DJ110" s="63">
        <v>0</v>
      </c>
      <c r="DK110" s="63">
        <v>-40886</v>
      </c>
      <c r="DL110" s="63">
        <v>0</v>
      </c>
      <c r="DM110" s="63">
        <v>-40886</v>
      </c>
      <c r="DN110" s="63">
        <v>12840674</v>
      </c>
      <c r="DO110" s="63">
        <v>0</v>
      </c>
      <c r="DP110" s="63">
        <v>12840674</v>
      </c>
      <c r="DQ110" s="63"/>
      <c r="DR110" s="585"/>
    </row>
    <row r="111" spans="1:122" x14ac:dyDescent="0.2">
      <c r="A111" s="90">
        <v>104</v>
      </c>
      <c r="B111" s="129" t="s">
        <v>89</v>
      </c>
      <c r="C111" s="130" t="s">
        <v>742</v>
      </c>
      <c r="D111" s="131" t="s">
        <v>744</v>
      </c>
      <c r="E111" s="132" t="s">
        <v>88</v>
      </c>
      <c r="F111" s="475" t="s">
        <v>808</v>
      </c>
      <c r="G111" s="63">
        <v>59595259</v>
      </c>
      <c r="H111" s="63">
        <v>4041200</v>
      </c>
      <c r="I111" s="63">
        <v>63636459</v>
      </c>
      <c r="J111" s="608">
        <v>48.4</v>
      </c>
      <c r="K111" s="63">
        <v>28844105</v>
      </c>
      <c r="L111" s="63">
        <v>1955941</v>
      </c>
      <c r="M111" s="63">
        <v>-586151</v>
      </c>
      <c r="N111" s="63">
        <v>0</v>
      </c>
      <c r="O111" s="63">
        <v>28257954</v>
      </c>
      <c r="P111" s="63">
        <v>1955941</v>
      </c>
      <c r="Q111" s="63">
        <v>30213895</v>
      </c>
      <c r="R111" s="63">
        <v>0</v>
      </c>
      <c r="S111" s="63">
        <v>0</v>
      </c>
      <c r="T111" s="63">
        <v>0</v>
      </c>
      <c r="U111" s="63">
        <v>0</v>
      </c>
      <c r="V111" s="63">
        <v>0</v>
      </c>
      <c r="W111" s="63">
        <v>0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0</v>
      </c>
      <c r="AE111" s="63">
        <v>0</v>
      </c>
      <c r="AF111" s="63">
        <v>0</v>
      </c>
      <c r="AG111" s="63">
        <v>0</v>
      </c>
      <c r="AH111" s="63">
        <v>-2146377</v>
      </c>
      <c r="AI111" s="63">
        <v>0</v>
      </c>
      <c r="AJ111" s="63">
        <v>-2146377</v>
      </c>
      <c r="AK111" s="63">
        <v>-2838</v>
      </c>
      <c r="AL111" s="63">
        <v>0</v>
      </c>
      <c r="AM111" s="63">
        <v>-2838</v>
      </c>
      <c r="AN111" s="63">
        <v>631045</v>
      </c>
      <c r="AO111" s="63">
        <v>52422</v>
      </c>
      <c r="AP111" s="63">
        <v>683467</v>
      </c>
      <c r="AQ111" s="63">
        <v>-1515332</v>
      </c>
      <c r="AR111" s="63">
        <v>52422</v>
      </c>
      <c r="AS111" s="63">
        <v>-1462910</v>
      </c>
      <c r="AT111" s="63">
        <v>-1279745</v>
      </c>
      <c r="AU111" s="63">
        <v>0</v>
      </c>
      <c r="AV111" s="63">
        <v>-1279745</v>
      </c>
      <c r="AW111" s="63">
        <v>0</v>
      </c>
      <c r="AX111" s="63">
        <v>0</v>
      </c>
      <c r="AY111" s="63">
        <v>0</v>
      </c>
      <c r="AZ111" s="63">
        <v>-7558</v>
      </c>
      <c r="BA111" s="63">
        <v>0</v>
      </c>
      <c r="BB111" s="63">
        <v>-7558</v>
      </c>
      <c r="BC111" s="63">
        <v>-2802635</v>
      </c>
      <c r="BD111" s="63">
        <v>52422</v>
      </c>
      <c r="BE111" s="63">
        <v>-1985513</v>
      </c>
      <c r="BF111" s="63">
        <v>0</v>
      </c>
      <c r="BG111" s="63">
        <v>-4788148</v>
      </c>
      <c r="BH111" s="63">
        <v>52422</v>
      </c>
      <c r="BI111" s="63">
        <v>-4735726</v>
      </c>
      <c r="BJ111" s="63">
        <v>0</v>
      </c>
      <c r="BK111" s="63">
        <v>0</v>
      </c>
      <c r="BL111" s="63">
        <v>0</v>
      </c>
      <c r="BM111" s="63">
        <v>-625547</v>
      </c>
      <c r="BN111" s="63">
        <v>-6088</v>
      </c>
      <c r="BO111" s="63">
        <v>-631635</v>
      </c>
      <c r="BP111" s="63">
        <v>-625547</v>
      </c>
      <c r="BQ111" s="63">
        <v>-6088</v>
      </c>
      <c r="BR111" s="63">
        <v>-148540</v>
      </c>
      <c r="BS111" s="63">
        <v>0</v>
      </c>
      <c r="BT111" s="63">
        <v>-774087</v>
      </c>
      <c r="BU111" s="63">
        <v>-6088</v>
      </c>
      <c r="BV111" s="63">
        <v>-780175</v>
      </c>
      <c r="BW111" s="63">
        <v>-62897</v>
      </c>
      <c r="BX111" s="63">
        <v>0</v>
      </c>
      <c r="BY111" s="63">
        <v>-62897</v>
      </c>
      <c r="BZ111" s="63">
        <v>-20136</v>
      </c>
      <c r="CA111" s="63">
        <v>0</v>
      </c>
      <c r="CB111" s="63">
        <v>-20136</v>
      </c>
      <c r="CC111" s="63">
        <v>0</v>
      </c>
      <c r="CD111" s="63">
        <v>0</v>
      </c>
      <c r="CE111" s="63">
        <v>0</v>
      </c>
      <c r="CF111" s="63">
        <v>-6473</v>
      </c>
      <c r="CG111" s="63">
        <v>0</v>
      </c>
      <c r="CH111" s="63">
        <v>-6473</v>
      </c>
      <c r="CI111" s="63">
        <v>-581</v>
      </c>
      <c r="CJ111" s="63">
        <v>0</v>
      </c>
      <c r="CK111" s="63">
        <v>-581</v>
      </c>
      <c r="CL111" s="63">
        <v>0</v>
      </c>
      <c r="CM111" s="63">
        <v>0</v>
      </c>
      <c r="CN111" s="63">
        <v>0</v>
      </c>
      <c r="CO111" s="63">
        <v>0</v>
      </c>
      <c r="CP111" s="63">
        <v>0</v>
      </c>
      <c r="CQ111" s="63">
        <v>-90087</v>
      </c>
      <c r="CR111" s="63">
        <v>0</v>
      </c>
      <c r="CS111" s="63">
        <v>-6851</v>
      </c>
      <c r="CT111" s="63">
        <v>0</v>
      </c>
      <c r="CU111" s="63">
        <v>-96938</v>
      </c>
      <c r="CV111" s="63">
        <v>0</v>
      </c>
      <c r="CW111" s="63">
        <v>-96938</v>
      </c>
      <c r="CX111" s="63">
        <v>-1000</v>
      </c>
      <c r="CY111" s="63">
        <v>0</v>
      </c>
      <c r="CZ111" s="63">
        <v>-1000</v>
      </c>
      <c r="DA111" s="63">
        <v>-1000</v>
      </c>
      <c r="DB111" s="63">
        <v>0</v>
      </c>
      <c r="DC111" s="63">
        <v>-1000</v>
      </c>
      <c r="DD111" s="63">
        <v>-11000</v>
      </c>
      <c r="DE111" s="63">
        <v>0</v>
      </c>
      <c r="DF111" s="63">
        <v>-11000</v>
      </c>
      <c r="DG111" s="63">
        <v>-13000</v>
      </c>
      <c r="DH111" s="63">
        <v>0</v>
      </c>
      <c r="DI111" s="63">
        <v>-7739</v>
      </c>
      <c r="DJ111" s="63">
        <v>0</v>
      </c>
      <c r="DK111" s="63">
        <v>-20739</v>
      </c>
      <c r="DL111" s="63">
        <v>0</v>
      </c>
      <c r="DM111" s="63">
        <v>-20739</v>
      </c>
      <c r="DN111" s="63">
        <v>22578042</v>
      </c>
      <c r="DO111" s="63">
        <v>2002275</v>
      </c>
      <c r="DP111" s="63">
        <v>24580317</v>
      </c>
      <c r="DQ111" s="63"/>
      <c r="DR111" s="585" t="s">
        <v>768</v>
      </c>
    </row>
    <row r="112" spans="1:122" x14ac:dyDescent="0.2">
      <c r="A112" s="90">
        <v>105</v>
      </c>
      <c r="B112" s="129" t="s">
        <v>91</v>
      </c>
      <c r="C112" s="130" t="s">
        <v>749</v>
      </c>
      <c r="D112" s="131" t="s">
        <v>755</v>
      </c>
      <c r="E112" s="132" t="s">
        <v>90</v>
      </c>
      <c r="F112" s="475" t="s">
        <v>808</v>
      </c>
      <c r="G112" s="63">
        <v>215349412</v>
      </c>
      <c r="H112" s="63">
        <v>4949352</v>
      </c>
      <c r="I112" s="63">
        <v>220298764</v>
      </c>
      <c r="J112" s="608">
        <v>48.4</v>
      </c>
      <c r="K112" s="63">
        <v>104229115</v>
      </c>
      <c r="L112" s="63">
        <v>2395486</v>
      </c>
      <c r="M112" s="63">
        <v>1441458</v>
      </c>
      <c r="N112" s="63">
        <v>0</v>
      </c>
      <c r="O112" s="63">
        <v>105670573</v>
      </c>
      <c r="P112" s="63">
        <v>2395486</v>
      </c>
      <c r="Q112" s="63">
        <v>108066059</v>
      </c>
      <c r="R112" s="63">
        <v>0</v>
      </c>
      <c r="S112" s="63">
        <v>0</v>
      </c>
      <c r="T112" s="63">
        <v>0</v>
      </c>
      <c r="U112" s="63">
        <v>0</v>
      </c>
      <c r="V112" s="63">
        <v>0</v>
      </c>
      <c r="W112" s="63">
        <v>0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0</v>
      </c>
      <c r="AE112" s="63">
        <v>0</v>
      </c>
      <c r="AF112" s="63">
        <v>0</v>
      </c>
      <c r="AG112" s="63">
        <v>0</v>
      </c>
      <c r="AH112" s="63">
        <v>-4253890</v>
      </c>
      <c r="AI112" s="63">
        <v>-51345</v>
      </c>
      <c r="AJ112" s="63">
        <v>-4305235</v>
      </c>
      <c r="AK112" s="63">
        <v>-2945</v>
      </c>
      <c r="AL112" s="63">
        <v>0</v>
      </c>
      <c r="AM112" s="63">
        <v>-2945</v>
      </c>
      <c r="AN112" s="63">
        <v>2479834</v>
      </c>
      <c r="AO112" s="63">
        <v>58833</v>
      </c>
      <c r="AP112" s="63">
        <v>2538667</v>
      </c>
      <c r="AQ112" s="63">
        <v>-1774056</v>
      </c>
      <c r="AR112" s="63">
        <v>7488</v>
      </c>
      <c r="AS112" s="63">
        <v>-1766568</v>
      </c>
      <c r="AT112" s="63">
        <v>-3490436</v>
      </c>
      <c r="AU112" s="63">
        <v>-749714</v>
      </c>
      <c r="AV112" s="63">
        <v>-4240150</v>
      </c>
      <c r="AW112" s="63">
        <v>-108209</v>
      </c>
      <c r="AX112" s="63">
        <v>0</v>
      </c>
      <c r="AY112" s="63">
        <v>-108209</v>
      </c>
      <c r="AZ112" s="63">
        <v>-11282</v>
      </c>
      <c r="BA112" s="63">
        <v>0</v>
      </c>
      <c r="BB112" s="63">
        <v>-11282</v>
      </c>
      <c r="BC112" s="63">
        <v>-5383983</v>
      </c>
      <c r="BD112" s="63">
        <v>-742226</v>
      </c>
      <c r="BE112" s="63">
        <v>0</v>
      </c>
      <c r="BF112" s="63">
        <v>0</v>
      </c>
      <c r="BG112" s="63">
        <v>-5383983</v>
      </c>
      <c r="BH112" s="63">
        <v>-742226</v>
      </c>
      <c r="BI112" s="63">
        <v>-6126209</v>
      </c>
      <c r="BJ112" s="63">
        <v>-65000</v>
      </c>
      <c r="BK112" s="63">
        <v>0</v>
      </c>
      <c r="BL112" s="63">
        <v>-65000</v>
      </c>
      <c r="BM112" s="63">
        <v>-4297577</v>
      </c>
      <c r="BN112" s="63">
        <v>-2423</v>
      </c>
      <c r="BO112" s="63">
        <v>-4300000</v>
      </c>
      <c r="BP112" s="63">
        <v>-4362577</v>
      </c>
      <c r="BQ112" s="63">
        <v>-2423</v>
      </c>
      <c r="BR112" s="63">
        <v>0</v>
      </c>
      <c r="BS112" s="63">
        <v>0</v>
      </c>
      <c r="BT112" s="63">
        <v>-4362577</v>
      </c>
      <c r="BU112" s="63">
        <v>-2423</v>
      </c>
      <c r="BV112" s="63">
        <v>-4365000</v>
      </c>
      <c r="BW112" s="63">
        <v>-122643</v>
      </c>
      <c r="BX112" s="63">
        <v>-656</v>
      </c>
      <c r="BY112" s="63">
        <v>-123299</v>
      </c>
      <c r="BZ112" s="63">
        <v>-50625</v>
      </c>
      <c r="CA112" s="63">
        <v>0</v>
      </c>
      <c r="CB112" s="63">
        <v>-50625</v>
      </c>
      <c r="CC112" s="63">
        <v>-1000</v>
      </c>
      <c r="CD112" s="63">
        <v>0</v>
      </c>
      <c r="CE112" s="63">
        <v>-1000</v>
      </c>
      <c r="CF112" s="63">
        <v>0</v>
      </c>
      <c r="CG112" s="63">
        <v>0</v>
      </c>
      <c r="CH112" s="63">
        <v>0</v>
      </c>
      <c r="CI112" s="63">
        <v>0</v>
      </c>
      <c r="CJ112" s="63">
        <v>0</v>
      </c>
      <c r="CK112" s="63">
        <v>0</v>
      </c>
      <c r="CL112" s="63">
        <v>0</v>
      </c>
      <c r="CM112" s="63">
        <v>0</v>
      </c>
      <c r="CN112" s="63">
        <v>0</v>
      </c>
      <c r="CO112" s="63">
        <v>0</v>
      </c>
      <c r="CP112" s="63">
        <v>0</v>
      </c>
      <c r="CQ112" s="63">
        <v>-174268</v>
      </c>
      <c r="CR112" s="63">
        <v>-656</v>
      </c>
      <c r="CS112" s="63">
        <v>0</v>
      </c>
      <c r="CT112" s="63">
        <v>0</v>
      </c>
      <c r="CU112" s="63">
        <v>-174268</v>
      </c>
      <c r="CV112" s="63">
        <v>-656</v>
      </c>
      <c r="CW112" s="63">
        <v>-174924</v>
      </c>
      <c r="CX112" s="63">
        <v>0</v>
      </c>
      <c r="CY112" s="63">
        <v>0</v>
      </c>
      <c r="CZ112" s="63">
        <v>0</v>
      </c>
      <c r="DA112" s="63">
        <v>-61975</v>
      </c>
      <c r="DB112" s="63">
        <v>-3025</v>
      </c>
      <c r="DC112" s="63">
        <v>-65000</v>
      </c>
      <c r="DD112" s="63">
        <v>-38311</v>
      </c>
      <c r="DE112" s="63">
        <v>0</v>
      </c>
      <c r="DF112" s="63">
        <v>-38311</v>
      </c>
      <c r="DG112" s="63">
        <v>-100286</v>
      </c>
      <c r="DH112" s="63">
        <v>-3025</v>
      </c>
      <c r="DI112" s="63">
        <v>0</v>
      </c>
      <c r="DJ112" s="63">
        <v>0</v>
      </c>
      <c r="DK112" s="63">
        <v>-100286</v>
      </c>
      <c r="DL112" s="63">
        <v>-3025</v>
      </c>
      <c r="DM112" s="63">
        <v>-103311</v>
      </c>
      <c r="DN112" s="63">
        <v>95649459</v>
      </c>
      <c r="DO112" s="63">
        <v>1647156</v>
      </c>
      <c r="DP112" s="63">
        <v>97296615</v>
      </c>
      <c r="DQ112" s="63"/>
      <c r="DR112" s="585" t="s">
        <v>768</v>
      </c>
    </row>
    <row r="113" spans="1:122" ht="12.75" x14ac:dyDescent="0.2">
      <c r="A113" s="90">
        <v>106</v>
      </c>
      <c r="B113" s="129" t="s">
        <v>93</v>
      </c>
      <c r="C113" s="130" t="s">
        <v>742</v>
      </c>
      <c r="D113" s="131" t="s">
        <v>745</v>
      </c>
      <c r="E113" s="132" t="s">
        <v>92</v>
      </c>
      <c r="F113" s="475" t="s">
        <v>808</v>
      </c>
      <c r="G113" s="63">
        <v>53177448</v>
      </c>
      <c r="H113" s="63">
        <v>0</v>
      </c>
      <c r="I113" s="63">
        <v>53177448</v>
      </c>
      <c r="J113" s="608">
        <v>48.4</v>
      </c>
      <c r="K113" s="63">
        <v>25737885</v>
      </c>
      <c r="L113" s="63">
        <v>0</v>
      </c>
      <c r="M113" s="63">
        <v>0</v>
      </c>
      <c r="N113" s="63">
        <v>0</v>
      </c>
      <c r="O113" s="63">
        <v>25737885</v>
      </c>
      <c r="P113" s="63">
        <v>0</v>
      </c>
      <c r="Q113" s="63">
        <v>25737885</v>
      </c>
      <c r="R113" s="63">
        <v>0</v>
      </c>
      <c r="S113" s="63">
        <v>0</v>
      </c>
      <c r="T113" s="63">
        <v>0</v>
      </c>
      <c r="U113" s="63">
        <v>0</v>
      </c>
      <c r="V113" s="63">
        <v>0</v>
      </c>
      <c r="W113" s="63">
        <v>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0</v>
      </c>
      <c r="AE113" s="63">
        <v>0</v>
      </c>
      <c r="AF113" s="63">
        <v>0</v>
      </c>
      <c r="AG113" s="63">
        <v>0</v>
      </c>
      <c r="AH113" s="63">
        <v>-1680994</v>
      </c>
      <c r="AI113" s="63">
        <v>0</v>
      </c>
      <c r="AJ113" s="63">
        <v>-1680994</v>
      </c>
      <c r="AK113" s="63">
        <v>0</v>
      </c>
      <c r="AL113" s="63">
        <v>0</v>
      </c>
      <c r="AM113" s="63">
        <v>0</v>
      </c>
      <c r="AN113" s="63">
        <v>561560</v>
      </c>
      <c r="AO113" s="63">
        <v>0</v>
      </c>
      <c r="AP113" s="63">
        <v>561560</v>
      </c>
      <c r="AQ113" s="63">
        <v>-1119434</v>
      </c>
      <c r="AR113" s="63">
        <v>0</v>
      </c>
      <c r="AS113" s="63">
        <v>-1119434</v>
      </c>
      <c r="AT113" s="63">
        <v>-1208231</v>
      </c>
      <c r="AU113" s="63">
        <v>0</v>
      </c>
      <c r="AV113" s="63">
        <v>-1208231</v>
      </c>
      <c r="AW113" s="63">
        <v>-49799</v>
      </c>
      <c r="AX113" s="63">
        <v>0</v>
      </c>
      <c r="AY113" s="63">
        <v>-49799</v>
      </c>
      <c r="AZ113" s="63">
        <v>-478</v>
      </c>
      <c r="BA113" s="63">
        <v>0</v>
      </c>
      <c r="BB113" s="63">
        <v>-478</v>
      </c>
      <c r="BC113" s="63">
        <v>-2377942</v>
      </c>
      <c r="BD113" s="63">
        <v>0</v>
      </c>
      <c r="BE113" s="63">
        <v>0</v>
      </c>
      <c r="BF113" s="63">
        <v>0</v>
      </c>
      <c r="BG113" s="63">
        <v>-2377942</v>
      </c>
      <c r="BH113" s="63">
        <v>0</v>
      </c>
      <c r="BI113" s="63">
        <v>-2377942</v>
      </c>
      <c r="BJ113" s="63">
        <v>0</v>
      </c>
      <c r="BK113" s="63">
        <v>0</v>
      </c>
      <c r="BL113" s="63">
        <v>0</v>
      </c>
      <c r="BM113" s="63">
        <v>-277674</v>
      </c>
      <c r="BN113" s="63">
        <v>0</v>
      </c>
      <c r="BO113" s="63">
        <v>-277674</v>
      </c>
      <c r="BP113" s="63">
        <v>-277674</v>
      </c>
      <c r="BQ113" s="63">
        <v>0</v>
      </c>
      <c r="BR113" s="63">
        <v>0</v>
      </c>
      <c r="BS113" s="63">
        <v>0</v>
      </c>
      <c r="BT113" s="63">
        <v>-277674</v>
      </c>
      <c r="BU113" s="63">
        <v>0</v>
      </c>
      <c r="BV113" s="63">
        <v>-277674</v>
      </c>
      <c r="BW113" s="63">
        <v>-78229</v>
      </c>
      <c r="BX113" s="63">
        <v>0</v>
      </c>
      <c r="BY113" s="63">
        <v>-78229</v>
      </c>
      <c r="BZ113" s="63">
        <v>-44541</v>
      </c>
      <c r="CA113" s="63">
        <v>0</v>
      </c>
      <c r="CB113" s="63">
        <v>-44541</v>
      </c>
      <c r="CC113" s="63">
        <v>-5989</v>
      </c>
      <c r="CD113" s="63">
        <v>0</v>
      </c>
      <c r="CE113" s="63">
        <v>-5989</v>
      </c>
      <c r="CF113" s="63">
        <v>-5125</v>
      </c>
      <c r="CG113" s="63">
        <v>0</v>
      </c>
      <c r="CH113" s="63">
        <v>-5125</v>
      </c>
      <c r="CI113" s="63">
        <v>0</v>
      </c>
      <c r="CJ113" s="63">
        <v>0</v>
      </c>
      <c r="CK113" s="63">
        <v>0</v>
      </c>
      <c r="CL113" s="63">
        <v>0</v>
      </c>
      <c r="CM113" s="63">
        <v>0</v>
      </c>
      <c r="CN113" s="63">
        <v>0</v>
      </c>
      <c r="CO113" s="63">
        <v>0</v>
      </c>
      <c r="CP113" s="63">
        <v>0</v>
      </c>
      <c r="CQ113" s="63">
        <v>-133884</v>
      </c>
      <c r="CR113" s="63">
        <v>0</v>
      </c>
      <c r="CS113" s="63">
        <v>0</v>
      </c>
      <c r="CT113" s="63">
        <v>0</v>
      </c>
      <c r="CU113" s="63">
        <v>-133884</v>
      </c>
      <c r="CV113" s="63">
        <v>0</v>
      </c>
      <c r="CW113" s="63">
        <v>-133884</v>
      </c>
      <c r="CX113" s="63">
        <v>0</v>
      </c>
      <c r="CY113" s="63">
        <v>0</v>
      </c>
      <c r="CZ113" s="63">
        <v>0</v>
      </c>
      <c r="DA113" s="63">
        <v>0</v>
      </c>
      <c r="DB113" s="63">
        <v>0</v>
      </c>
      <c r="DC113" s="63">
        <v>0</v>
      </c>
      <c r="DD113" s="63">
        <v>-3754</v>
      </c>
      <c r="DE113" s="63">
        <v>0</v>
      </c>
      <c r="DF113" s="63">
        <v>-3754</v>
      </c>
      <c r="DG113" s="63">
        <v>-3754</v>
      </c>
      <c r="DH113" s="63">
        <v>0</v>
      </c>
      <c r="DI113" s="63">
        <v>0</v>
      </c>
      <c r="DJ113" s="63">
        <v>0</v>
      </c>
      <c r="DK113" s="63">
        <v>-3754</v>
      </c>
      <c r="DL113" s="63">
        <v>0</v>
      </c>
      <c r="DM113" s="63">
        <v>-3754</v>
      </c>
      <c r="DN113" s="63">
        <v>22944631</v>
      </c>
      <c r="DO113" s="63">
        <v>0</v>
      </c>
      <c r="DP113" s="63">
        <v>22944631</v>
      </c>
      <c r="DQ113" s="63"/>
      <c r="DR113" s="586"/>
    </row>
    <row r="114" spans="1:122" x14ac:dyDescent="0.2">
      <c r="A114" s="90">
        <v>107</v>
      </c>
      <c r="B114" s="129" t="s">
        <v>95</v>
      </c>
      <c r="C114" s="130" t="s">
        <v>742</v>
      </c>
      <c r="D114" s="131" t="s">
        <v>751</v>
      </c>
      <c r="E114" s="132" t="s">
        <v>94</v>
      </c>
      <c r="F114" s="475" t="s">
        <v>808</v>
      </c>
      <c r="G114" s="63">
        <v>127234034</v>
      </c>
      <c r="H114" s="63">
        <v>0</v>
      </c>
      <c r="I114" s="63">
        <v>127234034</v>
      </c>
      <c r="J114" s="608">
        <v>48.4</v>
      </c>
      <c r="K114" s="63">
        <v>61581272</v>
      </c>
      <c r="L114" s="63">
        <v>0</v>
      </c>
      <c r="M114" s="63">
        <v>-110265</v>
      </c>
      <c r="N114" s="63">
        <v>0</v>
      </c>
      <c r="O114" s="63">
        <v>61471007</v>
      </c>
      <c r="P114" s="63">
        <v>0</v>
      </c>
      <c r="Q114" s="63">
        <v>61471007</v>
      </c>
      <c r="R114" s="63">
        <v>0</v>
      </c>
      <c r="S114" s="63">
        <v>0</v>
      </c>
      <c r="T114" s="63">
        <v>0</v>
      </c>
      <c r="U114" s="63">
        <v>0</v>
      </c>
      <c r="V114" s="63">
        <v>0</v>
      </c>
      <c r="W114" s="63">
        <v>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0</v>
      </c>
      <c r="AE114" s="63">
        <v>0</v>
      </c>
      <c r="AF114" s="63">
        <v>0</v>
      </c>
      <c r="AG114" s="63">
        <v>0</v>
      </c>
      <c r="AH114" s="63">
        <v>-1954911</v>
      </c>
      <c r="AI114" s="63">
        <v>0</v>
      </c>
      <c r="AJ114" s="63">
        <v>-1954911</v>
      </c>
      <c r="AK114" s="63">
        <v>0</v>
      </c>
      <c r="AL114" s="63">
        <v>0</v>
      </c>
      <c r="AM114" s="63">
        <v>0</v>
      </c>
      <c r="AN114" s="63">
        <v>1490453</v>
      </c>
      <c r="AO114" s="63">
        <v>0</v>
      </c>
      <c r="AP114" s="63">
        <v>1490453</v>
      </c>
      <c r="AQ114" s="63">
        <v>-464458</v>
      </c>
      <c r="AR114" s="63">
        <v>0</v>
      </c>
      <c r="AS114" s="63">
        <v>-464458</v>
      </c>
      <c r="AT114" s="63">
        <v>-3532276</v>
      </c>
      <c r="AU114" s="63">
        <v>0</v>
      </c>
      <c r="AV114" s="63">
        <v>-3532276</v>
      </c>
      <c r="AW114" s="63">
        <v>-40277</v>
      </c>
      <c r="AX114" s="63">
        <v>0</v>
      </c>
      <c r="AY114" s="63">
        <v>-40277</v>
      </c>
      <c r="AZ114" s="63">
        <v>0</v>
      </c>
      <c r="BA114" s="63">
        <v>0</v>
      </c>
      <c r="BB114" s="63">
        <v>0</v>
      </c>
      <c r="BC114" s="63">
        <v>-4037011</v>
      </c>
      <c r="BD114" s="63">
        <v>0</v>
      </c>
      <c r="BE114" s="63">
        <v>0</v>
      </c>
      <c r="BF114" s="63">
        <v>0</v>
      </c>
      <c r="BG114" s="63">
        <v>-4037011</v>
      </c>
      <c r="BH114" s="63">
        <v>0</v>
      </c>
      <c r="BI114" s="63">
        <v>-4037011</v>
      </c>
      <c r="BJ114" s="63">
        <v>0</v>
      </c>
      <c r="BK114" s="63">
        <v>0</v>
      </c>
      <c r="BL114" s="63">
        <v>0</v>
      </c>
      <c r="BM114" s="63">
        <v>-1258197</v>
      </c>
      <c r="BN114" s="63">
        <v>0</v>
      </c>
      <c r="BO114" s="63">
        <v>-1258197</v>
      </c>
      <c r="BP114" s="63">
        <v>-1258197</v>
      </c>
      <c r="BQ114" s="63">
        <v>0</v>
      </c>
      <c r="BR114" s="63">
        <v>0</v>
      </c>
      <c r="BS114" s="63">
        <v>0</v>
      </c>
      <c r="BT114" s="63">
        <v>-1258197</v>
      </c>
      <c r="BU114" s="63">
        <v>0</v>
      </c>
      <c r="BV114" s="63">
        <v>-1258197</v>
      </c>
      <c r="BW114" s="63">
        <v>-2410</v>
      </c>
      <c r="BX114" s="63">
        <v>0</v>
      </c>
      <c r="BY114" s="63">
        <v>-2410</v>
      </c>
      <c r="BZ114" s="63">
        <v>-58297</v>
      </c>
      <c r="CA114" s="63">
        <v>0</v>
      </c>
      <c r="CB114" s="63">
        <v>-58297</v>
      </c>
      <c r="CC114" s="63">
        <v>0</v>
      </c>
      <c r="CD114" s="63">
        <v>0</v>
      </c>
      <c r="CE114" s="63">
        <v>0</v>
      </c>
      <c r="CF114" s="63">
        <v>0</v>
      </c>
      <c r="CG114" s="63">
        <v>0</v>
      </c>
      <c r="CH114" s="63">
        <v>0</v>
      </c>
      <c r="CI114" s="63">
        <v>0</v>
      </c>
      <c r="CJ114" s="63">
        <v>0</v>
      </c>
      <c r="CK114" s="63">
        <v>0</v>
      </c>
      <c r="CL114" s="63">
        <v>0</v>
      </c>
      <c r="CM114" s="63">
        <v>0</v>
      </c>
      <c r="CN114" s="63">
        <v>0</v>
      </c>
      <c r="CO114" s="63">
        <v>0</v>
      </c>
      <c r="CP114" s="63">
        <v>0</v>
      </c>
      <c r="CQ114" s="63">
        <v>-60707</v>
      </c>
      <c r="CR114" s="63">
        <v>0</v>
      </c>
      <c r="CS114" s="63">
        <v>0</v>
      </c>
      <c r="CT114" s="63">
        <v>0</v>
      </c>
      <c r="CU114" s="63">
        <v>-60707</v>
      </c>
      <c r="CV114" s="63">
        <v>0</v>
      </c>
      <c r="CW114" s="63">
        <v>-60707</v>
      </c>
      <c r="CX114" s="63">
        <v>-95187</v>
      </c>
      <c r="CY114" s="63">
        <v>0</v>
      </c>
      <c r="CZ114" s="63">
        <v>-95187</v>
      </c>
      <c r="DA114" s="63">
        <v>-528</v>
      </c>
      <c r="DB114" s="63">
        <v>0</v>
      </c>
      <c r="DC114" s="63">
        <v>-528</v>
      </c>
      <c r="DD114" s="63">
        <v>0</v>
      </c>
      <c r="DE114" s="63">
        <v>0</v>
      </c>
      <c r="DF114" s="63">
        <v>0</v>
      </c>
      <c r="DG114" s="63">
        <v>-95715</v>
      </c>
      <c r="DH114" s="63">
        <v>0</v>
      </c>
      <c r="DI114" s="63">
        <v>0</v>
      </c>
      <c r="DJ114" s="63">
        <v>0</v>
      </c>
      <c r="DK114" s="63">
        <v>-95715</v>
      </c>
      <c r="DL114" s="63">
        <v>0</v>
      </c>
      <c r="DM114" s="63">
        <v>-95715</v>
      </c>
      <c r="DN114" s="63">
        <v>56019377</v>
      </c>
      <c r="DO114" s="63">
        <v>0</v>
      </c>
      <c r="DP114" s="63">
        <v>56019377</v>
      </c>
      <c r="DQ114" s="63"/>
      <c r="DR114" s="585"/>
    </row>
    <row r="115" spans="1:122" x14ac:dyDescent="0.2">
      <c r="A115" s="90">
        <v>108</v>
      </c>
      <c r="B115" s="129" t="s">
        <v>97</v>
      </c>
      <c r="C115" s="130" t="s">
        <v>742</v>
      </c>
      <c r="D115" s="131" t="s">
        <v>743</v>
      </c>
      <c r="E115" s="132" t="s">
        <v>96</v>
      </c>
      <c r="F115" s="475" t="s">
        <v>808</v>
      </c>
      <c r="G115" s="63">
        <v>39826431</v>
      </c>
      <c r="H115" s="63">
        <v>988885</v>
      </c>
      <c r="I115" s="63">
        <v>40815316</v>
      </c>
      <c r="J115" s="608">
        <v>48.4</v>
      </c>
      <c r="K115" s="63">
        <v>19275993</v>
      </c>
      <c r="L115" s="63">
        <v>478620</v>
      </c>
      <c r="M115" s="63">
        <v>100000</v>
      </c>
      <c r="N115" s="63">
        <v>50000</v>
      </c>
      <c r="O115" s="63">
        <v>19375993</v>
      </c>
      <c r="P115" s="63">
        <v>528620</v>
      </c>
      <c r="Q115" s="63">
        <v>19904613</v>
      </c>
      <c r="R115" s="63">
        <v>0</v>
      </c>
      <c r="S115" s="63">
        <v>0</v>
      </c>
      <c r="T115" s="63">
        <v>0</v>
      </c>
      <c r="U115" s="63">
        <v>0</v>
      </c>
      <c r="V115" s="63">
        <v>0</v>
      </c>
      <c r="W115" s="63">
        <v>0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0</v>
      </c>
      <c r="AE115" s="63">
        <v>0</v>
      </c>
      <c r="AF115" s="63">
        <v>0</v>
      </c>
      <c r="AG115" s="63">
        <v>0</v>
      </c>
      <c r="AH115" s="63">
        <v>-1409551</v>
      </c>
      <c r="AI115" s="63">
        <v>-15235</v>
      </c>
      <c r="AJ115" s="63">
        <v>-1424786</v>
      </c>
      <c r="AK115" s="63">
        <v>0</v>
      </c>
      <c r="AL115" s="63">
        <v>0</v>
      </c>
      <c r="AM115" s="63">
        <v>0</v>
      </c>
      <c r="AN115" s="63">
        <v>417189</v>
      </c>
      <c r="AO115" s="63">
        <v>10953</v>
      </c>
      <c r="AP115" s="63">
        <v>428142</v>
      </c>
      <c r="AQ115" s="63">
        <v>-992362</v>
      </c>
      <c r="AR115" s="63">
        <v>-4282</v>
      </c>
      <c r="AS115" s="63">
        <v>-996644</v>
      </c>
      <c r="AT115" s="63">
        <v>-1046082</v>
      </c>
      <c r="AU115" s="63">
        <v>-34750</v>
      </c>
      <c r="AV115" s="63">
        <v>-1080832</v>
      </c>
      <c r="AW115" s="63">
        <v>-18717</v>
      </c>
      <c r="AX115" s="63">
        <v>0</v>
      </c>
      <c r="AY115" s="63">
        <v>-18717</v>
      </c>
      <c r="AZ115" s="63">
        <v>0</v>
      </c>
      <c r="BA115" s="63">
        <v>0</v>
      </c>
      <c r="BB115" s="63">
        <v>0</v>
      </c>
      <c r="BC115" s="63">
        <v>-2057161</v>
      </c>
      <c r="BD115" s="63">
        <v>-39032</v>
      </c>
      <c r="BE115" s="63">
        <v>-150000</v>
      </c>
      <c r="BF115" s="63">
        <v>0</v>
      </c>
      <c r="BG115" s="63">
        <v>-2207161</v>
      </c>
      <c r="BH115" s="63">
        <v>-39032</v>
      </c>
      <c r="BI115" s="63">
        <v>-2246193</v>
      </c>
      <c r="BJ115" s="63">
        <v>-10000</v>
      </c>
      <c r="BK115" s="63">
        <v>-5000</v>
      </c>
      <c r="BL115" s="63">
        <v>-15000</v>
      </c>
      <c r="BM115" s="63">
        <v>-140172</v>
      </c>
      <c r="BN115" s="63">
        <v>-28135</v>
      </c>
      <c r="BO115" s="63">
        <v>-168307</v>
      </c>
      <c r="BP115" s="63">
        <v>-150172</v>
      </c>
      <c r="BQ115" s="63">
        <v>-33135</v>
      </c>
      <c r="BR115" s="63">
        <v>-50000</v>
      </c>
      <c r="BS115" s="63">
        <v>-25000</v>
      </c>
      <c r="BT115" s="63">
        <v>-200172</v>
      </c>
      <c r="BU115" s="63">
        <v>-58135</v>
      </c>
      <c r="BV115" s="63">
        <v>-258307</v>
      </c>
      <c r="BW115" s="63">
        <v>-106975</v>
      </c>
      <c r="BX115" s="63">
        <v>-8688</v>
      </c>
      <c r="BY115" s="63">
        <v>-115663</v>
      </c>
      <c r="BZ115" s="63">
        <v>-68076</v>
      </c>
      <c r="CA115" s="63">
        <v>0</v>
      </c>
      <c r="CB115" s="63">
        <v>-68076</v>
      </c>
      <c r="CC115" s="63">
        <v>0</v>
      </c>
      <c r="CD115" s="63">
        <v>0</v>
      </c>
      <c r="CE115" s="63">
        <v>0</v>
      </c>
      <c r="CF115" s="63">
        <v>0</v>
      </c>
      <c r="CG115" s="63">
        <v>0</v>
      </c>
      <c r="CH115" s="63">
        <v>0</v>
      </c>
      <c r="CI115" s="63">
        <v>0</v>
      </c>
      <c r="CJ115" s="63">
        <v>0</v>
      </c>
      <c r="CK115" s="63">
        <v>0</v>
      </c>
      <c r="CL115" s="63">
        <v>0</v>
      </c>
      <c r="CM115" s="63">
        <v>-90616</v>
      </c>
      <c r="CN115" s="63">
        <v>-90616</v>
      </c>
      <c r="CO115" s="63">
        <v>-90616</v>
      </c>
      <c r="CP115" s="63">
        <v>0</v>
      </c>
      <c r="CQ115" s="63">
        <v>-175051</v>
      </c>
      <c r="CR115" s="63">
        <v>-99304</v>
      </c>
      <c r="CS115" s="63">
        <v>-30000</v>
      </c>
      <c r="CT115" s="63">
        <v>-70000</v>
      </c>
      <c r="CU115" s="63">
        <v>-205051</v>
      </c>
      <c r="CV115" s="63">
        <v>-169304</v>
      </c>
      <c r="CW115" s="63">
        <v>-374355</v>
      </c>
      <c r="CX115" s="63">
        <v>0</v>
      </c>
      <c r="CY115" s="63">
        <v>0</v>
      </c>
      <c r="CZ115" s="63">
        <v>0</v>
      </c>
      <c r="DA115" s="63">
        <v>-3464</v>
      </c>
      <c r="DB115" s="63">
        <v>0</v>
      </c>
      <c r="DC115" s="63">
        <v>-3464</v>
      </c>
      <c r="DD115" s="63">
        <v>0</v>
      </c>
      <c r="DE115" s="63">
        <v>0</v>
      </c>
      <c r="DF115" s="63">
        <v>0</v>
      </c>
      <c r="DG115" s="63">
        <v>-3464</v>
      </c>
      <c r="DH115" s="63">
        <v>0</v>
      </c>
      <c r="DI115" s="63">
        <v>-30000</v>
      </c>
      <c r="DJ115" s="63">
        <v>-7500</v>
      </c>
      <c r="DK115" s="63">
        <v>-33464</v>
      </c>
      <c r="DL115" s="63">
        <v>-7500</v>
      </c>
      <c r="DM115" s="63">
        <v>-40964</v>
      </c>
      <c r="DN115" s="63">
        <v>16730145</v>
      </c>
      <c r="DO115" s="63">
        <v>254649</v>
      </c>
      <c r="DP115" s="63">
        <v>16984794</v>
      </c>
      <c r="DQ115" s="63"/>
      <c r="DR115" s="585" t="s">
        <v>768</v>
      </c>
    </row>
    <row r="116" spans="1:122" x14ac:dyDescent="0.2">
      <c r="A116" s="90">
        <v>109</v>
      </c>
      <c r="B116" s="129" t="s">
        <v>99</v>
      </c>
      <c r="C116" s="130" t="s">
        <v>742</v>
      </c>
      <c r="D116" s="131" t="s">
        <v>743</v>
      </c>
      <c r="E116" s="132" t="s">
        <v>98</v>
      </c>
      <c r="F116" s="475" t="s">
        <v>808</v>
      </c>
      <c r="G116" s="63">
        <v>62467375</v>
      </c>
      <c r="H116" s="63">
        <v>0</v>
      </c>
      <c r="I116" s="63">
        <v>62467375</v>
      </c>
      <c r="J116" s="608">
        <v>48.4</v>
      </c>
      <c r="K116" s="63">
        <v>30234210</v>
      </c>
      <c r="L116" s="63">
        <v>0</v>
      </c>
      <c r="M116" s="63">
        <v>0</v>
      </c>
      <c r="N116" s="63">
        <v>0</v>
      </c>
      <c r="O116" s="63">
        <v>30234210</v>
      </c>
      <c r="P116" s="63">
        <v>0</v>
      </c>
      <c r="Q116" s="63">
        <v>30234210</v>
      </c>
      <c r="R116" s="63">
        <v>0</v>
      </c>
      <c r="S116" s="63">
        <v>0</v>
      </c>
      <c r="T116" s="63">
        <v>0</v>
      </c>
      <c r="U116" s="63">
        <v>0</v>
      </c>
      <c r="V116" s="63">
        <v>0</v>
      </c>
      <c r="W116" s="63">
        <v>0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0</v>
      </c>
      <c r="AE116" s="63">
        <v>0</v>
      </c>
      <c r="AF116" s="63">
        <v>0</v>
      </c>
      <c r="AG116" s="63">
        <v>0</v>
      </c>
      <c r="AH116" s="63">
        <v>-1683065</v>
      </c>
      <c r="AI116" s="63">
        <v>0</v>
      </c>
      <c r="AJ116" s="63">
        <v>-1683065</v>
      </c>
      <c r="AK116" s="63">
        <v>-2565</v>
      </c>
      <c r="AL116" s="63">
        <v>0</v>
      </c>
      <c r="AM116" s="63">
        <v>-2565</v>
      </c>
      <c r="AN116" s="63">
        <v>683184</v>
      </c>
      <c r="AO116" s="63">
        <v>0</v>
      </c>
      <c r="AP116" s="63">
        <v>683184</v>
      </c>
      <c r="AQ116" s="63">
        <v>-999881</v>
      </c>
      <c r="AR116" s="63">
        <v>0</v>
      </c>
      <c r="AS116" s="63">
        <v>-999881</v>
      </c>
      <c r="AT116" s="63">
        <v>-2506989</v>
      </c>
      <c r="AU116" s="63">
        <v>0</v>
      </c>
      <c r="AV116" s="63">
        <v>-2506989</v>
      </c>
      <c r="AW116" s="63">
        <v>-39273</v>
      </c>
      <c r="AX116" s="63">
        <v>0</v>
      </c>
      <c r="AY116" s="63">
        <v>-39273</v>
      </c>
      <c r="AZ116" s="63">
        <v>-8859</v>
      </c>
      <c r="BA116" s="63">
        <v>0</v>
      </c>
      <c r="BB116" s="63">
        <v>-8859</v>
      </c>
      <c r="BC116" s="63">
        <v>-3555002</v>
      </c>
      <c r="BD116" s="63">
        <v>0</v>
      </c>
      <c r="BE116" s="63">
        <v>0</v>
      </c>
      <c r="BF116" s="63">
        <v>0</v>
      </c>
      <c r="BG116" s="63">
        <v>-3555002</v>
      </c>
      <c r="BH116" s="63">
        <v>0</v>
      </c>
      <c r="BI116" s="63">
        <v>-3555002</v>
      </c>
      <c r="BJ116" s="63">
        <v>0</v>
      </c>
      <c r="BK116" s="63">
        <v>0</v>
      </c>
      <c r="BL116" s="63">
        <v>0</v>
      </c>
      <c r="BM116" s="63">
        <v>-723528</v>
      </c>
      <c r="BN116" s="63">
        <v>0</v>
      </c>
      <c r="BO116" s="63">
        <v>-723528</v>
      </c>
      <c r="BP116" s="63">
        <v>-723528</v>
      </c>
      <c r="BQ116" s="63">
        <v>0</v>
      </c>
      <c r="BR116" s="63">
        <v>0</v>
      </c>
      <c r="BS116" s="63">
        <v>0</v>
      </c>
      <c r="BT116" s="63">
        <v>-723528</v>
      </c>
      <c r="BU116" s="63">
        <v>0</v>
      </c>
      <c r="BV116" s="63">
        <v>-723528</v>
      </c>
      <c r="BW116" s="63">
        <v>-103012</v>
      </c>
      <c r="BX116" s="63">
        <v>0</v>
      </c>
      <c r="BY116" s="63">
        <v>-103012</v>
      </c>
      <c r="BZ116" s="63">
        <v>-26253</v>
      </c>
      <c r="CA116" s="63">
        <v>0</v>
      </c>
      <c r="CB116" s="63">
        <v>-26253</v>
      </c>
      <c r="CC116" s="63">
        <v>-226</v>
      </c>
      <c r="CD116" s="63">
        <v>0</v>
      </c>
      <c r="CE116" s="63">
        <v>-226</v>
      </c>
      <c r="CF116" s="63">
        <v>-3499</v>
      </c>
      <c r="CG116" s="63">
        <v>0</v>
      </c>
      <c r="CH116" s="63">
        <v>-3499</v>
      </c>
      <c r="CI116" s="63">
        <v>-1382</v>
      </c>
      <c r="CJ116" s="63">
        <v>0</v>
      </c>
      <c r="CK116" s="63">
        <v>-1382</v>
      </c>
      <c r="CL116" s="63">
        <v>0</v>
      </c>
      <c r="CM116" s="63">
        <v>0</v>
      </c>
      <c r="CN116" s="63">
        <v>0</v>
      </c>
      <c r="CO116" s="63">
        <v>0</v>
      </c>
      <c r="CP116" s="63">
        <v>0</v>
      </c>
      <c r="CQ116" s="63">
        <v>-134372</v>
      </c>
      <c r="CR116" s="63">
        <v>0</v>
      </c>
      <c r="CS116" s="63">
        <v>0</v>
      </c>
      <c r="CT116" s="63">
        <v>0</v>
      </c>
      <c r="CU116" s="63">
        <v>-134372</v>
      </c>
      <c r="CV116" s="63">
        <v>0</v>
      </c>
      <c r="CW116" s="63">
        <v>-134372</v>
      </c>
      <c r="CX116" s="63">
        <v>0</v>
      </c>
      <c r="CY116" s="63">
        <v>0</v>
      </c>
      <c r="CZ116" s="63">
        <v>0</v>
      </c>
      <c r="DA116" s="63">
        <v>-10333</v>
      </c>
      <c r="DB116" s="63">
        <v>0</v>
      </c>
      <c r="DC116" s="63">
        <v>-10333</v>
      </c>
      <c r="DD116" s="63">
        <v>0</v>
      </c>
      <c r="DE116" s="63">
        <v>0</v>
      </c>
      <c r="DF116" s="63">
        <v>0</v>
      </c>
      <c r="DG116" s="63">
        <v>-10333</v>
      </c>
      <c r="DH116" s="63">
        <v>0</v>
      </c>
      <c r="DI116" s="63">
        <v>0</v>
      </c>
      <c r="DJ116" s="63">
        <v>0</v>
      </c>
      <c r="DK116" s="63">
        <v>-10333</v>
      </c>
      <c r="DL116" s="63">
        <v>0</v>
      </c>
      <c r="DM116" s="63">
        <v>-10333</v>
      </c>
      <c r="DN116" s="63">
        <v>25810975</v>
      </c>
      <c r="DO116" s="63">
        <v>0</v>
      </c>
      <c r="DP116" s="63">
        <v>25810975</v>
      </c>
      <c r="DQ116" s="63"/>
      <c r="DR116" s="585"/>
    </row>
    <row r="117" spans="1:122" x14ac:dyDescent="0.2">
      <c r="A117" s="90">
        <v>110</v>
      </c>
      <c r="B117" s="129" t="s">
        <v>101</v>
      </c>
      <c r="C117" s="130" t="s">
        <v>742</v>
      </c>
      <c r="D117" s="131" t="s">
        <v>746</v>
      </c>
      <c r="E117" s="132" t="s">
        <v>100</v>
      </c>
      <c r="F117" s="475" t="s">
        <v>808</v>
      </c>
      <c r="G117" s="63">
        <v>76376938</v>
      </c>
      <c r="H117" s="63">
        <v>1256200</v>
      </c>
      <c r="I117" s="63">
        <v>77633138</v>
      </c>
      <c r="J117" s="608">
        <v>48.4</v>
      </c>
      <c r="K117" s="63">
        <v>36966438</v>
      </c>
      <c r="L117" s="63">
        <v>608001</v>
      </c>
      <c r="M117" s="63">
        <v>65109</v>
      </c>
      <c r="N117" s="63">
        <v>177935</v>
      </c>
      <c r="O117" s="63">
        <v>37031547</v>
      </c>
      <c r="P117" s="63">
        <v>785936</v>
      </c>
      <c r="Q117" s="63">
        <v>37817483</v>
      </c>
      <c r="R117" s="63">
        <v>0</v>
      </c>
      <c r="S117" s="63">
        <v>0</v>
      </c>
      <c r="T117" s="63">
        <v>0</v>
      </c>
      <c r="U117" s="63">
        <v>0</v>
      </c>
      <c r="V117" s="63">
        <v>0</v>
      </c>
      <c r="W117" s="63">
        <v>0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0</v>
      </c>
      <c r="AE117" s="63">
        <v>0</v>
      </c>
      <c r="AF117" s="63">
        <v>0</v>
      </c>
      <c r="AG117" s="63">
        <v>0</v>
      </c>
      <c r="AH117" s="63">
        <v>-2811291</v>
      </c>
      <c r="AI117" s="63">
        <v>0</v>
      </c>
      <c r="AJ117" s="63">
        <v>-2811291</v>
      </c>
      <c r="AK117" s="63">
        <v>0</v>
      </c>
      <c r="AL117" s="63">
        <v>0</v>
      </c>
      <c r="AM117" s="63">
        <v>0</v>
      </c>
      <c r="AN117" s="63">
        <v>789286</v>
      </c>
      <c r="AO117" s="63">
        <v>15557</v>
      </c>
      <c r="AP117" s="63">
        <v>804843</v>
      </c>
      <c r="AQ117" s="63">
        <v>-2022005</v>
      </c>
      <c r="AR117" s="63">
        <v>15557</v>
      </c>
      <c r="AS117" s="63">
        <v>-2006448</v>
      </c>
      <c r="AT117" s="63">
        <v>-1763711</v>
      </c>
      <c r="AU117" s="63">
        <v>0</v>
      </c>
      <c r="AV117" s="63">
        <v>-1763711</v>
      </c>
      <c r="AW117" s="63">
        <v>-19880</v>
      </c>
      <c r="AX117" s="63">
        <v>0</v>
      </c>
      <c r="AY117" s="63">
        <v>-19880</v>
      </c>
      <c r="AZ117" s="63">
        <v>-1486</v>
      </c>
      <c r="BA117" s="63">
        <v>0</v>
      </c>
      <c r="BB117" s="63">
        <v>-1486</v>
      </c>
      <c r="BC117" s="63">
        <v>-3807082</v>
      </c>
      <c r="BD117" s="63">
        <v>15557</v>
      </c>
      <c r="BE117" s="63">
        <v>-183686</v>
      </c>
      <c r="BF117" s="63">
        <v>0</v>
      </c>
      <c r="BG117" s="63">
        <v>-3990768</v>
      </c>
      <c r="BH117" s="63">
        <v>15557</v>
      </c>
      <c r="BI117" s="63">
        <v>-3975211</v>
      </c>
      <c r="BJ117" s="63">
        <v>0</v>
      </c>
      <c r="BK117" s="63">
        <v>0</v>
      </c>
      <c r="BL117" s="63">
        <v>0</v>
      </c>
      <c r="BM117" s="63">
        <v>-630619</v>
      </c>
      <c r="BN117" s="63">
        <v>0</v>
      </c>
      <c r="BO117" s="63">
        <v>-630619</v>
      </c>
      <c r="BP117" s="63">
        <v>-630619</v>
      </c>
      <c r="BQ117" s="63">
        <v>0</v>
      </c>
      <c r="BR117" s="63">
        <v>0</v>
      </c>
      <c r="BS117" s="63">
        <v>0</v>
      </c>
      <c r="BT117" s="63">
        <v>-630619</v>
      </c>
      <c r="BU117" s="63">
        <v>0</v>
      </c>
      <c r="BV117" s="63">
        <v>-630619</v>
      </c>
      <c r="BW117" s="63">
        <v>-119903</v>
      </c>
      <c r="BX117" s="63">
        <v>0</v>
      </c>
      <c r="BY117" s="63">
        <v>-119903</v>
      </c>
      <c r="BZ117" s="63">
        <v>-36740</v>
      </c>
      <c r="CA117" s="63">
        <v>0</v>
      </c>
      <c r="CB117" s="63">
        <v>-36740</v>
      </c>
      <c r="CC117" s="63">
        <v>0</v>
      </c>
      <c r="CD117" s="63">
        <v>0</v>
      </c>
      <c r="CE117" s="63">
        <v>0</v>
      </c>
      <c r="CF117" s="63">
        <v>-807</v>
      </c>
      <c r="CG117" s="63">
        <v>0</v>
      </c>
      <c r="CH117" s="63">
        <v>-807</v>
      </c>
      <c r="CI117" s="63">
        <v>0</v>
      </c>
      <c r="CJ117" s="63">
        <v>0</v>
      </c>
      <c r="CK117" s="63">
        <v>0</v>
      </c>
      <c r="CL117" s="63">
        <v>0</v>
      </c>
      <c r="CM117" s="63">
        <v>-488370</v>
      </c>
      <c r="CN117" s="63">
        <v>-488370</v>
      </c>
      <c r="CO117" s="63">
        <v>-488370</v>
      </c>
      <c r="CP117" s="63">
        <v>0</v>
      </c>
      <c r="CQ117" s="63">
        <v>-157450</v>
      </c>
      <c r="CR117" s="63">
        <v>-488370</v>
      </c>
      <c r="CS117" s="63">
        <v>-6141</v>
      </c>
      <c r="CT117" s="63">
        <v>-177935</v>
      </c>
      <c r="CU117" s="63">
        <v>-163591</v>
      </c>
      <c r="CV117" s="63">
        <v>-666305</v>
      </c>
      <c r="CW117" s="63">
        <v>-829896</v>
      </c>
      <c r="CX117" s="63">
        <v>0</v>
      </c>
      <c r="CY117" s="63">
        <v>0</v>
      </c>
      <c r="CZ117" s="63">
        <v>0</v>
      </c>
      <c r="DA117" s="63">
        <v>0</v>
      </c>
      <c r="DB117" s="63">
        <v>0</v>
      </c>
      <c r="DC117" s="63">
        <v>0</v>
      </c>
      <c r="DD117" s="63">
        <v>-14287</v>
      </c>
      <c r="DE117" s="63">
        <v>0</v>
      </c>
      <c r="DF117" s="63">
        <v>-14287</v>
      </c>
      <c r="DG117" s="63">
        <v>-14287</v>
      </c>
      <c r="DH117" s="63">
        <v>0</v>
      </c>
      <c r="DI117" s="63">
        <v>-22000</v>
      </c>
      <c r="DJ117" s="63">
        <v>0</v>
      </c>
      <c r="DK117" s="63">
        <v>-36287</v>
      </c>
      <c r="DL117" s="63">
        <v>0</v>
      </c>
      <c r="DM117" s="63">
        <v>-36287</v>
      </c>
      <c r="DN117" s="63">
        <v>32210282</v>
      </c>
      <c r="DO117" s="63">
        <v>135188</v>
      </c>
      <c r="DP117" s="63">
        <v>32345470</v>
      </c>
      <c r="DQ117" s="63"/>
      <c r="DR117" s="585" t="s">
        <v>768</v>
      </c>
    </row>
    <row r="118" spans="1:122" x14ac:dyDescent="0.2">
      <c r="A118" s="90">
        <v>111</v>
      </c>
      <c r="B118" s="129" t="s">
        <v>103</v>
      </c>
      <c r="C118" s="130" t="s">
        <v>754</v>
      </c>
      <c r="D118" s="131" t="s">
        <v>748</v>
      </c>
      <c r="E118" s="132" t="s">
        <v>102</v>
      </c>
      <c r="F118" s="475" t="s">
        <v>808</v>
      </c>
      <c r="G118" s="63">
        <v>174181243</v>
      </c>
      <c r="H118" s="63">
        <v>0</v>
      </c>
      <c r="I118" s="63">
        <v>174181243</v>
      </c>
      <c r="J118" s="608">
        <v>48.4</v>
      </c>
      <c r="K118" s="63">
        <v>84303722</v>
      </c>
      <c r="L118" s="63">
        <v>0</v>
      </c>
      <c r="M118" s="63">
        <v>1053796</v>
      </c>
      <c r="N118" s="63">
        <v>0</v>
      </c>
      <c r="O118" s="63">
        <v>85357518</v>
      </c>
      <c r="P118" s="63">
        <v>0</v>
      </c>
      <c r="Q118" s="63">
        <v>85357518</v>
      </c>
      <c r="R118" s="63">
        <v>0</v>
      </c>
      <c r="S118" s="63">
        <v>0</v>
      </c>
      <c r="T118" s="63">
        <v>0</v>
      </c>
      <c r="U118" s="63">
        <v>0</v>
      </c>
      <c r="V118" s="63">
        <v>0</v>
      </c>
      <c r="W118" s="63">
        <v>0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0</v>
      </c>
      <c r="AE118" s="63">
        <v>0</v>
      </c>
      <c r="AF118" s="63">
        <v>0</v>
      </c>
      <c r="AG118" s="63">
        <v>0</v>
      </c>
      <c r="AH118" s="63">
        <v>-3401485</v>
      </c>
      <c r="AI118" s="63">
        <v>0</v>
      </c>
      <c r="AJ118" s="63">
        <v>-3401485</v>
      </c>
      <c r="AK118" s="63">
        <v>0</v>
      </c>
      <c r="AL118" s="63">
        <v>0</v>
      </c>
      <c r="AM118" s="63">
        <v>0</v>
      </c>
      <c r="AN118" s="63">
        <v>1149898</v>
      </c>
      <c r="AO118" s="63">
        <v>0</v>
      </c>
      <c r="AP118" s="63">
        <v>1149898</v>
      </c>
      <c r="AQ118" s="63">
        <v>-2251587</v>
      </c>
      <c r="AR118" s="63">
        <v>0</v>
      </c>
      <c r="AS118" s="63">
        <v>-2251587</v>
      </c>
      <c r="AT118" s="63">
        <v>-7785315</v>
      </c>
      <c r="AU118" s="63">
        <v>0</v>
      </c>
      <c r="AV118" s="63">
        <v>-7785315</v>
      </c>
      <c r="AW118" s="63">
        <v>-121182</v>
      </c>
      <c r="AX118" s="63">
        <v>0</v>
      </c>
      <c r="AY118" s="63">
        <v>-121182</v>
      </c>
      <c r="AZ118" s="63">
        <v>0</v>
      </c>
      <c r="BA118" s="63">
        <v>0</v>
      </c>
      <c r="BB118" s="63">
        <v>0</v>
      </c>
      <c r="BC118" s="63">
        <v>-10158084</v>
      </c>
      <c r="BD118" s="63">
        <v>0</v>
      </c>
      <c r="BE118" s="63">
        <v>0</v>
      </c>
      <c r="BF118" s="63">
        <v>0</v>
      </c>
      <c r="BG118" s="63">
        <v>-10158084</v>
      </c>
      <c r="BH118" s="63">
        <v>0</v>
      </c>
      <c r="BI118" s="63">
        <v>-10158084</v>
      </c>
      <c r="BJ118" s="63">
        <v>-114209</v>
      </c>
      <c r="BK118" s="63">
        <v>0</v>
      </c>
      <c r="BL118" s="63">
        <v>-114209</v>
      </c>
      <c r="BM118" s="63">
        <v>-2500000</v>
      </c>
      <c r="BN118" s="63">
        <v>0</v>
      </c>
      <c r="BO118" s="63">
        <v>-2500000</v>
      </c>
      <c r="BP118" s="63">
        <v>-2614209</v>
      </c>
      <c r="BQ118" s="63">
        <v>0</v>
      </c>
      <c r="BR118" s="63">
        <v>0</v>
      </c>
      <c r="BS118" s="63">
        <v>0</v>
      </c>
      <c r="BT118" s="63">
        <v>-2614209</v>
      </c>
      <c r="BU118" s="63">
        <v>0</v>
      </c>
      <c r="BV118" s="63">
        <v>-2614209</v>
      </c>
      <c r="BW118" s="63">
        <v>-544896</v>
      </c>
      <c r="BX118" s="63">
        <v>0</v>
      </c>
      <c r="BY118" s="63">
        <v>-544896</v>
      </c>
      <c r="BZ118" s="63">
        <v>-59986</v>
      </c>
      <c r="CA118" s="63">
        <v>0</v>
      </c>
      <c r="CB118" s="63">
        <v>-59986</v>
      </c>
      <c r="CC118" s="63">
        <v>0</v>
      </c>
      <c r="CD118" s="63">
        <v>0</v>
      </c>
      <c r="CE118" s="63">
        <v>0</v>
      </c>
      <c r="CF118" s="63">
        <v>0</v>
      </c>
      <c r="CG118" s="63">
        <v>0</v>
      </c>
      <c r="CH118" s="63">
        <v>0</v>
      </c>
      <c r="CI118" s="63">
        <v>0</v>
      </c>
      <c r="CJ118" s="63">
        <v>0</v>
      </c>
      <c r="CK118" s="63">
        <v>0</v>
      </c>
      <c r="CL118" s="63">
        <v>-25000</v>
      </c>
      <c r="CM118" s="63">
        <v>0</v>
      </c>
      <c r="CN118" s="63">
        <v>-25000</v>
      </c>
      <c r="CO118" s="63">
        <v>0</v>
      </c>
      <c r="CP118" s="63">
        <v>0</v>
      </c>
      <c r="CQ118" s="63">
        <v>-629882</v>
      </c>
      <c r="CR118" s="63">
        <v>0</v>
      </c>
      <c r="CS118" s="63">
        <v>0</v>
      </c>
      <c r="CT118" s="63">
        <v>0</v>
      </c>
      <c r="CU118" s="63">
        <v>-629882</v>
      </c>
      <c r="CV118" s="63">
        <v>0</v>
      </c>
      <c r="CW118" s="63">
        <v>-629882</v>
      </c>
      <c r="CX118" s="63">
        <v>-80000</v>
      </c>
      <c r="CY118" s="63">
        <v>0</v>
      </c>
      <c r="CZ118" s="63">
        <v>-80000</v>
      </c>
      <c r="DA118" s="63">
        <v>0</v>
      </c>
      <c r="DB118" s="63">
        <v>0</v>
      </c>
      <c r="DC118" s="63">
        <v>0</v>
      </c>
      <c r="DD118" s="63">
        <v>-6783</v>
      </c>
      <c r="DE118" s="63">
        <v>0</v>
      </c>
      <c r="DF118" s="63">
        <v>-6783</v>
      </c>
      <c r="DG118" s="63">
        <v>-86783</v>
      </c>
      <c r="DH118" s="63">
        <v>0</v>
      </c>
      <c r="DI118" s="63">
        <v>0</v>
      </c>
      <c r="DJ118" s="63">
        <v>0</v>
      </c>
      <c r="DK118" s="63">
        <v>-86783</v>
      </c>
      <c r="DL118" s="63">
        <v>0</v>
      </c>
      <c r="DM118" s="63">
        <v>-86783</v>
      </c>
      <c r="DN118" s="63">
        <v>71868560</v>
      </c>
      <c r="DO118" s="63">
        <v>0</v>
      </c>
      <c r="DP118" s="63">
        <v>71868560</v>
      </c>
      <c r="DQ118" s="63"/>
      <c r="DR118" s="585"/>
    </row>
    <row r="119" spans="1:122" x14ac:dyDescent="0.2">
      <c r="A119" s="90">
        <v>112</v>
      </c>
      <c r="B119" s="129" t="s">
        <v>105</v>
      </c>
      <c r="C119" s="130" t="s">
        <v>742</v>
      </c>
      <c r="D119" s="131" t="s">
        <v>743</v>
      </c>
      <c r="E119" s="132" t="s">
        <v>104</v>
      </c>
      <c r="F119" s="475" t="s">
        <v>808</v>
      </c>
      <c r="G119" s="63">
        <v>196506979</v>
      </c>
      <c r="H119" s="63">
        <v>0</v>
      </c>
      <c r="I119" s="63">
        <v>196506979</v>
      </c>
      <c r="J119" s="608">
        <v>48.4</v>
      </c>
      <c r="K119" s="63">
        <v>95109378</v>
      </c>
      <c r="L119" s="63">
        <v>0</v>
      </c>
      <c r="M119" s="63">
        <v>411000</v>
      </c>
      <c r="N119" s="63">
        <v>0</v>
      </c>
      <c r="O119" s="63">
        <v>95520378</v>
      </c>
      <c r="P119" s="63">
        <v>0</v>
      </c>
      <c r="Q119" s="63">
        <v>95520378</v>
      </c>
      <c r="R119" s="63">
        <v>0</v>
      </c>
      <c r="S119" s="63">
        <v>0</v>
      </c>
      <c r="T119" s="63">
        <v>0</v>
      </c>
      <c r="U119" s="63">
        <v>0</v>
      </c>
      <c r="V119" s="63">
        <v>0</v>
      </c>
      <c r="W119" s="63">
        <v>0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0</v>
      </c>
      <c r="AE119" s="63">
        <v>0</v>
      </c>
      <c r="AF119" s="63">
        <v>0</v>
      </c>
      <c r="AG119" s="63">
        <v>0</v>
      </c>
      <c r="AH119" s="63">
        <v>-1823482</v>
      </c>
      <c r="AI119" s="63">
        <v>0</v>
      </c>
      <c r="AJ119" s="63">
        <v>-1823482</v>
      </c>
      <c r="AK119" s="63">
        <v>-3598</v>
      </c>
      <c r="AL119" s="63">
        <v>0</v>
      </c>
      <c r="AM119" s="63">
        <v>-3598</v>
      </c>
      <c r="AN119" s="63">
        <v>2366083</v>
      </c>
      <c r="AO119" s="63">
        <v>0</v>
      </c>
      <c r="AP119" s="63">
        <v>2366083</v>
      </c>
      <c r="AQ119" s="63">
        <v>542601</v>
      </c>
      <c r="AR119" s="63">
        <v>0</v>
      </c>
      <c r="AS119" s="63">
        <v>542601</v>
      </c>
      <c r="AT119" s="63">
        <v>-8468854</v>
      </c>
      <c r="AU119" s="63">
        <v>0</v>
      </c>
      <c r="AV119" s="63">
        <v>-8468854</v>
      </c>
      <c r="AW119" s="63">
        <v>-78278</v>
      </c>
      <c r="AX119" s="63">
        <v>0</v>
      </c>
      <c r="AY119" s="63">
        <v>-78278</v>
      </c>
      <c r="AZ119" s="63">
        <v>-19638</v>
      </c>
      <c r="BA119" s="63">
        <v>0</v>
      </c>
      <c r="BB119" s="63">
        <v>-19638</v>
      </c>
      <c r="BC119" s="63">
        <v>-8024169</v>
      </c>
      <c r="BD119" s="63">
        <v>0</v>
      </c>
      <c r="BE119" s="63">
        <v>0</v>
      </c>
      <c r="BF119" s="63">
        <v>0</v>
      </c>
      <c r="BG119" s="63">
        <v>-8024169</v>
      </c>
      <c r="BH119" s="63">
        <v>0</v>
      </c>
      <c r="BI119" s="63">
        <v>-8024169</v>
      </c>
      <c r="BJ119" s="63">
        <v>0</v>
      </c>
      <c r="BK119" s="63">
        <v>0</v>
      </c>
      <c r="BL119" s="63">
        <v>0</v>
      </c>
      <c r="BM119" s="63">
        <v>-1141592</v>
      </c>
      <c r="BN119" s="63">
        <v>0</v>
      </c>
      <c r="BO119" s="63">
        <v>-1141592</v>
      </c>
      <c r="BP119" s="63">
        <v>-1141592</v>
      </c>
      <c r="BQ119" s="63">
        <v>0</v>
      </c>
      <c r="BR119" s="63">
        <v>-900000</v>
      </c>
      <c r="BS119" s="63">
        <v>0</v>
      </c>
      <c r="BT119" s="63">
        <v>-2041592</v>
      </c>
      <c r="BU119" s="63">
        <v>0</v>
      </c>
      <c r="BV119" s="63">
        <v>-2041592</v>
      </c>
      <c r="BW119" s="63">
        <v>-141803</v>
      </c>
      <c r="BX119" s="63">
        <v>0</v>
      </c>
      <c r="BY119" s="63">
        <v>-141803</v>
      </c>
      <c r="BZ119" s="63">
        <v>-6473</v>
      </c>
      <c r="CA119" s="63">
        <v>0</v>
      </c>
      <c r="CB119" s="63">
        <v>-6473</v>
      </c>
      <c r="CC119" s="63">
        <v>0</v>
      </c>
      <c r="CD119" s="63">
        <v>0</v>
      </c>
      <c r="CE119" s="63">
        <v>0</v>
      </c>
      <c r="CF119" s="63">
        <v>-19638</v>
      </c>
      <c r="CG119" s="63">
        <v>0</v>
      </c>
      <c r="CH119" s="63">
        <v>-19638</v>
      </c>
      <c r="CI119" s="63">
        <v>-17908</v>
      </c>
      <c r="CJ119" s="63">
        <v>0</v>
      </c>
      <c r="CK119" s="63">
        <v>-17908</v>
      </c>
      <c r="CL119" s="63">
        <v>0</v>
      </c>
      <c r="CM119" s="63">
        <v>0</v>
      </c>
      <c r="CN119" s="63">
        <v>0</v>
      </c>
      <c r="CO119" s="63">
        <v>0</v>
      </c>
      <c r="CP119" s="63">
        <v>0</v>
      </c>
      <c r="CQ119" s="63">
        <v>-185822</v>
      </c>
      <c r="CR119" s="63">
        <v>0</v>
      </c>
      <c r="CS119" s="63">
        <v>-37164</v>
      </c>
      <c r="CT119" s="63">
        <v>0</v>
      </c>
      <c r="CU119" s="63">
        <v>-222986</v>
      </c>
      <c r="CV119" s="63">
        <v>0</v>
      </c>
      <c r="CW119" s="63">
        <v>-222986</v>
      </c>
      <c r="CX119" s="63">
        <v>0</v>
      </c>
      <c r="CY119" s="63">
        <v>0</v>
      </c>
      <c r="CZ119" s="63">
        <v>0</v>
      </c>
      <c r="DA119" s="63">
        <v>-4712</v>
      </c>
      <c r="DB119" s="63">
        <v>0</v>
      </c>
      <c r="DC119" s="63">
        <v>-4712</v>
      </c>
      <c r="DD119" s="63">
        <v>-8410</v>
      </c>
      <c r="DE119" s="63">
        <v>0</v>
      </c>
      <c r="DF119" s="63">
        <v>-8410</v>
      </c>
      <c r="DG119" s="63">
        <v>-13122</v>
      </c>
      <c r="DH119" s="63">
        <v>0</v>
      </c>
      <c r="DI119" s="63">
        <v>0</v>
      </c>
      <c r="DJ119" s="63">
        <v>0</v>
      </c>
      <c r="DK119" s="63">
        <v>-13122</v>
      </c>
      <c r="DL119" s="63">
        <v>0</v>
      </c>
      <c r="DM119" s="63">
        <v>-13122</v>
      </c>
      <c r="DN119" s="63">
        <v>85218509</v>
      </c>
      <c r="DO119" s="63">
        <v>0</v>
      </c>
      <c r="DP119" s="63">
        <v>85218509</v>
      </c>
      <c r="DQ119" s="63"/>
      <c r="DR119" s="585"/>
    </row>
    <row r="120" spans="1:122" x14ac:dyDescent="0.2">
      <c r="A120" s="90">
        <v>113</v>
      </c>
      <c r="B120" s="129" t="s">
        <v>107</v>
      </c>
      <c r="C120" s="130" t="s">
        <v>754</v>
      </c>
      <c r="D120" s="131" t="s">
        <v>748</v>
      </c>
      <c r="E120" s="132" t="s">
        <v>106</v>
      </c>
      <c r="F120" s="475" t="s">
        <v>808</v>
      </c>
      <c r="G120" s="63">
        <v>238378834</v>
      </c>
      <c r="H120" s="63">
        <v>0</v>
      </c>
      <c r="I120" s="63">
        <v>238378834</v>
      </c>
      <c r="J120" s="608">
        <v>48.4</v>
      </c>
      <c r="K120" s="63">
        <v>115375356</v>
      </c>
      <c r="L120" s="63">
        <v>0</v>
      </c>
      <c r="M120" s="63">
        <v>-2000000</v>
      </c>
      <c r="N120" s="63">
        <v>0</v>
      </c>
      <c r="O120" s="63">
        <v>113375356</v>
      </c>
      <c r="P120" s="63">
        <v>0</v>
      </c>
      <c r="Q120" s="63">
        <v>113375356</v>
      </c>
      <c r="R120" s="63">
        <v>0</v>
      </c>
      <c r="S120" s="63">
        <v>0</v>
      </c>
      <c r="T120" s="63">
        <v>0</v>
      </c>
      <c r="U120" s="63">
        <v>0</v>
      </c>
      <c r="V120" s="63">
        <v>0</v>
      </c>
      <c r="W120" s="63">
        <v>0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0</v>
      </c>
      <c r="AE120" s="63">
        <v>0</v>
      </c>
      <c r="AF120" s="63">
        <v>0</v>
      </c>
      <c r="AG120" s="63">
        <v>0</v>
      </c>
      <c r="AH120" s="63">
        <v>-6400000</v>
      </c>
      <c r="AI120" s="63">
        <v>0</v>
      </c>
      <c r="AJ120" s="63">
        <v>-6400000</v>
      </c>
      <c r="AK120" s="63">
        <v>0</v>
      </c>
      <c r="AL120" s="63">
        <v>0</v>
      </c>
      <c r="AM120" s="63">
        <v>0</v>
      </c>
      <c r="AN120" s="63">
        <v>2500000</v>
      </c>
      <c r="AO120" s="63">
        <v>0</v>
      </c>
      <c r="AP120" s="63">
        <v>2500000</v>
      </c>
      <c r="AQ120" s="63">
        <v>-3900000</v>
      </c>
      <c r="AR120" s="63">
        <v>0</v>
      </c>
      <c r="AS120" s="63">
        <v>-3900000</v>
      </c>
      <c r="AT120" s="63">
        <v>-12250000</v>
      </c>
      <c r="AU120" s="63">
        <v>0</v>
      </c>
      <c r="AV120" s="63">
        <v>-12250000</v>
      </c>
      <c r="AW120" s="63">
        <v>0</v>
      </c>
      <c r="AX120" s="63">
        <v>0</v>
      </c>
      <c r="AY120" s="63">
        <v>0</v>
      </c>
      <c r="AZ120" s="63">
        <v>0</v>
      </c>
      <c r="BA120" s="63">
        <v>0</v>
      </c>
      <c r="BB120" s="63">
        <v>0</v>
      </c>
      <c r="BC120" s="63">
        <v>-16150000</v>
      </c>
      <c r="BD120" s="63">
        <v>0</v>
      </c>
      <c r="BE120" s="63">
        <v>0</v>
      </c>
      <c r="BF120" s="63">
        <v>0</v>
      </c>
      <c r="BG120" s="63">
        <v>-16150000</v>
      </c>
      <c r="BH120" s="63">
        <v>0</v>
      </c>
      <c r="BI120" s="63">
        <v>-16150000</v>
      </c>
      <c r="BJ120" s="63">
        <v>0</v>
      </c>
      <c r="BK120" s="63">
        <v>0</v>
      </c>
      <c r="BL120" s="63">
        <v>0</v>
      </c>
      <c r="BM120" s="63">
        <v>-3000000</v>
      </c>
      <c r="BN120" s="63">
        <v>0</v>
      </c>
      <c r="BO120" s="63">
        <v>-3000000</v>
      </c>
      <c r="BP120" s="63">
        <v>-3000000</v>
      </c>
      <c r="BQ120" s="63">
        <v>0</v>
      </c>
      <c r="BR120" s="63">
        <v>0</v>
      </c>
      <c r="BS120" s="63">
        <v>0</v>
      </c>
      <c r="BT120" s="63">
        <v>-3000000</v>
      </c>
      <c r="BU120" s="63">
        <v>0</v>
      </c>
      <c r="BV120" s="63">
        <v>-3000000</v>
      </c>
      <c r="BW120" s="63">
        <v>-200000</v>
      </c>
      <c r="BX120" s="63">
        <v>0</v>
      </c>
      <c r="BY120" s="63">
        <v>-200000</v>
      </c>
      <c r="BZ120" s="63">
        <v>-26000</v>
      </c>
      <c r="CA120" s="63">
        <v>0</v>
      </c>
      <c r="CB120" s="63">
        <v>-26000</v>
      </c>
      <c r="CC120" s="63">
        <v>0</v>
      </c>
      <c r="CD120" s="63">
        <v>0</v>
      </c>
      <c r="CE120" s="63">
        <v>0</v>
      </c>
      <c r="CF120" s="63">
        <v>0</v>
      </c>
      <c r="CG120" s="63">
        <v>0</v>
      </c>
      <c r="CH120" s="63">
        <v>0</v>
      </c>
      <c r="CI120" s="63">
        <v>0</v>
      </c>
      <c r="CJ120" s="63">
        <v>0</v>
      </c>
      <c r="CK120" s="63">
        <v>0</v>
      </c>
      <c r="CL120" s="63">
        <v>0</v>
      </c>
      <c r="CM120" s="63">
        <v>0</v>
      </c>
      <c r="CN120" s="63">
        <v>0</v>
      </c>
      <c r="CO120" s="63">
        <v>0</v>
      </c>
      <c r="CP120" s="63">
        <v>0</v>
      </c>
      <c r="CQ120" s="63">
        <v>-226000</v>
      </c>
      <c r="CR120" s="63">
        <v>0</v>
      </c>
      <c r="CS120" s="63">
        <v>0</v>
      </c>
      <c r="CT120" s="63">
        <v>0</v>
      </c>
      <c r="CU120" s="63">
        <v>-226000</v>
      </c>
      <c r="CV120" s="63">
        <v>0</v>
      </c>
      <c r="CW120" s="63">
        <v>-226000</v>
      </c>
      <c r="CX120" s="63">
        <v>0</v>
      </c>
      <c r="CY120" s="63">
        <v>0</v>
      </c>
      <c r="CZ120" s="63">
        <v>0</v>
      </c>
      <c r="DA120" s="63">
        <v>-4356</v>
      </c>
      <c r="DB120" s="63">
        <v>0</v>
      </c>
      <c r="DC120" s="63">
        <v>-4356</v>
      </c>
      <c r="DD120" s="63">
        <v>-89319</v>
      </c>
      <c r="DE120" s="63">
        <v>0</v>
      </c>
      <c r="DF120" s="63">
        <v>-89319</v>
      </c>
      <c r="DG120" s="63">
        <v>-93675</v>
      </c>
      <c r="DH120" s="63">
        <v>0</v>
      </c>
      <c r="DI120" s="63">
        <v>0</v>
      </c>
      <c r="DJ120" s="63">
        <v>0</v>
      </c>
      <c r="DK120" s="63">
        <v>-93675</v>
      </c>
      <c r="DL120" s="63">
        <v>0</v>
      </c>
      <c r="DM120" s="63">
        <v>-93675</v>
      </c>
      <c r="DN120" s="63">
        <v>93905681</v>
      </c>
      <c r="DO120" s="63">
        <v>0</v>
      </c>
      <c r="DP120" s="63">
        <v>93905681</v>
      </c>
      <c r="DQ120" s="63"/>
      <c r="DR120" s="585"/>
    </row>
    <row r="121" spans="1:122" x14ac:dyDescent="0.2">
      <c r="A121" s="90">
        <v>114</v>
      </c>
      <c r="B121" s="129" t="s">
        <v>108</v>
      </c>
      <c r="C121" s="130" t="s">
        <v>501</v>
      </c>
      <c r="D121" s="131" t="s">
        <v>744</v>
      </c>
      <c r="E121" s="132" t="s">
        <v>513</v>
      </c>
      <c r="F121" s="475" t="s">
        <v>808</v>
      </c>
      <c r="G121" s="63">
        <v>135161726</v>
      </c>
      <c r="H121" s="63">
        <v>290281</v>
      </c>
      <c r="I121" s="63">
        <v>135452007</v>
      </c>
      <c r="J121" s="608">
        <v>48.4</v>
      </c>
      <c r="K121" s="63">
        <v>65418275</v>
      </c>
      <c r="L121" s="63">
        <v>140496</v>
      </c>
      <c r="M121" s="63">
        <v>-2972000</v>
      </c>
      <c r="N121" s="63">
        <v>0</v>
      </c>
      <c r="O121" s="63">
        <v>62446275</v>
      </c>
      <c r="P121" s="63">
        <v>140496</v>
      </c>
      <c r="Q121" s="63">
        <v>62586771</v>
      </c>
      <c r="R121" s="63">
        <v>0</v>
      </c>
      <c r="S121" s="63">
        <v>0</v>
      </c>
      <c r="T121" s="63">
        <v>0</v>
      </c>
      <c r="U121" s="63">
        <v>0</v>
      </c>
      <c r="V121" s="63">
        <v>0</v>
      </c>
      <c r="W121" s="63">
        <v>0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0</v>
      </c>
      <c r="AE121" s="63">
        <v>0</v>
      </c>
      <c r="AF121" s="63">
        <v>0</v>
      </c>
      <c r="AG121" s="63">
        <v>0</v>
      </c>
      <c r="AH121" s="63">
        <v>-2005021</v>
      </c>
      <c r="AI121" s="63">
        <v>0</v>
      </c>
      <c r="AJ121" s="63">
        <v>-2005021</v>
      </c>
      <c r="AK121" s="63">
        <v>-8709</v>
      </c>
      <c r="AL121" s="63">
        <v>0</v>
      </c>
      <c r="AM121" s="63">
        <v>-8709</v>
      </c>
      <c r="AN121" s="63">
        <v>1354344</v>
      </c>
      <c r="AO121" s="63">
        <v>0</v>
      </c>
      <c r="AP121" s="63">
        <v>1354344</v>
      </c>
      <c r="AQ121" s="63">
        <v>-650677</v>
      </c>
      <c r="AR121" s="63">
        <v>0</v>
      </c>
      <c r="AS121" s="63">
        <v>-650677</v>
      </c>
      <c r="AT121" s="63">
        <v>-2610647</v>
      </c>
      <c r="AU121" s="63">
        <v>0</v>
      </c>
      <c r="AV121" s="63">
        <v>-2610647</v>
      </c>
      <c r="AW121" s="63">
        <v>-91965</v>
      </c>
      <c r="AX121" s="63">
        <v>0</v>
      </c>
      <c r="AY121" s="63">
        <v>-91965</v>
      </c>
      <c r="AZ121" s="63">
        <v>-1591</v>
      </c>
      <c r="BA121" s="63">
        <v>0</v>
      </c>
      <c r="BB121" s="63">
        <v>-1591</v>
      </c>
      <c r="BC121" s="63">
        <v>-3354880</v>
      </c>
      <c r="BD121" s="63">
        <v>0</v>
      </c>
      <c r="BE121" s="63">
        <v>0</v>
      </c>
      <c r="BF121" s="63">
        <v>0</v>
      </c>
      <c r="BG121" s="63">
        <v>-3354880</v>
      </c>
      <c r="BH121" s="63">
        <v>0</v>
      </c>
      <c r="BI121" s="63">
        <v>-3354880</v>
      </c>
      <c r="BJ121" s="63">
        <v>0</v>
      </c>
      <c r="BK121" s="63">
        <v>0</v>
      </c>
      <c r="BL121" s="63">
        <v>0</v>
      </c>
      <c r="BM121" s="63">
        <v>-1444289</v>
      </c>
      <c r="BN121" s="63">
        <v>0</v>
      </c>
      <c r="BO121" s="63">
        <v>-1444289</v>
      </c>
      <c r="BP121" s="63">
        <v>-1444289</v>
      </c>
      <c r="BQ121" s="63">
        <v>0</v>
      </c>
      <c r="BR121" s="63">
        <v>0</v>
      </c>
      <c r="BS121" s="63">
        <v>0</v>
      </c>
      <c r="BT121" s="63">
        <v>-1444289</v>
      </c>
      <c r="BU121" s="63">
        <v>0</v>
      </c>
      <c r="BV121" s="63">
        <v>-1444289</v>
      </c>
      <c r="BW121" s="63">
        <v>-84665</v>
      </c>
      <c r="BX121" s="63">
        <v>0</v>
      </c>
      <c r="BY121" s="63">
        <v>-84665</v>
      </c>
      <c r="BZ121" s="63">
        <v>-272147</v>
      </c>
      <c r="CA121" s="63">
        <v>0</v>
      </c>
      <c r="CB121" s="63">
        <v>-272147</v>
      </c>
      <c r="CC121" s="63">
        <v>-13969</v>
      </c>
      <c r="CD121" s="63">
        <v>0</v>
      </c>
      <c r="CE121" s="63">
        <v>-13969</v>
      </c>
      <c r="CF121" s="63">
        <v>0</v>
      </c>
      <c r="CG121" s="63">
        <v>0</v>
      </c>
      <c r="CH121" s="63">
        <v>0</v>
      </c>
      <c r="CI121" s="63">
        <v>0</v>
      </c>
      <c r="CJ121" s="63">
        <v>0</v>
      </c>
      <c r="CK121" s="63">
        <v>0</v>
      </c>
      <c r="CL121" s="63">
        <v>-33529</v>
      </c>
      <c r="CM121" s="63">
        <v>-140496</v>
      </c>
      <c r="CN121" s="63">
        <v>-174025</v>
      </c>
      <c r="CO121" s="63">
        <v>-140496</v>
      </c>
      <c r="CP121" s="63">
        <v>-33529</v>
      </c>
      <c r="CQ121" s="63">
        <v>-404310</v>
      </c>
      <c r="CR121" s="63">
        <v>-140496</v>
      </c>
      <c r="CS121" s="63">
        <v>0</v>
      </c>
      <c r="CT121" s="63">
        <v>0</v>
      </c>
      <c r="CU121" s="63">
        <v>-404310</v>
      </c>
      <c r="CV121" s="63">
        <v>-140496</v>
      </c>
      <c r="CW121" s="63">
        <v>-544806</v>
      </c>
      <c r="CX121" s="63">
        <v>0</v>
      </c>
      <c r="CY121" s="63">
        <v>0</v>
      </c>
      <c r="CZ121" s="63">
        <v>0</v>
      </c>
      <c r="DA121" s="63">
        <v>-26170</v>
      </c>
      <c r="DB121" s="63">
        <v>0</v>
      </c>
      <c r="DC121" s="63">
        <v>-26170</v>
      </c>
      <c r="DD121" s="63">
        <v>0</v>
      </c>
      <c r="DE121" s="63">
        <v>0</v>
      </c>
      <c r="DF121" s="63">
        <v>0</v>
      </c>
      <c r="DG121" s="63">
        <v>-26170</v>
      </c>
      <c r="DH121" s="63">
        <v>0</v>
      </c>
      <c r="DI121" s="63">
        <v>0</v>
      </c>
      <c r="DJ121" s="63">
        <v>0</v>
      </c>
      <c r="DK121" s="63">
        <v>-26170</v>
      </c>
      <c r="DL121" s="63">
        <v>0</v>
      </c>
      <c r="DM121" s="63">
        <v>-26170</v>
      </c>
      <c r="DN121" s="63">
        <v>57216626</v>
      </c>
      <c r="DO121" s="63">
        <v>0</v>
      </c>
      <c r="DP121" s="63">
        <v>57216626</v>
      </c>
      <c r="DQ121" s="63"/>
      <c r="DR121" s="585" t="s">
        <v>768</v>
      </c>
    </row>
    <row r="122" spans="1:122" x14ac:dyDescent="0.2">
      <c r="A122" s="90">
        <v>115</v>
      </c>
      <c r="B122" s="129" t="s">
        <v>110</v>
      </c>
      <c r="C122" s="130" t="s">
        <v>742</v>
      </c>
      <c r="D122" s="131" t="s">
        <v>750</v>
      </c>
      <c r="E122" s="132" t="s">
        <v>109</v>
      </c>
      <c r="F122" s="475" t="s">
        <v>808</v>
      </c>
      <c r="G122" s="63">
        <v>67409629</v>
      </c>
      <c r="H122" s="63">
        <v>0</v>
      </c>
      <c r="I122" s="63">
        <v>67409629</v>
      </c>
      <c r="J122" s="608">
        <v>48.4</v>
      </c>
      <c r="K122" s="63">
        <v>32626260</v>
      </c>
      <c r="L122" s="63">
        <v>0</v>
      </c>
      <c r="M122" s="63">
        <v>0</v>
      </c>
      <c r="N122" s="63">
        <v>0</v>
      </c>
      <c r="O122" s="63">
        <v>32626260</v>
      </c>
      <c r="P122" s="63">
        <v>0</v>
      </c>
      <c r="Q122" s="63">
        <v>32626260</v>
      </c>
      <c r="R122" s="63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0</v>
      </c>
      <c r="AE122" s="63">
        <v>0</v>
      </c>
      <c r="AF122" s="63">
        <v>0</v>
      </c>
      <c r="AG122" s="63">
        <v>0</v>
      </c>
      <c r="AH122" s="63">
        <v>-2835437</v>
      </c>
      <c r="AI122" s="63">
        <v>0</v>
      </c>
      <c r="AJ122" s="63">
        <v>-2835437</v>
      </c>
      <c r="AK122" s="63">
        <v>-14497</v>
      </c>
      <c r="AL122" s="63">
        <v>0</v>
      </c>
      <c r="AM122" s="63">
        <v>-14497</v>
      </c>
      <c r="AN122" s="63">
        <v>660696</v>
      </c>
      <c r="AO122" s="63">
        <v>0</v>
      </c>
      <c r="AP122" s="63">
        <v>660696</v>
      </c>
      <c r="AQ122" s="63">
        <v>-2174741</v>
      </c>
      <c r="AR122" s="63">
        <v>0</v>
      </c>
      <c r="AS122" s="63">
        <v>-2174741</v>
      </c>
      <c r="AT122" s="63">
        <v>-940089</v>
      </c>
      <c r="AU122" s="63">
        <v>0</v>
      </c>
      <c r="AV122" s="63">
        <v>-940089</v>
      </c>
      <c r="AW122" s="63">
        <v>-103004</v>
      </c>
      <c r="AX122" s="63">
        <v>0</v>
      </c>
      <c r="AY122" s="63">
        <v>-103004</v>
      </c>
      <c r="AZ122" s="63">
        <v>-70054</v>
      </c>
      <c r="BA122" s="63">
        <v>0</v>
      </c>
      <c r="BB122" s="63">
        <v>-70054</v>
      </c>
      <c r="BC122" s="63">
        <v>-3287888</v>
      </c>
      <c r="BD122" s="63">
        <v>0</v>
      </c>
      <c r="BE122" s="63">
        <v>0</v>
      </c>
      <c r="BF122" s="63">
        <v>0</v>
      </c>
      <c r="BG122" s="63">
        <v>-3287888</v>
      </c>
      <c r="BH122" s="63">
        <v>0</v>
      </c>
      <c r="BI122" s="63">
        <v>-3287888</v>
      </c>
      <c r="BJ122" s="63">
        <v>-10500</v>
      </c>
      <c r="BK122" s="63">
        <v>0</v>
      </c>
      <c r="BL122" s="63">
        <v>-10500</v>
      </c>
      <c r="BM122" s="63">
        <v>-815157</v>
      </c>
      <c r="BN122" s="63">
        <v>0</v>
      </c>
      <c r="BO122" s="63">
        <v>-815157</v>
      </c>
      <c r="BP122" s="63">
        <v>-825657</v>
      </c>
      <c r="BQ122" s="63">
        <v>0</v>
      </c>
      <c r="BR122" s="63">
        <v>0</v>
      </c>
      <c r="BS122" s="63">
        <v>0</v>
      </c>
      <c r="BT122" s="63">
        <v>-825657</v>
      </c>
      <c r="BU122" s="63">
        <v>0</v>
      </c>
      <c r="BV122" s="63">
        <v>-825657</v>
      </c>
      <c r="BW122" s="63">
        <v>-72075</v>
      </c>
      <c r="BX122" s="63">
        <v>0</v>
      </c>
      <c r="BY122" s="63">
        <v>-72075</v>
      </c>
      <c r="BZ122" s="63">
        <v>-27076</v>
      </c>
      <c r="CA122" s="63">
        <v>0</v>
      </c>
      <c r="CB122" s="63">
        <v>-27076</v>
      </c>
      <c r="CC122" s="63">
        <v>-1415</v>
      </c>
      <c r="CD122" s="63">
        <v>0</v>
      </c>
      <c r="CE122" s="63">
        <v>-1415</v>
      </c>
      <c r="CF122" s="63">
        <v>-13123</v>
      </c>
      <c r="CG122" s="63">
        <v>0</v>
      </c>
      <c r="CH122" s="63">
        <v>-13123</v>
      </c>
      <c r="CI122" s="63">
        <v>-374</v>
      </c>
      <c r="CJ122" s="63">
        <v>0</v>
      </c>
      <c r="CK122" s="63">
        <v>-374</v>
      </c>
      <c r="CL122" s="63">
        <v>0</v>
      </c>
      <c r="CM122" s="63">
        <v>0</v>
      </c>
      <c r="CN122" s="63">
        <v>0</v>
      </c>
      <c r="CO122" s="63">
        <v>0</v>
      </c>
      <c r="CP122" s="63">
        <v>0</v>
      </c>
      <c r="CQ122" s="63">
        <v>-114063</v>
      </c>
      <c r="CR122" s="63">
        <v>0</v>
      </c>
      <c r="CS122" s="63">
        <v>0</v>
      </c>
      <c r="CT122" s="63">
        <v>0</v>
      </c>
      <c r="CU122" s="63">
        <v>-114063</v>
      </c>
      <c r="CV122" s="63">
        <v>0</v>
      </c>
      <c r="CW122" s="63">
        <v>-114063</v>
      </c>
      <c r="CX122" s="63">
        <v>-20000</v>
      </c>
      <c r="CY122" s="63">
        <v>0</v>
      </c>
      <c r="CZ122" s="63">
        <v>-20000</v>
      </c>
      <c r="DA122" s="63">
        <v>-20000</v>
      </c>
      <c r="DB122" s="63">
        <v>0</v>
      </c>
      <c r="DC122" s="63">
        <v>-20000</v>
      </c>
      <c r="DD122" s="63">
        <v>-2000</v>
      </c>
      <c r="DE122" s="63">
        <v>0</v>
      </c>
      <c r="DF122" s="63">
        <v>-2000</v>
      </c>
      <c r="DG122" s="63">
        <v>-42000</v>
      </c>
      <c r="DH122" s="63">
        <v>0</v>
      </c>
      <c r="DI122" s="63">
        <v>0</v>
      </c>
      <c r="DJ122" s="63">
        <v>0</v>
      </c>
      <c r="DK122" s="63">
        <v>-42000</v>
      </c>
      <c r="DL122" s="63">
        <v>0</v>
      </c>
      <c r="DM122" s="63">
        <v>-42000</v>
      </c>
      <c r="DN122" s="63">
        <v>28356652</v>
      </c>
      <c r="DO122" s="63">
        <v>0</v>
      </c>
      <c r="DP122" s="63">
        <v>28356652</v>
      </c>
      <c r="DQ122" s="63"/>
      <c r="DR122" s="585"/>
    </row>
    <row r="123" spans="1:122" x14ac:dyDescent="0.2">
      <c r="A123" s="90">
        <v>116</v>
      </c>
      <c r="B123" s="129" t="s">
        <v>111</v>
      </c>
      <c r="C123" s="130" t="s">
        <v>754</v>
      </c>
      <c r="D123" s="131" t="s">
        <v>748</v>
      </c>
      <c r="E123" s="132" t="s">
        <v>552</v>
      </c>
      <c r="F123" s="475" t="s">
        <v>808</v>
      </c>
      <c r="G123" s="63">
        <v>436434924</v>
      </c>
      <c r="H123" s="63">
        <v>0</v>
      </c>
      <c r="I123" s="63">
        <v>436434924</v>
      </c>
      <c r="J123" s="608">
        <v>48.4</v>
      </c>
      <c r="K123" s="63">
        <v>211234503</v>
      </c>
      <c r="L123" s="63">
        <v>0</v>
      </c>
      <c r="M123" s="63">
        <v>0</v>
      </c>
      <c r="N123" s="63">
        <v>0</v>
      </c>
      <c r="O123" s="63">
        <v>211234503</v>
      </c>
      <c r="P123" s="63">
        <v>0</v>
      </c>
      <c r="Q123" s="63">
        <v>211234503</v>
      </c>
      <c r="R123" s="63">
        <v>0</v>
      </c>
      <c r="S123" s="63">
        <v>0</v>
      </c>
      <c r="T123" s="63">
        <v>0</v>
      </c>
      <c r="U123" s="63">
        <v>0</v>
      </c>
      <c r="V123" s="63">
        <v>0</v>
      </c>
      <c r="W123" s="63">
        <v>0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0</v>
      </c>
      <c r="AE123" s="63">
        <v>0</v>
      </c>
      <c r="AF123" s="63">
        <v>0</v>
      </c>
      <c r="AG123" s="63">
        <v>0</v>
      </c>
      <c r="AH123" s="63">
        <v>-2290204</v>
      </c>
      <c r="AI123" s="63">
        <v>0</v>
      </c>
      <c r="AJ123" s="63">
        <v>-2290204</v>
      </c>
      <c r="AK123" s="63">
        <v>0</v>
      </c>
      <c r="AL123" s="63">
        <v>0</v>
      </c>
      <c r="AM123" s="63">
        <v>0</v>
      </c>
      <c r="AN123" s="63">
        <v>5019448</v>
      </c>
      <c r="AO123" s="63">
        <v>0</v>
      </c>
      <c r="AP123" s="63">
        <v>5019448</v>
      </c>
      <c r="AQ123" s="63">
        <v>2729244</v>
      </c>
      <c r="AR123" s="63">
        <v>0</v>
      </c>
      <c r="AS123" s="63">
        <v>2729244</v>
      </c>
      <c r="AT123" s="63">
        <v>-9128697</v>
      </c>
      <c r="AU123" s="63">
        <v>0</v>
      </c>
      <c r="AV123" s="63">
        <v>-9128697</v>
      </c>
      <c r="AW123" s="63">
        <v>0</v>
      </c>
      <c r="AX123" s="63">
        <v>0</v>
      </c>
      <c r="AY123" s="63">
        <v>0</v>
      </c>
      <c r="AZ123" s="63">
        <v>0</v>
      </c>
      <c r="BA123" s="63">
        <v>0</v>
      </c>
      <c r="BB123" s="63">
        <v>0</v>
      </c>
      <c r="BC123" s="63">
        <v>-6399453</v>
      </c>
      <c r="BD123" s="63">
        <v>0</v>
      </c>
      <c r="BE123" s="63">
        <v>0</v>
      </c>
      <c r="BF123" s="63">
        <v>0</v>
      </c>
      <c r="BG123" s="63">
        <v>-6399453</v>
      </c>
      <c r="BH123" s="63">
        <v>0</v>
      </c>
      <c r="BI123" s="63">
        <v>-6399453</v>
      </c>
      <c r="BJ123" s="63">
        <v>0</v>
      </c>
      <c r="BK123" s="63">
        <v>0</v>
      </c>
      <c r="BL123" s="63">
        <v>0</v>
      </c>
      <c r="BM123" s="63">
        <v>-4700379</v>
      </c>
      <c r="BN123" s="63">
        <v>0</v>
      </c>
      <c r="BO123" s="63">
        <v>-4700379</v>
      </c>
      <c r="BP123" s="63">
        <v>-4700379</v>
      </c>
      <c r="BQ123" s="63">
        <v>0</v>
      </c>
      <c r="BR123" s="63">
        <v>0</v>
      </c>
      <c r="BS123" s="63">
        <v>0</v>
      </c>
      <c r="BT123" s="63">
        <v>-4700379</v>
      </c>
      <c r="BU123" s="63">
        <v>0</v>
      </c>
      <c r="BV123" s="63">
        <v>-4700379</v>
      </c>
      <c r="BW123" s="63">
        <v>-52342</v>
      </c>
      <c r="BX123" s="63">
        <v>0</v>
      </c>
      <c r="BY123" s="63">
        <v>-52342</v>
      </c>
      <c r="BZ123" s="63">
        <v>-79574</v>
      </c>
      <c r="CA123" s="63">
        <v>0</v>
      </c>
      <c r="CB123" s="63">
        <v>-79574</v>
      </c>
      <c r="CC123" s="63">
        <v>0</v>
      </c>
      <c r="CD123" s="63">
        <v>0</v>
      </c>
      <c r="CE123" s="63">
        <v>0</v>
      </c>
      <c r="CF123" s="63">
        <v>0</v>
      </c>
      <c r="CG123" s="63">
        <v>0</v>
      </c>
      <c r="CH123" s="63">
        <v>0</v>
      </c>
      <c r="CI123" s="63">
        <v>0</v>
      </c>
      <c r="CJ123" s="63">
        <v>0</v>
      </c>
      <c r="CK123" s="63">
        <v>0</v>
      </c>
      <c r="CL123" s="63">
        <v>0</v>
      </c>
      <c r="CM123" s="63">
        <v>0</v>
      </c>
      <c r="CN123" s="63">
        <v>0</v>
      </c>
      <c r="CO123" s="63">
        <v>0</v>
      </c>
      <c r="CP123" s="63">
        <v>0</v>
      </c>
      <c r="CQ123" s="63">
        <v>-131916</v>
      </c>
      <c r="CR123" s="63">
        <v>0</v>
      </c>
      <c r="CS123" s="63">
        <v>0</v>
      </c>
      <c r="CT123" s="63">
        <v>0</v>
      </c>
      <c r="CU123" s="63">
        <v>-131916</v>
      </c>
      <c r="CV123" s="63">
        <v>0</v>
      </c>
      <c r="CW123" s="63">
        <v>-131916</v>
      </c>
      <c r="CX123" s="63">
        <v>-352528</v>
      </c>
      <c r="CY123" s="63">
        <v>0</v>
      </c>
      <c r="CZ123" s="63">
        <v>-352528</v>
      </c>
      <c r="DA123" s="63">
        <v>-24279</v>
      </c>
      <c r="DB123" s="63">
        <v>0</v>
      </c>
      <c r="DC123" s="63">
        <v>-24279</v>
      </c>
      <c r="DD123" s="63">
        <v>0</v>
      </c>
      <c r="DE123" s="63">
        <v>0</v>
      </c>
      <c r="DF123" s="63">
        <v>0</v>
      </c>
      <c r="DG123" s="63">
        <v>-376807</v>
      </c>
      <c r="DH123" s="63">
        <v>0</v>
      </c>
      <c r="DI123" s="63">
        <v>0</v>
      </c>
      <c r="DJ123" s="63">
        <v>0</v>
      </c>
      <c r="DK123" s="63">
        <v>-376807</v>
      </c>
      <c r="DL123" s="63">
        <v>0</v>
      </c>
      <c r="DM123" s="63">
        <v>-376807</v>
      </c>
      <c r="DN123" s="63">
        <v>199625948</v>
      </c>
      <c r="DO123" s="63">
        <v>0</v>
      </c>
      <c r="DP123" s="63">
        <v>199625948</v>
      </c>
      <c r="DQ123" s="63"/>
      <c r="DR123" s="585"/>
    </row>
    <row r="124" spans="1:122" x14ac:dyDescent="0.2">
      <c r="A124" s="90">
        <v>117</v>
      </c>
      <c r="B124" s="129" t="s">
        <v>113</v>
      </c>
      <c r="C124" s="130" t="s">
        <v>742</v>
      </c>
      <c r="D124" s="131" t="s">
        <v>745</v>
      </c>
      <c r="E124" s="132" t="s">
        <v>112</v>
      </c>
      <c r="F124" s="475" t="s">
        <v>808</v>
      </c>
      <c r="G124" s="63">
        <v>90602322</v>
      </c>
      <c r="H124" s="63">
        <v>0</v>
      </c>
      <c r="I124" s="63">
        <v>90602322</v>
      </c>
      <c r="J124" s="608">
        <v>48.4</v>
      </c>
      <c r="K124" s="63">
        <v>43851524</v>
      </c>
      <c r="L124" s="63">
        <v>0</v>
      </c>
      <c r="M124" s="63">
        <v>170000</v>
      </c>
      <c r="N124" s="63">
        <v>0</v>
      </c>
      <c r="O124" s="63">
        <v>44021524</v>
      </c>
      <c r="P124" s="63">
        <v>0</v>
      </c>
      <c r="Q124" s="63">
        <v>44021524</v>
      </c>
      <c r="R124" s="63">
        <v>0</v>
      </c>
      <c r="S124" s="63">
        <v>0</v>
      </c>
      <c r="T124" s="63">
        <v>0</v>
      </c>
      <c r="U124" s="63">
        <v>0</v>
      </c>
      <c r="V124" s="63">
        <v>0</v>
      </c>
      <c r="W124" s="63">
        <v>0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0</v>
      </c>
      <c r="AE124" s="63">
        <v>0</v>
      </c>
      <c r="AF124" s="63">
        <v>0</v>
      </c>
      <c r="AG124" s="63">
        <v>0</v>
      </c>
      <c r="AH124" s="63">
        <v>-1794461</v>
      </c>
      <c r="AI124" s="63">
        <v>0</v>
      </c>
      <c r="AJ124" s="63">
        <v>-1794461</v>
      </c>
      <c r="AK124" s="63">
        <v>-2609</v>
      </c>
      <c r="AL124" s="63">
        <v>0</v>
      </c>
      <c r="AM124" s="63">
        <v>-2609</v>
      </c>
      <c r="AN124" s="63">
        <v>1019246</v>
      </c>
      <c r="AO124" s="63">
        <v>0</v>
      </c>
      <c r="AP124" s="63">
        <v>1019246</v>
      </c>
      <c r="AQ124" s="63">
        <v>-775215</v>
      </c>
      <c r="AR124" s="63">
        <v>0</v>
      </c>
      <c r="AS124" s="63">
        <v>-775215</v>
      </c>
      <c r="AT124" s="63">
        <v>-1650090</v>
      </c>
      <c r="AU124" s="63">
        <v>0</v>
      </c>
      <c r="AV124" s="63">
        <v>-1650090</v>
      </c>
      <c r="AW124" s="63">
        <v>-43169</v>
      </c>
      <c r="AX124" s="63">
        <v>0</v>
      </c>
      <c r="AY124" s="63">
        <v>-43169</v>
      </c>
      <c r="AZ124" s="63">
        <v>-35350</v>
      </c>
      <c r="BA124" s="63">
        <v>0</v>
      </c>
      <c r="BB124" s="63">
        <v>-35350</v>
      </c>
      <c r="BC124" s="63">
        <v>-2503824</v>
      </c>
      <c r="BD124" s="63">
        <v>0</v>
      </c>
      <c r="BE124" s="63">
        <v>-75000</v>
      </c>
      <c r="BF124" s="63">
        <v>0</v>
      </c>
      <c r="BG124" s="63">
        <v>-2578824</v>
      </c>
      <c r="BH124" s="63">
        <v>0</v>
      </c>
      <c r="BI124" s="63">
        <v>-2578824</v>
      </c>
      <c r="BJ124" s="63">
        <v>-655000</v>
      </c>
      <c r="BK124" s="63">
        <v>0</v>
      </c>
      <c r="BL124" s="63">
        <v>-655000</v>
      </c>
      <c r="BM124" s="63">
        <v>-1000000</v>
      </c>
      <c r="BN124" s="63">
        <v>0</v>
      </c>
      <c r="BO124" s="63">
        <v>-1000000</v>
      </c>
      <c r="BP124" s="63">
        <v>-1655000</v>
      </c>
      <c r="BQ124" s="63">
        <v>0</v>
      </c>
      <c r="BR124" s="63">
        <v>-850000</v>
      </c>
      <c r="BS124" s="63">
        <v>0</v>
      </c>
      <c r="BT124" s="63">
        <v>-2505000</v>
      </c>
      <c r="BU124" s="63">
        <v>0</v>
      </c>
      <c r="BV124" s="63">
        <v>-2505000</v>
      </c>
      <c r="BW124" s="63">
        <v>-23577</v>
      </c>
      <c r="BX124" s="63">
        <v>0</v>
      </c>
      <c r="BY124" s="63">
        <v>-23577</v>
      </c>
      <c r="BZ124" s="63">
        <v>-34505</v>
      </c>
      <c r="CA124" s="63">
        <v>0</v>
      </c>
      <c r="CB124" s="63">
        <v>-34505</v>
      </c>
      <c r="CC124" s="63">
        <v>-10792</v>
      </c>
      <c r="CD124" s="63">
        <v>0</v>
      </c>
      <c r="CE124" s="63">
        <v>-10792</v>
      </c>
      <c r="CF124" s="63">
        <v>-35350</v>
      </c>
      <c r="CG124" s="63">
        <v>0</v>
      </c>
      <c r="CH124" s="63">
        <v>-35350</v>
      </c>
      <c r="CI124" s="63">
        <v>0</v>
      </c>
      <c r="CJ124" s="63">
        <v>0</v>
      </c>
      <c r="CK124" s="63">
        <v>0</v>
      </c>
      <c r="CL124" s="63">
        <v>0</v>
      </c>
      <c r="CM124" s="63">
        <v>0</v>
      </c>
      <c r="CN124" s="63">
        <v>0</v>
      </c>
      <c r="CO124" s="63">
        <v>0</v>
      </c>
      <c r="CP124" s="63">
        <v>0</v>
      </c>
      <c r="CQ124" s="63">
        <v>-104224</v>
      </c>
      <c r="CR124" s="63">
        <v>0</v>
      </c>
      <c r="CS124" s="63">
        <v>0</v>
      </c>
      <c r="CT124" s="63">
        <v>0</v>
      </c>
      <c r="CU124" s="63">
        <v>-104224</v>
      </c>
      <c r="CV124" s="63">
        <v>0</v>
      </c>
      <c r="CW124" s="63">
        <v>-104224</v>
      </c>
      <c r="CX124" s="63">
        <v>-15000</v>
      </c>
      <c r="CY124" s="63">
        <v>0</v>
      </c>
      <c r="CZ124" s="63">
        <v>-15000</v>
      </c>
      <c r="DA124" s="63">
        <v>0</v>
      </c>
      <c r="DB124" s="63">
        <v>0</v>
      </c>
      <c r="DC124" s="63">
        <v>0</v>
      </c>
      <c r="DD124" s="63">
        <v>-3471</v>
      </c>
      <c r="DE124" s="63">
        <v>0</v>
      </c>
      <c r="DF124" s="63">
        <v>-3471</v>
      </c>
      <c r="DG124" s="63">
        <v>-18471</v>
      </c>
      <c r="DH124" s="63">
        <v>0</v>
      </c>
      <c r="DI124" s="63">
        <v>-15000</v>
      </c>
      <c r="DJ124" s="63">
        <v>0</v>
      </c>
      <c r="DK124" s="63">
        <v>-33471</v>
      </c>
      <c r="DL124" s="63">
        <v>0</v>
      </c>
      <c r="DM124" s="63">
        <v>-33471</v>
      </c>
      <c r="DN124" s="63">
        <v>38800005</v>
      </c>
      <c r="DO124" s="63">
        <v>0</v>
      </c>
      <c r="DP124" s="63">
        <v>38800005</v>
      </c>
      <c r="DQ124" s="63"/>
      <c r="DR124" s="585"/>
    </row>
    <row r="125" spans="1:122" x14ac:dyDescent="0.2">
      <c r="A125" s="90">
        <v>118</v>
      </c>
      <c r="B125" s="129" t="s">
        <v>115</v>
      </c>
      <c r="C125" s="130" t="s">
        <v>747</v>
      </c>
      <c r="D125" s="131" t="s">
        <v>748</v>
      </c>
      <c r="E125" s="132" t="s">
        <v>114</v>
      </c>
      <c r="F125" s="475" t="s">
        <v>808</v>
      </c>
      <c r="G125" s="63">
        <v>165294432</v>
      </c>
      <c r="H125" s="63">
        <v>0</v>
      </c>
      <c r="I125" s="63">
        <v>165294432</v>
      </c>
      <c r="J125" s="608">
        <v>48.4</v>
      </c>
      <c r="K125" s="63">
        <v>80002505</v>
      </c>
      <c r="L125" s="63">
        <v>0</v>
      </c>
      <c r="M125" s="63">
        <v>0</v>
      </c>
      <c r="N125" s="63">
        <v>0</v>
      </c>
      <c r="O125" s="63">
        <v>80002505</v>
      </c>
      <c r="P125" s="63">
        <v>0</v>
      </c>
      <c r="Q125" s="63">
        <v>80002505</v>
      </c>
      <c r="R125" s="63">
        <v>0</v>
      </c>
      <c r="S125" s="63">
        <v>0</v>
      </c>
      <c r="T125" s="63">
        <v>0</v>
      </c>
      <c r="U125" s="63">
        <v>0</v>
      </c>
      <c r="V125" s="63">
        <v>0</v>
      </c>
      <c r="W125" s="63">
        <v>0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0</v>
      </c>
      <c r="AE125" s="63">
        <v>0</v>
      </c>
      <c r="AF125" s="63">
        <v>0</v>
      </c>
      <c r="AG125" s="63">
        <v>0</v>
      </c>
      <c r="AH125" s="63">
        <v>-4358230</v>
      </c>
      <c r="AI125" s="63">
        <v>0</v>
      </c>
      <c r="AJ125" s="63">
        <v>-4358230</v>
      </c>
      <c r="AK125" s="63">
        <v>0</v>
      </c>
      <c r="AL125" s="63">
        <v>0</v>
      </c>
      <c r="AM125" s="63">
        <v>0</v>
      </c>
      <c r="AN125" s="63">
        <v>1565990</v>
      </c>
      <c r="AO125" s="63">
        <v>0</v>
      </c>
      <c r="AP125" s="63">
        <v>1565990</v>
      </c>
      <c r="AQ125" s="63">
        <v>-2792240</v>
      </c>
      <c r="AR125" s="63">
        <v>0</v>
      </c>
      <c r="AS125" s="63">
        <v>-2792240</v>
      </c>
      <c r="AT125" s="63">
        <v>-5609808</v>
      </c>
      <c r="AU125" s="63">
        <v>0</v>
      </c>
      <c r="AV125" s="63">
        <v>-5609808</v>
      </c>
      <c r="AW125" s="63">
        <v>-25605</v>
      </c>
      <c r="AX125" s="63">
        <v>0</v>
      </c>
      <c r="AY125" s="63">
        <v>-25605</v>
      </c>
      <c r="AZ125" s="63">
        <v>0</v>
      </c>
      <c r="BA125" s="63">
        <v>0</v>
      </c>
      <c r="BB125" s="63">
        <v>0</v>
      </c>
      <c r="BC125" s="63">
        <v>-8427653</v>
      </c>
      <c r="BD125" s="63">
        <v>0</v>
      </c>
      <c r="BE125" s="63">
        <v>0</v>
      </c>
      <c r="BF125" s="63">
        <v>0</v>
      </c>
      <c r="BG125" s="63">
        <v>-8427653</v>
      </c>
      <c r="BH125" s="63">
        <v>0</v>
      </c>
      <c r="BI125" s="63">
        <v>-8427653</v>
      </c>
      <c r="BJ125" s="63">
        <v>-10000</v>
      </c>
      <c r="BK125" s="63">
        <v>0</v>
      </c>
      <c r="BL125" s="63">
        <v>-10000</v>
      </c>
      <c r="BM125" s="63">
        <v>-1400000</v>
      </c>
      <c r="BN125" s="63">
        <v>0</v>
      </c>
      <c r="BO125" s="63">
        <v>-1400000</v>
      </c>
      <c r="BP125" s="63">
        <v>-1410000</v>
      </c>
      <c r="BQ125" s="63">
        <v>0</v>
      </c>
      <c r="BR125" s="63">
        <v>0</v>
      </c>
      <c r="BS125" s="63">
        <v>0</v>
      </c>
      <c r="BT125" s="63">
        <v>-1410000</v>
      </c>
      <c r="BU125" s="63">
        <v>0</v>
      </c>
      <c r="BV125" s="63">
        <v>-1410000</v>
      </c>
      <c r="BW125" s="63">
        <v>-452506</v>
      </c>
      <c r="BX125" s="63">
        <v>0</v>
      </c>
      <c r="BY125" s="63">
        <v>-452506</v>
      </c>
      <c r="BZ125" s="63">
        <v>-205810</v>
      </c>
      <c r="CA125" s="63">
        <v>0</v>
      </c>
      <c r="CB125" s="63">
        <v>-205810</v>
      </c>
      <c r="CC125" s="63">
        <v>0</v>
      </c>
      <c r="CD125" s="63">
        <v>0</v>
      </c>
      <c r="CE125" s="63">
        <v>0</v>
      </c>
      <c r="CF125" s="63">
        <v>0</v>
      </c>
      <c r="CG125" s="63">
        <v>0</v>
      </c>
      <c r="CH125" s="63">
        <v>0</v>
      </c>
      <c r="CI125" s="63">
        <v>0</v>
      </c>
      <c r="CJ125" s="63">
        <v>0</v>
      </c>
      <c r="CK125" s="63">
        <v>0</v>
      </c>
      <c r="CL125" s="63">
        <v>0</v>
      </c>
      <c r="CM125" s="63">
        <v>0</v>
      </c>
      <c r="CN125" s="63">
        <v>0</v>
      </c>
      <c r="CO125" s="63">
        <v>0</v>
      </c>
      <c r="CP125" s="63">
        <v>0</v>
      </c>
      <c r="CQ125" s="63">
        <v>-658316</v>
      </c>
      <c r="CR125" s="63">
        <v>0</v>
      </c>
      <c r="CS125" s="63">
        <v>0</v>
      </c>
      <c r="CT125" s="63">
        <v>0</v>
      </c>
      <c r="CU125" s="63">
        <v>-658316</v>
      </c>
      <c r="CV125" s="63">
        <v>0</v>
      </c>
      <c r="CW125" s="63">
        <v>-658316</v>
      </c>
      <c r="CX125" s="63">
        <v>-83869</v>
      </c>
      <c r="CY125" s="63">
        <v>0</v>
      </c>
      <c r="CZ125" s="63">
        <v>-83869</v>
      </c>
      <c r="DA125" s="63">
        <v>-18522</v>
      </c>
      <c r="DB125" s="63">
        <v>0</v>
      </c>
      <c r="DC125" s="63">
        <v>-18522</v>
      </c>
      <c r="DD125" s="63">
        <v>0</v>
      </c>
      <c r="DE125" s="63">
        <v>0</v>
      </c>
      <c r="DF125" s="63">
        <v>0</v>
      </c>
      <c r="DG125" s="63">
        <v>-102391</v>
      </c>
      <c r="DH125" s="63">
        <v>0</v>
      </c>
      <c r="DI125" s="63">
        <v>0</v>
      </c>
      <c r="DJ125" s="63">
        <v>0</v>
      </c>
      <c r="DK125" s="63">
        <v>-102391</v>
      </c>
      <c r="DL125" s="63">
        <v>0</v>
      </c>
      <c r="DM125" s="63">
        <v>-102391</v>
      </c>
      <c r="DN125" s="63">
        <v>69404145</v>
      </c>
      <c r="DO125" s="63">
        <v>0</v>
      </c>
      <c r="DP125" s="63">
        <v>69404145</v>
      </c>
      <c r="DQ125" s="63"/>
      <c r="DR125" s="585"/>
    </row>
    <row r="126" spans="1:122" x14ac:dyDescent="0.2">
      <c r="A126" s="90">
        <v>119</v>
      </c>
      <c r="B126" s="129" t="s">
        <v>117</v>
      </c>
      <c r="C126" s="130" t="s">
        <v>742</v>
      </c>
      <c r="D126" s="131" t="s">
        <v>746</v>
      </c>
      <c r="E126" s="132" t="s">
        <v>116</v>
      </c>
      <c r="F126" s="475" t="s">
        <v>808</v>
      </c>
      <c r="G126" s="63">
        <v>101875271</v>
      </c>
      <c r="H126" s="63">
        <v>8412900</v>
      </c>
      <c r="I126" s="63">
        <v>110288171</v>
      </c>
      <c r="J126" s="608">
        <v>48.4</v>
      </c>
      <c r="K126" s="63">
        <v>49307631</v>
      </c>
      <c r="L126" s="63">
        <v>4071844</v>
      </c>
      <c r="M126" s="63">
        <v>0</v>
      </c>
      <c r="N126" s="63">
        <v>0</v>
      </c>
      <c r="O126" s="63">
        <v>49307631</v>
      </c>
      <c r="P126" s="63">
        <v>4071844</v>
      </c>
      <c r="Q126" s="63">
        <v>53379475</v>
      </c>
      <c r="R126" s="63">
        <v>0</v>
      </c>
      <c r="S126" s="63">
        <v>0</v>
      </c>
      <c r="T126" s="63">
        <v>0</v>
      </c>
      <c r="U126" s="63">
        <v>0</v>
      </c>
      <c r="V126" s="63">
        <v>0</v>
      </c>
      <c r="W126" s="63">
        <v>0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0</v>
      </c>
      <c r="AE126" s="63">
        <v>0</v>
      </c>
      <c r="AF126" s="63">
        <v>0</v>
      </c>
      <c r="AG126" s="63">
        <v>0</v>
      </c>
      <c r="AH126" s="63">
        <v>-869950.96</v>
      </c>
      <c r="AI126" s="63">
        <v>-42810.59</v>
      </c>
      <c r="AJ126" s="63">
        <v>-912761.54999999993</v>
      </c>
      <c r="AK126" s="63">
        <v>0</v>
      </c>
      <c r="AL126" s="63">
        <v>0</v>
      </c>
      <c r="AM126" s="63">
        <v>0</v>
      </c>
      <c r="AN126" s="63">
        <v>1225316.3700000001</v>
      </c>
      <c r="AO126" s="63">
        <v>104038.35</v>
      </c>
      <c r="AP126" s="63">
        <v>1329354.7200000002</v>
      </c>
      <c r="AQ126" s="63">
        <v>355365.41000000015</v>
      </c>
      <c r="AR126" s="63">
        <v>61227.760000000009</v>
      </c>
      <c r="AS126" s="63">
        <v>416593.17000000016</v>
      </c>
      <c r="AT126" s="63">
        <v>-2749205.2</v>
      </c>
      <c r="AU126" s="63">
        <v>0</v>
      </c>
      <c r="AV126" s="63">
        <v>-2749205.2</v>
      </c>
      <c r="AW126" s="63">
        <v>-69480.600000000006</v>
      </c>
      <c r="AX126" s="63">
        <v>0</v>
      </c>
      <c r="AY126" s="63">
        <v>-69480.600000000006</v>
      </c>
      <c r="AZ126" s="63">
        <v>0</v>
      </c>
      <c r="BA126" s="63">
        <v>0</v>
      </c>
      <c r="BB126" s="63">
        <v>0</v>
      </c>
      <c r="BC126" s="63">
        <v>-2463320.39</v>
      </c>
      <c r="BD126" s="63">
        <v>61227.760000000009</v>
      </c>
      <c r="BE126" s="63">
        <v>0</v>
      </c>
      <c r="BF126" s="63">
        <v>0</v>
      </c>
      <c r="BG126" s="63">
        <v>-2463320.39</v>
      </c>
      <c r="BH126" s="63">
        <v>61227.760000000009</v>
      </c>
      <c r="BI126" s="63">
        <v>-2402092.63</v>
      </c>
      <c r="BJ126" s="63">
        <v>-10000</v>
      </c>
      <c r="BK126" s="63">
        <v>0</v>
      </c>
      <c r="BL126" s="63">
        <v>-10000</v>
      </c>
      <c r="BM126" s="63">
        <v>-371085.09</v>
      </c>
      <c r="BN126" s="63">
        <v>-1272133.6299999999</v>
      </c>
      <c r="BO126" s="63">
        <v>-1643218.72</v>
      </c>
      <c r="BP126" s="63">
        <v>-381085.09</v>
      </c>
      <c r="BQ126" s="63">
        <v>-1272133.6299999999</v>
      </c>
      <c r="BR126" s="63">
        <v>0</v>
      </c>
      <c r="BS126" s="63">
        <v>0</v>
      </c>
      <c r="BT126" s="63">
        <v>-381085.09</v>
      </c>
      <c r="BU126" s="63">
        <v>-1272133.6299999999</v>
      </c>
      <c r="BV126" s="63">
        <v>-1653218.72</v>
      </c>
      <c r="BW126" s="63">
        <v>-33182.21</v>
      </c>
      <c r="BX126" s="63">
        <v>0</v>
      </c>
      <c r="BY126" s="63">
        <v>-33182.21</v>
      </c>
      <c r="BZ126" s="63">
        <v>-16606.900000000001</v>
      </c>
      <c r="CA126" s="63">
        <v>0</v>
      </c>
      <c r="CB126" s="63">
        <v>-16606.900000000001</v>
      </c>
      <c r="CC126" s="63">
        <v>0</v>
      </c>
      <c r="CD126" s="63">
        <v>0</v>
      </c>
      <c r="CE126" s="63">
        <v>0</v>
      </c>
      <c r="CF126" s="63">
        <v>0</v>
      </c>
      <c r="CG126" s="63">
        <v>0</v>
      </c>
      <c r="CH126" s="63">
        <v>0</v>
      </c>
      <c r="CI126" s="63">
        <v>0</v>
      </c>
      <c r="CJ126" s="63">
        <v>0</v>
      </c>
      <c r="CK126" s="63">
        <v>0</v>
      </c>
      <c r="CL126" s="63">
        <v>0</v>
      </c>
      <c r="CM126" s="63">
        <v>-42402</v>
      </c>
      <c r="CN126" s="63">
        <v>-42402</v>
      </c>
      <c r="CO126" s="63">
        <v>0</v>
      </c>
      <c r="CP126" s="63">
        <v>0</v>
      </c>
      <c r="CQ126" s="63">
        <v>-49789.11</v>
      </c>
      <c r="CR126" s="63">
        <v>-42402</v>
      </c>
      <c r="CS126" s="63">
        <v>0</v>
      </c>
      <c r="CT126" s="63">
        <v>0</v>
      </c>
      <c r="CU126" s="63">
        <v>-49789.11</v>
      </c>
      <c r="CV126" s="63">
        <v>-42402</v>
      </c>
      <c r="CW126" s="63">
        <v>-92191.11</v>
      </c>
      <c r="CX126" s="63">
        <v>0</v>
      </c>
      <c r="CY126" s="63">
        <v>0</v>
      </c>
      <c r="CZ126" s="63">
        <v>0</v>
      </c>
      <c r="DA126" s="63">
        <v>0</v>
      </c>
      <c r="DB126" s="63">
        <v>0</v>
      </c>
      <c r="DC126" s="63">
        <v>0</v>
      </c>
      <c r="DD126" s="63">
        <v>-5137.18</v>
      </c>
      <c r="DE126" s="63">
        <v>0</v>
      </c>
      <c r="DF126" s="63">
        <v>-5137.18</v>
      </c>
      <c r="DG126" s="63">
        <v>-5137.18</v>
      </c>
      <c r="DH126" s="63">
        <v>0</v>
      </c>
      <c r="DI126" s="63">
        <v>0</v>
      </c>
      <c r="DJ126" s="63">
        <v>0</v>
      </c>
      <c r="DK126" s="63">
        <v>-5137.18</v>
      </c>
      <c r="DL126" s="63">
        <v>0</v>
      </c>
      <c r="DM126" s="63">
        <v>-5137.18</v>
      </c>
      <c r="DN126" s="63">
        <v>46408299.229999997</v>
      </c>
      <c r="DO126" s="63">
        <v>2818536.13</v>
      </c>
      <c r="DP126" s="63">
        <v>49226835.359999999</v>
      </c>
      <c r="DQ126" s="63"/>
      <c r="DR126" s="585" t="s">
        <v>768</v>
      </c>
    </row>
    <row r="127" spans="1:122" x14ac:dyDescent="0.2">
      <c r="A127" s="90">
        <v>120</v>
      </c>
      <c r="B127" s="129" t="s">
        <v>119</v>
      </c>
      <c r="C127" s="130" t="s">
        <v>742</v>
      </c>
      <c r="D127" s="131" t="s">
        <v>750</v>
      </c>
      <c r="E127" s="132" t="s">
        <v>118</v>
      </c>
      <c r="F127" s="475" t="s">
        <v>808</v>
      </c>
      <c r="G127" s="63">
        <v>151510171</v>
      </c>
      <c r="H127" s="63">
        <v>0</v>
      </c>
      <c r="I127" s="63">
        <v>151510171</v>
      </c>
      <c r="J127" s="608">
        <v>48.4</v>
      </c>
      <c r="K127" s="63">
        <v>73330923</v>
      </c>
      <c r="L127" s="63">
        <v>0</v>
      </c>
      <c r="M127" s="63">
        <v>0</v>
      </c>
      <c r="N127" s="63">
        <v>0</v>
      </c>
      <c r="O127" s="63">
        <v>73330923</v>
      </c>
      <c r="P127" s="63">
        <v>0</v>
      </c>
      <c r="Q127" s="63">
        <v>73330923</v>
      </c>
      <c r="R127" s="63">
        <v>0</v>
      </c>
      <c r="S127" s="63">
        <v>0</v>
      </c>
      <c r="T127" s="63">
        <v>0</v>
      </c>
      <c r="U127" s="63">
        <v>0</v>
      </c>
      <c r="V127" s="63">
        <v>0</v>
      </c>
      <c r="W127" s="63">
        <v>0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0</v>
      </c>
      <c r="AE127" s="63">
        <v>0</v>
      </c>
      <c r="AF127" s="63">
        <v>0</v>
      </c>
      <c r="AG127" s="63">
        <v>0</v>
      </c>
      <c r="AH127" s="63">
        <v>-4913598</v>
      </c>
      <c r="AI127" s="63">
        <v>0</v>
      </c>
      <c r="AJ127" s="63">
        <v>-4913598</v>
      </c>
      <c r="AK127" s="63">
        <v>-1785</v>
      </c>
      <c r="AL127" s="63">
        <v>0</v>
      </c>
      <c r="AM127" s="63">
        <v>-1785</v>
      </c>
      <c r="AN127" s="63">
        <v>1417073</v>
      </c>
      <c r="AO127" s="63">
        <v>0</v>
      </c>
      <c r="AP127" s="63">
        <v>1417073</v>
      </c>
      <c r="AQ127" s="63">
        <v>-3496525</v>
      </c>
      <c r="AR127" s="63">
        <v>0</v>
      </c>
      <c r="AS127" s="63">
        <v>-3496525</v>
      </c>
      <c r="AT127" s="63">
        <v>-3088623</v>
      </c>
      <c r="AU127" s="63">
        <v>0</v>
      </c>
      <c r="AV127" s="63">
        <v>-3088623</v>
      </c>
      <c r="AW127" s="63">
        <v>-126788</v>
      </c>
      <c r="AX127" s="63">
        <v>0</v>
      </c>
      <c r="AY127" s="63">
        <v>-126788</v>
      </c>
      <c r="AZ127" s="63">
        <v>-48252</v>
      </c>
      <c r="BA127" s="63">
        <v>0</v>
      </c>
      <c r="BB127" s="63">
        <v>-48252</v>
      </c>
      <c r="BC127" s="63">
        <v>-6760188</v>
      </c>
      <c r="BD127" s="63">
        <v>0</v>
      </c>
      <c r="BE127" s="63">
        <v>-100000</v>
      </c>
      <c r="BF127" s="63">
        <v>0</v>
      </c>
      <c r="BG127" s="63">
        <v>-6860188</v>
      </c>
      <c r="BH127" s="63">
        <v>0</v>
      </c>
      <c r="BI127" s="63">
        <v>-6860188</v>
      </c>
      <c r="BJ127" s="63">
        <v>-6000</v>
      </c>
      <c r="BK127" s="63">
        <v>0</v>
      </c>
      <c r="BL127" s="63">
        <v>-6000</v>
      </c>
      <c r="BM127" s="63">
        <v>-1604261</v>
      </c>
      <c r="BN127" s="63">
        <v>0</v>
      </c>
      <c r="BO127" s="63">
        <v>-1604261</v>
      </c>
      <c r="BP127" s="63">
        <v>-1610261</v>
      </c>
      <c r="BQ127" s="63">
        <v>0</v>
      </c>
      <c r="BR127" s="63">
        <v>0</v>
      </c>
      <c r="BS127" s="63">
        <v>0</v>
      </c>
      <c r="BT127" s="63">
        <v>-1610261</v>
      </c>
      <c r="BU127" s="63">
        <v>0</v>
      </c>
      <c r="BV127" s="63">
        <v>-1610261</v>
      </c>
      <c r="BW127" s="63">
        <v>-30390</v>
      </c>
      <c r="BX127" s="63">
        <v>0</v>
      </c>
      <c r="BY127" s="63">
        <v>-30390</v>
      </c>
      <c r="BZ127" s="63">
        <v>-167593</v>
      </c>
      <c r="CA127" s="63">
        <v>0</v>
      </c>
      <c r="CB127" s="63">
        <v>-167593</v>
      </c>
      <c r="CC127" s="63">
        <v>0</v>
      </c>
      <c r="CD127" s="63">
        <v>0</v>
      </c>
      <c r="CE127" s="63">
        <v>0</v>
      </c>
      <c r="CF127" s="63">
        <v>-14624</v>
      </c>
      <c r="CG127" s="63">
        <v>0</v>
      </c>
      <c r="CH127" s="63">
        <v>-14624</v>
      </c>
      <c r="CI127" s="63">
        <v>-36116</v>
      </c>
      <c r="CJ127" s="63">
        <v>0</v>
      </c>
      <c r="CK127" s="63">
        <v>-36116</v>
      </c>
      <c r="CL127" s="63">
        <v>-20000</v>
      </c>
      <c r="CM127" s="63">
        <v>0</v>
      </c>
      <c r="CN127" s="63">
        <v>-20000</v>
      </c>
      <c r="CO127" s="63">
        <v>0</v>
      </c>
      <c r="CP127" s="63">
        <v>0</v>
      </c>
      <c r="CQ127" s="63">
        <v>-268723</v>
      </c>
      <c r="CR127" s="63">
        <v>0</v>
      </c>
      <c r="CS127" s="63">
        <v>-100000</v>
      </c>
      <c r="CT127" s="63">
        <v>0</v>
      </c>
      <c r="CU127" s="63">
        <v>-368723</v>
      </c>
      <c r="CV127" s="63">
        <v>0</v>
      </c>
      <c r="CW127" s="63">
        <v>-368723</v>
      </c>
      <c r="CX127" s="63">
        <v>-34674</v>
      </c>
      <c r="CY127" s="63">
        <v>0</v>
      </c>
      <c r="CZ127" s="63">
        <v>-34674</v>
      </c>
      <c r="DA127" s="63">
        <v>-16354</v>
      </c>
      <c r="DB127" s="63">
        <v>0</v>
      </c>
      <c r="DC127" s="63">
        <v>-16354</v>
      </c>
      <c r="DD127" s="63">
        <v>-20416</v>
      </c>
      <c r="DE127" s="63">
        <v>0</v>
      </c>
      <c r="DF127" s="63">
        <v>-20416</v>
      </c>
      <c r="DG127" s="63">
        <v>-71444</v>
      </c>
      <c r="DH127" s="63">
        <v>0</v>
      </c>
      <c r="DI127" s="63">
        <v>0</v>
      </c>
      <c r="DJ127" s="63">
        <v>0</v>
      </c>
      <c r="DK127" s="63">
        <v>-71444</v>
      </c>
      <c r="DL127" s="63">
        <v>0</v>
      </c>
      <c r="DM127" s="63">
        <v>-71444</v>
      </c>
      <c r="DN127" s="63">
        <v>64420307</v>
      </c>
      <c r="DO127" s="63">
        <v>0</v>
      </c>
      <c r="DP127" s="63">
        <v>64420307</v>
      </c>
      <c r="DQ127" s="63"/>
      <c r="DR127" s="585"/>
    </row>
    <row r="128" spans="1:122" x14ac:dyDescent="0.2">
      <c r="A128" s="90">
        <v>121</v>
      </c>
      <c r="B128" s="129" t="s">
        <v>121</v>
      </c>
      <c r="C128" s="130" t="s">
        <v>747</v>
      </c>
      <c r="D128" s="131" t="s">
        <v>748</v>
      </c>
      <c r="E128" s="132" t="s">
        <v>120</v>
      </c>
      <c r="F128" s="475" t="s">
        <v>808</v>
      </c>
      <c r="G128" s="63">
        <v>126032475</v>
      </c>
      <c r="H128" s="63">
        <v>0</v>
      </c>
      <c r="I128" s="63">
        <v>126032475</v>
      </c>
      <c r="J128" s="608">
        <v>48.4</v>
      </c>
      <c r="K128" s="63">
        <v>60999718</v>
      </c>
      <c r="L128" s="63">
        <v>0</v>
      </c>
      <c r="M128" s="63">
        <v>-1000000</v>
      </c>
      <c r="N128" s="63">
        <v>0</v>
      </c>
      <c r="O128" s="63">
        <v>59999718</v>
      </c>
      <c r="P128" s="63">
        <v>0</v>
      </c>
      <c r="Q128" s="63">
        <v>59999718</v>
      </c>
      <c r="R128" s="63">
        <v>0</v>
      </c>
      <c r="S128" s="63">
        <v>0</v>
      </c>
      <c r="T128" s="63">
        <v>0</v>
      </c>
      <c r="U128" s="63">
        <v>0</v>
      </c>
      <c r="V128" s="63">
        <v>0</v>
      </c>
      <c r="W128" s="63">
        <v>0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0</v>
      </c>
      <c r="AE128" s="63">
        <v>0</v>
      </c>
      <c r="AF128" s="63">
        <v>0</v>
      </c>
      <c r="AG128" s="63">
        <v>0</v>
      </c>
      <c r="AH128" s="63">
        <v>-3124000</v>
      </c>
      <c r="AI128" s="63">
        <v>0</v>
      </c>
      <c r="AJ128" s="63">
        <v>-3124000</v>
      </c>
      <c r="AK128" s="63">
        <v>0</v>
      </c>
      <c r="AL128" s="63">
        <v>0</v>
      </c>
      <c r="AM128" s="63">
        <v>0</v>
      </c>
      <c r="AN128" s="63">
        <v>500000</v>
      </c>
      <c r="AO128" s="63">
        <v>0</v>
      </c>
      <c r="AP128" s="63">
        <v>500000</v>
      </c>
      <c r="AQ128" s="63">
        <v>-2624000</v>
      </c>
      <c r="AR128" s="63">
        <v>0</v>
      </c>
      <c r="AS128" s="63">
        <v>-2624000</v>
      </c>
      <c r="AT128" s="63">
        <v>-4789000</v>
      </c>
      <c r="AU128" s="63">
        <v>0</v>
      </c>
      <c r="AV128" s="63">
        <v>-4789000</v>
      </c>
      <c r="AW128" s="63">
        <v>-150000</v>
      </c>
      <c r="AX128" s="63">
        <v>0</v>
      </c>
      <c r="AY128" s="63">
        <v>-150000</v>
      </c>
      <c r="AZ128" s="63">
        <v>0</v>
      </c>
      <c r="BA128" s="63">
        <v>0</v>
      </c>
      <c r="BB128" s="63">
        <v>0</v>
      </c>
      <c r="BC128" s="63">
        <v>-7563000</v>
      </c>
      <c r="BD128" s="63">
        <v>0</v>
      </c>
      <c r="BE128" s="63">
        <v>0</v>
      </c>
      <c r="BF128" s="63">
        <v>0</v>
      </c>
      <c r="BG128" s="63">
        <v>-7563000</v>
      </c>
      <c r="BH128" s="63">
        <v>0</v>
      </c>
      <c r="BI128" s="63">
        <v>-7563000</v>
      </c>
      <c r="BJ128" s="63">
        <v>-100000</v>
      </c>
      <c r="BK128" s="63">
        <v>0</v>
      </c>
      <c r="BL128" s="63">
        <v>-100000</v>
      </c>
      <c r="BM128" s="63">
        <v>-1500000</v>
      </c>
      <c r="BN128" s="63">
        <v>0</v>
      </c>
      <c r="BO128" s="63">
        <v>-1500000</v>
      </c>
      <c r="BP128" s="63">
        <v>-1600000</v>
      </c>
      <c r="BQ128" s="63">
        <v>0</v>
      </c>
      <c r="BR128" s="63">
        <v>0</v>
      </c>
      <c r="BS128" s="63">
        <v>0</v>
      </c>
      <c r="BT128" s="63">
        <v>-1600000</v>
      </c>
      <c r="BU128" s="63">
        <v>0</v>
      </c>
      <c r="BV128" s="63">
        <v>-1600000</v>
      </c>
      <c r="BW128" s="63">
        <v>-44000</v>
      </c>
      <c r="BX128" s="63">
        <v>0</v>
      </c>
      <c r="BY128" s="63">
        <v>-44000</v>
      </c>
      <c r="BZ128" s="63">
        <v>-16000</v>
      </c>
      <c r="CA128" s="63">
        <v>0</v>
      </c>
      <c r="CB128" s="63">
        <v>-16000</v>
      </c>
      <c r="CC128" s="63">
        <v>0</v>
      </c>
      <c r="CD128" s="63">
        <v>0</v>
      </c>
      <c r="CE128" s="63">
        <v>0</v>
      </c>
      <c r="CF128" s="63">
        <v>0</v>
      </c>
      <c r="CG128" s="63">
        <v>0</v>
      </c>
      <c r="CH128" s="63">
        <v>0</v>
      </c>
      <c r="CI128" s="63">
        <v>0</v>
      </c>
      <c r="CJ128" s="63">
        <v>0</v>
      </c>
      <c r="CK128" s="63">
        <v>0</v>
      </c>
      <c r="CL128" s="63">
        <v>0</v>
      </c>
      <c r="CM128" s="63">
        <v>0</v>
      </c>
      <c r="CN128" s="63">
        <v>0</v>
      </c>
      <c r="CO128" s="63">
        <v>0</v>
      </c>
      <c r="CP128" s="63">
        <v>0</v>
      </c>
      <c r="CQ128" s="63">
        <v>-60000</v>
      </c>
      <c r="CR128" s="63">
        <v>0</v>
      </c>
      <c r="CS128" s="63">
        <v>0</v>
      </c>
      <c r="CT128" s="63">
        <v>0</v>
      </c>
      <c r="CU128" s="63">
        <v>-60000</v>
      </c>
      <c r="CV128" s="63">
        <v>0</v>
      </c>
      <c r="CW128" s="63">
        <v>-60000</v>
      </c>
      <c r="CX128" s="63">
        <v>0</v>
      </c>
      <c r="CY128" s="63">
        <v>0</v>
      </c>
      <c r="CZ128" s="63">
        <v>0</v>
      </c>
      <c r="DA128" s="63">
        <v>0</v>
      </c>
      <c r="DB128" s="63">
        <v>0</v>
      </c>
      <c r="DC128" s="63">
        <v>0</v>
      </c>
      <c r="DD128" s="63">
        <v>0</v>
      </c>
      <c r="DE128" s="63">
        <v>0</v>
      </c>
      <c r="DF128" s="63">
        <v>0</v>
      </c>
      <c r="DG128" s="63">
        <v>0</v>
      </c>
      <c r="DH128" s="63">
        <v>0</v>
      </c>
      <c r="DI128" s="63">
        <v>0</v>
      </c>
      <c r="DJ128" s="63">
        <v>0</v>
      </c>
      <c r="DK128" s="63">
        <v>0</v>
      </c>
      <c r="DL128" s="63">
        <v>0</v>
      </c>
      <c r="DM128" s="63">
        <v>0</v>
      </c>
      <c r="DN128" s="63">
        <v>50776718</v>
      </c>
      <c r="DO128" s="63">
        <v>0</v>
      </c>
      <c r="DP128" s="63">
        <v>50776718</v>
      </c>
      <c r="DQ128" s="63"/>
      <c r="DR128" s="585"/>
    </row>
    <row r="129" spans="1:122" x14ac:dyDescent="0.2">
      <c r="A129" s="90">
        <v>122</v>
      </c>
      <c r="B129" s="129" t="s">
        <v>123</v>
      </c>
      <c r="C129" s="130" t="s">
        <v>742</v>
      </c>
      <c r="D129" s="131" t="s">
        <v>743</v>
      </c>
      <c r="E129" s="132" t="s">
        <v>122</v>
      </c>
      <c r="F129" s="475" t="s">
        <v>808</v>
      </c>
      <c r="G129" s="63">
        <v>71083555</v>
      </c>
      <c r="H129" s="63">
        <v>0</v>
      </c>
      <c r="I129" s="63">
        <v>71083555</v>
      </c>
      <c r="J129" s="608">
        <v>48.4</v>
      </c>
      <c r="K129" s="63">
        <v>34404441</v>
      </c>
      <c r="L129" s="63">
        <v>0</v>
      </c>
      <c r="M129" s="63">
        <v>0</v>
      </c>
      <c r="N129" s="63">
        <v>0</v>
      </c>
      <c r="O129" s="63">
        <v>34404441</v>
      </c>
      <c r="P129" s="63">
        <v>0</v>
      </c>
      <c r="Q129" s="63">
        <v>34404441</v>
      </c>
      <c r="R129" s="63">
        <v>0</v>
      </c>
      <c r="S129" s="63">
        <v>0</v>
      </c>
      <c r="T129" s="63">
        <v>0</v>
      </c>
      <c r="U129" s="63">
        <v>0</v>
      </c>
      <c r="V129" s="63">
        <v>0</v>
      </c>
      <c r="W129" s="63">
        <v>0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0</v>
      </c>
      <c r="AE129" s="63">
        <v>0</v>
      </c>
      <c r="AF129" s="63">
        <v>0</v>
      </c>
      <c r="AG129" s="63">
        <v>0</v>
      </c>
      <c r="AH129" s="63">
        <v>-1110178</v>
      </c>
      <c r="AI129" s="63">
        <v>0</v>
      </c>
      <c r="AJ129" s="63">
        <v>-1110178</v>
      </c>
      <c r="AK129" s="63">
        <v>0</v>
      </c>
      <c r="AL129" s="63">
        <v>0</v>
      </c>
      <c r="AM129" s="63">
        <v>0</v>
      </c>
      <c r="AN129" s="63">
        <v>805977</v>
      </c>
      <c r="AO129" s="63">
        <v>0</v>
      </c>
      <c r="AP129" s="63">
        <v>805977</v>
      </c>
      <c r="AQ129" s="63">
        <v>-304201</v>
      </c>
      <c r="AR129" s="63">
        <v>0</v>
      </c>
      <c r="AS129" s="63">
        <v>-304201</v>
      </c>
      <c r="AT129" s="63">
        <v>-1310895</v>
      </c>
      <c r="AU129" s="63">
        <v>0</v>
      </c>
      <c r="AV129" s="63">
        <v>-1310895</v>
      </c>
      <c r="AW129" s="63">
        <v>-36400</v>
      </c>
      <c r="AX129" s="63">
        <v>0</v>
      </c>
      <c r="AY129" s="63">
        <v>-36400</v>
      </c>
      <c r="AZ129" s="63">
        <v>-1715</v>
      </c>
      <c r="BA129" s="63">
        <v>0</v>
      </c>
      <c r="BB129" s="63">
        <v>-1715</v>
      </c>
      <c r="BC129" s="63">
        <v>-1653211</v>
      </c>
      <c r="BD129" s="63">
        <v>0</v>
      </c>
      <c r="BE129" s="63">
        <v>-160000</v>
      </c>
      <c r="BF129" s="63">
        <v>0</v>
      </c>
      <c r="BG129" s="63">
        <v>-1813211</v>
      </c>
      <c r="BH129" s="63">
        <v>0</v>
      </c>
      <c r="BI129" s="63">
        <v>-1813211</v>
      </c>
      <c r="BJ129" s="63">
        <v>-40000</v>
      </c>
      <c r="BK129" s="63">
        <v>0</v>
      </c>
      <c r="BL129" s="63">
        <v>-40000</v>
      </c>
      <c r="BM129" s="63">
        <v>-1850628</v>
      </c>
      <c r="BN129" s="63">
        <v>0</v>
      </c>
      <c r="BO129" s="63">
        <v>-1850628</v>
      </c>
      <c r="BP129" s="63">
        <v>-1890628</v>
      </c>
      <c r="BQ129" s="63">
        <v>0</v>
      </c>
      <c r="BR129" s="63">
        <v>0</v>
      </c>
      <c r="BS129" s="63">
        <v>0</v>
      </c>
      <c r="BT129" s="63">
        <v>-1890628</v>
      </c>
      <c r="BU129" s="63">
        <v>0</v>
      </c>
      <c r="BV129" s="63">
        <v>-1890628</v>
      </c>
      <c r="BW129" s="63">
        <v>-59029</v>
      </c>
      <c r="BX129" s="63">
        <v>0</v>
      </c>
      <c r="BY129" s="63">
        <v>-59029</v>
      </c>
      <c r="BZ129" s="63">
        <v>-21810</v>
      </c>
      <c r="CA129" s="63">
        <v>0</v>
      </c>
      <c r="CB129" s="63">
        <v>-21810</v>
      </c>
      <c r="CC129" s="63">
        <v>0</v>
      </c>
      <c r="CD129" s="63">
        <v>0</v>
      </c>
      <c r="CE129" s="63">
        <v>0</v>
      </c>
      <c r="CF129" s="63">
        <v>-1714</v>
      </c>
      <c r="CG129" s="63">
        <v>0</v>
      </c>
      <c r="CH129" s="63">
        <v>-1714</v>
      </c>
      <c r="CI129" s="63">
        <v>0</v>
      </c>
      <c r="CJ129" s="63">
        <v>0</v>
      </c>
      <c r="CK129" s="63">
        <v>0</v>
      </c>
      <c r="CL129" s="63">
        <v>0</v>
      </c>
      <c r="CM129" s="63">
        <v>0</v>
      </c>
      <c r="CN129" s="63">
        <v>0</v>
      </c>
      <c r="CO129" s="63">
        <v>0</v>
      </c>
      <c r="CP129" s="63">
        <v>0</v>
      </c>
      <c r="CQ129" s="63">
        <v>-82553</v>
      </c>
      <c r="CR129" s="63">
        <v>0</v>
      </c>
      <c r="CS129" s="63">
        <v>-40000</v>
      </c>
      <c r="CT129" s="63">
        <v>0</v>
      </c>
      <c r="CU129" s="63">
        <v>-122553</v>
      </c>
      <c r="CV129" s="63">
        <v>0</v>
      </c>
      <c r="CW129" s="63">
        <v>-122553</v>
      </c>
      <c r="CX129" s="63">
        <v>0</v>
      </c>
      <c r="CY129" s="63">
        <v>0</v>
      </c>
      <c r="CZ129" s="63">
        <v>0</v>
      </c>
      <c r="DA129" s="63">
        <v>-1100</v>
      </c>
      <c r="DB129" s="63">
        <v>0</v>
      </c>
      <c r="DC129" s="63">
        <v>-1100</v>
      </c>
      <c r="DD129" s="63">
        <v>0</v>
      </c>
      <c r="DE129" s="63">
        <v>0</v>
      </c>
      <c r="DF129" s="63">
        <v>0</v>
      </c>
      <c r="DG129" s="63">
        <v>-1100</v>
      </c>
      <c r="DH129" s="63">
        <v>0</v>
      </c>
      <c r="DI129" s="63">
        <v>0</v>
      </c>
      <c r="DJ129" s="63">
        <v>0</v>
      </c>
      <c r="DK129" s="63">
        <v>-1100</v>
      </c>
      <c r="DL129" s="63">
        <v>0</v>
      </c>
      <c r="DM129" s="63">
        <v>-1100</v>
      </c>
      <c r="DN129" s="63">
        <v>30576949</v>
      </c>
      <c r="DO129" s="63">
        <v>0</v>
      </c>
      <c r="DP129" s="63">
        <v>30576949</v>
      </c>
      <c r="DQ129" s="63"/>
      <c r="DR129" s="585"/>
    </row>
    <row r="130" spans="1:122" x14ac:dyDescent="0.2">
      <c r="A130" s="90">
        <v>123</v>
      </c>
      <c r="B130" s="129" t="s">
        <v>124</v>
      </c>
      <c r="C130" s="130" t="s">
        <v>501</v>
      </c>
      <c r="D130" s="131" t="s">
        <v>755</v>
      </c>
      <c r="E130" s="132" t="s">
        <v>516</v>
      </c>
      <c r="F130" s="475" t="s">
        <v>808</v>
      </c>
      <c r="G130" s="63">
        <v>80505749</v>
      </c>
      <c r="H130" s="63">
        <v>236250</v>
      </c>
      <c r="I130" s="63">
        <v>80741999</v>
      </c>
      <c r="J130" s="608">
        <v>48.4</v>
      </c>
      <c r="K130" s="63">
        <v>38964783</v>
      </c>
      <c r="L130" s="63">
        <v>114345</v>
      </c>
      <c r="M130" s="63">
        <v>-213461</v>
      </c>
      <c r="N130" s="63">
        <v>0</v>
      </c>
      <c r="O130" s="63">
        <v>38751322</v>
      </c>
      <c r="P130" s="63">
        <v>114345</v>
      </c>
      <c r="Q130" s="63">
        <v>38865667</v>
      </c>
      <c r="R130" s="63">
        <v>0</v>
      </c>
      <c r="S130" s="63">
        <v>0</v>
      </c>
      <c r="T130" s="63">
        <v>0</v>
      </c>
      <c r="U130" s="63">
        <v>0</v>
      </c>
      <c r="V130" s="63">
        <v>0</v>
      </c>
      <c r="W130" s="63">
        <v>0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0</v>
      </c>
      <c r="AE130" s="63">
        <v>0</v>
      </c>
      <c r="AF130" s="63">
        <v>0</v>
      </c>
      <c r="AG130" s="63">
        <v>0</v>
      </c>
      <c r="AH130" s="63">
        <v>-2009696</v>
      </c>
      <c r="AI130" s="63">
        <v>0</v>
      </c>
      <c r="AJ130" s="63">
        <v>-2009696</v>
      </c>
      <c r="AK130" s="63">
        <v>-5284</v>
      </c>
      <c r="AL130" s="63">
        <v>0</v>
      </c>
      <c r="AM130" s="63">
        <v>-5284</v>
      </c>
      <c r="AN130" s="63">
        <v>921346</v>
      </c>
      <c r="AO130" s="63">
        <v>2928</v>
      </c>
      <c r="AP130" s="63">
        <v>924274</v>
      </c>
      <c r="AQ130" s="63">
        <v>-1088350</v>
      </c>
      <c r="AR130" s="63">
        <v>2928</v>
      </c>
      <c r="AS130" s="63">
        <v>-1085422</v>
      </c>
      <c r="AT130" s="63">
        <v>-2102378</v>
      </c>
      <c r="AU130" s="63">
        <v>0</v>
      </c>
      <c r="AV130" s="63">
        <v>-2102378</v>
      </c>
      <c r="AW130" s="63">
        <v>-52583</v>
      </c>
      <c r="AX130" s="63">
        <v>0</v>
      </c>
      <c r="AY130" s="63">
        <v>-52583</v>
      </c>
      <c r="AZ130" s="63">
        <v>0</v>
      </c>
      <c r="BA130" s="63">
        <v>0</v>
      </c>
      <c r="BB130" s="63">
        <v>0</v>
      </c>
      <c r="BC130" s="63">
        <v>-3243311</v>
      </c>
      <c r="BD130" s="63">
        <v>2928</v>
      </c>
      <c r="BE130" s="63">
        <v>0</v>
      </c>
      <c r="BF130" s="63">
        <v>0</v>
      </c>
      <c r="BG130" s="63">
        <v>-3243311</v>
      </c>
      <c r="BH130" s="63">
        <v>2928</v>
      </c>
      <c r="BI130" s="63">
        <v>-3240383</v>
      </c>
      <c r="BJ130" s="63">
        <v>-48997</v>
      </c>
      <c r="BK130" s="63">
        <v>0</v>
      </c>
      <c r="BL130" s="63">
        <v>-48997</v>
      </c>
      <c r="BM130" s="63">
        <v>-1503525</v>
      </c>
      <c r="BN130" s="63">
        <v>0</v>
      </c>
      <c r="BO130" s="63">
        <v>-1503525</v>
      </c>
      <c r="BP130" s="63">
        <v>-1552522</v>
      </c>
      <c r="BQ130" s="63">
        <v>0</v>
      </c>
      <c r="BR130" s="63">
        <v>0</v>
      </c>
      <c r="BS130" s="63">
        <v>0</v>
      </c>
      <c r="BT130" s="63">
        <v>-1552522</v>
      </c>
      <c r="BU130" s="63">
        <v>0</v>
      </c>
      <c r="BV130" s="63">
        <v>-1552522</v>
      </c>
      <c r="BW130" s="63">
        <v>-131351</v>
      </c>
      <c r="BX130" s="63">
        <v>0</v>
      </c>
      <c r="BY130" s="63">
        <v>-131351</v>
      </c>
      <c r="BZ130" s="63">
        <v>-42794</v>
      </c>
      <c r="CA130" s="63">
        <v>0</v>
      </c>
      <c r="CB130" s="63">
        <v>-42794</v>
      </c>
      <c r="CC130" s="63">
        <v>-3057</v>
      </c>
      <c r="CD130" s="63">
        <v>0</v>
      </c>
      <c r="CE130" s="63">
        <v>-3057</v>
      </c>
      <c r="CF130" s="63">
        <v>0</v>
      </c>
      <c r="CG130" s="63">
        <v>0</v>
      </c>
      <c r="CH130" s="63">
        <v>0</v>
      </c>
      <c r="CI130" s="63">
        <v>0</v>
      </c>
      <c r="CJ130" s="63">
        <v>0</v>
      </c>
      <c r="CK130" s="63">
        <v>0</v>
      </c>
      <c r="CL130" s="63">
        <v>0</v>
      </c>
      <c r="CM130" s="63">
        <v>-117273</v>
      </c>
      <c r="CN130" s="63">
        <v>-117273</v>
      </c>
      <c r="CO130" s="63">
        <v>-117273</v>
      </c>
      <c r="CP130" s="63">
        <v>0</v>
      </c>
      <c r="CQ130" s="63">
        <v>-177202</v>
      </c>
      <c r="CR130" s="63">
        <v>-117273</v>
      </c>
      <c r="CS130" s="63">
        <v>0</v>
      </c>
      <c r="CT130" s="63">
        <v>0</v>
      </c>
      <c r="CU130" s="63">
        <v>-177202</v>
      </c>
      <c r="CV130" s="63">
        <v>-117273</v>
      </c>
      <c r="CW130" s="63">
        <v>-294475</v>
      </c>
      <c r="CX130" s="63">
        <v>0</v>
      </c>
      <c r="CY130" s="63">
        <v>0</v>
      </c>
      <c r="CZ130" s="63">
        <v>0</v>
      </c>
      <c r="DA130" s="63">
        <v>0</v>
      </c>
      <c r="DB130" s="63">
        <v>0</v>
      </c>
      <c r="DC130" s="63">
        <v>0</v>
      </c>
      <c r="DD130" s="63">
        <v>-2633</v>
      </c>
      <c r="DE130" s="63">
        <v>0</v>
      </c>
      <c r="DF130" s="63">
        <v>-2633</v>
      </c>
      <c r="DG130" s="63">
        <v>-2633</v>
      </c>
      <c r="DH130" s="63">
        <v>0</v>
      </c>
      <c r="DI130" s="63">
        <v>0</v>
      </c>
      <c r="DJ130" s="63">
        <v>0</v>
      </c>
      <c r="DK130" s="63">
        <v>-2633</v>
      </c>
      <c r="DL130" s="63">
        <v>0</v>
      </c>
      <c r="DM130" s="63">
        <v>-2633</v>
      </c>
      <c r="DN130" s="63">
        <v>33775654</v>
      </c>
      <c r="DO130" s="63">
        <v>0</v>
      </c>
      <c r="DP130" s="63">
        <v>33775654</v>
      </c>
      <c r="DQ130" s="63"/>
      <c r="DR130" s="585" t="s">
        <v>768</v>
      </c>
    </row>
    <row r="131" spans="1:122" x14ac:dyDescent="0.2">
      <c r="A131" s="90">
        <v>124</v>
      </c>
      <c r="B131" s="129" t="s">
        <v>126</v>
      </c>
      <c r="C131" s="130" t="s">
        <v>742</v>
      </c>
      <c r="D131" s="131" t="s">
        <v>743</v>
      </c>
      <c r="E131" s="132" t="s">
        <v>125</v>
      </c>
      <c r="F131" s="475" t="s">
        <v>808</v>
      </c>
      <c r="G131" s="63">
        <v>57926747</v>
      </c>
      <c r="H131" s="63">
        <v>0</v>
      </c>
      <c r="I131" s="63">
        <v>57926747</v>
      </c>
      <c r="J131" s="608">
        <v>48.4</v>
      </c>
      <c r="K131" s="63">
        <v>28036546</v>
      </c>
      <c r="L131" s="63">
        <v>0</v>
      </c>
      <c r="M131" s="63">
        <v>-715736</v>
      </c>
      <c r="N131" s="63">
        <v>0</v>
      </c>
      <c r="O131" s="63">
        <v>27320810</v>
      </c>
      <c r="P131" s="63">
        <v>0</v>
      </c>
      <c r="Q131" s="63">
        <v>27320810</v>
      </c>
      <c r="R131" s="63">
        <v>0</v>
      </c>
      <c r="S131" s="63">
        <v>0</v>
      </c>
      <c r="T131" s="63">
        <v>0</v>
      </c>
      <c r="U131" s="63">
        <v>0</v>
      </c>
      <c r="V131" s="63">
        <v>0</v>
      </c>
      <c r="W131" s="63">
        <v>0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0</v>
      </c>
      <c r="AE131" s="63">
        <v>0</v>
      </c>
      <c r="AF131" s="63">
        <v>0</v>
      </c>
      <c r="AG131" s="63">
        <v>0</v>
      </c>
      <c r="AH131" s="63">
        <v>-2515161</v>
      </c>
      <c r="AI131" s="63">
        <v>0</v>
      </c>
      <c r="AJ131" s="63">
        <v>-2515161</v>
      </c>
      <c r="AK131" s="63">
        <v>0</v>
      </c>
      <c r="AL131" s="63">
        <v>0</v>
      </c>
      <c r="AM131" s="63">
        <v>0</v>
      </c>
      <c r="AN131" s="63">
        <v>598726</v>
      </c>
      <c r="AO131" s="63">
        <v>0</v>
      </c>
      <c r="AP131" s="63">
        <v>598726</v>
      </c>
      <c r="AQ131" s="63">
        <v>-1916435</v>
      </c>
      <c r="AR131" s="63">
        <v>0</v>
      </c>
      <c r="AS131" s="63">
        <v>-1916435</v>
      </c>
      <c r="AT131" s="63">
        <v>-2524237</v>
      </c>
      <c r="AU131" s="63">
        <v>0</v>
      </c>
      <c r="AV131" s="63">
        <v>-2524237</v>
      </c>
      <c r="AW131" s="63">
        <v>-35890</v>
      </c>
      <c r="AX131" s="63">
        <v>0</v>
      </c>
      <c r="AY131" s="63">
        <v>-35890</v>
      </c>
      <c r="AZ131" s="63">
        <v>0</v>
      </c>
      <c r="BA131" s="63">
        <v>0</v>
      </c>
      <c r="BB131" s="63">
        <v>0</v>
      </c>
      <c r="BC131" s="63">
        <v>-4476562</v>
      </c>
      <c r="BD131" s="63">
        <v>0</v>
      </c>
      <c r="BE131" s="63">
        <v>0</v>
      </c>
      <c r="BF131" s="63">
        <v>0</v>
      </c>
      <c r="BG131" s="63">
        <v>-4476562</v>
      </c>
      <c r="BH131" s="63">
        <v>0</v>
      </c>
      <c r="BI131" s="63">
        <v>-4476562</v>
      </c>
      <c r="BJ131" s="63">
        <v>-1695</v>
      </c>
      <c r="BK131" s="63">
        <v>0</v>
      </c>
      <c r="BL131" s="63">
        <v>-1695</v>
      </c>
      <c r="BM131" s="63">
        <v>-470144</v>
      </c>
      <c r="BN131" s="63">
        <v>0</v>
      </c>
      <c r="BO131" s="63">
        <v>-470144</v>
      </c>
      <c r="BP131" s="63">
        <v>-471839</v>
      </c>
      <c r="BQ131" s="63">
        <v>0</v>
      </c>
      <c r="BR131" s="63">
        <v>0</v>
      </c>
      <c r="BS131" s="63">
        <v>0</v>
      </c>
      <c r="BT131" s="63">
        <v>-471839</v>
      </c>
      <c r="BU131" s="63">
        <v>0</v>
      </c>
      <c r="BV131" s="63">
        <v>-471839</v>
      </c>
      <c r="BW131" s="63">
        <v>-86948</v>
      </c>
      <c r="BX131" s="63">
        <v>0</v>
      </c>
      <c r="BY131" s="63">
        <v>-86948</v>
      </c>
      <c r="BZ131" s="63">
        <v>-143870</v>
      </c>
      <c r="CA131" s="63">
        <v>0</v>
      </c>
      <c r="CB131" s="63">
        <v>-143870</v>
      </c>
      <c r="CC131" s="63">
        <v>-1392</v>
      </c>
      <c r="CD131" s="63">
        <v>0</v>
      </c>
      <c r="CE131" s="63">
        <v>-1392</v>
      </c>
      <c r="CF131" s="63">
        <v>0</v>
      </c>
      <c r="CG131" s="63">
        <v>0</v>
      </c>
      <c r="CH131" s="63">
        <v>0</v>
      </c>
      <c r="CI131" s="63">
        <v>0</v>
      </c>
      <c r="CJ131" s="63">
        <v>0</v>
      </c>
      <c r="CK131" s="63">
        <v>0</v>
      </c>
      <c r="CL131" s="63">
        <v>0</v>
      </c>
      <c r="CM131" s="63">
        <v>0</v>
      </c>
      <c r="CN131" s="63">
        <v>0</v>
      </c>
      <c r="CO131" s="63">
        <v>0</v>
      </c>
      <c r="CP131" s="63">
        <v>0</v>
      </c>
      <c r="CQ131" s="63">
        <v>-232210</v>
      </c>
      <c r="CR131" s="63">
        <v>0</v>
      </c>
      <c r="CS131" s="63">
        <v>0</v>
      </c>
      <c r="CT131" s="63">
        <v>0</v>
      </c>
      <c r="CU131" s="63">
        <v>-232210</v>
      </c>
      <c r="CV131" s="63">
        <v>0</v>
      </c>
      <c r="CW131" s="63">
        <v>-232210</v>
      </c>
      <c r="CX131" s="63">
        <v>-106979</v>
      </c>
      <c r="CY131" s="63">
        <v>0</v>
      </c>
      <c r="CZ131" s="63">
        <v>-106979</v>
      </c>
      <c r="DA131" s="63">
        <v>0</v>
      </c>
      <c r="DB131" s="63">
        <v>0</v>
      </c>
      <c r="DC131" s="63">
        <v>0</v>
      </c>
      <c r="DD131" s="63">
        <v>-15306</v>
      </c>
      <c r="DE131" s="63">
        <v>0</v>
      </c>
      <c r="DF131" s="63">
        <v>-15306</v>
      </c>
      <c r="DG131" s="63">
        <v>-122285</v>
      </c>
      <c r="DH131" s="63">
        <v>0</v>
      </c>
      <c r="DI131" s="63">
        <v>0</v>
      </c>
      <c r="DJ131" s="63">
        <v>0</v>
      </c>
      <c r="DK131" s="63">
        <v>-122285</v>
      </c>
      <c r="DL131" s="63">
        <v>0</v>
      </c>
      <c r="DM131" s="63">
        <v>-122285</v>
      </c>
      <c r="DN131" s="63">
        <v>22017914</v>
      </c>
      <c r="DO131" s="63">
        <v>0</v>
      </c>
      <c r="DP131" s="63">
        <v>22017914</v>
      </c>
      <c r="DQ131" s="63"/>
      <c r="DR131" s="585"/>
    </row>
    <row r="132" spans="1:122" x14ac:dyDescent="0.2">
      <c r="A132" s="90">
        <v>125</v>
      </c>
      <c r="B132" s="129" t="s">
        <v>128</v>
      </c>
      <c r="C132" s="130" t="s">
        <v>742</v>
      </c>
      <c r="D132" s="131" t="s">
        <v>743</v>
      </c>
      <c r="E132" s="132" t="s">
        <v>127</v>
      </c>
      <c r="F132" s="475" t="s">
        <v>808</v>
      </c>
      <c r="G132" s="63">
        <v>81047342</v>
      </c>
      <c r="H132" s="63">
        <v>0</v>
      </c>
      <c r="I132" s="63">
        <v>81047342</v>
      </c>
      <c r="J132" s="608">
        <v>48.4</v>
      </c>
      <c r="K132" s="63">
        <v>39226914</v>
      </c>
      <c r="L132" s="63">
        <v>0</v>
      </c>
      <c r="M132" s="63">
        <v>-500000</v>
      </c>
      <c r="N132" s="63">
        <v>0</v>
      </c>
      <c r="O132" s="63">
        <v>38726914</v>
      </c>
      <c r="P132" s="63">
        <v>0</v>
      </c>
      <c r="Q132" s="63">
        <v>38726914</v>
      </c>
      <c r="R132" s="63">
        <v>0</v>
      </c>
      <c r="S132" s="63">
        <v>0</v>
      </c>
      <c r="T132" s="63">
        <v>0</v>
      </c>
      <c r="U132" s="63">
        <v>0</v>
      </c>
      <c r="V132" s="63">
        <v>0</v>
      </c>
      <c r="W132" s="63">
        <v>0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0</v>
      </c>
      <c r="AE132" s="63">
        <v>0</v>
      </c>
      <c r="AF132" s="63">
        <v>0</v>
      </c>
      <c r="AG132" s="63">
        <v>0</v>
      </c>
      <c r="AH132" s="63">
        <v>-2105695</v>
      </c>
      <c r="AI132" s="63">
        <v>0</v>
      </c>
      <c r="AJ132" s="63">
        <v>-2105695</v>
      </c>
      <c r="AK132" s="63">
        <v>-2746</v>
      </c>
      <c r="AL132" s="63">
        <v>0</v>
      </c>
      <c r="AM132" s="63">
        <v>-2746</v>
      </c>
      <c r="AN132" s="63">
        <v>893093</v>
      </c>
      <c r="AO132" s="63">
        <v>0</v>
      </c>
      <c r="AP132" s="63">
        <v>893093</v>
      </c>
      <c r="AQ132" s="63">
        <v>-1212602</v>
      </c>
      <c r="AR132" s="63">
        <v>0</v>
      </c>
      <c r="AS132" s="63">
        <v>-1212602</v>
      </c>
      <c r="AT132" s="63">
        <v>-1978279</v>
      </c>
      <c r="AU132" s="63">
        <v>0</v>
      </c>
      <c r="AV132" s="63">
        <v>-1978279</v>
      </c>
      <c r="AW132" s="63">
        <v>-4026</v>
      </c>
      <c r="AX132" s="63">
        <v>0</v>
      </c>
      <c r="AY132" s="63">
        <v>-4026</v>
      </c>
      <c r="AZ132" s="63">
        <v>-1988</v>
      </c>
      <c r="BA132" s="63">
        <v>0</v>
      </c>
      <c r="BB132" s="63">
        <v>-1988</v>
      </c>
      <c r="BC132" s="63">
        <v>-3196895</v>
      </c>
      <c r="BD132" s="63">
        <v>0</v>
      </c>
      <c r="BE132" s="63">
        <v>0</v>
      </c>
      <c r="BF132" s="63">
        <v>0</v>
      </c>
      <c r="BG132" s="63">
        <v>-3196895</v>
      </c>
      <c r="BH132" s="63">
        <v>0</v>
      </c>
      <c r="BI132" s="63">
        <v>-3196895</v>
      </c>
      <c r="BJ132" s="63">
        <v>0</v>
      </c>
      <c r="BK132" s="63">
        <v>0</v>
      </c>
      <c r="BL132" s="63">
        <v>0</v>
      </c>
      <c r="BM132" s="63">
        <v>-221192</v>
      </c>
      <c r="BN132" s="63">
        <v>0</v>
      </c>
      <c r="BO132" s="63">
        <v>-221192</v>
      </c>
      <c r="BP132" s="63">
        <v>-221192</v>
      </c>
      <c r="BQ132" s="63">
        <v>0</v>
      </c>
      <c r="BR132" s="63">
        <v>0</v>
      </c>
      <c r="BS132" s="63">
        <v>0</v>
      </c>
      <c r="BT132" s="63">
        <v>-221192</v>
      </c>
      <c r="BU132" s="63">
        <v>0</v>
      </c>
      <c r="BV132" s="63">
        <v>-221192</v>
      </c>
      <c r="BW132" s="63">
        <v>-117116</v>
      </c>
      <c r="BX132" s="63">
        <v>0</v>
      </c>
      <c r="BY132" s="63">
        <v>-117116</v>
      </c>
      <c r="BZ132" s="63">
        <v>-93650</v>
      </c>
      <c r="CA132" s="63">
        <v>0</v>
      </c>
      <c r="CB132" s="63">
        <v>-93650</v>
      </c>
      <c r="CC132" s="63">
        <v>0</v>
      </c>
      <c r="CD132" s="63">
        <v>0</v>
      </c>
      <c r="CE132" s="63">
        <v>0</v>
      </c>
      <c r="CF132" s="63">
        <v>-1988</v>
      </c>
      <c r="CG132" s="63">
        <v>0</v>
      </c>
      <c r="CH132" s="63">
        <v>-1988</v>
      </c>
      <c r="CI132" s="63">
        <v>0</v>
      </c>
      <c r="CJ132" s="63">
        <v>0</v>
      </c>
      <c r="CK132" s="63">
        <v>0</v>
      </c>
      <c r="CL132" s="63">
        <v>0</v>
      </c>
      <c r="CM132" s="63">
        <v>0</v>
      </c>
      <c r="CN132" s="63">
        <v>0</v>
      </c>
      <c r="CO132" s="63">
        <v>0</v>
      </c>
      <c r="CP132" s="63">
        <v>0</v>
      </c>
      <c r="CQ132" s="63">
        <v>-212754</v>
      </c>
      <c r="CR132" s="63">
        <v>0</v>
      </c>
      <c r="CS132" s="63">
        <v>0</v>
      </c>
      <c r="CT132" s="63">
        <v>0</v>
      </c>
      <c r="CU132" s="63">
        <v>-212754</v>
      </c>
      <c r="CV132" s="63">
        <v>0</v>
      </c>
      <c r="CW132" s="63">
        <v>-212754</v>
      </c>
      <c r="CX132" s="63">
        <v>0</v>
      </c>
      <c r="CY132" s="63">
        <v>0</v>
      </c>
      <c r="CZ132" s="63">
        <v>0</v>
      </c>
      <c r="DA132" s="63">
        <v>0</v>
      </c>
      <c r="DB132" s="63">
        <v>0</v>
      </c>
      <c r="DC132" s="63">
        <v>0</v>
      </c>
      <c r="DD132" s="63">
        <v>-7014</v>
      </c>
      <c r="DE132" s="63">
        <v>0</v>
      </c>
      <c r="DF132" s="63">
        <v>-7014</v>
      </c>
      <c r="DG132" s="63">
        <v>-7014</v>
      </c>
      <c r="DH132" s="63">
        <v>0</v>
      </c>
      <c r="DI132" s="63">
        <v>0</v>
      </c>
      <c r="DJ132" s="63">
        <v>0</v>
      </c>
      <c r="DK132" s="63">
        <v>-7014</v>
      </c>
      <c r="DL132" s="63">
        <v>0</v>
      </c>
      <c r="DM132" s="63">
        <v>-7014</v>
      </c>
      <c r="DN132" s="63">
        <v>35089059</v>
      </c>
      <c r="DO132" s="63">
        <v>0</v>
      </c>
      <c r="DP132" s="63">
        <v>35089059</v>
      </c>
      <c r="DQ132" s="63"/>
      <c r="DR132" s="585"/>
    </row>
    <row r="133" spans="1:122" x14ac:dyDescent="0.2">
      <c r="A133" s="90">
        <v>126</v>
      </c>
      <c r="B133" s="129" t="s">
        <v>130</v>
      </c>
      <c r="C133" s="130" t="s">
        <v>747</v>
      </c>
      <c r="D133" s="131" t="s">
        <v>748</v>
      </c>
      <c r="E133" s="132" t="s">
        <v>129</v>
      </c>
      <c r="F133" s="475" t="s">
        <v>808</v>
      </c>
      <c r="G133" s="63">
        <v>182373632</v>
      </c>
      <c r="H133" s="63">
        <v>0</v>
      </c>
      <c r="I133" s="63">
        <v>182373632</v>
      </c>
      <c r="J133" s="608">
        <v>48.4</v>
      </c>
      <c r="K133" s="63">
        <v>88268838</v>
      </c>
      <c r="L133" s="63">
        <v>0</v>
      </c>
      <c r="M133" s="63">
        <v>-445824</v>
      </c>
      <c r="N133" s="63">
        <v>0</v>
      </c>
      <c r="O133" s="63">
        <v>87823014</v>
      </c>
      <c r="P133" s="63">
        <v>0</v>
      </c>
      <c r="Q133" s="63">
        <v>87823014</v>
      </c>
      <c r="R133" s="63">
        <v>0</v>
      </c>
      <c r="S133" s="63">
        <v>0</v>
      </c>
      <c r="T133" s="63">
        <v>0</v>
      </c>
      <c r="U133" s="63">
        <v>0</v>
      </c>
      <c r="V133" s="63">
        <v>0</v>
      </c>
      <c r="W133" s="63">
        <v>0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0</v>
      </c>
      <c r="AE133" s="63">
        <v>0</v>
      </c>
      <c r="AF133" s="63">
        <v>0</v>
      </c>
      <c r="AG133" s="63">
        <v>0</v>
      </c>
      <c r="AH133" s="63">
        <v>-3655958</v>
      </c>
      <c r="AI133" s="63">
        <v>0</v>
      </c>
      <c r="AJ133" s="63">
        <v>-3655958</v>
      </c>
      <c r="AK133" s="63">
        <v>0</v>
      </c>
      <c r="AL133" s="63">
        <v>0</v>
      </c>
      <c r="AM133" s="63">
        <v>0</v>
      </c>
      <c r="AN133" s="63">
        <v>1923478</v>
      </c>
      <c r="AO133" s="63">
        <v>0</v>
      </c>
      <c r="AP133" s="63">
        <v>1923478</v>
      </c>
      <c r="AQ133" s="63">
        <v>-1732480</v>
      </c>
      <c r="AR133" s="63">
        <v>0</v>
      </c>
      <c r="AS133" s="63">
        <v>-1732480</v>
      </c>
      <c r="AT133" s="63">
        <v>-4502281</v>
      </c>
      <c r="AU133" s="63">
        <v>0</v>
      </c>
      <c r="AV133" s="63">
        <v>-4502281</v>
      </c>
      <c r="AW133" s="63">
        <v>-329888</v>
      </c>
      <c r="AX133" s="63">
        <v>0</v>
      </c>
      <c r="AY133" s="63">
        <v>-329888</v>
      </c>
      <c r="AZ133" s="63">
        <v>0</v>
      </c>
      <c r="BA133" s="63">
        <v>0</v>
      </c>
      <c r="BB133" s="63">
        <v>0</v>
      </c>
      <c r="BC133" s="63">
        <v>-6564649</v>
      </c>
      <c r="BD133" s="63">
        <v>0</v>
      </c>
      <c r="BE133" s="63">
        <v>0</v>
      </c>
      <c r="BF133" s="63">
        <v>0</v>
      </c>
      <c r="BG133" s="63">
        <v>-6564649</v>
      </c>
      <c r="BH133" s="63">
        <v>0</v>
      </c>
      <c r="BI133" s="63">
        <v>-6564649</v>
      </c>
      <c r="BJ133" s="63">
        <v>0</v>
      </c>
      <c r="BK133" s="63">
        <v>0</v>
      </c>
      <c r="BL133" s="63">
        <v>0</v>
      </c>
      <c r="BM133" s="63">
        <v>-2253386</v>
      </c>
      <c r="BN133" s="63">
        <v>0</v>
      </c>
      <c r="BO133" s="63">
        <v>-2253386</v>
      </c>
      <c r="BP133" s="63">
        <v>-2253386</v>
      </c>
      <c r="BQ133" s="63">
        <v>0</v>
      </c>
      <c r="BR133" s="63">
        <v>0</v>
      </c>
      <c r="BS133" s="63">
        <v>0</v>
      </c>
      <c r="BT133" s="63">
        <v>-2253386</v>
      </c>
      <c r="BU133" s="63">
        <v>0</v>
      </c>
      <c r="BV133" s="63">
        <v>-2253386</v>
      </c>
      <c r="BW133" s="63">
        <v>-131248</v>
      </c>
      <c r="BX133" s="63">
        <v>0</v>
      </c>
      <c r="BY133" s="63">
        <v>-131248</v>
      </c>
      <c r="BZ133" s="63">
        <v>-11298</v>
      </c>
      <c r="CA133" s="63">
        <v>0</v>
      </c>
      <c r="CB133" s="63">
        <v>-11298</v>
      </c>
      <c r="CC133" s="63">
        <v>-74500</v>
      </c>
      <c r="CD133" s="63">
        <v>0</v>
      </c>
      <c r="CE133" s="63">
        <v>-74500</v>
      </c>
      <c r="CF133" s="63">
        <v>0</v>
      </c>
      <c r="CG133" s="63">
        <v>0</v>
      </c>
      <c r="CH133" s="63">
        <v>0</v>
      </c>
      <c r="CI133" s="63">
        <v>0</v>
      </c>
      <c r="CJ133" s="63">
        <v>0</v>
      </c>
      <c r="CK133" s="63">
        <v>0</v>
      </c>
      <c r="CL133" s="63">
        <v>0</v>
      </c>
      <c r="CM133" s="63">
        <v>0</v>
      </c>
      <c r="CN133" s="63">
        <v>0</v>
      </c>
      <c r="CO133" s="63">
        <v>0</v>
      </c>
      <c r="CP133" s="63">
        <v>0</v>
      </c>
      <c r="CQ133" s="63">
        <v>-217046</v>
      </c>
      <c r="CR133" s="63">
        <v>0</v>
      </c>
      <c r="CS133" s="63">
        <v>0</v>
      </c>
      <c r="CT133" s="63">
        <v>0</v>
      </c>
      <c r="CU133" s="63">
        <v>-217046</v>
      </c>
      <c r="CV133" s="63">
        <v>0</v>
      </c>
      <c r="CW133" s="63">
        <v>-217046</v>
      </c>
      <c r="CX133" s="63">
        <v>-17519</v>
      </c>
      <c r="CY133" s="63">
        <v>0</v>
      </c>
      <c r="CZ133" s="63">
        <v>-17519</v>
      </c>
      <c r="DA133" s="63">
        <v>-6647</v>
      </c>
      <c r="DB133" s="63">
        <v>0</v>
      </c>
      <c r="DC133" s="63">
        <v>-6647</v>
      </c>
      <c r="DD133" s="63">
        <v>0</v>
      </c>
      <c r="DE133" s="63">
        <v>0</v>
      </c>
      <c r="DF133" s="63">
        <v>0</v>
      </c>
      <c r="DG133" s="63">
        <v>-24166</v>
      </c>
      <c r="DH133" s="63">
        <v>0</v>
      </c>
      <c r="DI133" s="63">
        <v>0</v>
      </c>
      <c r="DJ133" s="63">
        <v>0</v>
      </c>
      <c r="DK133" s="63">
        <v>-24166</v>
      </c>
      <c r="DL133" s="63">
        <v>0</v>
      </c>
      <c r="DM133" s="63">
        <v>-24166</v>
      </c>
      <c r="DN133" s="63">
        <v>78763767</v>
      </c>
      <c r="DO133" s="63">
        <v>0</v>
      </c>
      <c r="DP133" s="63">
        <v>78763767</v>
      </c>
      <c r="DQ133" s="63"/>
      <c r="DR133" s="585"/>
    </row>
    <row r="134" spans="1:122" x14ac:dyDescent="0.2">
      <c r="A134" s="90">
        <v>127</v>
      </c>
      <c r="B134" s="129" t="s">
        <v>131</v>
      </c>
      <c r="C134" s="130" t="s">
        <v>501</v>
      </c>
      <c r="D134" s="131" t="s">
        <v>752</v>
      </c>
      <c r="E134" s="132" t="s">
        <v>532</v>
      </c>
      <c r="F134" s="475" t="s">
        <v>808</v>
      </c>
      <c r="G134" s="63">
        <v>128501495</v>
      </c>
      <c r="H134" s="63">
        <v>805315</v>
      </c>
      <c r="I134" s="63">
        <v>129306810</v>
      </c>
      <c r="J134" s="608">
        <v>48.4</v>
      </c>
      <c r="K134" s="63">
        <v>62194724</v>
      </c>
      <c r="L134" s="63">
        <v>389772</v>
      </c>
      <c r="M134" s="63">
        <v>-500000</v>
      </c>
      <c r="N134" s="63">
        <v>200000</v>
      </c>
      <c r="O134" s="63">
        <v>61694724</v>
      </c>
      <c r="P134" s="63">
        <v>589772</v>
      </c>
      <c r="Q134" s="63">
        <v>62284496</v>
      </c>
      <c r="R134" s="63">
        <v>0</v>
      </c>
      <c r="S134" s="63">
        <v>0</v>
      </c>
      <c r="T134" s="63">
        <v>0</v>
      </c>
      <c r="U134" s="63">
        <v>0</v>
      </c>
      <c r="V134" s="63">
        <v>0</v>
      </c>
      <c r="W134" s="63">
        <v>0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0</v>
      </c>
      <c r="AE134" s="63">
        <v>0</v>
      </c>
      <c r="AF134" s="63">
        <v>0</v>
      </c>
      <c r="AG134" s="63">
        <v>0</v>
      </c>
      <c r="AH134" s="63">
        <v>-5853774</v>
      </c>
      <c r="AI134" s="63">
        <v>-62324</v>
      </c>
      <c r="AJ134" s="63">
        <v>-5916098</v>
      </c>
      <c r="AK134" s="63">
        <v>0</v>
      </c>
      <c r="AL134" s="63">
        <v>0</v>
      </c>
      <c r="AM134" s="63">
        <v>0</v>
      </c>
      <c r="AN134" s="63">
        <v>1307604</v>
      </c>
      <c r="AO134" s="63">
        <v>5800</v>
      </c>
      <c r="AP134" s="63">
        <v>1313404</v>
      </c>
      <c r="AQ134" s="63">
        <v>-4546170</v>
      </c>
      <c r="AR134" s="63">
        <v>-56524</v>
      </c>
      <c r="AS134" s="63">
        <v>-4602694</v>
      </c>
      <c r="AT134" s="63">
        <v>-4514451</v>
      </c>
      <c r="AU134" s="63">
        <v>-644</v>
      </c>
      <c r="AV134" s="63">
        <v>-4515095</v>
      </c>
      <c r="AW134" s="63">
        <v>-127343</v>
      </c>
      <c r="AX134" s="63">
        <v>0</v>
      </c>
      <c r="AY134" s="63">
        <v>-127343</v>
      </c>
      <c r="AZ134" s="63">
        <v>-98205</v>
      </c>
      <c r="BA134" s="63">
        <v>0</v>
      </c>
      <c r="BB134" s="63">
        <v>-98205</v>
      </c>
      <c r="BC134" s="63">
        <v>-9286169</v>
      </c>
      <c r="BD134" s="63">
        <v>-57168</v>
      </c>
      <c r="BE134" s="63">
        <v>0</v>
      </c>
      <c r="BF134" s="63">
        <v>0</v>
      </c>
      <c r="BG134" s="63">
        <v>-9286169</v>
      </c>
      <c r="BH134" s="63">
        <v>-57168</v>
      </c>
      <c r="BI134" s="63">
        <v>-9343337</v>
      </c>
      <c r="BJ134" s="63">
        <v>0</v>
      </c>
      <c r="BK134" s="63">
        <v>0</v>
      </c>
      <c r="BL134" s="63">
        <v>0</v>
      </c>
      <c r="BM134" s="63">
        <v>-1753976</v>
      </c>
      <c r="BN134" s="63">
        <v>-13413</v>
      </c>
      <c r="BO134" s="63">
        <v>-1767389</v>
      </c>
      <c r="BP134" s="63">
        <v>-1753976</v>
      </c>
      <c r="BQ134" s="63">
        <v>-13413</v>
      </c>
      <c r="BR134" s="63">
        <v>0</v>
      </c>
      <c r="BS134" s="63">
        <v>0</v>
      </c>
      <c r="BT134" s="63">
        <v>-1753976</v>
      </c>
      <c r="BU134" s="63">
        <v>-13413</v>
      </c>
      <c r="BV134" s="63">
        <v>-1767389</v>
      </c>
      <c r="BW134" s="63">
        <v>-349440</v>
      </c>
      <c r="BX134" s="63">
        <v>0</v>
      </c>
      <c r="BY134" s="63">
        <v>-349440</v>
      </c>
      <c r="BZ134" s="63">
        <v>-100046</v>
      </c>
      <c r="CA134" s="63">
        <v>0</v>
      </c>
      <c r="CB134" s="63">
        <v>-100046</v>
      </c>
      <c r="CC134" s="63">
        <v>-19198</v>
      </c>
      <c r="CD134" s="63">
        <v>0</v>
      </c>
      <c r="CE134" s="63">
        <v>-19198</v>
      </c>
      <c r="CF134" s="63">
        <v>-53662</v>
      </c>
      <c r="CG134" s="63">
        <v>0</v>
      </c>
      <c r="CH134" s="63">
        <v>-53662</v>
      </c>
      <c r="CI134" s="63">
        <v>0</v>
      </c>
      <c r="CJ134" s="63">
        <v>0</v>
      </c>
      <c r="CK134" s="63">
        <v>0</v>
      </c>
      <c r="CL134" s="63">
        <v>0</v>
      </c>
      <c r="CM134" s="63">
        <v>-351596</v>
      </c>
      <c r="CN134" s="63">
        <v>-351596</v>
      </c>
      <c r="CO134" s="63">
        <v>-351596</v>
      </c>
      <c r="CP134" s="63">
        <v>0</v>
      </c>
      <c r="CQ134" s="63">
        <v>-522346</v>
      </c>
      <c r="CR134" s="63">
        <v>-351596</v>
      </c>
      <c r="CS134" s="63">
        <v>0</v>
      </c>
      <c r="CT134" s="63">
        <v>0</v>
      </c>
      <c r="CU134" s="63">
        <v>-522346</v>
      </c>
      <c r="CV134" s="63">
        <v>-351596</v>
      </c>
      <c r="CW134" s="63">
        <v>-873942</v>
      </c>
      <c r="CX134" s="63">
        <v>-50000</v>
      </c>
      <c r="CY134" s="63">
        <v>0</v>
      </c>
      <c r="CZ134" s="63">
        <v>-50000</v>
      </c>
      <c r="DA134" s="63">
        <v>-25000</v>
      </c>
      <c r="DB134" s="63">
        <v>0</v>
      </c>
      <c r="DC134" s="63">
        <v>-25000</v>
      </c>
      <c r="DD134" s="63">
        <v>-50000</v>
      </c>
      <c r="DE134" s="63">
        <v>0</v>
      </c>
      <c r="DF134" s="63">
        <v>-50000</v>
      </c>
      <c r="DG134" s="63">
        <v>-125000</v>
      </c>
      <c r="DH134" s="63">
        <v>0</v>
      </c>
      <c r="DI134" s="63">
        <v>0</v>
      </c>
      <c r="DJ134" s="63">
        <v>0</v>
      </c>
      <c r="DK134" s="63">
        <v>-125000</v>
      </c>
      <c r="DL134" s="63">
        <v>0</v>
      </c>
      <c r="DM134" s="63">
        <v>-125000</v>
      </c>
      <c r="DN134" s="63">
        <v>50007233</v>
      </c>
      <c r="DO134" s="63">
        <v>167595</v>
      </c>
      <c r="DP134" s="63">
        <v>50174828</v>
      </c>
      <c r="DQ134" s="63"/>
      <c r="DR134" s="585" t="s">
        <v>768</v>
      </c>
    </row>
    <row r="135" spans="1:122" x14ac:dyDescent="0.2">
      <c r="A135" s="90">
        <v>128</v>
      </c>
      <c r="B135" s="129" t="s">
        <v>133</v>
      </c>
      <c r="C135" s="130" t="s">
        <v>742</v>
      </c>
      <c r="D135" s="131" t="s">
        <v>746</v>
      </c>
      <c r="E135" s="132" t="s">
        <v>132</v>
      </c>
      <c r="F135" s="475" t="s">
        <v>808</v>
      </c>
      <c r="G135" s="63">
        <v>114123325</v>
      </c>
      <c r="H135" s="63">
        <v>0</v>
      </c>
      <c r="I135" s="63">
        <v>114123325</v>
      </c>
      <c r="J135" s="608">
        <v>48.4</v>
      </c>
      <c r="K135" s="63">
        <v>55235689</v>
      </c>
      <c r="L135" s="63">
        <v>0</v>
      </c>
      <c r="M135" s="63">
        <v>0</v>
      </c>
      <c r="N135" s="63">
        <v>0</v>
      </c>
      <c r="O135" s="63">
        <v>55235689</v>
      </c>
      <c r="P135" s="63">
        <v>0</v>
      </c>
      <c r="Q135" s="63">
        <v>55235689</v>
      </c>
      <c r="R135" s="63">
        <v>0</v>
      </c>
      <c r="S135" s="63">
        <v>0</v>
      </c>
      <c r="T135" s="63">
        <v>0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0</v>
      </c>
      <c r="AE135" s="63">
        <v>0</v>
      </c>
      <c r="AF135" s="63">
        <v>0</v>
      </c>
      <c r="AG135" s="63">
        <v>0</v>
      </c>
      <c r="AH135" s="63">
        <v>-1604411</v>
      </c>
      <c r="AI135" s="63">
        <v>0</v>
      </c>
      <c r="AJ135" s="63">
        <v>-1604411</v>
      </c>
      <c r="AK135" s="63">
        <v>0</v>
      </c>
      <c r="AL135" s="63">
        <v>0</v>
      </c>
      <c r="AM135" s="63">
        <v>0</v>
      </c>
      <c r="AN135" s="63">
        <v>1307092</v>
      </c>
      <c r="AO135" s="63">
        <v>0</v>
      </c>
      <c r="AP135" s="63">
        <v>1307092</v>
      </c>
      <c r="AQ135" s="63">
        <v>-297319</v>
      </c>
      <c r="AR135" s="63">
        <v>0</v>
      </c>
      <c r="AS135" s="63">
        <v>-297319</v>
      </c>
      <c r="AT135" s="63">
        <v>-4927990</v>
      </c>
      <c r="AU135" s="63">
        <v>0</v>
      </c>
      <c r="AV135" s="63">
        <v>-4927990</v>
      </c>
      <c r="AW135" s="63">
        <v>-59720</v>
      </c>
      <c r="AX135" s="63">
        <v>0</v>
      </c>
      <c r="AY135" s="63">
        <v>-59720</v>
      </c>
      <c r="AZ135" s="63">
        <v>0</v>
      </c>
      <c r="BA135" s="63">
        <v>0</v>
      </c>
      <c r="BB135" s="63">
        <v>0</v>
      </c>
      <c r="BC135" s="63">
        <v>-5285029</v>
      </c>
      <c r="BD135" s="63">
        <v>0</v>
      </c>
      <c r="BE135" s="63">
        <v>0</v>
      </c>
      <c r="BF135" s="63">
        <v>0</v>
      </c>
      <c r="BG135" s="63">
        <v>-5285029</v>
      </c>
      <c r="BH135" s="63">
        <v>0</v>
      </c>
      <c r="BI135" s="63">
        <v>-5285029</v>
      </c>
      <c r="BJ135" s="63">
        <v>0</v>
      </c>
      <c r="BK135" s="63">
        <v>0</v>
      </c>
      <c r="BL135" s="63">
        <v>0</v>
      </c>
      <c r="BM135" s="63">
        <v>-305228</v>
      </c>
      <c r="BN135" s="63">
        <v>0</v>
      </c>
      <c r="BO135" s="63">
        <v>-305228</v>
      </c>
      <c r="BP135" s="63">
        <v>-305228</v>
      </c>
      <c r="BQ135" s="63">
        <v>0</v>
      </c>
      <c r="BR135" s="63">
        <v>-488468</v>
      </c>
      <c r="BS135" s="63">
        <v>0</v>
      </c>
      <c r="BT135" s="63">
        <v>-793696</v>
      </c>
      <c r="BU135" s="63">
        <v>0</v>
      </c>
      <c r="BV135" s="63">
        <v>-793696</v>
      </c>
      <c r="BW135" s="63">
        <v>-104098</v>
      </c>
      <c r="BX135" s="63">
        <v>0</v>
      </c>
      <c r="BY135" s="63">
        <v>-104098</v>
      </c>
      <c r="BZ135" s="63">
        <v>-43248</v>
      </c>
      <c r="CA135" s="63">
        <v>0</v>
      </c>
      <c r="CB135" s="63">
        <v>-43248</v>
      </c>
      <c r="CC135" s="63">
        <v>0</v>
      </c>
      <c r="CD135" s="63">
        <v>0</v>
      </c>
      <c r="CE135" s="63">
        <v>0</v>
      </c>
      <c r="CF135" s="63">
        <v>0</v>
      </c>
      <c r="CG135" s="63">
        <v>0</v>
      </c>
      <c r="CH135" s="63">
        <v>0</v>
      </c>
      <c r="CI135" s="63">
        <v>0</v>
      </c>
      <c r="CJ135" s="63">
        <v>0</v>
      </c>
      <c r="CK135" s="63">
        <v>0</v>
      </c>
      <c r="CL135" s="63">
        <v>0</v>
      </c>
      <c r="CM135" s="63">
        <v>0</v>
      </c>
      <c r="CN135" s="63">
        <v>0</v>
      </c>
      <c r="CO135" s="63">
        <v>0</v>
      </c>
      <c r="CP135" s="63">
        <v>0</v>
      </c>
      <c r="CQ135" s="63">
        <v>-147346</v>
      </c>
      <c r="CR135" s="63">
        <v>0</v>
      </c>
      <c r="CS135" s="63">
        <v>0</v>
      </c>
      <c r="CT135" s="63">
        <v>0</v>
      </c>
      <c r="CU135" s="63">
        <v>-147346</v>
      </c>
      <c r="CV135" s="63">
        <v>0</v>
      </c>
      <c r="CW135" s="63">
        <v>-147346</v>
      </c>
      <c r="CX135" s="63">
        <v>0</v>
      </c>
      <c r="CY135" s="63">
        <v>0</v>
      </c>
      <c r="CZ135" s="63">
        <v>0</v>
      </c>
      <c r="DA135" s="63">
        <v>-48466</v>
      </c>
      <c r="DB135" s="63">
        <v>0</v>
      </c>
      <c r="DC135" s="63">
        <v>-48466</v>
      </c>
      <c r="DD135" s="63">
        <v>-3149</v>
      </c>
      <c r="DE135" s="63">
        <v>0</v>
      </c>
      <c r="DF135" s="63">
        <v>-3149</v>
      </c>
      <c r="DG135" s="63">
        <v>-51615</v>
      </c>
      <c r="DH135" s="63">
        <v>0</v>
      </c>
      <c r="DI135" s="63">
        <v>0</v>
      </c>
      <c r="DJ135" s="63">
        <v>0</v>
      </c>
      <c r="DK135" s="63">
        <v>-51615</v>
      </c>
      <c r="DL135" s="63">
        <v>0</v>
      </c>
      <c r="DM135" s="63">
        <v>-51615</v>
      </c>
      <c r="DN135" s="63">
        <v>48958003</v>
      </c>
      <c r="DO135" s="63">
        <v>0</v>
      </c>
      <c r="DP135" s="63">
        <v>48958003</v>
      </c>
      <c r="DQ135" s="63"/>
      <c r="DR135" s="585"/>
    </row>
    <row r="136" spans="1:122" x14ac:dyDescent="0.2">
      <c r="A136" s="90">
        <v>129</v>
      </c>
      <c r="B136" s="129" t="s">
        <v>135</v>
      </c>
      <c r="C136" s="130" t="s">
        <v>742</v>
      </c>
      <c r="D136" s="131" t="s">
        <v>745</v>
      </c>
      <c r="E136" s="132" t="s">
        <v>134</v>
      </c>
      <c r="F136" s="475" t="s">
        <v>808</v>
      </c>
      <c r="G136" s="63">
        <v>60739739</v>
      </c>
      <c r="H136" s="63">
        <v>0</v>
      </c>
      <c r="I136" s="63">
        <v>60739739</v>
      </c>
      <c r="J136" s="608">
        <v>48.4</v>
      </c>
      <c r="K136" s="63">
        <v>29398034</v>
      </c>
      <c r="L136" s="63">
        <v>0</v>
      </c>
      <c r="M136" s="63">
        <v>0</v>
      </c>
      <c r="N136" s="63">
        <v>0</v>
      </c>
      <c r="O136" s="63">
        <v>29398034</v>
      </c>
      <c r="P136" s="63">
        <v>0</v>
      </c>
      <c r="Q136" s="63">
        <v>29398034</v>
      </c>
      <c r="R136" s="63">
        <v>0</v>
      </c>
      <c r="S136" s="63">
        <v>0</v>
      </c>
      <c r="T136" s="63">
        <v>0</v>
      </c>
      <c r="U136" s="63">
        <v>0</v>
      </c>
      <c r="V136" s="63">
        <v>0</v>
      </c>
      <c r="W136" s="63">
        <v>0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0</v>
      </c>
      <c r="AE136" s="63">
        <v>0</v>
      </c>
      <c r="AF136" s="63">
        <v>0</v>
      </c>
      <c r="AG136" s="63">
        <v>0</v>
      </c>
      <c r="AH136" s="63">
        <v>-2610531</v>
      </c>
      <c r="AI136" s="63">
        <v>0</v>
      </c>
      <c r="AJ136" s="63">
        <v>-2610531</v>
      </c>
      <c r="AK136" s="63">
        <v>0</v>
      </c>
      <c r="AL136" s="63">
        <v>0</v>
      </c>
      <c r="AM136" s="63">
        <v>0</v>
      </c>
      <c r="AN136" s="63">
        <v>619098</v>
      </c>
      <c r="AO136" s="63">
        <v>0</v>
      </c>
      <c r="AP136" s="63">
        <v>619098</v>
      </c>
      <c r="AQ136" s="63">
        <v>-1991433</v>
      </c>
      <c r="AR136" s="63">
        <v>0</v>
      </c>
      <c r="AS136" s="63">
        <v>-1991433</v>
      </c>
      <c r="AT136" s="63">
        <v>-1772451</v>
      </c>
      <c r="AU136" s="63">
        <v>0</v>
      </c>
      <c r="AV136" s="63">
        <v>-1772451</v>
      </c>
      <c r="AW136" s="63">
        <v>-72314</v>
      </c>
      <c r="AX136" s="63">
        <v>0</v>
      </c>
      <c r="AY136" s="63">
        <v>-72314</v>
      </c>
      <c r="AZ136" s="63">
        <v>-10841</v>
      </c>
      <c r="BA136" s="63">
        <v>0</v>
      </c>
      <c r="BB136" s="63">
        <v>-10841</v>
      </c>
      <c r="BC136" s="63">
        <v>-3847039</v>
      </c>
      <c r="BD136" s="63">
        <v>0</v>
      </c>
      <c r="BE136" s="63">
        <v>0</v>
      </c>
      <c r="BF136" s="63">
        <v>0</v>
      </c>
      <c r="BG136" s="63">
        <v>-3847039</v>
      </c>
      <c r="BH136" s="63">
        <v>0</v>
      </c>
      <c r="BI136" s="63">
        <v>-3847039</v>
      </c>
      <c r="BJ136" s="63">
        <v>0</v>
      </c>
      <c r="BK136" s="63">
        <v>0</v>
      </c>
      <c r="BL136" s="63">
        <v>0</v>
      </c>
      <c r="BM136" s="63">
        <v>-350000</v>
      </c>
      <c r="BN136" s="63">
        <v>0</v>
      </c>
      <c r="BO136" s="63">
        <v>-350000</v>
      </c>
      <c r="BP136" s="63">
        <v>-350000</v>
      </c>
      <c r="BQ136" s="63">
        <v>0</v>
      </c>
      <c r="BR136" s="63">
        <v>0</v>
      </c>
      <c r="BS136" s="63">
        <v>0</v>
      </c>
      <c r="BT136" s="63">
        <v>-350000</v>
      </c>
      <c r="BU136" s="63">
        <v>0</v>
      </c>
      <c r="BV136" s="63">
        <v>-350000</v>
      </c>
      <c r="BW136" s="63">
        <v>-32964</v>
      </c>
      <c r="BX136" s="63">
        <v>0</v>
      </c>
      <c r="BY136" s="63">
        <v>-32964</v>
      </c>
      <c r="BZ136" s="63">
        <v>-180791</v>
      </c>
      <c r="CA136" s="63">
        <v>0</v>
      </c>
      <c r="CB136" s="63">
        <v>-180791</v>
      </c>
      <c r="CC136" s="63">
        <v>0</v>
      </c>
      <c r="CD136" s="63">
        <v>0</v>
      </c>
      <c r="CE136" s="63">
        <v>0</v>
      </c>
      <c r="CF136" s="63">
        <v>-7395</v>
      </c>
      <c r="CG136" s="63">
        <v>0</v>
      </c>
      <c r="CH136" s="63">
        <v>-7395</v>
      </c>
      <c r="CI136" s="63">
        <v>0</v>
      </c>
      <c r="CJ136" s="63">
        <v>0</v>
      </c>
      <c r="CK136" s="63">
        <v>0</v>
      </c>
      <c r="CL136" s="63">
        <v>0</v>
      </c>
      <c r="CM136" s="63">
        <v>0</v>
      </c>
      <c r="CN136" s="63">
        <v>0</v>
      </c>
      <c r="CO136" s="63">
        <v>0</v>
      </c>
      <c r="CP136" s="63">
        <v>0</v>
      </c>
      <c r="CQ136" s="63">
        <v>-221150</v>
      </c>
      <c r="CR136" s="63">
        <v>0</v>
      </c>
      <c r="CS136" s="63">
        <v>0</v>
      </c>
      <c r="CT136" s="63">
        <v>0</v>
      </c>
      <c r="CU136" s="63">
        <v>-221150</v>
      </c>
      <c r="CV136" s="63">
        <v>0</v>
      </c>
      <c r="CW136" s="63">
        <v>-221150</v>
      </c>
      <c r="CX136" s="63">
        <v>0</v>
      </c>
      <c r="CY136" s="63">
        <v>0</v>
      </c>
      <c r="CZ136" s="63">
        <v>0</v>
      </c>
      <c r="DA136" s="63">
        <v>-16104</v>
      </c>
      <c r="DB136" s="63">
        <v>0</v>
      </c>
      <c r="DC136" s="63">
        <v>-16104</v>
      </c>
      <c r="DD136" s="63">
        <v>-59942</v>
      </c>
      <c r="DE136" s="63">
        <v>0</v>
      </c>
      <c r="DF136" s="63">
        <v>-59942</v>
      </c>
      <c r="DG136" s="63">
        <v>-76046</v>
      </c>
      <c r="DH136" s="63">
        <v>0</v>
      </c>
      <c r="DI136" s="63">
        <v>0</v>
      </c>
      <c r="DJ136" s="63">
        <v>0</v>
      </c>
      <c r="DK136" s="63">
        <v>-76046</v>
      </c>
      <c r="DL136" s="63">
        <v>0</v>
      </c>
      <c r="DM136" s="63">
        <v>-76046</v>
      </c>
      <c r="DN136" s="63">
        <v>24903799</v>
      </c>
      <c r="DO136" s="63">
        <v>0</v>
      </c>
      <c r="DP136" s="63">
        <v>24903799</v>
      </c>
      <c r="DQ136" s="63"/>
      <c r="DR136" s="585"/>
    </row>
    <row r="137" spans="1:122" x14ac:dyDescent="0.2">
      <c r="A137" s="90">
        <v>130</v>
      </c>
      <c r="B137" s="129" t="s">
        <v>137</v>
      </c>
      <c r="C137" s="130" t="s">
        <v>747</v>
      </c>
      <c r="D137" s="131" t="s">
        <v>748</v>
      </c>
      <c r="E137" s="132" t="s">
        <v>136</v>
      </c>
      <c r="F137" s="475" t="s">
        <v>808</v>
      </c>
      <c r="G137" s="63">
        <v>798743117</v>
      </c>
      <c r="H137" s="63">
        <v>0</v>
      </c>
      <c r="I137" s="63">
        <v>798743117</v>
      </c>
      <c r="J137" s="608">
        <v>48.4</v>
      </c>
      <c r="K137" s="63">
        <v>386591669</v>
      </c>
      <c r="L137" s="63">
        <v>0</v>
      </c>
      <c r="M137" s="63">
        <v>7401000</v>
      </c>
      <c r="N137" s="63">
        <v>0</v>
      </c>
      <c r="O137" s="63">
        <v>393992669</v>
      </c>
      <c r="P137" s="63">
        <v>0</v>
      </c>
      <c r="Q137" s="63">
        <v>393992669</v>
      </c>
      <c r="R137" s="63">
        <v>0</v>
      </c>
      <c r="S137" s="63">
        <v>0</v>
      </c>
      <c r="T137" s="63">
        <v>0</v>
      </c>
      <c r="U137" s="63">
        <v>0</v>
      </c>
      <c r="V137" s="63">
        <v>0</v>
      </c>
      <c r="W137" s="63">
        <v>0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0</v>
      </c>
      <c r="AE137" s="63">
        <v>0</v>
      </c>
      <c r="AF137" s="63">
        <v>0</v>
      </c>
      <c r="AG137" s="63">
        <v>0</v>
      </c>
      <c r="AH137" s="63">
        <v>-3406134</v>
      </c>
      <c r="AI137" s="63">
        <v>0</v>
      </c>
      <c r="AJ137" s="63">
        <v>-3406134</v>
      </c>
      <c r="AK137" s="63">
        <v>0</v>
      </c>
      <c r="AL137" s="63">
        <v>0</v>
      </c>
      <c r="AM137" s="63">
        <v>0</v>
      </c>
      <c r="AN137" s="63">
        <v>9868004</v>
      </c>
      <c r="AO137" s="63">
        <v>0</v>
      </c>
      <c r="AP137" s="63">
        <v>9868004</v>
      </c>
      <c r="AQ137" s="63">
        <v>6461870</v>
      </c>
      <c r="AR137" s="63">
        <v>0</v>
      </c>
      <c r="AS137" s="63">
        <v>6461870</v>
      </c>
      <c r="AT137" s="63">
        <v>-8181270</v>
      </c>
      <c r="AU137" s="63">
        <v>0</v>
      </c>
      <c r="AV137" s="63">
        <v>-8181270</v>
      </c>
      <c r="AW137" s="63">
        <v>-79160</v>
      </c>
      <c r="AX137" s="63">
        <v>0</v>
      </c>
      <c r="AY137" s="63">
        <v>-79160</v>
      </c>
      <c r="AZ137" s="63">
        <v>0</v>
      </c>
      <c r="BA137" s="63">
        <v>0</v>
      </c>
      <c r="BB137" s="63">
        <v>0</v>
      </c>
      <c r="BC137" s="63">
        <v>-1798560</v>
      </c>
      <c r="BD137" s="63">
        <v>0</v>
      </c>
      <c r="BE137" s="63">
        <v>0</v>
      </c>
      <c r="BF137" s="63">
        <v>0</v>
      </c>
      <c r="BG137" s="63">
        <v>-1798560</v>
      </c>
      <c r="BH137" s="63">
        <v>0</v>
      </c>
      <c r="BI137" s="63">
        <v>-1798560</v>
      </c>
      <c r="BJ137" s="63">
        <v>-167316</v>
      </c>
      <c r="BK137" s="63">
        <v>0</v>
      </c>
      <c r="BL137" s="63">
        <v>-167316</v>
      </c>
      <c r="BM137" s="63">
        <v>-12129883</v>
      </c>
      <c r="BN137" s="63">
        <v>0</v>
      </c>
      <c r="BO137" s="63">
        <v>-12129883</v>
      </c>
      <c r="BP137" s="63">
        <v>-12297199</v>
      </c>
      <c r="BQ137" s="63">
        <v>0</v>
      </c>
      <c r="BR137" s="63">
        <v>0</v>
      </c>
      <c r="BS137" s="63">
        <v>0</v>
      </c>
      <c r="BT137" s="63">
        <v>-12297199</v>
      </c>
      <c r="BU137" s="63">
        <v>0</v>
      </c>
      <c r="BV137" s="63">
        <v>-12297199</v>
      </c>
      <c r="BW137" s="63">
        <v>-203163</v>
      </c>
      <c r="BX137" s="63">
        <v>0</v>
      </c>
      <c r="BY137" s="63">
        <v>-203163</v>
      </c>
      <c r="BZ137" s="63">
        <v>-12248</v>
      </c>
      <c r="CA137" s="63">
        <v>0</v>
      </c>
      <c r="CB137" s="63">
        <v>-12248</v>
      </c>
      <c r="CC137" s="63">
        <v>0</v>
      </c>
      <c r="CD137" s="63">
        <v>0</v>
      </c>
      <c r="CE137" s="63">
        <v>0</v>
      </c>
      <c r="CF137" s="63">
        <v>0</v>
      </c>
      <c r="CG137" s="63">
        <v>0</v>
      </c>
      <c r="CH137" s="63">
        <v>0</v>
      </c>
      <c r="CI137" s="63">
        <v>0</v>
      </c>
      <c r="CJ137" s="63">
        <v>0</v>
      </c>
      <c r="CK137" s="63">
        <v>0</v>
      </c>
      <c r="CL137" s="63">
        <v>0</v>
      </c>
      <c r="CM137" s="63">
        <v>0</v>
      </c>
      <c r="CN137" s="63">
        <v>0</v>
      </c>
      <c r="CO137" s="63">
        <v>0</v>
      </c>
      <c r="CP137" s="63">
        <v>0</v>
      </c>
      <c r="CQ137" s="63">
        <v>-215411</v>
      </c>
      <c r="CR137" s="63">
        <v>0</v>
      </c>
      <c r="CS137" s="63">
        <v>0</v>
      </c>
      <c r="CT137" s="63">
        <v>0</v>
      </c>
      <c r="CU137" s="63">
        <v>-215411</v>
      </c>
      <c r="CV137" s="63">
        <v>0</v>
      </c>
      <c r="CW137" s="63">
        <v>-215411</v>
      </c>
      <c r="CX137" s="63">
        <v>0</v>
      </c>
      <c r="CY137" s="63">
        <v>0</v>
      </c>
      <c r="CZ137" s="63">
        <v>0</v>
      </c>
      <c r="DA137" s="63">
        <v>-100000</v>
      </c>
      <c r="DB137" s="63">
        <v>0</v>
      </c>
      <c r="DC137" s="63">
        <v>-100000</v>
      </c>
      <c r="DD137" s="63">
        <v>-369921</v>
      </c>
      <c r="DE137" s="63">
        <v>0</v>
      </c>
      <c r="DF137" s="63">
        <v>-369921</v>
      </c>
      <c r="DG137" s="63">
        <v>-469921</v>
      </c>
      <c r="DH137" s="63">
        <v>0</v>
      </c>
      <c r="DI137" s="63">
        <v>0</v>
      </c>
      <c r="DJ137" s="63">
        <v>0</v>
      </c>
      <c r="DK137" s="63">
        <v>-469921</v>
      </c>
      <c r="DL137" s="63">
        <v>0</v>
      </c>
      <c r="DM137" s="63">
        <v>-469921</v>
      </c>
      <c r="DN137" s="63">
        <v>379211578</v>
      </c>
      <c r="DO137" s="63">
        <v>0</v>
      </c>
      <c r="DP137" s="63">
        <v>379211578</v>
      </c>
      <c r="DQ137" s="63"/>
      <c r="DR137" s="585"/>
    </row>
    <row r="138" spans="1:122" x14ac:dyDescent="0.2">
      <c r="A138" s="90">
        <v>131</v>
      </c>
      <c r="B138" s="129" t="s">
        <v>138</v>
      </c>
      <c r="C138" s="130" t="s">
        <v>742</v>
      </c>
      <c r="D138" s="131" t="s">
        <v>745</v>
      </c>
      <c r="E138" s="132" t="s">
        <v>542</v>
      </c>
      <c r="F138" s="475" t="s">
        <v>808</v>
      </c>
      <c r="G138" s="63">
        <v>69292965</v>
      </c>
      <c r="H138" s="63">
        <v>2187000</v>
      </c>
      <c r="I138" s="63">
        <v>71479965</v>
      </c>
      <c r="J138" s="608">
        <v>48.4</v>
      </c>
      <c r="K138" s="63">
        <v>33537795</v>
      </c>
      <c r="L138" s="63">
        <v>1058508</v>
      </c>
      <c r="M138" s="63">
        <v>3872650</v>
      </c>
      <c r="N138" s="63">
        <v>0</v>
      </c>
      <c r="O138" s="63">
        <v>37410445</v>
      </c>
      <c r="P138" s="63">
        <v>1058508</v>
      </c>
      <c r="Q138" s="63">
        <v>38468953</v>
      </c>
      <c r="R138" s="63">
        <v>0</v>
      </c>
      <c r="S138" s="63">
        <v>0</v>
      </c>
      <c r="T138" s="63">
        <v>0</v>
      </c>
      <c r="U138" s="63">
        <v>0</v>
      </c>
      <c r="V138" s="63">
        <v>0</v>
      </c>
      <c r="W138" s="63">
        <v>0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0</v>
      </c>
      <c r="AE138" s="63">
        <v>0</v>
      </c>
      <c r="AF138" s="63">
        <v>0</v>
      </c>
      <c r="AG138" s="63">
        <v>0</v>
      </c>
      <c r="AH138" s="63">
        <v>-2359528</v>
      </c>
      <c r="AI138" s="63">
        <v>0</v>
      </c>
      <c r="AJ138" s="63">
        <v>-2359528</v>
      </c>
      <c r="AK138" s="63">
        <v>-12508</v>
      </c>
      <c r="AL138" s="63">
        <v>0</v>
      </c>
      <c r="AM138" s="63">
        <v>-12508</v>
      </c>
      <c r="AN138" s="63">
        <v>739475</v>
      </c>
      <c r="AO138" s="63">
        <v>0</v>
      </c>
      <c r="AP138" s="63">
        <v>739475</v>
      </c>
      <c r="AQ138" s="63">
        <v>-1620053</v>
      </c>
      <c r="AR138" s="63">
        <v>0</v>
      </c>
      <c r="AS138" s="63">
        <v>-1620053</v>
      </c>
      <c r="AT138" s="63">
        <v>-1730488</v>
      </c>
      <c r="AU138" s="63">
        <v>0</v>
      </c>
      <c r="AV138" s="63">
        <v>-1730488</v>
      </c>
      <c r="AW138" s="63">
        <v>-2227</v>
      </c>
      <c r="AX138" s="63">
        <v>0</v>
      </c>
      <c r="AY138" s="63">
        <v>-2227</v>
      </c>
      <c r="AZ138" s="63">
        <v>-12835</v>
      </c>
      <c r="BA138" s="63">
        <v>0</v>
      </c>
      <c r="BB138" s="63">
        <v>-12835</v>
      </c>
      <c r="BC138" s="63">
        <v>-3365603</v>
      </c>
      <c r="BD138" s="63">
        <v>0</v>
      </c>
      <c r="BE138" s="63">
        <v>0</v>
      </c>
      <c r="BF138" s="63">
        <v>0</v>
      </c>
      <c r="BG138" s="63">
        <v>-3365603</v>
      </c>
      <c r="BH138" s="63">
        <v>0</v>
      </c>
      <c r="BI138" s="63">
        <v>-3365603</v>
      </c>
      <c r="BJ138" s="63">
        <v>-100000</v>
      </c>
      <c r="BK138" s="63">
        <v>0</v>
      </c>
      <c r="BL138" s="63">
        <v>-100000</v>
      </c>
      <c r="BM138" s="63">
        <v>-190756</v>
      </c>
      <c r="BN138" s="63">
        <v>0</v>
      </c>
      <c r="BO138" s="63">
        <v>-190756</v>
      </c>
      <c r="BP138" s="63">
        <v>-290756</v>
      </c>
      <c r="BQ138" s="63">
        <v>0</v>
      </c>
      <c r="BR138" s="63">
        <v>-259244</v>
      </c>
      <c r="BS138" s="63">
        <v>0</v>
      </c>
      <c r="BT138" s="63">
        <v>-550000</v>
      </c>
      <c r="BU138" s="63">
        <v>0</v>
      </c>
      <c r="BV138" s="63">
        <v>-550000</v>
      </c>
      <c r="BW138" s="63">
        <v>-70047</v>
      </c>
      <c r="BX138" s="63">
        <v>0</v>
      </c>
      <c r="BY138" s="63">
        <v>-70047</v>
      </c>
      <c r="BZ138" s="63">
        <v>-79378</v>
      </c>
      <c r="CA138" s="63">
        <v>0</v>
      </c>
      <c r="CB138" s="63">
        <v>-79378</v>
      </c>
      <c r="CC138" s="63">
        <v>-557</v>
      </c>
      <c r="CD138" s="63">
        <v>0</v>
      </c>
      <c r="CE138" s="63">
        <v>-557</v>
      </c>
      <c r="CF138" s="63">
        <v>0</v>
      </c>
      <c r="CG138" s="63">
        <v>0</v>
      </c>
      <c r="CH138" s="63">
        <v>0</v>
      </c>
      <c r="CI138" s="63">
        <v>0</v>
      </c>
      <c r="CJ138" s="63">
        <v>0</v>
      </c>
      <c r="CK138" s="63">
        <v>0</v>
      </c>
      <c r="CL138" s="63">
        <v>0</v>
      </c>
      <c r="CM138" s="63">
        <v>-84242</v>
      </c>
      <c r="CN138" s="63">
        <v>-84242</v>
      </c>
      <c r="CO138" s="63">
        <v>-84242</v>
      </c>
      <c r="CP138" s="63">
        <v>0</v>
      </c>
      <c r="CQ138" s="63">
        <v>-149982</v>
      </c>
      <c r="CR138" s="63">
        <v>-84242</v>
      </c>
      <c r="CS138" s="63">
        <v>0</v>
      </c>
      <c r="CT138" s="63">
        <v>0</v>
      </c>
      <c r="CU138" s="63">
        <v>-149982</v>
      </c>
      <c r="CV138" s="63">
        <v>-84242</v>
      </c>
      <c r="CW138" s="63">
        <v>-234224</v>
      </c>
      <c r="CX138" s="63">
        <v>-18339</v>
      </c>
      <c r="CY138" s="63">
        <v>0</v>
      </c>
      <c r="CZ138" s="63">
        <v>-18339</v>
      </c>
      <c r="DA138" s="63">
        <v>-6026</v>
      </c>
      <c r="DB138" s="63">
        <v>0</v>
      </c>
      <c r="DC138" s="63">
        <v>-6026</v>
      </c>
      <c r="DD138" s="63">
        <v>-211</v>
      </c>
      <c r="DE138" s="63">
        <v>0</v>
      </c>
      <c r="DF138" s="63">
        <v>-211</v>
      </c>
      <c r="DG138" s="63">
        <v>-24576</v>
      </c>
      <c r="DH138" s="63">
        <v>0</v>
      </c>
      <c r="DI138" s="63">
        <v>-15000</v>
      </c>
      <c r="DJ138" s="63">
        <v>0</v>
      </c>
      <c r="DK138" s="63">
        <v>-39576</v>
      </c>
      <c r="DL138" s="63">
        <v>0</v>
      </c>
      <c r="DM138" s="63">
        <v>-39576</v>
      </c>
      <c r="DN138" s="63">
        <v>33305284</v>
      </c>
      <c r="DO138" s="63">
        <v>974266</v>
      </c>
      <c r="DP138" s="63">
        <v>34279550</v>
      </c>
      <c r="DQ138" s="63"/>
      <c r="DR138" s="585" t="s">
        <v>768</v>
      </c>
    </row>
    <row r="139" spans="1:122" x14ac:dyDescent="0.2">
      <c r="A139" s="90">
        <v>132</v>
      </c>
      <c r="B139" s="129" t="s">
        <v>140</v>
      </c>
      <c r="C139" s="130" t="s">
        <v>742</v>
      </c>
      <c r="D139" s="131" t="s">
        <v>743</v>
      </c>
      <c r="E139" s="132" t="s">
        <v>139</v>
      </c>
      <c r="F139" s="475" t="s">
        <v>808</v>
      </c>
      <c r="G139" s="63">
        <v>103712890</v>
      </c>
      <c r="H139" s="63">
        <v>0</v>
      </c>
      <c r="I139" s="63">
        <v>103712890</v>
      </c>
      <c r="J139" s="608">
        <v>48.4</v>
      </c>
      <c r="K139" s="63">
        <v>50197039</v>
      </c>
      <c r="L139" s="63">
        <v>0</v>
      </c>
      <c r="M139" s="63">
        <v>-139890</v>
      </c>
      <c r="N139" s="63">
        <v>0</v>
      </c>
      <c r="O139" s="63">
        <v>50057149</v>
      </c>
      <c r="P139" s="63">
        <v>0</v>
      </c>
      <c r="Q139" s="63">
        <v>50057149</v>
      </c>
      <c r="R139" s="63">
        <v>0</v>
      </c>
      <c r="S139" s="63">
        <v>0</v>
      </c>
      <c r="T139" s="63">
        <v>0</v>
      </c>
      <c r="U139" s="63">
        <v>0</v>
      </c>
      <c r="V139" s="63">
        <v>0</v>
      </c>
      <c r="W139" s="63">
        <v>0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0</v>
      </c>
      <c r="AE139" s="63">
        <v>0</v>
      </c>
      <c r="AF139" s="63">
        <v>0</v>
      </c>
      <c r="AG139" s="63">
        <v>0</v>
      </c>
      <c r="AH139" s="63">
        <v>-2838349</v>
      </c>
      <c r="AI139" s="63">
        <v>0</v>
      </c>
      <c r="AJ139" s="63">
        <v>-2838349</v>
      </c>
      <c r="AK139" s="63">
        <v>0</v>
      </c>
      <c r="AL139" s="63">
        <v>0</v>
      </c>
      <c r="AM139" s="63">
        <v>0</v>
      </c>
      <c r="AN139" s="63">
        <v>1093640</v>
      </c>
      <c r="AO139" s="63">
        <v>0</v>
      </c>
      <c r="AP139" s="63">
        <v>1093640</v>
      </c>
      <c r="AQ139" s="63">
        <v>-1744709</v>
      </c>
      <c r="AR139" s="63">
        <v>0</v>
      </c>
      <c r="AS139" s="63">
        <v>-1744709</v>
      </c>
      <c r="AT139" s="63">
        <v>-2949039</v>
      </c>
      <c r="AU139" s="63">
        <v>0</v>
      </c>
      <c r="AV139" s="63">
        <v>-2949039</v>
      </c>
      <c r="AW139" s="63">
        <v>-56499</v>
      </c>
      <c r="AX139" s="63">
        <v>0</v>
      </c>
      <c r="AY139" s="63">
        <v>-56499</v>
      </c>
      <c r="AZ139" s="63">
        <v>-17979</v>
      </c>
      <c r="BA139" s="63">
        <v>0</v>
      </c>
      <c r="BB139" s="63">
        <v>-17979</v>
      </c>
      <c r="BC139" s="63">
        <v>-4768226</v>
      </c>
      <c r="BD139" s="63">
        <v>0</v>
      </c>
      <c r="BE139" s="63">
        <v>-153076</v>
      </c>
      <c r="BF139" s="63">
        <v>0</v>
      </c>
      <c r="BG139" s="63">
        <v>-4921302</v>
      </c>
      <c r="BH139" s="63">
        <v>0</v>
      </c>
      <c r="BI139" s="63">
        <v>-4921302</v>
      </c>
      <c r="BJ139" s="63">
        <v>0</v>
      </c>
      <c r="BK139" s="63">
        <v>0</v>
      </c>
      <c r="BL139" s="63">
        <v>0</v>
      </c>
      <c r="BM139" s="63">
        <v>-1261042</v>
      </c>
      <c r="BN139" s="63">
        <v>0</v>
      </c>
      <c r="BO139" s="63">
        <v>-1261042</v>
      </c>
      <c r="BP139" s="63">
        <v>-1261042</v>
      </c>
      <c r="BQ139" s="63">
        <v>0</v>
      </c>
      <c r="BR139" s="63">
        <v>0</v>
      </c>
      <c r="BS139" s="63">
        <v>0</v>
      </c>
      <c r="BT139" s="63">
        <v>-1261042</v>
      </c>
      <c r="BU139" s="63">
        <v>0</v>
      </c>
      <c r="BV139" s="63">
        <v>-1261042</v>
      </c>
      <c r="BW139" s="63">
        <v>-70859</v>
      </c>
      <c r="BX139" s="63">
        <v>0</v>
      </c>
      <c r="BY139" s="63">
        <v>-70859</v>
      </c>
      <c r="BZ139" s="63">
        <v>-457915</v>
      </c>
      <c r="CA139" s="63">
        <v>0</v>
      </c>
      <c r="CB139" s="63">
        <v>-457915</v>
      </c>
      <c r="CC139" s="63">
        <v>-2868</v>
      </c>
      <c r="CD139" s="63">
        <v>0</v>
      </c>
      <c r="CE139" s="63">
        <v>-2868</v>
      </c>
      <c r="CF139" s="63">
        <v>-1352</v>
      </c>
      <c r="CG139" s="63">
        <v>0</v>
      </c>
      <c r="CH139" s="63">
        <v>-1352</v>
      </c>
      <c r="CI139" s="63">
        <v>0</v>
      </c>
      <c r="CJ139" s="63">
        <v>0</v>
      </c>
      <c r="CK139" s="63">
        <v>0</v>
      </c>
      <c r="CL139" s="63">
        <v>0</v>
      </c>
      <c r="CM139" s="63">
        <v>0</v>
      </c>
      <c r="CN139" s="63">
        <v>0</v>
      </c>
      <c r="CO139" s="63">
        <v>0</v>
      </c>
      <c r="CP139" s="63">
        <v>0</v>
      </c>
      <c r="CQ139" s="63">
        <v>-532994</v>
      </c>
      <c r="CR139" s="63">
        <v>0</v>
      </c>
      <c r="CS139" s="63">
        <v>0</v>
      </c>
      <c r="CT139" s="63">
        <v>0</v>
      </c>
      <c r="CU139" s="63">
        <v>-532994</v>
      </c>
      <c r="CV139" s="63">
        <v>0</v>
      </c>
      <c r="CW139" s="63">
        <v>-532994</v>
      </c>
      <c r="CX139" s="63">
        <v>-89459</v>
      </c>
      <c r="CY139" s="63">
        <v>0</v>
      </c>
      <c r="CZ139" s="63">
        <v>-89459</v>
      </c>
      <c r="DA139" s="63">
        <v>0</v>
      </c>
      <c r="DB139" s="63">
        <v>0</v>
      </c>
      <c r="DC139" s="63">
        <v>0</v>
      </c>
      <c r="DD139" s="63">
        <v>-1333</v>
      </c>
      <c r="DE139" s="63">
        <v>0</v>
      </c>
      <c r="DF139" s="63">
        <v>-1333</v>
      </c>
      <c r="DG139" s="63">
        <v>-90792</v>
      </c>
      <c r="DH139" s="63">
        <v>0</v>
      </c>
      <c r="DI139" s="63">
        <v>0</v>
      </c>
      <c r="DJ139" s="63">
        <v>0</v>
      </c>
      <c r="DK139" s="63">
        <v>-90792</v>
      </c>
      <c r="DL139" s="63">
        <v>0</v>
      </c>
      <c r="DM139" s="63">
        <v>-90792</v>
      </c>
      <c r="DN139" s="63">
        <v>43251019</v>
      </c>
      <c r="DO139" s="63">
        <v>0</v>
      </c>
      <c r="DP139" s="63">
        <v>43251019</v>
      </c>
      <c r="DQ139" s="63"/>
      <c r="DR139" s="585"/>
    </row>
    <row r="140" spans="1:122" x14ac:dyDescent="0.2">
      <c r="A140" s="90">
        <v>133</v>
      </c>
      <c r="B140" s="129" t="s">
        <v>142</v>
      </c>
      <c r="C140" s="130" t="s">
        <v>747</v>
      </c>
      <c r="D140" s="131" t="s">
        <v>748</v>
      </c>
      <c r="E140" s="132" t="s">
        <v>141</v>
      </c>
      <c r="F140" s="475" t="s">
        <v>808</v>
      </c>
      <c r="G140" s="63">
        <v>372208892</v>
      </c>
      <c r="H140" s="63">
        <v>0</v>
      </c>
      <c r="I140" s="63">
        <v>372208892</v>
      </c>
      <c r="J140" s="608">
        <v>48.4</v>
      </c>
      <c r="K140" s="63">
        <v>180149104</v>
      </c>
      <c r="L140" s="63">
        <v>0</v>
      </c>
      <c r="M140" s="63">
        <v>0</v>
      </c>
      <c r="N140" s="63">
        <v>0</v>
      </c>
      <c r="O140" s="63">
        <v>180149104</v>
      </c>
      <c r="P140" s="63">
        <v>0</v>
      </c>
      <c r="Q140" s="63">
        <v>180149104</v>
      </c>
      <c r="R140" s="63">
        <v>0</v>
      </c>
      <c r="S140" s="63">
        <v>0</v>
      </c>
      <c r="T140" s="63">
        <v>0</v>
      </c>
      <c r="U140" s="63">
        <v>0</v>
      </c>
      <c r="V140" s="63">
        <v>0</v>
      </c>
      <c r="W140" s="63">
        <v>0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0</v>
      </c>
      <c r="AE140" s="63">
        <v>0</v>
      </c>
      <c r="AF140" s="63">
        <v>0</v>
      </c>
      <c r="AG140" s="63">
        <v>0</v>
      </c>
      <c r="AH140" s="63">
        <v>-2839197</v>
      </c>
      <c r="AI140" s="63">
        <v>0</v>
      </c>
      <c r="AJ140" s="63">
        <v>-2839197</v>
      </c>
      <c r="AK140" s="63">
        <v>0</v>
      </c>
      <c r="AL140" s="63">
        <v>0</v>
      </c>
      <c r="AM140" s="63">
        <v>0</v>
      </c>
      <c r="AN140" s="63">
        <v>4364110</v>
      </c>
      <c r="AO140" s="63">
        <v>0</v>
      </c>
      <c r="AP140" s="63">
        <v>4364110</v>
      </c>
      <c r="AQ140" s="63">
        <v>1524913</v>
      </c>
      <c r="AR140" s="63">
        <v>0</v>
      </c>
      <c r="AS140" s="63">
        <v>1524913</v>
      </c>
      <c r="AT140" s="63">
        <v>-5356278</v>
      </c>
      <c r="AU140" s="63">
        <v>0</v>
      </c>
      <c r="AV140" s="63">
        <v>-5356278</v>
      </c>
      <c r="AW140" s="63">
        <v>-54809</v>
      </c>
      <c r="AX140" s="63">
        <v>0</v>
      </c>
      <c r="AY140" s="63">
        <v>-54809</v>
      </c>
      <c r="AZ140" s="63">
        <v>0</v>
      </c>
      <c r="BA140" s="63">
        <v>0</v>
      </c>
      <c r="BB140" s="63">
        <v>0</v>
      </c>
      <c r="BC140" s="63">
        <v>-3886174</v>
      </c>
      <c r="BD140" s="63">
        <v>0</v>
      </c>
      <c r="BE140" s="63">
        <v>0</v>
      </c>
      <c r="BF140" s="63">
        <v>0</v>
      </c>
      <c r="BG140" s="63">
        <v>-3886174</v>
      </c>
      <c r="BH140" s="63">
        <v>0</v>
      </c>
      <c r="BI140" s="63">
        <v>-3886174</v>
      </c>
      <c r="BJ140" s="63">
        <v>0</v>
      </c>
      <c r="BK140" s="63">
        <v>0</v>
      </c>
      <c r="BL140" s="63">
        <v>0</v>
      </c>
      <c r="BM140" s="63">
        <v>-6740869</v>
      </c>
      <c r="BN140" s="63">
        <v>0</v>
      </c>
      <c r="BO140" s="63">
        <v>-6740869</v>
      </c>
      <c r="BP140" s="63">
        <v>-6740869</v>
      </c>
      <c r="BQ140" s="63">
        <v>0</v>
      </c>
      <c r="BR140" s="63">
        <v>0</v>
      </c>
      <c r="BS140" s="63">
        <v>0</v>
      </c>
      <c r="BT140" s="63">
        <v>-6740869</v>
      </c>
      <c r="BU140" s="63">
        <v>0</v>
      </c>
      <c r="BV140" s="63">
        <v>-6740869</v>
      </c>
      <c r="BW140" s="63">
        <v>-247914</v>
      </c>
      <c r="BX140" s="63">
        <v>0</v>
      </c>
      <c r="BY140" s="63">
        <v>-247914</v>
      </c>
      <c r="BZ140" s="63">
        <v>-519602</v>
      </c>
      <c r="CA140" s="63">
        <v>0</v>
      </c>
      <c r="CB140" s="63">
        <v>-519602</v>
      </c>
      <c r="CC140" s="63">
        <v>-3603</v>
      </c>
      <c r="CD140" s="63">
        <v>0</v>
      </c>
      <c r="CE140" s="63">
        <v>-3603</v>
      </c>
      <c r="CF140" s="63">
        <v>0</v>
      </c>
      <c r="CG140" s="63">
        <v>0</v>
      </c>
      <c r="CH140" s="63">
        <v>0</v>
      </c>
      <c r="CI140" s="63">
        <v>0</v>
      </c>
      <c r="CJ140" s="63">
        <v>0</v>
      </c>
      <c r="CK140" s="63">
        <v>0</v>
      </c>
      <c r="CL140" s="63">
        <v>0</v>
      </c>
      <c r="CM140" s="63">
        <v>0</v>
      </c>
      <c r="CN140" s="63">
        <v>0</v>
      </c>
      <c r="CO140" s="63">
        <v>0</v>
      </c>
      <c r="CP140" s="63">
        <v>0</v>
      </c>
      <c r="CQ140" s="63">
        <v>-771119</v>
      </c>
      <c r="CR140" s="63">
        <v>0</v>
      </c>
      <c r="CS140" s="63">
        <v>0</v>
      </c>
      <c r="CT140" s="63">
        <v>0</v>
      </c>
      <c r="CU140" s="63">
        <v>-771119</v>
      </c>
      <c r="CV140" s="63">
        <v>0</v>
      </c>
      <c r="CW140" s="63">
        <v>-771119</v>
      </c>
      <c r="CX140" s="63">
        <v>-316876</v>
      </c>
      <c r="CY140" s="63">
        <v>0</v>
      </c>
      <c r="CZ140" s="63">
        <v>-316876</v>
      </c>
      <c r="DA140" s="63">
        <v>-30938</v>
      </c>
      <c r="DB140" s="63">
        <v>0</v>
      </c>
      <c r="DC140" s="63">
        <v>-30938</v>
      </c>
      <c r="DD140" s="63">
        <v>0</v>
      </c>
      <c r="DE140" s="63">
        <v>0</v>
      </c>
      <c r="DF140" s="63">
        <v>0</v>
      </c>
      <c r="DG140" s="63">
        <v>-347814</v>
      </c>
      <c r="DH140" s="63">
        <v>0</v>
      </c>
      <c r="DI140" s="63">
        <v>0</v>
      </c>
      <c r="DJ140" s="63">
        <v>0</v>
      </c>
      <c r="DK140" s="63">
        <v>-347814</v>
      </c>
      <c r="DL140" s="63">
        <v>0</v>
      </c>
      <c r="DM140" s="63">
        <v>-347814</v>
      </c>
      <c r="DN140" s="63">
        <v>168403128</v>
      </c>
      <c r="DO140" s="63">
        <v>0</v>
      </c>
      <c r="DP140" s="63">
        <v>168403128</v>
      </c>
      <c r="DQ140" s="63"/>
      <c r="DR140" s="585"/>
    </row>
    <row r="141" spans="1:122" x14ac:dyDescent="0.2">
      <c r="A141" s="90">
        <v>134</v>
      </c>
      <c r="B141" s="129" t="s">
        <v>143</v>
      </c>
      <c r="C141" s="130" t="s">
        <v>742</v>
      </c>
      <c r="D141" s="131" t="s">
        <v>746</v>
      </c>
      <c r="E141" s="132" t="s">
        <v>765</v>
      </c>
      <c r="F141" s="475" t="s">
        <v>808</v>
      </c>
      <c r="G141" s="63">
        <v>140266270</v>
      </c>
      <c r="H141" s="63">
        <v>1442660</v>
      </c>
      <c r="I141" s="63">
        <v>141708930</v>
      </c>
      <c r="J141" s="608">
        <v>48.4</v>
      </c>
      <c r="K141" s="63">
        <v>67888875</v>
      </c>
      <c r="L141" s="63">
        <v>698247</v>
      </c>
      <c r="M141" s="63">
        <v>650000</v>
      </c>
      <c r="N141" s="63">
        <v>11500</v>
      </c>
      <c r="O141" s="63">
        <v>68538875</v>
      </c>
      <c r="P141" s="63">
        <v>709747</v>
      </c>
      <c r="Q141" s="63">
        <v>69248622</v>
      </c>
      <c r="R141" s="63">
        <v>0</v>
      </c>
      <c r="S141" s="63">
        <v>0</v>
      </c>
      <c r="T141" s="63">
        <v>0</v>
      </c>
      <c r="U141" s="63">
        <v>0</v>
      </c>
      <c r="V141" s="63">
        <v>0</v>
      </c>
      <c r="W141" s="63">
        <v>0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0</v>
      </c>
      <c r="AE141" s="63">
        <v>0</v>
      </c>
      <c r="AF141" s="63">
        <v>0</v>
      </c>
      <c r="AG141" s="63">
        <v>0</v>
      </c>
      <c r="AH141" s="63">
        <v>-3123045</v>
      </c>
      <c r="AI141" s="63">
        <v>0</v>
      </c>
      <c r="AJ141" s="63">
        <v>-3123045</v>
      </c>
      <c r="AK141" s="63">
        <v>-36974</v>
      </c>
      <c r="AL141" s="63">
        <v>0</v>
      </c>
      <c r="AM141" s="63">
        <v>-36974</v>
      </c>
      <c r="AN141" s="63">
        <v>1554100</v>
      </c>
      <c r="AO141" s="63">
        <v>15234</v>
      </c>
      <c r="AP141" s="63">
        <v>1569334</v>
      </c>
      <c r="AQ141" s="63">
        <v>-1568945</v>
      </c>
      <c r="AR141" s="63">
        <v>15234</v>
      </c>
      <c r="AS141" s="63">
        <v>-1553711</v>
      </c>
      <c r="AT141" s="63">
        <v>-2667796</v>
      </c>
      <c r="AU141" s="63">
        <v>-7295</v>
      </c>
      <c r="AV141" s="63">
        <v>-2675091</v>
      </c>
      <c r="AW141" s="63">
        <v>-207975</v>
      </c>
      <c r="AX141" s="63">
        <v>0</v>
      </c>
      <c r="AY141" s="63">
        <v>-207975</v>
      </c>
      <c r="AZ141" s="63">
        <v>-51172</v>
      </c>
      <c r="BA141" s="63">
        <v>0</v>
      </c>
      <c r="BB141" s="63">
        <v>-51172</v>
      </c>
      <c r="BC141" s="63">
        <v>-4495888</v>
      </c>
      <c r="BD141" s="63">
        <v>7939</v>
      </c>
      <c r="BE141" s="63">
        <v>0</v>
      </c>
      <c r="BF141" s="63">
        <v>0</v>
      </c>
      <c r="BG141" s="63">
        <v>-4495888</v>
      </c>
      <c r="BH141" s="63">
        <v>7939</v>
      </c>
      <c r="BI141" s="63">
        <v>-4487949</v>
      </c>
      <c r="BJ141" s="63">
        <v>-50000</v>
      </c>
      <c r="BK141" s="63">
        <v>0</v>
      </c>
      <c r="BL141" s="63">
        <v>-50000</v>
      </c>
      <c r="BM141" s="63">
        <v>-1794000</v>
      </c>
      <c r="BN141" s="63">
        <v>-115000</v>
      </c>
      <c r="BO141" s="63">
        <v>-1909000</v>
      </c>
      <c r="BP141" s="63">
        <v>-1844000</v>
      </c>
      <c r="BQ141" s="63">
        <v>-115000</v>
      </c>
      <c r="BR141" s="63">
        <v>0</v>
      </c>
      <c r="BS141" s="63">
        <v>0</v>
      </c>
      <c r="BT141" s="63">
        <v>-1844000</v>
      </c>
      <c r="BU141" s="63">
        <v>-115000</v>
      </c>
      <c r="BV141" s="63">
        <v>-1959000</v>
      </c>
      <c r="BW141" s="63">
        <v>-885</v>
      </c>
      <c r="BX141" s="63">
        <v>0</v>
      </c>
      <c r="BY141" s="63">
        <v>-885</v>
      </c>
      <c r="BZ141" s="63">
        <v>-80838</v>
      </c>
      <c r="CA141" s="63">
        <v>0</v>
      </c>
      <c r="CB141" s="63">
        <v>-80838</v>
      </c>
      <c r="CC141" s="63">
        <v>0</v>
      </c>
      <c r="CD141" s="63">
        <v>0</v>
      </c>
      <c r="CE141" s="63">
        <v>0</v>
      </c>
      <c r="CF141" s="63">
        <v>-23452</v>
      </c>
      <c r="CG141" s="63">
        <v>0</v>
      </c>
      <c r="CH141" s="63">
        <v>-23452</v>
      </c>
      <c r="CI141" s="63">
        <v>0</v>
      </c>
      <c r="CJ141" s="63">
        <v>0</v>
      </c>
      <c r="CK141" s="63">
        <v>0</v>
      </c>
      <c r="CL141" s="63">
        <v>0</v>
      </c>
      <c r="CM141" s="63">
        <v>-233296</v>
      </c>
      <c r="CN141" s="63">
        <v>-233296</v>
      </c>
      <c r="CO141" s="63">
        <v>-233296</v>
      </c>
      <c r="CP141" s="63">
        <v>0</v>
      </c>
      <c r="CQ141" s="63">
        <v>-105175</v>
      </c>
      <c r="CR141" s="63">
        <v>-233296</v>
      </c>
      <c r="CS141" s="63">
        <v>0</v>
      </c>
      <c r="CT141" s="63">
        <v>0</v>
      </c>
      <c r="CU141" s="63">
        <v>-105175</v>
      </c>
      <c r="CV141" s="63">
        <v>-233296</v>
      </c>
      <c r="CW141" s="63">
        <v>-338471</v>
      </c>
      <c r="CX141" s="63">
        <v>-10000</v>
      </c>
      <c r="CY141" s="63">
        <v>0</v>
      </c>
      <c r="CZ141" s="63">
        <v>-10000</v>
      </c>
      <c r="DA141" s="63">
        <v>-5000</v>
      </c>
      <c r="DB141" s="63">
        <v>0</v>
      </c>
      <c r="DC141" s="63">
        <v>-5000</v>
      </c>
      <c r="DD141" s="63">
        <v>0</v>
      </c>
      <c r="DE141" s="63">
        <v>0</v>
      </c>
      <c r="DF141" s="63">
        <v>0</v>
      </c>
      <c r="DG141" s="63">
        <v>-15000</v>
      </c>
      <c r="DH141" s="63">
        <v>0</v>
      </c>
      <c r="DI141" s="63">
        <v>0</v>
      </c>
      <c r="DJ141" s="63">
        <v>0</v>
      </c>
      <c r="DK141" s="63">
        <v>-15000</v>
      </c>
      <c r="DL141" s="63">
        <v>0</v>
      </c>
      <c r="DM141" s="63">
        <v>-15000</v>
      </c>
      <c r="DN141" s="63">
        <v>62078812</v>
      </c>
      <c r="DO141" s="63">
        <v>369390</v>
      </c>
      <c r="DP141" s="63">
        <v>62448202</v>
      </c>
      <c r="DQ141" s="63"/>
      <c r="DR141" s="585" t="s">
        <v>768</v>
      </c>
    </row>
    <row r="142" spans="1:122" x14ac:dyDescent="0.2">
      <c r="A142" s="90">
        <v>135</v>
      </c>
      <c r="B142" s="129" t="s">
        <v>145</v>
      </c>
      <c r="C142" s="130" t="s">
        <v>742</v>
      </c>
      <c r="D142" s="131" t="s">
        <v>744</v>
      </c>
      <c r="E142" s="132" t="s">
        <v>144</v>
      </c>
      <c r="F142" s="475" t="s">
        <v>808</v>
      </c>
      <c r="G142" s="63">
        <v>58530932</v>
      </c>
      <c r="H142" s="63">
        <v>0</v>
      </c>
      <c r="I142" s="63">
        <v>58530932</v>
      </c>
      <c r="J142" s="608">
        <v>48.4</v>
      </c>
      <c r="K142" s="63">
        <v>28328971</v>
      </c>
      <c r="L142" s="63">
        <v>0</v>
      </c>
      <c r="M142" s="63">
        <v>0</v>
      </c>
      <c r="N142" s="63">
        <v>0</v>
      </c>
      <c r="O142" s="63">
        <v>28328971</v>
      </c>
      <c r="P142" s="63">
        <v>0</v>
      </c>
      <c r="Q142" s="63">
        <v>28328971</v>
      </c>
      <c r="R142" s="63">
        <v>0</v>
      </c>
      <c r="S142" s="63">
        <v>0</v>
      </c>
      <c r="T142" s="63">
        <v>0</v>
      </c>
      <c r="U142" s="63">
        <v>0</v>
      </c>
      <c r="V142" s="63">
        <v>0</v>
      </c>
      <c r="W142" s="63">
        <v>0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0</v>
      </c>
      <c r="AE142" s="63">
        <v>0</v>
      </c>
      <c r="AF142" s="63">
        <v>0</v>
      </c>
      <c r="AG142" s="63">
        <v>0</v>
      </c>
      <c r="AH142" s="63">
        <v>-2542283</v>
      </c>
      <c r="AI142" s="63">
        <v>0</v>
      </c>
      <c r="AJ142" s="63">
        <v>-2542283</v>
      </c>
      <c r="AK142" s="63">
        <v>0</v>
      </c>
      <c r="AL142" s="63">
        <v>0</v>
      </c>
      <c r="AM142" s="63">
        <v>0</v>
      </c>
      <c r="AN142" s="63">
        <v>609489</v>
      </c>
      <c r="AO142" s="63">
        <v>0</v>
      </c>
      <c r="AP142" s="63">
        <v>609489</v>
      </c>
      <c r="AQ142" s="63">
        <v>-1932794</v>
      </c>
      <c r="AR142" s="63">
        <v>0</v>
      </c>
      <c r="AS142" s="63">
        <v>-1932794</v>
      </c>
      <c r="AT142" s="63">
        <v>-1457908</v>
      </c>
      <c r="AU142" s="63">
        <v>0</v>
      </c>
      <c r="AV142" s="63">
        <v>-1457908</v>
      </c>
      <c r="AW142" s="63">
        <v>-41000</v>
      </c>
      <c r="AX142" s="63">
        <v>0</v>
      </c>
      <c r="AY142" s="63">
        <v>-41000</v>
      </c>
      <c r="AZ142" s="63">
        <v>0</v>
      </c>
      <c r="BA142" s="63">
        <v>0</v>
      </c>
      <c r="BB142" s="63">
        <v>0</v>
      </c>
      <c r="BC142" s="63">
        <v>-3431702</v>
      </c>
      <c r="BD142" s="63">
        <v>0</v>
      </c>
      <c r="BE142" s="63">
        <v>-514755</v>
      </c>
      <c r="BF142" s="63">
        <v>0</v>
      </c>
      <c r="BG142" s="63">
        <v>-3946457</v>
      </c>
      <c r="BH142" s="63">
        <v>0</v>
      </c>
      <c r="BI142" s="63">
        <v>-3946457</v>
      </c>
      <c r="BJ142" s="63">
        <v>-16423</v>
      </c>
      <c r="BK142" s="63">
        <v>0</v>
      </c>
      <c r="BL142" s="63">
        <v>-16423</v>
      </c>
      <c r="BM142" s="63">
        <v>-1900393</v>
      </c>
      <c r="BN142" s="63">
        <v>0</v>
      </c>
      <c r="BO142" s="63">
        <v>-1900393</v>
      </c>
      <c r="BP142" s="63">
        <v>-1916816</v>
      </c>
      <c r="BQ142" s="63">
        <v>0</v>
      </c>
      <c r="BR142" s="63">
        <v>-600000</v>
      </c>
      <c r="BS142" s="63">
        <v>0</v>
      </c>
      <c r="BT142" s="63">
        <v>-2516816</v>
      </c>
      <c r="BU142" s="63">
        <v>0</v>
      </c>
      <c r="BV142" s="63">
        <v>-2516816</v>
      </c>
      <c r="BW142" s="63">
        <v>-131974</v>
      </c>
      <c r="BX142" s="63">
        <v>0</v>
      </c>
      <c r="BY142" s="63">
        <v>-131974</v>
      </c>
      <c r="BZ142" s="63">
        <v>-100421</v>
      </c>
      <c r="CA142" s="63">
        <v>0</v>
      </c>
      <c r="CB142" s="63">
        <v>-100421</v>
      </c>
      <c r="CC142" s="63">
        <v>0</v>
      </c>
      <c r="CD142" s="63">
        <v>0</v>
      </c>
      <c r="CE142" s="63">
        <v>0</v>
      </c>
      <c r="CF142" s="63">
        <v>0</v>
      </c>
      <c r="CG142" s="63">
        <v>0</v>
      </c>
      <c r="CH142" s="63">
        <v>0</v>
      </c>
      <c r="CI142" s="63">
        <v>0</v>
      </c>
      <c r="CJ142" s="63">
        <v>0</v>
      </c>
      <c r="CK142" s="63">
        <v>0</v>
      </c>
      <c r="CL142" s="63">
        <v>0</v>
      </c>
      <c r="CM142" s="63">
        <v>0</v>
      </c>
      <c r="CN142" s="63">
        <v>0</v>
      </c>
      <c r="CO142" s="63">
        <v>0</v>
      </c>
      <c r="CP142" s="63">
        <v>0</v>
      </c>
      <c r="CQ142" s="63">
        <v>-232395</v>
      </c>
      <c r="CR142" s="63">
        <v>0</v>
      </c>
      <c r="CS142" s="63">
        <v>-215000</v>
      </c>
      <c r="CT142" s="63">
        <v>0</v>
      </c>
      <c r="CU142" s="63">
        <v>-447395</v>
      </c>
      <c r="CV142" s="63">
        <v>0</v>
      </c>
      <c r="CW142" s="63">
        <v>-447395</v>
      </c>
      <c r="CX142" s="63">
        <v>0</v>
      </c>
      <c r="CY142" s="63">
        <v>0</v>
      </c>
      <c r="CZ142" s="63">
        <v>0</v>
      </c>
      <c r="DA142" s="63">
        <v>-2711</v>
      </c>
      <c r="DB142" s="63">
        <v>0</v>
      </c>
      <c r="DC142" s="63">
        <v>-2711</v>
      </c>
      <c r="DD142" s="63">
        <v>0</v>
      </c>
      <c r="DE142" s="63">
        <v>0</v>
      </c>
      <c r="DF142" s="63">
        <v>0</v>
      </c>
      <c r="DG142" s="63">
        <v>-2711</v>
      </c>
      <c r="DH142" s="63">
        <v>0</v>
      </c>
      <c r="DI142" s="63">
        <v>-1500</v>
      </c>
      <c r="DJ142" s="63">
        <v>0</v>
      </c>
      <c r="DK142" s="63">
        <v>-4211</v>
      </c>
      <c r="DL142" s="63">
        <v>0</v>
      </c>
      <c r="DM142" s="63">
        <v>-4211</v>
      </c>
      <c r="DN142" s="63">
        <v>21414092</v>
      </c>
      <c r="DO142" s="63">
        <v>0</v>
      </c>
      <c r="DP142" s="63">
        <v>21414092</v>
      </c>
      <c r="DQ142" s="63"/>
      <c r="DR142" s="585"/>
    </row>
    <row r="143" spans="1:122" x14ac:dyDescent="0.2">
      <c r="A143" s="90">
        <v>136</v>
      </c>
      <c r="B143" s="129" t="s">
        <v>147</v>
      </c>
      <c r="C143" s="130" t="s">
        <v>742</v>
      </c>
      <c r="D143" s="131" t="s">
        <v>746</v>
      </c>
      <c r="E143" s="132" t="s">
        <v>146</v>
      </c>
      <c r="F143" s="475" t="s">
        <v>808</v>
      </c>
      <c r="G143" s="63">
        <v>134685051</v>
      </c>
      <c r="H143" s="63">
        <v>374600</v>
      </c>
      <c r="I143" s="63">
        <v>135059651</v>
      </c>
      <c r="J143" s="608">
        <v>48.4</v>
      </c>
      <c r="K143" s="63">
        <v>65187565</v>
      </c>
      <c r="L143" s="63">
        <v>181306</v>
      </c>
      <c r="M143" s="63">
        <v>192936</v>
      </c>
      <c r="N143" s="63">
        <v>25000</v>
      </c>
      <c r="O143" s="63">
        <v>65380501</v>
      </c>
      <c r="P143" s="63">
        <v>206306</v>
      </c>
      <c r="Q143" s="63">
        <v>65586807</v>
      </c>
      <c r="R143" s="63">
        <v>0</v>
      </c>
      <c r="S143" s="63">
        <v>0</v>
      </c>
      <c r="T143" s="63">
        <v>0</v>
      </c>
      <c r="U143" s="63">
        <v>0</v>
      </c>
      <c r="V143" s="63">
        <v>0</v>
      </c>
      <c r="W143" s="63">
        <v>0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0</v>
      </c>
      <c r="AE143" s="63">
        <v>0</v>
      </c>
      <c r="AF143" s="63">
        <v>0</v>
      </c>
      <c r="AG143" s="63">
        <v>0</v>
      </c>
      <c r="AH143" s="63">
        <v>-2559555</v>
      </c>
      <c r="AI143" s="63">
        <v>0</v>
      </c>
      <c r="AJ143" s="63">
        <v>-2559555</v>
      </c>
      <c r="AK143" s="63">
        <v>-10503</v>
      </c>
      <c r="AL143" s="63">
        <v>0</v>
      </c>
      <c r="AM143" s="63">
        <v>-10503</v>
      </c>
      <c r="AN143" s="63">
        <v>1532698</v>
      </c>
      <c r="AO143" s="63">
        <v>4148</v>
      </c>
      <c r="AP143" s="63">
        <v>1536846</v>
      </c>
      <c r="AQ143" s="63">
        <v>-1026857</v>
      </c>
      <c r="AR143" s="63">
        <v>4148</v>
      </c>
      <c r="AS143" s="63">
        <v>-1022709</v>
      </c>
      <c r="AT143" s="63">
        <v>-3618153</v>
      </c>
      <c r="AU143" s="63">
        <v>0</v>
      </c>
      <c r="AV143" s="63">
        <v>-3618153</v>
      </c>
      <c r="AW143" s="63">
        <v>-90255</v>
      </c>
      <c r="AX143" s="63">
        <v>0</v>
      </c>
      <c r="AY143" s="63">
        <v>-90255</v>
      </c>
      <c r="AZ143" s="63">
        <v>0</v>
      </c>
      <c r="BA143" s="63">
        <v>0</v>
      </c>
      <c r="BB143" s="63">
        <v>0</v>
      </c>
      <c r="BC143" s="63">
        <v>-4735265</v>
      </c>
      <c r="BD143" s="63">
        <v>4148</v>
      </c>
      <c r="BE143" s="63">
        <v>-150000</v>
      </c>
      <c r="BF143" s="63">
        <v>0</v>
      </c>
      <c r="BG143" s="63">
        <v>-4885265</v>
      </c>
      <c r="BH143" s="63">
        <v>4148</v>
      </c>
      <c r="BI143" s="63">
        <v>-4881117</v>
      </c>
      <c r="BJ143" s="63">
        <v>-2317</v>
      </c>
      <c r="BK143" s="63">
        <v>0</v>
      </c>
      <c r="BL143" s="63">
        <v>-2317</v>
      </c>
      <c r="BM143" s="63">
        <v>-816432</v>
      </c>
      <c r="BN143" s="63">
        <v>-12201</v>
      </c>
      <c r="BO143" s="63">
        <v>-828633</v>
      </c>
      <c r="BP143" s="63">
        <v>-818749</v>
      </c>
      <c r="BQ143" s="63">
        <v>-12201</v>
      </c>
      <c r="BR143" s="63">
        <v>-156555</v>
      </c>
      <c r="BS143" s="63">
        <v>0</v>
      </c>
      <c r="BT143" s="63">
        <v>-975304</v>
      </c>
      <c r="BU143" s="63">
        <v>-12201</v>
      </c>
      <c r="BV143" s="63">
        <v>-987505</v>
      </c>
      <c r="BW143" s="63">
        <v>-121258</v>
      </c>
      <c r="BX143" s="63">
        <v>0</v>
      </c>
      <c r="BY143" s="63">
        <v>-121258</v>
      </c>
      <c r="BZ143" s="63">
        <v>-67602</v>
      </c>
      <c r="CA143" s="63">
        <v>0</v>
      </c>
      <c r="CB143" s="63">
        <v>-67602</v>
      </c>
      <c r="CC143" s="63">
        <v>0</v>
      </c>
      <c r="CD143" s="63">
        <v>0</v>
      </c>
      <c r="CE143" s="63">
        <v>0</v>
      </c>
      <c r="CF143" s="63">
        <v>0</v>
      </c>
      <c r="CG143" s="63">
        <v>0</v>
      </c>
      <c r="CH143" s="63">
        <v>0</v>
      </c>
      <c r="CI143" s="63">
        <v>0</v>
      </c>
      <c r="CJ143" s="63">
        <v>0</v>
      </c>
      <c r="CK143" s="63">
        <v>0</v>
      </c>
      <c r="CL143" s="63">
        <v>0</v>
      </c>
      <c r="CM143" s="63">
        <v>-81085</v>
      </c>
      <c r="CN143" s="63">
        <v>-81085</v>
      </c>
      <c r="CO143" s="63">
        <v>-81085</v>
      </c>
      <c r="CP143" s="63">
        <v>0</v>
      </c>
      <c r="CQ143" s="63">
        <v>-188860</v>
      </c>
      <c r="CR143" s="63">
        <v>-81085</v>
      </c>
      <c r="CS143" s="63">
        <v>0</v>
      </c>
      <c r="CT143" s="63">
        <v>0</v>
      </c>
      <c r="CU143" s="63">
        <v>-188860</v>
      </c>
      <c r="CV143" s="63">
        <v>-81085</v>
      </c>
      <c r="CW143" s="63">
        <v>-269945</v>
      </c>
      <c r="CX143" s="63">
        <v>0</v>
      </c>
      <c r="CY143" s="63">
        <v>0</v>
      </c>
      <c r="CZ143" s="63">
        <v>0</v>
      </c>
      <c r="DA143" s="63">
        <v>-88578</v>
      </c>
      <c r="DB143" s="63">
        <v>0</v>
      </c>
      <c r="DC143" s="63">
        <v>-88578</v>
      </c>
      <c r="DD143" s="63">
        <v>-8050</v>
      </c>
      <c r="DE143" s="63">
        <v>0</v>
      </c>
      <c r="DF143" s="63">
        <v>-8050</v>
      </c>
      <c r="DG143" s="63">
        <v>-96628</v>
      </c>
      <c r="DH143" s="63">
        <v>0</v>
      </c>
      <c r="DI143" s="63">
        <v>0</v>
      </c>
      <c r="DJ143" s="63">
        <v>0</v>
      </c>
      <c r="DK143" s="63">
        <v>-96628</v>
      </c>
      <c r="DL143" s="63">
        <v>0</v>
      </c>
      <c r="DM143" s="63">
        <v>-96628</v>
      </c>
      <c r="DN143" s="63">
        <v>59234444</v>
      </c>
      <c r="DO143" s="63">
        <v>117168</v>
      </c>
      <c r="DP143" s="63">
        <v>59351612</v>
      </c>
      <c r="DQ143" s="63"/>
      <c r="DR143" s="585" t="s">
        <v>768</v>
      </c>
    </row>
    <row r="144" spans="1:122" x14ac:dyDescent="0.2">
      <c r="A144" s="90">
        <v>137</v>
      </c>
      <c r="B144" s="129" t="s">
        <v>148</v>
      </c>
      <c r="C144" s="130" t="s">
        <v>501</v>
      </c>
      <c r="D144" s="131" t="s">
        <v>743</v>
      </c>
      <c r="E144" s="132" t="s">
        <v>757</v>
      </c>
      <c r="F144" s="475" t="s">
        <v>808</v>
      </c>
      <c r="G144" s="63">
        <v>92980710</v>
      </c>
      <c r="H144" s="63">
        <v>0</v>
      </c>
      <c r="I144" s="63">
        <v>92980710</v>
      </c>
      <c r="J144" s="608">
        <v>48.4</v>
      </c>
      <c r="K144" s="63">
        <v>45002664</v>
      </c>
      <c r="L144" s="63">
        <v>0</v>
      </c>
      <c r="M144" s="63">
        <v>-180453</v>
      </c>
      <c r="N144" s="63">
        <v>0</v>
      </c>
      <c r="O144" s="63">
        <v>44822211</v>
      </c>
      <c r="P144" s="63">
        <v>0</v>
      </c>
      <c r="Q144" s="63">
        <v>44822211</v>
      </c>
      <c r="R144" s="63">
        <v>0</v>
      </c>
      <c r="S144" s="63">
        <v>0</v>
      </c>
      <c r="T144" s="63">
        <v>0</v>
      </c>
      <c r="U144" s="63">
        <v>0</v>
      </c>
      <c r="V144" s="63">
        <v>0</v>
      </c>
      <c r="W144" s="63">
        <v>0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0</v>
      </c>
      <c r="AE144" s="63">
        <v>0</v>
      </c>
      <c r="AF144" s="63">
        <v>0</v>
      </c>
      <c r="AG144" s="63">
        <v>0</v>
      </c>
      <c r="AH144" s="63">
        <v>-5116986</v>
      </c>
      <c r="AI144" s="63">
        <v>0</v>
      </c>
      <c r="AJ144" s="63">
        <v>-5116986</v>
      </c>
      <c r="AK144" s="63">
        <v>-4920</v>
      </c>
      <c r="AL144" s="63">
        <v>0</v>
      </c>
      <c r="AM144" s="63">
        <v>-4920</v>
      </c>
      <c r="AN144" s="63">
        <v>890328</v>
      </c>
      <c r="AO144" s="63">
        <v>0</v>
      </c>
      <c r="AP144" s="63">
        <v>890328</v>
      </c>
      <c r="AQ144" s="63">
        <v>-4226658</v>
      </c>
      <c r="AR144" s="63">
        <v>0</v>
      </c>
      <c r="AS144" s="63">
        <v>-4226658</v>
      </c>
      <c r="AT144" s="63">
        <v>-2966341</v>
      </c>
      <c r="AU144" s="63">
        <v>0</v>
      </c>
      <c r="AV144" s="63">
        <v>-2966341</v>
      </c>
      <c r="AW144" s="63">
        <v>-96786</v>
      </c>
      <c r="AX144" s="63">
        <v>0</v>
      </c>
      <c r="AY144" s="63">
        <v>-96786</v>
      </c>
      <c r="AZ144" s="63">
        <v>-9798</v>
      </c>
      <c r="BA144" s="63">
        <v>0</v>
      </c>
      <c r="BB144" s="63">
        <v>-9798</v>
      </c>
      <c r="BC144" s="63">
        <v>-7299583</v>
      </c>
      <c r="BD144" s="63">
        <v>0</v>
      </c>
      <c r="BE144" s="63">
        <v>-148318</v>
      </c>
      <c r="BF144" s="63">
        <v>0</v>
      </c>
      <c r="BG144" s="63">
        <v>-7447901</v>
      </c>
      <c r="BH144" s="63">
        <v>0</v>
      </c>
      <c r="BI144" s="63">
        <v>-7447901</v>
      </c>
      <c r="BJ144" s="63">
        <v>-10000</v>
      </c>
      <c r="BK144" s="63">
        <v>0</v>
      </c>
      <c r="BL144" s="63">
        <v>-10000</v>
      </c>
      <c r="BM144" s="63">
        <v>-732511</v>
      </c>
      <c r="BN144" s="63">
        <v>0</v>
      </c>
      <c r="BO144" s="63">
        <v>-732511</v>
      </c>
      <c r="BP144" s="63">
        <v>-742511</v>
      </c>
      <c r="BQ144" s="63">
        <v>0</v>
      </c>
      <c r="BR144" s="63">
        <v>-73251</v>
      </c>
      <c r="BS144" s="63">
        <v>0</v>
      </c>
      <c r="BT144" s="63">
        <v>-815762</v>
      </c>
      <c r="BU144" s="63">
        <v>0</v>
      </c>
      <c r="BV144" s="63">
        <v>-815762</v>
      </c>
      <c r="BW144" s="63">
        <v>-66161</v>
      </c>
      <c r="BX144" s="63">
        <v>0</v>
      </c>
      <c r="BY144" s="63">
        <v>-66161</v>
      </c>
      <c r="BZ144" s="63">
        <v>-64868</v>
      </c>
      <c r="CA144" s="63">
        <v>0</v>
      </c>
      <c r="CB144" s="63">
        <v>-64868</v>
      </c>
      <c r="CC144" s="63">
        <v>-944</v>
      </c>
      <c r="CD144" s="63">
        <v>0</v>
      </c>
      <c r="CE144" s="63">
        <v>-944</v>
      </c>
      <c r="CF144" s="63">
        <v>-5002</v>
      </c>
      <c r="CG144" s="63">
        <v>0</v>
      </c>
      <c r="CH144" s="63">
        <v>-5002</v>
      </c>
      <c r="CI144" s="63">
        <v>0</v>
      </c>
      <c r="CJ144" s="63">
        <v>0</v>
      </c>
      <c r="CK144" s="63">
        <v>0</v>
      </c>
      <c r="CL144" s="63">
        <v>-35000</v>
      </c>
      <c r="CM144" s="63">
        <v>0</v>
      </c>
      <c r="CN144" s="63">
        <v>-35000</v>
      </c>
      <c r="CO144" s="63">
        <v>0</v>
      </c>
      <c r="CP144" s="63">
        <v>0</v>
      </c>
      <c r="CQ144" s="63">
        <v>-171975</v>
      </c>
      <c r="CR144" s="63">
        <v>0</v>
      </c>
      <c r="CS144" s="63">
        <v>0</v>
      </c>
      <c r="CT144" s="63">
        <v>0</v>
      </c>
      <c r="CU144" s="63">
        <v>-171975</v>
      </c>
      <c r="CV144" s="63">
        <v>0</v>
      </c>
      <c r="CW144" s="63">
        <v>-171975</v>
      </c>
      <c r="CX144" s="63">
        <v>-5000</v>
      </c>
      <c r="CY144" s="63">
        <v>0</v>
      </c>
      <c r="CZ144" s="63">
        <v>-5000</v>
      </c>
      <c r="DA144" s="63">
        <v>-15000</v>
      </c>
      <c r="DB144" s="63">
        <v>0</v>
      </c>
      <c r="DC144" s="63">
        <v>-15000</v>
      </c>
      <c r="DD144" s="63">
        <v>-10000</v>
      </c>
      <c r="DE144" s="63">
        <v>0</v>
      </c>
      <c r="DF144" s="63">
        <v>-10000</v>
      </c>
      <c r="DG144" s="63">
        <v>-30000</v>
      </c>
      <c r="DH144" s="63">
        <v>0</v>
      </c>
      <c r="DI144" s="63">
        <v>0</v>
      </c>
      <c r="DJ144" s="63">
        <v>0</v>
      </c>
      <c r="DK144" s="63">
        <v>-30000</v>
      </c>
      <c r="DL144" s="63">
        <v>0</v>
      </c>
      <c r="DM144" s="63">
        <v>-30000</v>
      </c>
      <c r="DN144" s="63">
        <v>36356573</v>
      </c>
      <c r="DO144" s="63">
        <v>0</v>
      </c>
      <c r="DP144" s="63">
        <v>36356573</v>
      </c>
      <c r="DQ144" s="63"/>
      <c r="DR144" s="585"/>
    </row>
    <row r="145" spans="1:122" x14ac:dyDescent="0.2">
      <c r="A145" s="90">
        <v>138</v>
      </c>
      <c r="B145" s="129" t="s">
        <v>150</v>
      </c>
      <c r="C145" s="130" t="s">
        <v>501</v>
      </c>
      <c r="D145" s="131" t="s">
        <v>751</v>
      </c>
      <c r="E145" s="132" t="s">
        <v>149</v>
      </c>
      <c r="F145" s="475" t="s">
        <v>808</v>
      </c>
      <c r="G145" s="63">
        <v>4279520</v>
      </c>
      <c r="H145" s="63">
        <v>0</v>
      </c>
      <c r="I145" s="63">
        <v>4279520</v>
      </c>
      <c r="J145" s="608">
        <v>48.4</v>
      </c>
      <c r="K145" s="63">
        <v>2071288</v>
      </c>
      <c r="L145" s="63">
        <v>0</v>
      </c>
      <c r="M145" s="63">
        <v>0</v>
      </c>
      <c r="N145" s="63">
        <v>0</v>
      </c>
      <c r="O145" s="63">
        <v>2071288</v>
      </c>
      <c r="P145" s="63">
        <v>0</v>
      </c>
      <c r="Q145" s="63">
        <v>2071288</v>
      </c>
      <c r="R145" s="63">
        <v>0</v>
      </c>
      <c r="S145" s="63">
        <v>0</v>
      </c>
      <c r="T145" s="63">
        <v>0</v>
      </c>
      <c r="U145" s="63">
        <v>0</v>
      </c>
      <c r="V145" s="63">
        <v>0</v>
      </c>
      <c r="W145" s="63">
        <v>0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0</v>
      </c>
      <c r="AE145" s="63">
        <v>0</v>
      </c>
      <c r="AF145" s="63">
        <v>0</v>
      </c>
      <c r="AG145" s="63">
        <v>0</v>
      </c>
      <c r="AH145" s="63">
        <v>-338480</v>
      </c>
      <c r="AI145" s="63">
        <v>0</v>
      </c>
      <c r="AJ145" s="63">
        <v>-338480</v>
      </c>
      <c r="AK145" s="63">
        <v>0</v>
      </c>
      <c r="AL145" s="63">
        <v>0</v>
      </c>
      <c r="AM145" s="63">
        <v>0</v>
      </c>
      <c r="AN145" s="63">
        <v>28022</v>
      </c>
      <c r="AO145" s="63">
        <v>0</v>
      </c>
      <c r="AP145" s="63">
        <v>28022</v>
      </c>
      <c r="AQ145" s="63">
        <v>-310458</v>
      </c>
      <c r="AR145" s="63">
        <v>0</v>
      </c>
      <c r="AS145" s="63">
        <v>-310458</v>
      </c>
      <c r="AT145" s="63">
        <v>-16441</v>
      </c>
      <c r="AU145" s="63">
        <v>0</v>
      </c>
      <c r="AV145" s="63">
        <v>-16441</v>
      </c>
      <c r="AW145" s="63">
        <v>-6570</v>
      </c>
      <c r="AX145" s="63">
        <v>0</v>
      </c>
      <c r="AY145" s="63">
        <v>-6570</v>
      </c>
      <c r="AZ145" s="63">
        <v>0</v>
      </c>
      <c r="BA145" s="63">
        <v>0</v>
      </c>
      <c r="BB145" s="63">
        <v>0</v>
      </c>
      <c r="BC145" s="63">
        <v>-333469</v>
      </c>
      <c r="BD145" s="63">
        <v>0</v>
      </c>
      <c r="BE145" s="63">
        <v>0</v>
      </c>
      <c r="BF145" s="63">
        <v>0</v>
      </c>
      <c r="BG145" s="63">
        <v>-333469</v>
      </c>
      <c r="BH145" s="63">
        <v>0</v>
      </c>
      <c r="BI145" s="63">
        <v>-333469</v>
      </c>
      <c r="BJ145" s="63">
        <v>0</v>
      </c>
      <c r="BK145" s="63">
        <v>0</v>
      </c>
      <c r="BL145" s="63">
        <v>0</v>
      </c>
      <c r="BM145" s="63">
        <v>0</v>
      </c>
      <c r="BN145" s="63">
        <v>0</v>
      </c>
      <c r="BO145" s="63">
        <v>0</v>
      </c>
      <c r="BP145" s="63">
        <v>0</v>
      </c>
      <c r="BQ145" s="63">
        <v>0</v>
      </c>
      <c r="BR145" s="63">
        <v>0</v>
      </c>
      <c r="BS145" s="63">
        <v>0</v>
      </c>
      <c r="BT145" s="63">
        <v>0</v>
      </c>
      <c r="BU145" s="63">
        <v>0</v>
      </c>
      <c r="BV145" s="63">
        <v>0</v>
      </c>
      <c r="BW145" s="63">
        <v>-1856</v>
      </c>
      <c r="BX145" s="63">
        <v>0</v>
      </c>
      <c r="BY145" s="63">
        <v>-1856</v>
      </c>
      <c r="BZ145" s="63">
        <v>-1180</v>
      </c>
      <c r="CA145" s="63">
        <v>0</v>
      </c>
      <c r="CB145" s="63">
        <v>-1180</v>
      </c>
      <c r="CC145" s="63">
        <v>-1085</v>
      </c>
      <c r="CD145" s="63">
        <v>0</v>
      </c>
      <c r="CE145" s="63">
        <v>-1085</v>
      </c>
      <c r="CF145" s="63">
        <v>-317</v>
      </c>
      <c r="CG145" s="63">
        <v>0</v>
      </c>
      <c r="CH145" s="63">
        <v>-317</v>
      </c>
      <c r="CI145" s="63">
        <v>0</v>
      </c>
      <c r="CJ145" s="63">
        <v>0</v>
      </c>
      <c r="CK145" s="63">
        <v>0</v>
      </c>
      <c r="CL145" s="63">
        <v>0</v>
      </c>
      <c r="CM145" s="63">
        <v>0</v>
      </c>
      <c r="CN145" s="63">
        <v>0</v>
      </c>
      <c r="CO145" s="63">
        <v>0</v>
      </c>
      <c r="CP145" s="63">
        <v>0</v>
      </c>
      <c r="CQ145" s="63">
        <v>-4438</v>
      </c>
      <c r="CR145" s="63">
        <v>0</v>
      </c>
      <c r="CS145" s="63">
        <v>0</v>
      </c>
      <c r="CT145" s="63">
        <v>0</v>
      </c>
      <c r="CU145" s="63">
        <v>-4438</v>
      </c>
      <c r="CV145" s="63">
        <v>0</v>
      </c>
      <c r="CW145" s="63">
        <v>-4438</v>
      </c>
      <c r="CX145" s="63">
        <v>0</v>
      </c>
      <c r="CY145" s="63">
        <v>0</v>
      </c>
      <c r="CZ145" s="63">
        <v>0</v>
      </c>
      <c r="DA145" s="63">
        <v>0</v>
      </c>
      <c r="DB145" s="63">
        <v>0</v>
      </c>
      <c r="DC145" s="63">
        <v>0</v>
      </c>
      <c r="DD145" s="63">
        <v>0</v>
      </c>
      <c r="DE145" s="63">
        <v>0</v>
      </c>
      <c r="DF145" s="63">
        <v>0</v>
      </c>
      <c r="DG145" s="63">
        <v>0</v>
      </c>
      <c r="DH145" s="63">
        <v>0</v>
      </c>
      <c r="DI145" s="63">
        <v>0</v>
      </c>
      <c r="DJ145" s="63">
        <v>0</v>
      </c>
      <c r="DK145" s="63">
        <v>0</v>
      </c>
      <c r="DL145" s="63">
        <v>0</v>
      </c>
      <c r="DM145" s="63">
        <v>0</v>
      </c>
      <c r="DN145" s="63">
        <v>1733381</v>
      </c>
      <c r="DO145" s="63">
        <v>0</v>
      </c>
      <c r="DP145" s="63">
        <v>1733381</v>
      </c>
      <c r="DQ145" s="63"/>
      <c r="DR145" s="585"/>
    </row>
    <row r="146" spans="1:122" x14ac:dyDescent="0.2">
      <c r="A146" s="90">
        <v>139</v>
      </c>
      <c r="B146" s="129" t="s">
        <v>152</v>
      </c>
      <c r="C146" s="130" t="s">
        <v>754</v>
      </c>
      <c r="D146" s="131" t="s">
        <v>748</v>
      </c>
      <c r="E146" s="132" t="s">
        <v>151</v>
      </c>
      <c r="F146" s="475" t="s">
        <v>808</v>
      </c>
      <c r="G146" s="63">
        <v>493385825</v>
      </c>
      <c r="H146" s="63">
        <v>0</v>
      </c>
      <c r="I146" s="63">
        <v>493385825</v>
      </c>
      <c r="J146" s="608">
        <v>48.4</v>
      </c>
      <c r="K146" s="63">
        <v>238798739</v>
      </c>
      <c r="L146" s="63">
        <v>0</v>
      </c>
      <c r="M146" s="63">
        <v>-6150829</v>
      </c>
      <c r="N146" s="63">
        <v>0</v>
      </c>
      <c r="O146" s="63">
        <v>232647910</v>
      </c>
      <c r="P146" s="63">
        <v>0</v>
      </c>
      <c r="Q146" s="63">
        <v>232647910</v>
      </c>
      <c r="R146" s="63">
        <v>0</v>
      </c>
      <c r="S146" s="63">
        <v>0</v>
      </c>
      <c r="T146" s="63">
        <v>0</v>
      </c>
      <c r="U146" s="63">
        <v>0</v>
      </c>
      <c r="V146" s="63">
        <v>0</v>
      </c>
      <c r="W146" s="63">
        <v>0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0</v>
      </c>
      <c r="AE146" s="63">
        <v>0</v>
      </c>
      <c r="AF146" s="63">
        <v>0</v>
      </c>
      <c r="AG146" s="63">
        <v>0</v>
      </c>
      <c r="AH146" s="63">
        <v>-3474868</v>
      </c>
      <c r="AI146" s="63">
        <v>0</v>
      </c>
      <c r="AJ146" s="63">
        <v>-3474868</v>
      </c>
      <c r="AK146" s="63">
        <v>0</v>
      </c>
      <c r="AL146" s="63">
        <v>0</v>
      </c>
      <c r="AM146" s="63">
        <v>0</v>
      </c>
      <c r="AN146" s="63">
        <v>5636547</v>
      </c>
      <c r="AO146" s="63">
        <v>0</v>
      </c>
      <c r="AP146" s="63">
        <v>5636547</v>
      </c>
      <c r="AQ146" s="63">
        <v>2161679</v>
      </c>
      <c r="AR146" s="63">
        <v>0</v>
      </c>
      <c r="AS146" s="63">
        <v>2161679</v>
      </c>
      <c r="AT146" s="63">
        <v>-20786738</v>
      </c>
      <c r="AU146" s="63">
        <v>0</v>
      </c>
      <c r="AV146" s="63">
        <v>-20786738</v>
      </c>
      <c r="AW146" s="63">
        <v>0</v>
      </c>
      <c r="AX146" s="63">
        <v>0</v>
      </c>
      <c r="AY146" s="63">
        <v>0</v>
      </c>
      <c r="AZ146" s="63">
        <v>0</v>
      </c>
      <c r="BA146" s="63">
        <v>0</v>
      </c>
      <c r="BB146" s="63">
        <v>0</v>
      </c>
      <c r="BC146" s="63">
        <v>-18625059</v>
      </c>
      <c r="BD146" s="63">
        <v>0</v>
      </c>
      <c r="BE146" s="63">
        <v>0</v>
      </c>
      <c r="BF146" s="63">
        <v>0</v>
      </c>
      <c r="BG146" s="63">
        <v>-18625059</v>
      </c>
      <c r="BH146" s="63">
        <v>0</v>
      </c>
      <c r="BI146" s="63">
        <v>-18625059</v>
      </c>
      <c r="BJ146" s="63">
        <v>0</v>
      </c>
      <c r="BK146" s="63">
        <v>0</v>
      </c>
      <c r="BL146" s="63">
        <v>0</v>
      </c>
      <c r="BM146" s="63">
        <v>-7514155</v>
      </c>
      <c r="BN146" s="63">
        <v>0</v>
      </c>
      <c r="BO146" s="63">
        <v>-7514155</v>
      </c>
      <c r="BP146" s="63">
        <v>-7514155</v>
      </c>
      <c r="BQ146" s="63">
        <v>0</v>
      </c>
      <c r="BR146" s="63">
        <v>0</v>
      </c>
      <c r="BS146" s="63">
        <v>0</v>
      </c>
      <c r="BT146" s="63">
        <v>-7514155</v>
      </c>
      <c r="BU146" s="63">
        <v>0</v>
      </c>
      <c r="BV146" s="63">
        <v>-7514155</v>
      </c>
      <c r="BW146" s="63">
        <v>-668584</v>
      </c>
      <c r="BX146" s="63">
        <v>0</v>
      </c>
      <c r="BY146" s="63">
        <v>-668584</v>
      </c>
      <c r="BZ146" s="63">
        <v>-285394</v>
      </c>
      <c r="CA146" s="63">
        <v>0</v>
      </c>
      <c r="CB146" s="63">
        <v>-285394</v>
      </c>
      <c r="CC146" s="63">
        <v>0</v>
      </c>
      <c r="CD146" s="63">
        <v>0</v>
      </c>
      <c r="CE146" s="63">
        <v>0</v>
      </c>
      <c r="CF146" s="63">
        <v>0</v>
      </c>
      <c r="CG146" s="63">
        <v>0</v>
      </c>
      <c r="CH146" s="63">
        <v>0</v>
      </c>
      <c r="CI146" s="63">
        <v>0</v>
      </c>
      <c r="CJ146" s="63">
        <v>0</v>
      </c>
      <c r="CK146" s="63">
        <v>0</v>
      </c>
      <c r="CL146" s="63">
        <v>0</v>
      </c>
      <c r="CM146" s="63">
        <v>0</v>
      </c>
      <c r="CN146" s="63">
        <v>0</v>
      </c>
      <c r="CO146" s="63">
        <v>0</v>
      </c>
      <c r="CP146" s="63">
        <v>0</v>
      </c>
      <c r="CQ146" s="63">
        <v>-953978</v>
      </c>
      <c r="CR146" s="63">
        <v>0</v>
      </c>
      <c r="CS146" s="63">
        <v>0</v>
      </c>
      <c r="CT146" s="63">
        <v>0</v>
      </c>
      <c r="CU146" s="63">
        <v>-953978</v>
      </c>
      <c r="CV146" s="63">
        <v>0</v>
      </c>
      <c r="CW146" s="63">
        <v>-953978</v>
      </c>
      <c r="CX146" s="63">
        <v>-232181</v>
      </c>
      <c r="CY146" s="63">
        <v>0</v>
      </c>
      <c r="CZ146" s="63">
        <v>-232181</v>
      </c>
      <c r="DA146" s="63">
        <v>-1134</v>
      </c>
      <c r="DB146" s="63">
        <v>0</v>
      </c>
      <c r="DC146" s="63">
        <v>-1134</v>
      </c>
      <c r="DD146" s="63">
        <v>-372665</v>
      </c>
      <c r="DE146" s="63">
        <v>0</v>
      </c>
      <c r="DF146" s="63">
        <v>-372665</v>
      </c>
      <c r="DG146" s="63">
        <v>-605980</v>
      </c>
      <c r="DH146" s="63">
        <v>0</v>
      </c>
      <c r="DI146" s="63">
        <v>0</v>
      </c>
      <c r="DJ146" s="63">
        <v>0</v>
      </c>
      <c r="DK146" s="63">
        <v>-605980</v>
      </c>
      <c r="DL146" s="63">
        <v>0</v>
      </c>
      <c r="DM146" s="63">
        <v>-605980</v>
      </c>
      <c r="DN146" s="63">
        <v>204948738</v>
      </c>
      <c r="DO146" s="63">
        <v>0</v>
      </c>
      <c r="DP146" s="63">
        <v>204948738</v>
      </c>
      <c r="DQ146" s="63"/>
      <c r="DR146" s="585"/>
    </row>
    <row r="147" spans="1:122" x14ac:dyDescent="0.2">
      <c r="A147" s="90">
        <v>140</v>
      </c>
      <c r="B147" s="129" t="s">
        <v>153</v>
      </c>
      <c r="C147" s="130" t="s">
        <v>754</v>
      </c>
      <c r="D147" s="131" t="s">
        <v>748</v>
      </c>
      <c r="E147" s="132" t="s">
        <v>553</v>
      </c>
      <c r="F147" s="475" t="s">
        <v>808</v>
      </c>
      <c r="G147" s="63">
        <v>644633104</v>
      </c>
      <c r="H147" s="63">
        <v>0</v>
      </c>
      <c r="I147" s="63">
        <v>644633104</v>
      </c>
      <c r="J147" s="608">
        <v>48.4</v>
      </c>
      <c r="K147" s="63">
        <v>312002422</v>
      </c>
      <c r="L147" s="63">
        <v>0</v>
      </c>
      <c r="M147" s="63">
        <v>-12500000</v>
      </c>
      <c r="N147" s="63">
        <v>0</v>
      </c>
      <c r="O147" s="63">
        <v>299502422</v>
      </c>
      <c r="P147" s="63">
        <v>0</v>
      </c>
      <c r="Q147" s="63">
        <v>299502422</v>
      </c>
      <c r="R147" s="63">
        <v>0</v>
      </c>
      <c r="S147" s="63">
        <v>0</v>
      </c>
      <c r="T147" s="63">
        <v>0</v>
      </c>
      <c r="U147" s="63">
        <v>0</v>
      </c>
      <c r="V147" s="63">
        <v>0</v>
      </c>
      <c r="W147" s="63">
        <v>0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0</v>
      </c>
      <c r="AE147" s="63">
        <v>0</v>
      </c>
      <c r="AF147" s="63">
        <v>0</v>
      </c>
      <c r="AG147" s="63">
        <v>0</v>
      </c>
      <c r="AH147" s="63">
        <v>-1707205</v>
      </c>
      <c r="AI147" s="63">
        <v>0</v>
      </c>
      <c r="AJ147" s="63">
        <v>-1707205</v>
      </c>
      <c r="AK147" s="63">
        <v>-1549</v>
      </c>
      <c r="AL147" s="63">
        <v>0</v>
      </c>
      <c r="AM147" s="63">
        <v>-1549</v>
      </c>
      <c r="AN147" s="63">
        <v>7872572</v>
      </c>
      <c r="AO147" s="63">
        <v>0</v>
      </c>
      <c r="AP147" s="63">
        <v>7872572</v>
      </c>
      <c r="AQ147" s="63">
        <v>6165367</v>
      </c>
      <c r="AR147" s="63">
        <v>0</v>
      </c>
      <c r="AS147" s="63">
        <v>6165367</v>
      </c>
      <c r="AT147" s="63">
        <v>-16480000</v>
      </c>
      <c r="AU147" s="63">
        <v>0</v>
      </c>
      <c r="AV147" s="63">
        <v>-16480000</v>
      </c>
      <c r="AW147" s="63">
        <v>0</v>
      </c>
      <c r="AX147" s="63">
        <v>0</v>
      </c>
      <c r="AY147" s="63">
        <v>0</v>
      </c>
      <c r="AZ147" s="63">
        <v>0</v>
      </c>
      <c r="BA147" s="63">
        <v>0</v>
      </c>
      <c r="BB147" s="63">
        <v>0</v>
      </c>
      <c r="BC147" s="63">
        <v>-10314633</v>
      </c>
      <c r="BD147" s="63">
        <v>0</v>
      </c>
      <c r="BE147" s="63">
        <v>0</v>
      </c>
      <c r="BF147" s="63">
        <v>0</v>
      </c>
      <c r="BG147" s="63">
        <v>-10314633</v>
      </c>
      <c r="BH147" s="63">
        <v>0</v>
      </c>
      <c r="BI147" s="63">
        <v>-10314633</v>
      </c>
      <c r="BJ147" s="63">
        <v>0</v>
      </c>
      <c r="BK147" s="63">
        <v>0</v>
      </c>
      <c r="BL147" s="63">
        <v>0</v>
      </c>
      <c r="BM147" s="63">
        <v>-8500000</v>
      </c>
      <c r="BN147" s="63">
        <v>0</v>
      </c>
      <c r="BO147" s="63">
        <v>-8500000</v>
      </c>
      <c r="BP147" s="63">
        <v>-8500000</v>
      </c>
      <c r="BQ147" s="63">
        <v>0</v>
      </c>
      <c r="BR147" s="63">
        <v>0</v>
      </c>
      <c r="BS147" s="63">
        <v>0</v>
      </c>
      <c r="BT147" s="63">
        <v>-8500000</v>
      </c>
      <c r="BU147" s="63">
        <v>0</v>
      </c>
      <c r="BV147" s="63">
        <v>-8500000</v>
      </c>
      <c r="BW147" s="63">
        <v>-76627</v>
      </c>
      <c r="BX147" s="63">
        <v>0</v>
      </c>
      <c r="BY147" s="63">
        <v>-76627</v>
      </c>
      <c r="BZ147" s="63">
        <v>-95725</v>
      </c>
      <c r="CA147" s="63">
        <v>0</v>
      </c>
      <c r="CB147" s="63">
        <v>-95725</v>
      </c>
      <c r="CC147" s="63">
        <v>0</v>
      </c>
      <c r="CD147" s="63">
        <v>0</v>
      </c>
      <c r="CE147" s="63">
        <v>0</v>
      </c>
      <c r="CF147" s="63">
        <v>0</v>
      </c>
      <c r="CG147" s="63">
        <v>0</v>
      </c>
      <c r="CH147" s="63">
        <v>0</v>
      </c>
      <c r="CI147" s="63">
        <v>0</v>
      </c>
      <c r="CJ147" s="63">
        <v>0</v>
      </c>
      <c r="CK147" s="63">
        <v>0</v>
      </c>
      <c r="CL147" s="63">
        <v>0</v>
      </c>
      <c r="CM147" s="63">
        <v>0</v>
      </c>
      <c r="CN147" s="63">
        <v>0</v>
      </c>
      <c r="CO147" s="63">
        <v>0</v>
      </c>
      <c r="CP147" s="63">
        <v>0</v>
      </c>
      <c r="CQ147" s="63">
        <v>-172352</v>
      </c>
      <c r="CR147" s="63">
        <v>0</v>
      </c>
      <c r="CS147" s="63">
        <v>0</v>
      </c>
      <c r="CT147" s="63">
        <v>0</v>
      </c>
      <c r="CU147" s="63">
        <v>-172352</v>
      </c>
      <c r="CV147" s="63">
        <v>0</v>
      </c>
      <c r="CW147" s="63">
        <v>-172352</v>
      </c>
      <c r="CX147" s="63">
        <v>0</v>
      </c>
      <c r="CY147" s="63">
        <v>0</v>
      </c>
      <c r="CZ147" s="63">
        <v>0</v>
      </c>
      <c r="DA147" s="63">
        <v>-110000</v>
      </c>
      <c r="DB147" s="63">
        <v>0</v>
      </c>
      <c r="DC147" s="63">
        <v>-110000</v>
      </c>
      <c r="DD147" s="63">
        <v>-1466</v>
      </c>
      <c r="DE147" s="63">
        <v>0</v>
      </c>
      <c r="DF147" s="63">
        <v>-1466</v>
      </c>
      <c r="DG147" s="63">
        <v>-111466</v>
      </c>
      <c r="DH147" s="63">
        <v>0</v>
      </c>
      <c r="DI147" s="63">
        <v>0</v>
      </c>
      <c r="DJ147" s="63">
        <v>0</v>
      </c>
      <c r="DK147" s="63">
        <v>-111466</v>
      </c>
      <c r="DL147" s="63">
        <v>0</v>
      </c>
      <c r="DM147" s="63">
        <v>-111466</v>
      </c>
      <c r="DN147" s="63">
        <v>280403971</v>
      </c>
      <c r="DO147" s="63">
        <v>0</v>
      </c>
      <c r="DP147" s="63">
        <v>280403971</v>
      </c>
      <c r="DQ147" s="63"/>
      <c r="DR147" s="585"/>
    </row>
    <row r="148" spans="1:122" x14ac:dyDescent="0.2">
      <c r="A148" s="90">
        <v>141</v>
      </c>
      <c r="B148" s="129" t="s">
        <v>155</v>
      </c>
      <c r="C148" s="130" t="s">
        <v>742</v>
      </c>
      <c r="D148" s="131" t="s">
        <v>745</v>
      </c>
      <c r="E148" s="132" t="s">
        <v>154</v>
      </c>
      <c r="F148" s="475" t="s">
        <v>808</v>
      </c>
      <c r="G148" s="63">
        <v>77342074</v>
      </c>
      <c r="H148" s="63">
        <v>0</v>
      </c>
      <c r="I148" s="63">
        <v>77342074</v>
      </c>
      <c r="J148" s="608">
        <v>48.4</v>
      </c>
      <c r="K148" s="63">
        <v>37433564</v>
      </c>
      <c r="L148" s="63">
        <v>0</v>
      </c>
      <c r="M148" s="63">
        <v>250000</v>
      </c>
      <c r="N148" s="63">
        <v>0</v>
      </c>
      <c r="O148" s="63">
        <v>37683564</v>
      </c>
      <c r="P148" s="63">
        <v>0</v>
      </c>
      <c r="Q148" s="63">
        <v>37683564</v>
      </c>
      <c r="R148" s="63">
        <v>0</v>
      </c>
      <c r="S148" s="63">
        <v>0</v>
      </c>
      <c r="T148" s="63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0</v>
      </c>
      <c r="AE148" s="63">
        <v>0</v>
      </c>
      <c r="AF148" s="63">
        <v>0</v>
      </c>
      <c r="AG148" s="63">
        <v>0</v>
      </c>
      <c r="AH148" s="63">
        <v>-1727859</v>
      </c>
      <c r="AI148" s="63">
        <v>0</v>
      </c>
      <c r="AJ148" s="63">
        <v>-1727859</v>
      </c>
      <c r="AK148" s="63">
        <v>-12217.364</v>
      </c>
      <c r="AL148" s="63">
        <v>0</v>
      </c>
      <c r="AM148" s="63">
        <v>-12217.364</v>
      </c>
      <c r="AN148" s="63">
        <v>870306.83940000006</v>
      </c>
      <c r="AO148" s="63">
        <v>0</v>
      </c>
      <c r="AP148" s="63">
        <v>870306.83940000006</v>
      </c>
      <c r="AQ148" s="63">
        <v>-857552.16059999994</v>
      </c>
      <c r="AR148" s="63">
        <v>0</v>
      </c>
      <c r="AS148" s="63">
        <v>-857552.16059999994</v>
      </c>
      <c r="AT148" s="63">
        <v>-2825283.0386999999</v>
      </c>
      <c r="AU148" s="63">
        <v>0</v>
      </c>
      <c r="AV148" s="63">
        <v>-2825283.0386999999</v>
      </c>
      <c r="AW148" s="63">
        <v>-72431</v>
      </c>
      <c r="AX148" s="63">
        <v>0</v>
      </c>
      <c r="AY148" s="63">
        <v>-72431</v>
      </c>
      <c r="AZ148" s="63">
        <v>-5501</v>
      </c>
      <c r="BA148" s="63">
        <v>0</v>
      </c>
      <c r="BB148" s="63">
        <v>-5501</v>
      </c>
      <c r="BC148" s="63">
        <v>-3760767.1993</v>
      </c>
      <c r="BD148" s="63">
        <v>0</v>
      </c>
      <c r="BE148" s="63">
        <v>0</v>
      </c>
      <c r="BF148" s="63">
        <v>0</v>
      </c>
      <c r="BG148" s="63">
        <v>-3760767.1993</v>
      </c>
      <c r="BH148" s="63">
        <v>0</v>
      </c>
      <c r="BI148" s="63">
        <v>-3760767.1993</v>
      </c>
      <c r="BJ148" s="63">
        <v>-2500</v>
      </c>
      <c r="BK148" s="63">
        <v>0</v>
      </c>
      <c r="BL148" s="63">
        <v>-2500</v>
      </c>
      <c r="BM148" s="63">
        <v>-347770</v>
      </c>
      <c r="BN148" s="63">
        <v>0</v>
      </c>
      <c r="BO148" s="63">
        <v>-347770</v>
      </c>
      <c r="BP148" s="63">
        <v>-350270</v>
      </c>
      <c r="BQ148" s="63">
        <v>0</v>
      </c>
      <c r="BR148" s="63">
        <v>0</v>
      </c>
      <c r="BS148" s="63">
        <v>0</v>
      </c>
      <c r="BT148" s="63">
        <v>-350270</v>
      </c>
      <c r="BU148" s="63">
        <v>0</v>
      </c>
      <c r="BV148" s="63">
        <v>-350270</v>
      </c>
      <c r="BW148" s="63">
        <v>-11008</v>
      </c>
      <c r="BX148" s="63">
        <v>0</v>
      </c>
      <c r="BY148" s="63">
        <v>-11008</v>
      </c>
      <c r="BZ148" s="63">
        <v>-33676</v>
      </c>
      <c r="CA148" s="63">
        <v>0</v>
      </c>
      <c r="CB148" s="63">
        <v>-33676</v>
      </c>
      <c r="CC148" s="63">
        <v>-1841</v>
      </c>
      <c r="CD148" s="63">
        <v>0</v>
      </c>
      <c r="CE148" s="63">
        <v>-1841</v>
      </c>
      <c r="CF148" s="63">
        <v>-1371</v>
      </c>
      <c r="CG148" s="63">
        <v>0</v>
      </c>
      <c r="CH148" s="63">
        <v>-1371</v>
      </c>
      <c r="CI148" s="63">
        <v>0</v>
      </c>
      <c r="CJ148" s="63">
        <v>0</v>
      </c>
      <c r="CK148" s="63">
        <v>0</v>
      </c>
      <c r="CL148" s="63">
        <v>-100000</v>
      </c>
      <c r="CM148" s="63">
        <v>0</v>
      </c>
      <c r="CN148" s="63">
        <v>-100000</v>
      </c>
      <c r="CO148" s="63">
        <v>0</v>
      </c>
      <c r="CP148" s="63">
        <v>0</v>
      </c>
      <c r="CQ148" s="63">
        <v>-147896</v>
      </c>
      <c r="CR148" s="63">
        <v>0</v>
      </c>
      <c r="CS148" s="63">
        <v>0</v>
      </c>
      <c r="CT148" s="63">
        <v>0</v>
      </c>
      <c r="CU148" s="63">
        <v>-147896</v>
      </c>
      <c r="CV148" s="63">
        <v>0</v>
      </c>
      <c r="CW148" s="63">
        <v>-147896</v>
      </c>
      <c r="CX148" s="63">
        <v>-2500</v>
      </c>
      <c r="CY148" s="63">
        <v>0</v>
      </c>
      <c r="CZ148" s="63">
        <v>-2500</v>
      </c>
      <c r="DA148" s="63">
        <v>-15000</v>
      </c>
      <c r="DB148" s="63">
        <v>0</v>
      </c>
      <c r="DC148" s="63">
        <v>-15000</v>
      </c>
      <c r="DD148" s="63">
        <v>0</v>
      </c>
      <c r="DE148" s="63">
        <v>0</v>
      </c>
      <c r="DF148" s="63">
        <v>0</v>
      </c>
      <c r="DG148" s="63">
        <v>-17500</v>
      </c>
      <c r="DH148" s="63">
        <v>0</v>
      </c>
      <c r="DI148" s="63">
        <v>0</v>
      </c>
      <c r="DJ148" s="63">
        <v>0</v>
      </c>
      <c r="DK148" s="63">
        <v>-17500</v>
      </c>
      <c r="DL148" s="63">
        <v>0</v>
      </c>
      <c r="DM148" s="63">
        <v>-17500</v>
      </c>
      <c r="DN148" s="63">
        <v>33407130.800700001</v>
      </c>
      <c r="DO148" s="63">
        <v>0</v>
      </c>
      <c r="DP148" s="63">
        <v>33407130.800700001</v>
      </c>
      <c r="DQ148" s="63"/>
      <c r="DR148" s="585"/>
    </row>
    <row r="149" spans="1:122" ht="12.75" x14ac:dyDescent="0.2">
      <c r="A149" s="90">
        <v>142</v>
      </c>
      <c r="B149" s="129" t="s">
        <v>156</v>
      </c>
      <c r="C149" s="130" t="s">
        <v>742</v>
      </c>
      <c r="D149" s="131" t="s">
        <v>746</v>
      </c>
      <c r="E149" s="132" t="s">
        <v>758</v>
      </c>
      <c r="F149" s="475" t="s">
        <v>808</v>
      </c>
      <c r="G149" s="63">
        <v>110928321</v>
      </c>
      <c r="H149" s="63">
        <v>25000</v>
      </c>
      <c r="I149" s="63">
        <v>110953321</v>
      </c>
      <c r="J149" s="608">
        <v>48.4</v>
      </c>
      <c r="K149" s="63">
        <v>53689307</v>
      </c>
      <c r="L149" s="63">
        <v>12100</v>
      </c>
      <c r="M149" s="63">
        <v>268447</v>
      </c>
      <c r="N149" s="63">
        <v>0</v>
      </c>
      <c r="O149" s="63">
        <v>53957754</v>
      </c>
      <c r="P149" s="63">
        <v>12100</v>
      </c>
      <c r="Q149" s="63">
        <v>53969854</v>
      </c>
      <c r="R149" s="63">
        <v>0</v>
      </c>
      <c r="S149" s="63">
        <v>0</v>
      </c>
      <c r="T149" s="63">
        <v>0</v>
      </c>
      <c r="U149" s="63">
        <v>0</v>
      </c>
      <c r="V149" s="63">
        <v>0</v>
      </c>
      <c r="W149" s="63">
        <v>0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0</v>
      </c>
      <c r="AE149" s="63">
        <v>0</v>
      </c>
      <c r="AF149" s="63">
        <v>0</v>
      </c>
      <c r="AG149" s="63">
        <v>0</v>
      </c>
      <c r="AH149" s="63">
        <v>-3481623</v>
      </c>
      <c r="AI149" s="63">
        <v>0</v>
      </c>
      <c r="AJ149" s="63">
        <v>-3481623</v>
      </c>
      <c r="AK149" s="63">
        <v>-1440</v>
      </c>
      <c r="AL149" s="63">
        <v>0</v>
      </c>
      <c r="AM149" s="63">
        <v>-1440</v>
      </c>
      <c r="AN149" s="63">
        <v>1197885</v>
      </c>
      <c r="AO149" s="63">
        <v>0</v>
      </c>
      <c r="AP149" s="63">
        <v>1197885</v>
      </c>
      <c r="AQ149" s="63">
        <v>-2283738</v>
      </c>
      <c r="AR149" s="63">
        <v>0</v>
      </c>
      <c r="AS149" s="63">
        <v>-2283738</v>
      </c>
      <c r="AT149" s="63">
        <v>-2814826</v>
      </c>
      <c r="AU149" s="63">
        <v>0</v>
      </c>
      <c r="AV149" s="63">
        <v>-2814826</v>
      </c>
      <c r="AW149" s="63">
        <v>-26430</v>
      </c>
      <c r="AX149" s="63">
        <v>0</v>
      </c>
      <c r="AY149" s="63">
        <v>-26430</v>
      </c>
      <c r="AZ149" s="63">
        <v>-83153</v>
      </c>
      <c r="BA149" s="63">
        <v>0</v>
      </c>
      <c r="BB149" s="63">
        <v>-83153</v>
      </c>
      <c r="BC149" s="63">
        <v>-5208147</v>
      </c>
      <c r="BD149" s="63">
        <v>0</v>
      </c>
      <c r="BE149" s="63">
        <v>-26041</v>
      </c>
      <c r="BF149" s="63">
        <v>0</v>
      </c>
      <c r="BG149" s="63">
        <v>-5234188</v>
      </c>
      <c r="BH149" s="63">
        <v>0</v>
      </c>
      <c r="BI149" s="63">
        <v>-5234188</v>
      </c>
      <c r="BJ149" s="63">
        <v>-9043</v>
      </c>
      <c r="BK149" s="63">
        <v>0</v>
      </c>
      <c r="BL149" s="63">
        <v>-9043</v>
      </c>
      <c r="BM149" s="63">
        <v>-1102497</v>
      </c>
      <c r="BN149" s="63">
        <v>0</v>
      </c>
      <c r="BO149" s="63">
        <v>-1102497</v>
      </c>
      <c r="BP149" s="63">
        <v>-1111540</v>
      </c>
      <c r="BQ149" s="63">
        <v>0</v>
      </c>
      <c r="BR149" s="63">
        <v>-5558</v>
      </c>
      <c r="BS149" s="63">
        <v>0</v>
      </c>
      <c r="BT149" s="63">
        <v>-1117098</v>
      </c>
      <c r="BU149" s="63">
        <v>0</v>
      </c>
      <c r="BV149" s="63">
        <v>-1117098</v>
      </c>
      <c r="BW149" s="63">
        <v>-214794</v>
      </c>
      <c r="BX149" s="63">
        <v>0</v>
      </c>
      <c r="BY149" s="63">
        <v>-214794</v>
      </c>
      <c r="BZ149" s="63">
        <v>-47151</v>
      </c>
      <c r="CA149" s="63">
        <v>0</v>
      </c>
      <c r="CB149" s="63">
        <v>-47151</v>
      </c>
      <c r="CC149" s="63">
        <v>0</v>
      </c>
      <c r="CD149" s="63">
        <v>0</v>
      </c>
      <c r="CE149" s="63">
        <v>0</v>
      </c>
      <c r="CF149" s="63">
        <v>-28927</v>
      </c>
      <c r="CG149" s="63">
        <v>0</v>
      </c>
      <c r="CH149" s="63">
        <v>-28927</v>
      </c>
      <c r="CI149" s="63">
        <v>-19837</v>
      </c>
      <c r="CJ149" s="63">
        <v>0</v>
      </c>
      <c r="CK149" s="63">
        <v>-19837</v>
      </c>
      <c r="CL149" s="63">
        <v>0</v>
      </c>
      <c r="CM149" s="63">
        <v>0</v>
      </c>
      <c r="CN149" s="63">
        <v>0</v>
      </c>
      <c r="CO149" s="63">
        <v>0</v>
      </c>
      <c r="CP149" s="63">
        <v>0</v>
      </c>
      <c r="CQ149" s="63">
        <v>-310709</v>
      </c>
      <c r="CR149" s="63">
        <v>0</v>
      </c>
      <c r="CS149" s="63">
        <v>-26331</v>
      </c>
      <c r="CT149" s="63">
        <v>0</v>
      </c>
      <c r="CU149" s="63">
        <v>-337040</v>
      </c>
      <c r="CV149" s="63">
        <v>0</v>
      </c>
      <c r="CW149" s="63">
        <v>-337040</v>
      </c>
      <c r="CX149" s="63">
        <v>-6926</v>
      </c>
      <c r="CY149" s="63">
        <v>0</v>
      </c>
      <c r="CZ149" s="63">
        <v>-6926</v>
      </c>
      <c r="DA149" s="63">
        <v>-2173</v>
      </c>
      <c r="DB149" s="63">
        <v>0</v>
      </c>
      <c r="DC149" s="63">
        <v>-2173</v>
      </c>
      <c r="DD149" s="63">
        <v>-23619</v>
      </c>
      <c r="DE149" s="63">
        <v>0</v>
      </c>
      <c r="DF149" s="63">
        <v>-23619</v>
      </c>
      <c r="DG149" s="63">
        <v>-32718</v>
      </c>
      <c r="DH149" s="63">
        <v>0</v>
      </c>
      <c r="DI149" s="63">
        <v>-164</v>
      </c>
      <c r="DJ149" s="63">
        <v>0</v>
      </c>
      <c r="DK149" s="63">
        <v>-32882</v>
      </c>
      <c r="DL149" s="63">
        <v>0</v>
      </c>
      <c r="DM149" s="63">
        <v>-32882</v>
      </c>
      <c r="DN149" s="63">
        <v>47236546</v>
      </c>
      <c r="DO149" s="63">
        <v>12100</v>
      </c>
      <c r="DP149" s="63">
        <v>47248646</v>
      </c>
      <c r="DQ149" s="63"/>
      <c r="DR149" s="586" t="s">
        <v>768</v>
      </c>
    </row>
    <row r="150" spans="1:122" x14ac:dyDescent="0.2">
      <c r="A150" s="90">
        <v>143</v>
      </c>
      <c r="B150" s="129" t="s">
        <v>157</v>
      </c>
      <c r="C150" s="130" t="s">
        <v>501</v>
      </c>
      <c r="D150" s="131" t="s">
        <v>750</v>
      </c>
      <c r="E150" s="132" t="s">
        <v>759</v>
      </c>
      <c r="F150" s="475" t="s">
        <v>808</v>
      </c>
      <c r="G150" s="63">
        <v>229819187</v>
      </c>
      <c r="H150" s="63">
        <v>365750</v>
      </c>
      <c r="I150" s="63">
        <v>230184937</v>
      </c>
      <c r="J150" s="608">
        <v>48.4</v>
      </c>
      <c r="K150" s="63">
        <v>111232487</v>
      </c>
      <c r="L150" s="63">
        <v>177023</v>
      </c>
      <c r="M150" s="63">
        <v>800000</v>
      </c>
      <c r="N150" s="63">
        <v>0</v>
      </c>
      <c r="O150" s="63">
        <v>112032487</v>
      </c>
      <c r="P150" s="63">
        <v>177023</v>
      </c>
      <c r="Q150" s="63">
        <v>112209510</v>
      </c>
      <c r="R150" s="63">
        <v>0</v>
      </c>
      <c r="S150" s="63">
        <v>0</v>
      </c>
      <c r="T150" s="63">
        <v>0</v>
      </c>
      <c r="U150" s="63">
        <v>0</v>
      </c>
      <c r="V150" s="63">
        <v>0</v>
      </c>
      <c r="W150" s="63">
        <v>0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0</v>
      </c>
      <c r="AE150" s="63">
        <v>0</v>
      </c>
      <c r="AF150" s="63">
        <v>0</v>
      </c>
      <c r="AG150" s="63">
        <v>0</v>
      </c>
      <c r="AH150" s="63">
        <v>-5889000</v>
      </c>
      <c r="AI150" s="63">
        <v>0</v>
      </c>
      <c r="AJ150" s="63">
        <v>-5889000</v>
      </c>
      <c r="AK150" s="63">
        <v>-2000</v>
      </c>
      <c r="AL150" s="63">
        <v>0</v>
      </c>
      <c r="AM150" s="63">
        <v>-2000</v>
      </c>
      <c r="AN150" s="63">
        <v>2564563</v>
      </c>
      <c r="AO150" s="63">
        <v>0</v>
      </c>
      <c r="AP150" s="63">
        <v>2564563</v>
      </c>
      <c r="AQ150" s="63">
        <v>-3324437</v>
      </c>
      <c r="AR150" s="63">
        <v>0</v>
      </c>
      <c r="AS150" s="63">
        <v>-3324437</v>
      </c>
      <c r="AT150" s="63">
        <v>-7199120</v>
      </c>
      <c r="AU150" s="63">
        <v>0</v>
      </c>
      <c r="AV150" s="63">
        <v>-7199120</v>
      </c>
      <c r="AW150" s="63">
        <v>-15000</v>
      </c>
      <c r="AX150" s="63">
        <v>0</v>
      </c>
      <c r="AY150" s="63">
        <v>-15000</v>
      </c>
      <c r="AZ150" s="63">
        <v>0</v>
      </c>
      <c r="BA150" s="63">
        <v>0</v>
      </c>
      <c r="BB150" s="63">
        <v>0</v>
      </c>
      <c r="BC150" s="63">
        <v>-10538557</v>
      </c>
      <c r="BD150" s="63">
        <v>0</v>
      </c>
      <c r="BE150" s="63">
        <v>0</v>
      </c>
      <c r="BF150" s="63">
        <v>0</v>
      </c>
      <c r="BG150" s="63">
        <v>-10538557</v>
      </c>
      <c r="BH150" s="63">
        <v>0</v>
      </c>
      <c r="BI150" s="63">
        <v>-10538557</v>
      </c>
      <c r="BJ150" s="63">
        <v>0</v>
      </c>
      <c r="BK150" s="63">
        <v>0</v>
      </c>
      <c r="BL150" s="63">
        <v>0</v>
      </c>
      <c r="BM150" s="63">
        <v>-2652066</v>
      </c>
      <c r="BN150" s="63">
        <v>0</v>
      </c>
      <c r="BO150" s="63">
        <v>-2652066</v>
      </c>
      <c r="BP150" s="63">
        <v>-2652066</v>
      </c>
      <c r="BQ150" s="63">
        <v>0</v>
      </c>
      <c r="BR150" s="63">
        <v>0</v>
      </c>
      <c r="BS150" s="63">
        <v>0</v>
      </c>
      <c r="BT150" s="63">
        <v>-2652066</v>
      </c>
      <c r="BU150" s="63">
        <v>0</v>
      </c>
      <c r="BV150" s="63">
        <v>-2652066</v>
      </c>
      <c r="BW150" s="63">
        <v>-5641</v>
      </c>
      <c r="BX150" s="63">
        <v>0</v>
      </c>
      <c r="BY150" s="63">
        <v>-5641</v>
      </c>
      <c r="BZ150" s="63">
        <v>-1142947</v>
      </c>
      <c r="CA150" s="63">
        <v>0</v>
      </c>
      <c r="CB150" s="63">
        <v>-1142947</v>
      </c>
      <c r="CC150" s="63">
        <v>-15000</v>
      </c>
      <c r="CD150" s="63">
        <v>0</v>
      </c>
      <c r="CE150" s="63">
        <v>-15000</v>
      </c>
      <c r="CF150" s="63">
        <v>0</v>
      </c>
      <c r="CG150" s="63">
        <v>0</v>
      </c>
      <c r="CH150" s="63">
        <v>0</v>
      </c>
      <c r="CI150" s="63">
        <v>0</v>
      </c>
      <c r="CJ150" s="63">
        <v>0</v>
      </c>
      <c r="CK150" s="63">
        <v>0</v>
      </c>
      <c r="CL150" s="63">
        <v>0</v>
      </c>
      <c r="CM150" s="63">
        <v>0</v>
      </c>
      <c r="CN150" s="63">
        <v>0</v>
      </c>
      <c r="CO150" s="63">
        <v>0</v>
      </c>
      <c r="CP150" s="63">
        <v>0</v>
      </c>
      <c r="CQ150" s="63">
        <v>-1163588</v>
      </c>
      <c r="CR150" s="63">
        <v>0</v>
      </c>
      <c r="CS150" s="63">
        <v>0</v>
      </c>
      <c r="CT150" s="63">
        <v>0</v>
      </c>
      <c r="CU150" s="63">
        <v>-1163588</v>
      </c>
      <c r="CV150" s="63">
        <v>0</v>
      </c>
      <c r="CW150" s="63">
        <v>-1163588</v>
      </c>
      <c r="CX150" s="63">
        <v>-90000</v>
      </c>
      <c r="CY150" s="63">
        <v>0</v>
      </c>
      <c r="CZ150" s="63">
        <v>-90000</v>
      </c>
      <c r="DA150" s="63">
        <v>-120000</v>
      </c>
      <c r="DB150" s="63">
        <v>0</v>
      </c>
      <c r="DC150" s="63">
        <v>-120000</v>
      </c>
      <c r="DD150" s="63">
        <v>-10664</v>
      </c>
      <c r="DE150" s="63">
        <v>0</v>
      </c>
      <c r="DF150" s="63">
        <v>-10664</v>
      </c>
      <c r="DG150" s="63">
        <v>-220664</v>
      </c>
      <c r="DH150" s="63">
        <v>0</v>
      </c>
      <c r="DI150" s="63">
        <v>0</v>
      </c>
      <c r="DJ150" s="63">
        <v>0</v>
      </c>
      <c r="DK150" s="63">
        <v>-220664</v>
      </c>
      <c r="DL150" s="63">
        <v>0</v>
      </c>
      <c r="DM150" s="63">
        <v>-220664</v>
      </c>
      <c r="DN150" s="63">
        <v>97457612</v>
      </c>
      <c r="DO150" s="63">
        <v>177023</v>
      </c>
      <c r="DP150" s="63">
        <v>97634635</v>
      </c>
      <c r="DQ150" s="63"/>
      <c r="DR150" s="585" t="s">
        <v>768</v>
      </c>
    </row>
    <row r="151" spans="1:122" x14ac:dyDescent="0.2">
      <c r="A151" s="90">
        <v>144</v>
      </c>
      <c r="B151" s="129" t="s">
        <v>159</v>
      </c>
      <c r="C151" s="130" t="s">
        <v>747</v>
      </c>
      <c r="D151" s="131" t="s">
        <v>748</v>
      </c>
      <c r="E151" s="132" t="s">
        <v>158</v>
      </c>
      <c r="F151" s="475" t="s">
        <v>808</v>
      </c>
      <c r="G151" s="63">
        <v>199411387</v>
      </c>
      <c r="H151" s="63">
        <v>0</v>
      </c>
      <c r="I151" s="63">
        <v>199411387</v>
      </c>
      <c r="J151" s="608">
        <v>48.4</v>
      </c>
      <c r="K151" s="63">
        <v>96515111</v>
      </c>
      <c r="L151" s="63">
        <v>0</v>
      </c>
      <c r="M151" s="63">
        <v>-500000</v>
      </c>
      <c r="N151" s="63">
        <v>0</v>
      </c>
      <c r="O151" s="63">
        <v>96015111</v>
      </c>
      <c r="P151" s="63">
        <v>0</v>
      </c>
      <c r="Q151" s="63">
        <v>96015111</v>
      </c>
      <c r="R151" s="63">
        <v>0</v>
      </c>
      <c r="S151" s="63">
        <v>0</v>
      </c>
      <c r="T151" s="63">
        <v>0</v>
      </c>
      <c r="U151" s="63">
        <v>0</v>
      </c>
      <c r="V151" s="63">
        <v>0</v>
      </c>
      <c r="W151" s="63">
        <v>0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0</v>
      </c>
      <c r="AE151" s="63">
        <v>0</v>
      </c>
      <c r="AF151" s="63">
        <v>0</v>
      </c>
      <c r="AG151" s="63">
        <v>0</v>
      </c>
      <c r="AH151" s="63">
        <v>-2439601</v>
      </c>
      <c r="AI151" s="63">
        <v>0</v>
      </c>
      <c r="AJ151" s="63">
        <v>-2439601</v>
      </c>
      <c r="AK151" s="63">
        <v>-5000</v>
      </c>
      <c r="AL151" s="63">
        <v>0</v>
      </c>
      <c r="AM151" s="63">
        <v>-5000</v>
      </c>
      <c r="AN151" s="63">
        <v>2280004</v>
      </c>
      <c r="AO151" s="63">
        <v>0</v>
      </c>
      <c r="AP151" s="63">
        <v>2280004</v>
      </c>
      <c r="AQ151" s="63">
        <v>-159597</v>
      </c>
      <c r="AR151" s="63">
        <v>0</v>
      </c>
      <c r="AS151" s="63">
        <v>-159597</v>
      </c>
      <c r="AT151" s="63">
        <v>-6044330</v>
      </c>
      <c r="AU151" s="63">
        <v>0</v>
      </c>
      <c r="AV151" s="63">
        <v>-6044330</v>
      </c>
      <c r="AW151" s="63">
        <v>-130557</v>
      </c>
      <c r="AX151" s="63">
        <v>0</v>
      </c>
      <c r="AY151" s="63">
        <v>-130557</v>
      </c>
      <c r="AZ151" s="63">
        <v>0</v>
      </c>
      <c r="BA151" s="63">
        <v>0</v>
      </c>
      <c r="BB151" s="63">
        <v>0</v>
      </c>
      <c r="BC151" s="63">
        <v>-6334484</v>
      </c>
      <c r="BD151" s="63">
        <v>0</v>
      </c>
      <c r="BE151" s="63">
        <v>-150000</v>
      </c>
      <c r="BF151" s="63">
        <v>0</v>
      </c>
      <c r="BG151" s="63">
        <v>-6484484</v>
      </c>
      <c r="BH151" s="63">
        <v>0</v>
      </c>
      <c r="BI151" s="63">
        <v>-6484484</v>
      </c>
      <c r="BJ151" s="63">
        <v>-23132</v>
      </c>
      <c r="BK151" s="63">
        <v>0</v>
      </c>
      <c r="BL151" s="63">
        <v>-23132</v>
      </c>
      <c r="BM151" s="63">
        <v>-3646045</v>
      </c>
      <c r="BN151" s="63">
        <v>0</v>
      </c>
      <c r="BO151" s="63">
        <v>-3646045</v>
      </c>
      <c r="BP151" s="63">
        <v>-3669177</v>
      </c>
      <c r="BQ151" s="63">
        <v>0</v>
      </c>
      <c r="BR151" s="63">
        <v>-300000</v>
      </c>
      <c r="BS151" s="63">
        <v>0</v>
      </c>
      <c r="BT151" s="63">
        <v>-3969177</v>
      </c>
      <c r="BU151" s="63">
        <v>0</v>
      </c>
      <c r="BV151" s="63">
        <v>-3969177</v>
      </c>
      <c r="BW151" s="63">
        <v>-53605</v>
      </c>
      <c r="BX151" s="63">
        <v>0</v>
      </c>
      <c r="BY151" s="63">
        <v>-53605</v>
      </c>
      <c r="BZ151" s="63">
        <v>-393238</v>
      </c>
      <c r="CA151" s="63">
        <v>0</v>
      </c>
      <c r="CB151" s="63">
        <v>-393238</v>
      </c>
      <c r="CC151" s="63">
        <v>0</v>
      </c>
      <c r="CD151" s="63">
        <v>0</v>
      </c>
      <c r="CE151" s="63">
        <v>0</v>
      </c>
      <c r="CF151" s="63">
        <v>0</v>
      </c>
      <c r="CG151" s="63">
        <v>0</v>
      </c>
      <c r="CH151" s="63">
        <v>0</v>
      </c>
      <c r="CI151" s="63">
        <v>0</v>
      </c>
      <c r="CJ151" s="63">
        <v>0</v>
      </c>
      <c r="CK151" s="63">
        <v>0</v>
      </c>
      <c r="CL151" s="63">
        <v>0</v>
      </c>
      <c r="CM151" s="63">
        <v>0</v>
      </c>
      <c r="CN151" s="63">
        <v>0</v>
      </c>
      <c r="CO151" s="63">
        <v>0</v>
      </c>
      <c r="CP151" s="63">
        <v>0</v>
      </c>
      <c r="CQ151" s="63">
        <v>-446843</v>
      </c>
      <c r="CR151" s="63">
        <v>0</v>
      </c>
      <c r="CS151" s="63">
        <v>0</v>
      </c>
      <c r="CT151" s="63">
        <v>0</v>
      </c>
      <c r="CU151" s="63">
        <v>-446843</v>
      </c>
      <c r="CV151" s="63">
        <v>0</v>
      </c>
      <c r="CW151" s="63">
        <v>-446843</v>
      </c>
      <c r="CX151" s="63">
        <v>0</v>
      </c>
      <c r="CY151" s="63">
        <v>0</v>
      </c>
      <c r="CZ151" s="63">
        <v>0</v>
      </c>
      <c r="DA151" s="63">
        <v>0</v>
      </c>
      <c r="DB151" s="63">
        <v>0</v>
      </c>
      <c r="DC151" s="63">
        <v>0</v>
      </c>
      <c r="DD151" s="63">
        <v>0</v>
      </c>
      <c r="DE151" s="63">
        <v>0</v>
      </c>
      <c r="DF151" s="63">
        <v>0</v>
      </c>
      <c r="DG151" s="63">
        <v>0</v>
      </c>
      <c r="DH151" s="63">
        <v>0</v>
      </c>
      <c r="DI151" s="63">
        <v>0</v>
      </c>
      <c r="DJ151" s="63">
        <v>0</v>
      </c>
      <c r="DK151" s="63">
        <v>0</v>
      </c>
      <c r="DL151" s="63">
        <v>0</v>
      </c>
      <c r="DM151" s="63">
        <v>0</v>
      </c>
      <c r="DN151" s="63">
        <v>85114607</v>
      </c>
      <c r="DO151" s="63">
        <v>0</v>
      </c>
      <c r="DP151" s="63">
        <v>85114607</v>
      </c>
      <c r="DQ151" s="63"/>
      <c r="DR151" s="585"/>
    </row>
    <row r="152" spans="1:122" x14ac:dyDescent="0.2">
      <c r="A152" s="90">
        <v>145</v>
      </c>
      <c r="B152" s="129" t="s">
        <v>161</v>
      </c>
      <c r="C152" s="130" t="s">
        <v>749</v>
      </c>
      <c r="D152" s="131" t="s">
        <v>750</v>
      </c>
      <c r="E152" s="132" t="s">
        <v>160</v>
      </c>
      <c r="F152" s="475" t="s">
        <v>808</v>
      </c>
      <c r="G152" s="63">
        <v>281056422</v>
      </c>
      <c r="H152" s="63">
        <v>0</v>
      </c>
      <c r="I152" s="63">
        <v>281056422</v>
      </c>
      <c r="J152" s="608">
        <v>48.4</v>
      </c>
      <c r="K152" s="63">
        <v>136031308</v>
      </c>
      <c r="L152" s="63">
        <v>0</v>
      </c>
      <c r="M152" s="63">
        <v>0</v>
      </c>
      <c r="N152" s="63">
        <v>0</v>
      </c>
      <c r="O152" s="63">
        <v>136031308</v>
      </c>
      <c r="P152" s="63">
        <v>0</v>
      </c>
      <c r="Q152" s="63">
        <v>136031308</v>
      </c>
      <c r="R152" s="63">
        <v>0</v>
      </c>
      <c r="S152" s="63">
        <v>0</v>
      </c>
      <c r="T152" s="63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0</v>
      </c>
      <c r="AE152" s="63">
        <v>0</v>
      </c>
      <c r="AF152" s="63">
        <v>0</v>
      </c>
      <c r="AG152" s="63">
        <v>0</v>
      </c>
      <c r="AH152" s="63">
        <v>-13765047</v>
      </c>
      <c r="AI152" s="63">
        <v>0</v>
      </c>
      <c r="AJ152" s="63">
        <v>-13765047</v>
      </c>
      <c r="AK152" s="63">
        <v>-54739</v>
      </c>
      <c r="AL152" s="63">
        <v>0</v>
      </c>
      <c r="AM152" s="63">
        <v>-54739</v>
      </c>
      <c r="AN152" s="63">
        <v>2931219</v>
      </c>
      <c r="AO152" s="63">
        <v>0</v>
      </c>
      <c r="AP152" s="63">
        <v>2931219</v>
      </c>
      <c r="AQ152" s="63">
        <v>-10833828</v>
      </c>
      <c r="AR152" s="63">
        <v>0</v>
      </c>
      <c r="AS152" s="63">
        <v>-10833828</v>
      </c>
      <c r="AT152" s="63">
        <v>-7469088</v>
      </c>
      <c r="AU152" s="63">
        <v>0</v>
      </c>
      <c r="AV152" s="63">
        <v>-7469088</v>
      </c>
      <c r="AW152" s="63">
        <v>-210067</v>
      </c>
      <c r="AX152" s="63">
        <v>0</v>
      </c>
      <c r="AY152" s="63">
        <v>-210067</v>
      </c>
      <c r="AZ152" s="63">
        <v>-5979</v>
      </c>
      <c r="BA152" s="63">
        <v>0</v>
      </c>
      <c r="BB152" s="63">
        <v>-5979</v>
      </c>
      <c r="BC152" s="63">
        <v>-18518962</v>
      </c>
      <c r="BD152" s="63">
        <v>0</v>
      </c>
      <c r="BE152" s="63">
        <v>0</v>
      </c>
      <c r="BF152" s="63">
        <v>0</v>
      </c>
      <c r="BG152" s="63">
        <v>-18518962</v>
      </c>
      <c r="BH152" s="63">
        <v>0</v>
      </c>
      <c r="BI152" s="63">
        <v>-18518962</v>
      </c>
      <c r="BJ152" s="63">
        <v>-102417</v>
      </c>
      <c r="BK152" s="63">
        <v>0</v>
      </c>
      <c r="BL152" s="63">
        <v>-102417</v>
      </c>
      <c r="BM152" s="63">
        <v>-5829608</v>
      </c>
      <c r="BN152" s="63">
        <v>0</v>
      </c>
      <c r="BO152" s="63">
        <v>-5829608</v>
      </c>
      <c r="BP152" s="63">
        <v>-5932025</v>
      </c>
      <c r="BQ152" s="63">
        <v>0</v>
      </c>
      <c r="BR152" s="63">
        <v>0</v>
      </c>
      <c r="BS152" s="63">
        <v>0</v>
      </c>
      <c r="BT152" s="63">
        <v>-5932025</v>
      </c>
      <c r="BU152" s="63">
        <v>0</v>
      </c>
      <c r="BV152" s="63">
        <v>-5932025</v>
      </c>
      <c r="BW152" s="63">
        <v>-250829</v>
      </c>
      <c r="BX152" s="63">
        <v>0</v>
      </c>
      <c r="BY152" s="63">
        <v>-250829</v>
      </c>
      <c r="BZ152" s="63">
        <v>-96739</v>
      </c>
      <c r="CA152" s="63">
        <v>0</v>
      </c>
      <c r="CB152" s="63">
        <v>-96739</v>
      </c>
      <c r="CC152" s="63">
        <v>-1997</v>
      </c>
      <c r="CD152" s="63">
        <v>0</v>
      </c>
      <c r="CE152" s="63">
        <v>-1997</v>
      </c>
      <c r="CF152" s="63">
        <v>-2770</v>
      </c>
      <c r="CG152" s="63">
        <v>0</v>
      </c>
      <c r="CH152" s="63">
        <v>-2770</v>
      </c>
      <c r="CI152" s="63">
        <v>-125606</v>
      </c>
      <c r="CJ152" s="63">
        <v>0</v>
      </c>
      <c r="CK152" s="63">
        <v>-125606</v>
      </c>
      <c r="CL152" s="63">
        <v>-100000</v>
      </c>
      <c r="CM152" s="63">
        <v>0</v>
      </c>
      <c r="CN152" s="63">
        <v>-100000</v>
      </c>
      <c r="CO152" s="63">
        <v>0</v>
      </c>
      <c r="CP152" s="63">
        <v>0</v>
      </c>
      <c r="CQ152" s="63">
        <v>-577941</v>
      </c>
      <c r="CR152" s="63">
        <v>0</v>
      </c>
      <c r="CS152" s="63">
        <v>0</v>
      </c>
      <c r="CT152" s="63">
        <v>0</v>
      </c>
      <c r="CU152" s="63">
        <v>-577941</v>
      </c>
      <c r="CV152" s="63">
        <v>0</v>
      </c>
      <c r="CW152" s="63">
        <v>-577941</v>
      </c>
      <c r="CX152" s="63">
        <v>0</v>
      </c>
      <c r="CY152" s="63">
        <v>0</v>
      </c>
      <c r="CZ152" s="63">
        <v>0</v>
      </c>
      <c r="DA152" s="63">
        <v>-158926</v>
      </c>
      <c r="DB152" s="63">
        <v>0</v>
      </c>
      <c r="DC152" s="63">
        <v>-158926</v>
      </c>
      <c r="DD152" s="63">
        <v>0</v>
      </c>
      <c r="DE152" s="63">
        <v>0</v>
      </c>
      <c r="DF152" s="63">
        <v>0</v>
      </c>
      <c r="DG152" s="63">
        <v>-158926</v>
      </c>
      <c r="DH152" s="63">
        <v>0</v>
      </c>
      <c r="DI152" s="63">
        <v>0</v>
      </c>
      <c r="DJ152" s="63">
        <v>0</v>
      </c>
      <c r="DK152" s="63">
        <v>-158926</v>
      </c>
      <c r="DL152" s="63">
        <v>0</v>
      </c>
      <c r="DM152" s="63">
        <v>-158926</v>
      </c>
      <c r="DN152" s="63">
        <v>110843454</v>
      </c>
      <c r="DO152" s="63">
        <v>0</v>
      </c>
      <c r="DP152" s="63">
        <v>110843454</v>
      </c>
      <c r="DQ152" s="63"/>
      <c r="DR152" s="585"/>
    </row>
    <row r="153" spans="1:122" x14ac:dyDescent="0.2">
      <c r="A153" s="90">
        <v>146</v>
      </c>
      <c r="B153" s="129" t="s">
        <v>163</v>
      </c>
      <c r="C153" s="130" t="s">
        <v>749</v>
      </c>
      <c r="D153" s="131" t="s">
        <v>744</v>
      </c>
      <c r="E153" s="132" t="s">
        <v>162</v>
      </c>
      <c r="F153" s="475" t="s">
        <v>808</v>
      </c>
      <c r="G153" s="63">
        <v>104467090</v>
      </c>
      <c r="H153" s="63">
        <v>0</v>
      </c>
      <c r="I153" s="63">
        <v>104467090</v>
      </c>
      <c r="J153" s="608">
        <v>48.4</v>
      </c>
      <c r="K153" s="63">
        <v>50562072</v>
      </c>
      <c r="L153" s="63">
        <v>0</v>
      </c>
      <c r="M153" s="63">
        <v>-174230</v>
      </c>
      <c r="N153" s="63">
        <v>0</v>
      </c>
      <c r="O153" s="63">
        <v>50387842</v>
      </c>
      <c r="P153" s="63">
        <v>0</v>
      </c>
      <c r="Q153" s="63">
        <v>50387842</v>
      </c>
      <c r="R153" s="63">
        <v>0</v>
      </c>
      <c r="S153" s="63">
        <v>0</v>
      </c>
      <c r="T153" s="63">
        <v>0</v>
      </c>
      <c r="U153" s="63">
        <v>0</v>
      </c>
      <c r="V153" s="63">
        <v>0</v>
      </c>
      <c r="W153" s="63">
        <v>0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0</v>
      </c>
      <c r="AE153" s="63">
        <v>0</v>
      </c>
      <c r="AF153" s="63">
        <v>0</v>
      </c>
      <c r="AG153" s="63">
        <v>0</v>
      </c>
      <c r="AH153" s="63">
        <v>-1960018</v>
      </c>
      <c r="AI153" s="63">
        <v>0</v>
      </c>
      <c r="AJ153" s="63">
        <v>-1960018</v>
      </c>
      <c r="AK153" s="63">
        <v>-12222</v>
      </c>
      <c r="AL153" s="63">
        <v>0</v>
      </c>
      <c r="AM153" s="63">
        <v>-12222</v>
      </c>
      <c r="AN153" s="63">
        <v>1200784</v>
      </c>
      <c r="AO153" s="63">
        <v>0</v>
      </c>
      <c r="AP153" s="63">
        <v>1200784</v>
      </c>
      <c r="AQ153" s="63">
        <v>-759234</v>
      </c>
      <c r="AR153" s="63">
        <v>0</v>
      </c>
      <c r="AS153" s="63">
        <v>-759234</v>
      </c>
      <c r="AT153" s="63">
        <v>-2111504</v>
      </c>
      <c r="AU153" s="63">
        <v>0</v>
      </c>
      <c r="AV153" s="63">
        <v>-2111504</v>
      </c>
      <c r="AW153" s="63">
        <v>-15864</v>
      </c>
      <c r="AX153" s="63">
        <v>0</v>
      </c>
      <c r="AY153" s="63">
        <v>-15864</v>
      </c>
      <c r="AZ153" s="63">
        <v>0</v>
      </c>
      <c r="BA153" s="63">
        <v>0</v>
      </c>
      <c r="BB153" s="63">
        <v>0</v>
      </c>
      <c r="BC153" s="63">
        <v>-2886602</v>
      </c>
      <c r="BD153" s="63">
        <v>0</v>
      </c>
      <c r="BE153" s="63">
        <v>-1624830</v>
      </c>
      <c r="BF153" s="63">
        <v>0</v>
      </c>
      <c r="BG153" s="63">
        <v>-4511432</v>
      </c>
      <c r="BH153" s="63">
        <v>0</v>
      </c>
      <c r="BI153" s="63">
        <v>-4511432</v>
      </c>
      <c r="BJ153" s="63">
        <v>-250000</v>
      </c>
      <c r="BK153" s="63">
        <v>0</v>
      </c>
      <c r="BL153" s="63">
        <v>-250000</v>
      </c>
      <c r="BM153" s="63">
        <v>-902242</v>
      </c>
      <c r="BN153" s="63">
        <v>0</v>
      </c>
      <c r="BO153" s="63">
        <v>-902242</v>
      </c>
      <c r="BP153" s="63">
        <v>-1152242</v>
      </c>
      <c r="BQ153" s="63">
        <v>0</v>
      </c>
      <c r="BR153" s="63">
        <v>-324132</v>
      </c>
      <c r="BS153" s="63">
        <v>0</v>
      </c>
      <c r="BT153" s="63">
        <v>-1476374</v>
      </c>
      <c r="BU153" s="63">
        <v>0</v>
      </c>
      <c r="BV153" s="63">
        <v>-1476374</v>
      </c>
      <c r="BW153" s="63">
        <v>-154150</v>
      </c>
      <c r="BX153" s="63">
        <v>0</v>
      </c>
      <c r="BY153" s="63">
        <v>-154150</v>
      </c>
      <c r="BZ153" s="63">
        <v>-1505</v>
      </c>
      <c r="CA153" s="63">
        <v>0</v>
      </c>
      <c r="CB153" s="63">
        <v>-1505</v>
      </c>
      <c r="CC153" s="63">
        <v>0</v>
      </c>
      <c r="CD153" s="63">
        <v>0</v>
      </c>
      <c r="CE153" s="63">
        <v>0</v>
      </c>
      <c r="CF153" s="63">
        <v>0</v>
      </c>
      <c r="CG153" s="63">
        <v>0</v>
      </c>
      <c r="CH153" s="63">
        <v>0</v>
      </c>
      <c r="CI153" s="63">
        <v>0</v>
      </c>
      <c r="CJ153" s="63">
        <v>0</v>
      </c>
      <c r="CK153" s="63">
        <v>0</v>
      </c>
      <c r="CL153" s="63">
        <v>0</v>
      </c>
      <c r="CM153" s="63">
        <v>0</v>
      </c>
      <c r="CN153" s="63">
        <v>0</v>
      </c>
      <c r="CO153" s="63">
        <v>0</v>
      </c>
      <c r="CP153" s="63">
        <v>0</v>
      </c>
      <c r="CQ153" s="63">
        <v>-155655</v>
      </c>
      <c r="CR153" s="63">
        <v>0</v>
      </c>
      <c r="CS153" s="63">
        <v>-720650</v>
      </c>
      <c r="CT153" s="63">
        <v>0</v>
      </c>
      <c r="CU153" s="63">
        <v>-876305</v>
      </c>
      <c r="CV153" s="63">
        <v>0</v>
      </c>
      <c r="CW153" s="63">
        <v>-876305</v>
      </c>
      <c r="CX153" s="63">
        <v>-65000</v>
      </c>
      <c r="CY153" s="63">
        <v>0</v>
      </c>
      <c r="CZ153" s="63">
        <v>-65000</v>
      </c>
      <c r="DA153" s="63">
        <v>-31000</v>
      </c>
      <c r="DB153" s="63">
        <v>0</v>
      </c>
      <c r="DC153" s="63">
        <v>-31000</v>
      </c>
      <c r="DD153" s="63">
        <v>-1300</v>
      </c>
      <c r="DE153" s="63">
        <v>0</v>
      </c>
      <c r="DF153" s="63">
        <v>-1300</v>
      </c>
      <c r="DG153" s="63">
        <v>-97300</v>
      </c>
      <c r="DH153" s="63">
        <v>0</v>
      </c>
      <c r="DI153" s="63">
        <v>0</v>
      </c>
      <c r="DJ153" s="63">
        <v>0</v>
      </c>
      <c r="DK153" s="63">
        <v>-97300</v>
      </c>
      <c r="DL153" s="63">
        <v>0</v>
      </c>
      <c r="DM153" s="63">
        <v>-97300</v>
      </c>
      <c r="DN153" s="63">
        <v>43426431</v>
      </c>
      <c r="DO153" s="63">
        <v>0</v>
      </c>
      <c r="DP153" s="63">
        <v>43426431</v>
      </c>
      <c r="DQ153" s="63"/>
      <c r="DR153" s="585"/>
    </row>
    <row r="154" spans="1:122" x14ac:dyDescent="0.2">
      <c r="A154" s="90">
        <v>147</v>
      </c>
      <c r="B154" s="129" t="s">
        <v>165</v>
      </c>
      <c r="C154" s="130" t="s">
        <v>754</v>
      </c>
      <c r="D154" s="131" t="s">
        <v>748</v>
      </c>
      <c r="E154" s="132" t="s">
        <v>164</v>
      </c>
      <c r="F154" s="475" t="s">
        <v>808</v>
      </c>
      <c r="G154" s="63">
        <v>312515936</v>
      </c>
      <c r="H154" s="63">
        <v>2588375</v>
      </c>
      <c r="I154" s="63">
        <v>315104311</v>
      </c>
      <c r="J154" s="608">
        <v>48.4</v>
      </c>
      <c r="K154" s="63">
        <v>151257713</v>
      </c>
      <c r="L154" s="63">
        <v>1252774</v>
      </c>
      <c r="M154" s="63">
        <v>-3208155</v>
      </c>
      <c r="N154" s="63">
        <v>0</v>
      </c>
      <c r="O154" s="63">
        <v>148049558</v>
      </c>
      <c r="P154" s="63">
        <v>1252774</v>
      </c>
      <c r="Q154" s="63">
        <v>149302332</v>
      </c>
      <c r="R154" s="63">
        <v>0</v>
      </c>
      <c r="S154" s="63">
        <v>0</v>
      </c>
      <c r="T154" s="63">
        <v>0</v>
      </c>
      <c r="U154" s="63">
        <v>0</v>
      </c>
      <c r="V154" s="63">
        <v>0</v>
      </c>
      <c r="W154" s="63">
        <v>0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0</v>
      </c>
      <c r="AE154" s="63">
        <v>0</v>
      </c>
      <c r="AF154" s="63">
        <v>0</v>
      </c>
      <c r="AG154" s="63">
        <v>0</v>
      </c>
      <c r="AH154" s="63">
        <v>-5759801</v>
      </c>
      <c r="AI154" s="63">
        <v>0</v>
      </c>
      <c r="AJ154" s="63">
        <v>-5759801</v>
      </c>
      <c r="AK154" s="63">
        <v>0</v>
      </c>
      <c r="AL154" s="63">
        <v>0</v>
      </c>
      <c r="AM154" s="63">
        <v>0</v>
      </c>
      <c r="AN154" s="63">
        <v>3433410</v>
      </c>
      <c r="AO154" s="63">
        <v>32935</v>
      </c>
      <c r="AP154" s="63">
        <v>3466345</v>
      </c>
      <c r="AQ154" s="63">
        <v>-2326391</v>
      </c>
      <c r="AR154" s="63">
        <v>32935</v>
      </c>
      <c r="AS154" s="63">
        <v>-2293456</v>
      </c>
      <c r="AT154" s="63">
        <v>-16594387</v>
      </c>
      <c r="AU154" s="63">
        <v>0</v>
      </c>
      <c r="AV154" s="63">
        <v>-16594387</v>
      </c>
      <c r="AW154" s="63">
        <v>-7853</v>
      </c>
      <c r="AX154" s="63">
        <v>0</v>
      </c>
      <c r="AY154" s="63">
        <v>-7853</v>
      </c>
      <c r="AZ154" s="63">
        <v>0</v>
      </c>
      <c r="BA154" s="63">
        <v>0</v>
      </c>
      <c r="BB154" s="63">
        <v>0</v>
      </c>
      <c r="BC154" s="63">
        <v>-18928631</v>
      </c>
      <c r="BD154" s="63">
        <v>32935</v>
      </c>
      <c r="BE154" s="63">
        <v>0</v>
      </c>
      <c r="BF154" s="63">
        <v>0</v>
      </c>
      <c r="BG154" s="63">
        <v>-18928631</v>
      </c>
      <c r="BH154" s="63">
        <v>32935</v>
      </c>
      <c r="BI154" s="63">
        <v>-18895696</v>
      </c>
      <c r="BJ154" s="63">
        <v>0</v>
      </c>
      <c r="BK154" s="63">
        <v>0</v>
      </c>
      <c r="BL154" s="63">
        <v>0</v>
      </c>
      <c r="BM154" s="63">
        <v>-1151000</v>
      </c>
      <c r="BN154" s="63">
        <v>-9940</v>
      </c>
      <c r="BO154" s="63">
        <v>-1160940</v>
      </c>
      <c r="BP154" s="63">
        <v>-1151000</v>
      </c>
      <c r="BQ154" s="63">
        <v>-9940</v>
      </c>
      <c r="BR154" s="63">
        <v>0</v>
      </c>
      <c r="BS154" s="63">
        <v>0</v>
      </c>
      <c r="BT154" s="63">
        <v>-1151000</v>
      </c>
      <c r="BU154" s="63">
        <v>-9940</v>
      </c>
      <c r="BV154" s="63">
        <v>-1160940</v>
      </c>
      <c r="BW154" s="63">
        <v>-200005</v>
      </c>
      <c r="BX154" s="63">
        <v>0</v>
      </c>
      <c r="BY154" s="63">
        <v>-200005</v>
      </c>
      <c r="BZ154" s="63">
        <v>-325089</v>
      </c>
      <c r="CA154" s="63">
        <v>0</v>
      </c>
      <c r="CB154" s="63">
        <v>-325089</v>
      </c>
      <c r="CC154" s="63">
        <v>0</v>
      </c>
      <c r="CD154" s="63">
        <v>0</v>
      </c>
      <c r="CE154" s="63">
        <v>0</v>
      </c>
      <c r="CF154" s="63">
        <v>0</v>
      </c>
      <c r="CG154" s="63">
        <v>0</v>
      </c>
      <c r="CH154" s="63">
        <v>0</v>
      </c>
      <c r="CI154" s="63">
        <v>0</v>
      </c>
      <c r="CJ154" s="63">
        <v>0</v>
      </c>
      <c r="CK154" s="63">
        <v>0</v>
      </c>
      <c r="CL154" s="63">
        <v>0</v>
      </c>
      <c r="CM154" s="63">
        <v>0</v>
      </c>
      <c r="CN154" s="63">
        <v>0</v>
      </c>
      <c r="CO154" s="63">
        <v>0</v>
      </c>
      <c r="CP154" s="63">
        <v>0</v>
      </c>
      <c r="CQ154" s="63">
        <v>-525094</v>
      </c>
      <c r="CR154" s="63">
        <v>0</v>
      </c>
      <c r="CS154" s="63">
        <v>0</v>
      </c>
      <c r="CT154" s="63">
        <v>0</v>
      </c>
      <c r="CU154" s="63">
        <v>-525094</v>
      </c>
      <c r="CV154" s="63">
        <v>0</v>
      </c>
      <c r="CW154" s="63">
        <v>-525094</v>
      </c>
      <c r="CX154" s="63">
        <v>-25223</v>
      </c>
      <c r="CY154" s="63">
        <v>0</v>
      </c>
      <c r="CZ154" s="63">
        <v>-25223</v>
      </c>
      <c r="DA154" s="63">
        <v>-3025</v>
      </c>
      <c r="DB154" s="63">
        <v>0</v>
      </c>
      <c r="DC154" s="63">
        <v>-3025</v>
      </c>
      <c r="DD154" s="63">
        <v>0</v>
      </c>
      <c r="DE154" s="63">
        <v>0</v>
      </c>
      <c r="DF154" s="63">
        <v>0</v>
      </c>
      <c r="DG154" s="63">
        <v>-28248</v>
      </c>
      <c r="DH154" s="63">
        <v>0</v>
      </c>
      <c r="DI154" s="63">
        <v>0</v>
      </c>
      <c r="DJ154" s="63">
        <v>0</v>
      </c>
      <c r="DK154" s="63">
        <v>-28248</v>
      </c>
      <c r="DL154" s="63">
        <v>0</v>
      </c>
      <c r="DM154" s="63">
        <v>-28248</v>
      </c>
      <c r="DN154" s="63">
        <v>127416585</v>
      </c>
      <c r="DO154" s="63">
        <v>1275769</v>
      </c>
      <c r="DP154" s="63">
        <v>128692354</v>
      </c>
      <c r="DQ154" s="63"/>
      <c r="DR154" s="585" t="s">
        <v>768</v>
      </c>
    </row>
    <row r="155" spans="1:122" x14ac:dyDescent="0.2">
      <c r="A155" s="90">
        <v>148</v>
      </c>
      <c r="B155" s="129" t="s">
        <v>167</v>
      </c>
      <c r="C155" s="130" t="s">
        <v>742</v>
      </c>
      <c r="D155" s="131" t="s">
        <v>744</v>
      </c>
      <c r="E155" s="132" t="s">
        <v>166</v>
      </c>
      <c r="F155" s="475" t="s">
        <v>808</v>
      </c>
      <c r="G155" s="63">
        <v>154966382</v>
      </c>
      <c r="H155" s="63">
        <v>0</v>
      </c>
      <c r="I155" s="63">
        <v>154966382</v>
      </c>
      <c r="J155" s="608">
        <v>48.4</v>
      </c>
      <c r="K155" s="63">
        <v>75003729</v>
      </c>
      <c r="L155" s="63">
        <v>0</v>
      </c>
      <c r="M155" s="63">
        <v>-3764251</v>
      </c>
      <c r="N155" s="63">
        <v>0</v>
      </c>
      <c r="O155" s="63">
        <v>71239478</v>
      </c>
      <c r="P155" s="63">
        <v>0</v>
      </c>
      <c r="Q155" s="63">
        <v>71239478</v>
      </c>
      <c r="R155" s="63">
        <v>0</v>
      </c>
      <c r="S155" s="63">
        <v>0</v>
      </c>
      <c r="T155" s="63">
        <v>0</v>
      </c>
      <c r="U155" s="63">
        <v>0</v>
      </c>
      <c r="V155" s="63">
        <v>0</v>
      </c>
      <c r="W155" s="63">
        <v>0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0</v>
      </c>
      <c r="AE155" s="63">
        <v>0</v>
      </c>
      <c r="AF155" s="63">
        <v>0</v>
      </c>
      <c r="AG155" s="63">
        <v>0</v>
      </c>
      <c r="AH155" s="63">
        <v>-3378015</v>
      </c>
      <c r="AI155" s="63">
        <v>0</v>
      </c>
      <c r="AJ155" s="63">
        <v>-3378015</v>
      </c>
      <c r="AK155" s="63">
        <v>-12695</v>
      </c>
      <c r="AL155" s="63">
        <v>0</v>
      </c>
      <c r="AM155" s="63">
        <v>-12695</v>
      </c>
      <c r="AN155" s="63">
        <v>1792936</v>
      </c>
      <c r="AO155" s="63">
        <v>0</v>
      </c>
      <c r="AP155" s="63">
        <v>1792936</v>
      </c>
      <c r="AQ155" s="63">
        <v>-1585079</v>
      </c>
      <c r="AR155" s="63">
        <v>0</v>
      </c>
      <c r="AS155" s="63">
        <v>-1585079</v>
      </c>
      <c r="AT155" s="63">
        <v>-3568539</v>
      </c>
      <c r="AU155" s="63">
        <v>0</v>
      </c>
      <c r="AV155" s="63">
        <v>-3568539</v>
      </c>
      <c r="AW155" s="63">
        <v>-44223</v>
      </c>
      <c r="AX155" s="63">
        <v>0</v>
      </c>
      <c r="AY155" s="63">
        <v>-44223</v>
      </c>
      <c r="AZ155" s="63">
        <v>-26484</v>
      </c>
      <c r="BA155" s="63">
        <v>0</v>
      </c>
      <c r="BB155" s="63">
        <v>-26484</v>
      </c>
      <c r="BC155" s="63">
        <v>-5224325</v>
      </c>
      <c r="BD155" s="63">
        <v>0</v>
      </c>
      <c r="BE155" s="63">
        <v>-95916</v>
      </c>
      <c r="BF155" s="63">
        <v>0</v>
      </c>
      <c r="BG155" s="63">
        <v>-5320241</v>
      </c>
      <c r="BH155" s="63">
        <v>0</v>
      </c>
      <c r="BI155" s="63">
        <v>-5320241</v>
      </c>
      <c r="BJ155" s="63">
        <v>0</v>
      </c>
      <c r="BK155" s="63">
        <v>0</v>
      </c>
      <c r="BL155" s="63">
        <v>0</v>
      </c>
      <c r="BM155" s="63">
        <v>-1007321</v>
      </c>
      <c r="BN155" s="63">
        <v>0</v>
      </c>
      <c r="BO155" s="63">
        <v>-1007321</v>
      </c>
      <c r="BP155" s="63">
        <v>-1007321</v>
      </c>
      <c r="BQ155" s="63">
        <v>0</v>
      </c>
      <c r="BR155" s="63">
        <v>-57807</v>
      </c>
      <c r="BS155" s="63">
        <v>0</v>
      </c>
      <c r="BT155" s="63">
        <v>-1065128</v>
      </c>
      <c r="BU155" s="63">
        <v>0</v>
      </c>
      <c r="BV155" s="63">
        <v>-1065128</v>
      </c>
      <c r="BW155" s="63">
        <v>-97738</v>
      </c>
      <c r="BX155" s="63">
        <v>0</v>
      </c>
      <c r="BY155" s="63">
        <v>-97738</v>
      </c>
      <c r="BZ155" s="63">
        <v>-41879</v>
      </c>
      <c r="CA155" s="63">
        <v>0</v>
      </c>
      <c r="CB155" s="63">
        <v>-41879</v>
      </c>
      <c r="CC155" s="63">
        <v>-2410</v>
      </c>
      <c r="CD155" s="63">
        <v>0</v>
      </c>
      <c r="CE155" s="63">
        <v>-2410</v>
      </c>
      <c r="CF155" s="63">
        <v>0</v>
      </c>
      <c r="CG155" s="63">
        <v>0</v>
      </c>
      <c r="CH155" s="63">
        <v>0</v>
      </c>
      <c r="CI155" s="63">
        <v>0</v>
      </c>
      <c r="CJ155" s="63">
        <v>0</v>
      </c>
      <c r="CK155" s="63">
        <v>0</v>
      </c>
      <c r="CL155" s="63">
        <v>0</v>
      </c>
      <c r="CM155" s="63">
        <v>0</v>
      </c>
      <c r="CN155" s="63">
        <v>0</v>
      </c>
      <c r="CO155" s="63">
        <v>0</v>
      </c>
      <c r="CP155" s="63">
        <v>0</v>
      </c>
      <c r="CQ155" s="63">
        <v>-142027</v>
      </c>
      <c r="CR155" s="63">
        <v>0</v>
      </c>
      <c r="CS155" s="63">
        <v>-6895</v>
      </c>
      <c r="CT155" s="63">
        <v>0</v>
      </c>
      <c r="CU155" s="63">
        <v>-148922</v>
      </c>
      <c r="CV155" s="63">
        <v>0</v>
      </c>
      <c r="CW155" s="63">
        <v>-148922</v>
      </c>
      <c r="CX155" s="63">
        <v>-15158</v>
      </c>
      <c r="CY155" s="63">
        <v>0</v>
      </c>
      <c r="CZ155" s="63">
        <v>-15158</v>
      </c>
      <c r="DA155" s="63">
        <v>-19170</v>
      </c>
      <c r="DB155" s="63">
        <v>0</v>
      </c>
      <c r="DC155" s="63">
        <v>-19170</v>
      </c>
      <c r="DD155" s="63">
        <v>-20045</v>
      </c>
      <c r="DE155" s="63">
        <v>0</v>
      </c>
      <c r="DF155" s="63">
        <v>-20045</v>
      </c>
      <c r="DG155" s="63">
        <v>-54373</v>
      </c>
      <c r="DH155" s="63">
        <v>0</v>
      </c>
      <c r="DI155" s="63">
        <v>0</v>
      </c>
      <c r="DJ155" s="63">
        <v>0</v>
      </c>
      <c r="DK155" s="63">
        <v>-54373</v>
      </c>
      <c r="DL155" s="63">
        <v>0</v>
      </c>
      <c r="DM155" s="63">
        <v>-54373</v>
      </c>
      <c r="DN155" s="63">
        <v>64650814</v>
      </c>
      <c r="DO155" s="63">
        <v>0</v>
      </c>
      <c r="DP155" s="63">
        <v>64650814</v>
      </c>
      <c r="DQ155" s="63"/>
      <c r="DR155" s="585"/>
    </row>
    <row r="156" spans="1:122" x14ac:dyDescent="0.2">
      <c r="A156" s="90">
        <v>149</v>
      </c>
      <c r="B156" s="129" t="s">
        <v>169</v>
      </c>
      <c r="C156" s="130" t="s">
        <v>749</v>
      </c>
      <c r="D156" s="131" t="s">
        <v>750</v>
      </c>
      <c r="E156" s="132" t="s">
        <v>168</v>
      </c>
      <c r="F156" s="475" t="s">
        <v>808</v>
      </c>
      <c r="G156" s="63">
        <v>914944629</v>
      </c>
      <c r="H156" s="63">
        <v>2741000</v>
      </c>
      <c r="I156" s="63">
        <v>917685629</v>
      </c>
      <c r="J156" s="608">
        <v>48.4</v>
      </c>
      <c r="K156" s="63">
        <v>442833200</v>
      </c>
      <c r="L156" s="63">
        <v>1326644</v>
      </c>
      <c r="M156" s="63">
        <v>13150000</v>
      </c>
      <c r="N156" s="63">
        <v>500000</v>
      </c>
      <c r="O156" s="63">
        <v>455983200</v>
      </c>
      <c r="P156" s="63">
        <v>1826644</v>
      </c>
      <c r="Q156" s="63">
        <v>457809844</v>
      </c>
      <c r="R156" s="63">
        <v>0</v>
      </c>
      <c r="S156" s="63">
        <v>0</v>
      </c>
      <c r="T156" s="63">
        <v>0</v>
      </c>
      <c r="U156" s="63">
        <v>0</v>
      </c>
      <c r="V156" s="63">
        <v>0</v>
      </c>
      <c r="W156" s="63">
        <v>0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0</v>
      </c>
      <c r="AE156" s="63">
        <v>0</v>
      </c>
      <c r="AF156" s="63">
        <v>0</v>
      </c>
      <c r="AG156" s="63">
        <v>0</v>
      </c>
      <c r="AH156" s="63">
        <v>-16780801</v>
      </c>
      <c r="AI156" s="63">
        <v>0</v>
      </c>
      <c r="AJ156" s="63">
        <v>-16780801</v>
      </c>
      <c r="AK156" s="63">
        <v>-20000</v>
      </c>
      <c r="AL156" s="63">
        <v>0</v>
      </c>
      <c r="AM156" s="63">
        <v>-20000</v>
      </c>
      <c r="AN156" s="63">
        <v>10581549</v>
      </c>
      <c r="AO156" s="63">
        <v>35633</v>
      </c>
      <c r="AP156" s="63">
        <v>10617182</v>
      </c>
      <c r="AQ156" s="63">
        <v>-6199252</v>
      </c>
      <c r="AR156" s="63">
        <v>35633</v>
      </c>
      <c r="AS156" s="63">
        <v>-6163619</v>
      </c>
      <c r="AT156" s="63">
        <v>-23814258</v>
      </c>
      <c r="AU156" s="63">
        <v>0</v>
      </c>
      <c r="AV156" s="63">
        <v>-23814258</v>
      </c>
      <c r="AW156" s="63">
        <v>-318757</v>
      </c>
      <c r="AX156" s="63">
        <v>0</v>
      </c>
      <c r="AY156" s="63">
        <v>-318757</v>
      </c>
      <c r="AZ156" s="63">
        <v>-11480</v>
      </c>
      <c r="BA156" s="63">
        <v>0</v>
      </c>
      <c r="BB156" s="63">
        <v>-11480</v>
      </c>
      <c r="BC156" s="63">
        <v>-30343747</v>
      </c>
      <c r="BD156" s="63">
        <v>35633</v>
      </c>
      <c r="BE156" s="63">
        <v>-500000</v>
      </c>
      <c r="BF156" s="63">
        <v>0</v>
      </c>
      <c r="BG156" s="63">
        <v>-30843747</v>
      </c>
      <c r="BH156" s="63">
        <v>35633</v>
      </c>
      <c r="BI156" s="63">
        <v>-30808114</v>
      </c>
      <c r="BJ156" s="63">
        <v>-500000</v>
      </c>
      <c r="BK156" s="63">
        <v>0</v>
      </c>
      <c r="BL156" s="63">
        <v>-500000</v>
      </c>
      <c r="BM156" s="63">
        <v>-20000000</v>
      </c>
      <c r="BN156" s="63">
        <v>0</v>
      </c>
      <c r="BO156" s="63">
        <v>-20000000</v>
      </c>
      <c r="BP156" s="63">
        <v>-20500000</v>
      </c>
      <c r="BQ156" s="63">
        <v>0</v>
      </c>
      <c r="BR156" s="63">
        <v>0</v>
      </c>
      <c r="BS156" s="63">
        <v>0</v>
      </c>
      <c r="BT156" s="63">
        <v>-20500000</v>
      </c>
      <c r="BU156" s="63">
        <v>0</v>
      </c>
      <c r="BV156" s="63">
        <v>-20500000</v>
      </c>
      <c r="BW156" s="63">
        <v>-52972</v>
      </c>
      <c r="BX156" s="63">
        <v>0</v>
      </c>
      <c r="BY156" s="63">
        <v>-52972</v>
      </c>
      <c r="BZ156" s="63">
        <v>-489891</v>
      </c>
      <c r="CA156" s="63">
        <v>0</v>
      </c>
      <c r="CB156" s="63">
        <v>-489891</v>
      </c>
      <c r="CC156" s="63">
        <v>-44037</v>
      </c>
      <c r="CD156" s="63">
        <v>0</v>
      </c>
      <c r="CE156" s="63">
        <v>-44037</v>
      </c>
      <c r="CF156" s="63">
        <v>-6461</v>
      </c>
      <c r="CG156" s="63">
        <v>0</v>
      </c>
      <c r="CH156" s="63">
        <v>-6461</v>
      </c>
      <c r="CI156" s="63">
        <v>-5023</v>
      </c>
      <c r="CJ156" s="63">
        <v>0</v>
      </c>
      <c r="CK156" s="63">
        <v>-5023</v>
      </c>
      <c r="CL156" s="63">
        <v>-300000</v>
      </c>
      <c r="CM156" s="63">
        <v>-370000</v>
      </c>
      <c r="CN156" s="63">
        <v>-670000</v>
      </c>
      <c r="CO156" s="63">
        <v>-370000</v>
      </c>
      <c r="CP156" s="63">
        <v>0</v>
      </c>
      <c r="CQ156" s="63">
        <v>-898384</v>
      </c>
      <c r="CR156" s="63">
        <v>-370000</v>
      </c>
      <c r="CS156" s="63">
        <v>0</v>
      </c>
      <c r="CT156" s="63">
        <v>0</v>
      </c>
      <c r="CU156" s="63">
        <v>-898384</v>
      </c>
      <c r="CV156" s="63">
        <v>-370000</v>
      </c>
      <c r="CW156" s="63">
        <v>-1268384</v>
      </c>
      <c r="CX156" s="63">
        <v>-50000</v>
      </c>
      <c r="CY156" s="63">
        <v>0</v>
      </c>
      <c r="CZ156" s="63">
        <v>-50000</v>
      </c>
      <c r="DA156" s="63">
        <v>-202149</v>
      </c>
      <c r="DB156" s="63">
        <v>0</v>
      </c>
      <c r="DC156" s="63">
        <v>-202149</v>
      </c>
      <c r="DD156" s="63">
        <v>-50000</v>
      </c>
      <c r="DE156" s="63">
        <v>0</v>
      </c>
      <c r="DF156" s="63">
        <v>-50000</v>
      </c>
      <c r="DG156" s="63">
        <v>-302149</v>
      </c>
      <c r="DH156" s="63">
        <v>0</v>
      </c>
      <c r="DI156" s="63">
        <v>0</v>
      </c>
      <c r="DJ156" s="63">
        <v>0</v>
      </c>
      <c r="DK156" s="63">
        <v>-302149</v>
      </c>
      <c r="DL156" s="63">
        <v>0</v>
      </c>
      <c r="DM156" s="63">
        <v>-302149</v>
      </c>
      <c r="DN156" s="63">
        <v>403438920</v>
      </c>
      <c r="DO156" s="63">
        <v>1492277</v>
      </c>
      <c r="DP156" s="63">
        <v>404931197</v>
      </c>
      <c r="DQ156" s="63"/>
      <c r="DR156" s="585" t="s">
        <v>768</v>
      </c>
    </row>
    <row r="157" spans="1:122" x14ac:dyDescent="0.2">
      <c r="A157" s="90">
        <v>150</v>
      </c>
      <c r="B157" s="129" t="s">
        <v>170</v>
      </c>
      <c r="C157" s="130" t="s">
        <v>501</v>
      </c>
      <c r="D157" s="131" t="s">
        <v>745</v>
      </c>
      <c r="E157" s="132" t="s">
        <v>540</v>
      </c>
      <c r="F157" s="475" t="s">
        <v>808</v>
      </c>
      <c r="G157" s="63">
        <v>262739739</v>
      </c>
      <c r="H157" s="63">
        <v>0</v>
      </c>
      <c r="I157" s="63">
        <v>262739739</v>
      </c>
      <c r="J157" s="608">
        <v>48.4</v>
      </c>
      <c r="K157" s="63">
        <v>127166034</v>
      </c>
      <c r="L157" s="63">
        <v>0</v>
      </c>
      <c r="M157" s="63">
        <v>150000</v>
      </c>
      <c r="N157" s="63">
        <v>0</v>
      </c>
      <c r="O157" s="63">
        <v>127316034</v>
      </c>
      <c r="P157" s="63">
        <v>0</v>
      </c>
      <c r="Q157" s="63">
        <v>127316034</v>
      </c>
      <c r="R157" s="63">
        <v>0</v>
      </c>
      <c r="S157" s="63">
        <v>0</v>
      </c>
      <c r="T157" s="63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0</v>
      </c>
      <c r="AE157" s="63">
        <v>0</v>
      </c>
      <c r="AF157" s="63">
        <v>0</v>
      </c>
      <c r="AG157" s="63">
        <v>0</v>
      </c>
      <c r="AH157" s="63">
        <v>-8691436</v>
      </c>
      <c r="AI157" s="63">
        <v>0</v>
      </c>
      <c r="AJ157" s="63">
        <v>-8691436</v>
      </c>
      <c r="AK157" s="63">
        <v>-35000</v>
      </c>
      <c r="AL157" s="63">
        <v>0</v>
      </c>
      <c r="AM157" s="63">
        <v>-35000</v>
      </c>
      <c r="AN157" s="63">
        <v>2829355</v>
      </c>
      <c r="AO157" s="63">
        <v>0</v>
      </c>
      <c r="AP157" s="63">
        <v>2829355</v>
      </c>
      <c r="AQ157" s="63">
        <v>-5862081</v>
      </c>
      <c r="AR157" s="63">
        <v>0</v>
      </c>
      <c r="AS157" s="63">
        <v>-5862081</v>
      </c>
      <c r="AT157" s="63">
        <v>-8115835</v>
      </c>
      <c r="AU157" s="63">
        <v>0</v>
      </c>
      <c r="AV157" s="63">
        <v>-8115835</v>
      </c>
      <c r="AW157" s="63">
        <v>-43756</v>
      </c>
      <c r="AX157" s="63">
        <v>0</v>
      </c>
      <c r="AY157" s="63">
        <v>-43756</v>
      </c>
      <c r="AZ157" s="63">
        <v>0</v>
      </c>
      <c r="BA157" s="63">
        <v>0</v>
      </c>
      <c r="BB157" s="63">
        <v>0</v>
      </c>
      <c r="BC157" s="63">
        <v>-14021672</v>
      </c>
      <c r="BD157" s="63">
        <v>0</v>
      </c>
      <c r="BE157" s="63">
        <v>-900000</v>
      </c>
      <c r="BF157" s="63">
        <v>0</v>
      </c>
      <c r="BG157" s="63">
        <v>-14921672</v>
      </c>
      <c r="BH157" s="63">
        <v>0</v>
      </c>
      <c r="BI157" s="63">
        <v>-14921672</v>
      </c>
      <c r="BJ157" s="63">
        <v>-70000</v>
      </c>
      <c r="BK157" s="63">
        <v>0</v>
      </c>
      <c r="BL157" s="63">
        <v>-70000</v>
      </c>
      <c r="BM157" s="63">
        <v>-2634441</v>
      </c>
      <c r="BN157" s="63">
        <v>0</v>
      </c>
      <c r="BO157" s="63">
        <v>-2634441</v>
      </c>
      <c r="BP157" s="63">
        <v>-2704441</v>
      </c>
      <c r="BQ157" s="63">
        <v>0</v>
      </c>
      <c r="BR157" s="63">
        <v>-1100000</v>
      </c>
      <c r="BS157" s="63">
        <v>0</v>
      </c>
      <c r="BT157" s="63">
        <v>-3804441</v>
      </c>
      <c r="BU157" s="63">
        <v>0</v>
      </c>
      <c r="BV157" s="63">
        <v>-3804441</v>
      </c>
      <c r="BW157" s="63">
        <v>-351166</v>
      </c>
      <c r="BX157" s="63">
        <v>0</v>
      </c>
      <c r="BY157" s="63">
        <v>-351166</v>
      </c>
      <c r="BZ157" s="63">
        <v>-173857</v>
      </c>
      <c r="CA157" s="63">
        <v>0</v>
      </c>
      <c r="CB157" s="63">
        <v>-173857</v>
      </c>
      <c r="CC157" s="63">
        <v>0</v>
      </c>
      <c r="CD157" s="63">
        <v>0</v>
      </c>
      <c r="CE157" s="63">
        <v>0</v>
      </c>
      <c r="CF157" s="63">
        <v>0</v>
      </c>
      <c r="CG157" s="63">
        <v>0</v>
      </c>
      <c r="CH157" s="63">
        <v>0</v>
      </c>
      <c r="CI157" s="63">
        <v>0</v>
      </c>
      <c r="CJ157" s="63">
        <v>0</v>
      </c>
      <c r="CK157" s="63">
        <v>0</v>
      </c>
      <c r="CL157" s="63">
        <v>-400000</v>
      </c>
      <c r="CM157" s="63">
        <v>0</v>
      </c>
      <c r="CN157" s="63">
        <v>-400000</v>
      </c>
      <c r="CO157" s="63">
        <v>0</v>
      </c>
      <c r="CP157" s="63">
        <v>0</v>
      </c>
      <c r="CQ157" s="63">
        <v>-925023</v>
      </c>
      <c r="CR157" s="63">
        <v>0</v>
      </c>
      <c r="CS157" s="63">
        <v>-100000</v>
      </c>
      <c r="CT157" s="63">
        <v>0</v>
      </c>
      <c r="CU157" s="63">
        <v>-1025023</v>
      </c>
      <c r="CV157" s="63">
        <v>0</v>
      </c>
      <c r="CW157" s="63">
        <v>-1025023</v>
      </c>
      <c r="CX157" s="63">
        <v>-70000</v>
      </c>
      <c r="CY157" s="63">
        <v>0</v>
      </c>
      <c r="CZ157" s="63">
        <v>-70000</v>
      </c>
      <c r="DA157" s="63">
        <v>-109497</v>
      </c>
      <c r="DB157" s="63">
        <v>0</v>
      </c>
      <c r="DC157" s="63">
        <v>-109497</v>
      </c>
      <c r="DD157" s="63">
        <v>-372</v>
      </c>
      <c r="DE157" s="63">
        <v>0</v>
      </c>
      <c r="DF157" s="63">
        <v>-372</v>
      </c>
      <c r="DG157" s="63">
        <v>-179869</v>
      </c>
      <c r="DH157" s="63">
        <v>0</v>
      </c>
      <c r="DI157" s="63">
        <v>0</v>
      </c>
      <c r="DJ157" s="63">
        <v>0</v>
      </c>
      <c r="DK157" s="63">
        <v>-179869</v>
      </c>
      <c r="DL157" s="63">
        <v>0</v>
      </c>
      <c r="DM157" s="63">
        <v>-179869</v>
      </c>
      <c r="DN157" s="63">
        <v>107385029</v>
      </c>
      <c r="DO157" s="63">
        <v>0</v>
      </c>
      <c r="DP157" s="63">
        <v>107385029</v>
      </c>
      <c r="DQ157" s="63"/>
      <c r="DR157" s="585"/>
    </row>
    <row r="158" spans="1:122" x14ac:dyDescent="0.2">
      <c r="A158" s="90">
        <v>151</v>
      </c>
      <c r="B158" s="129" t="s">
        <v>172</v>
      </c>
      <c r="C158" s="130" t="s">
        <v>742</v>
      </c>
      <c r="D158" s="131" t="s">
        <v>743</v>
      </c>
      <c r="E158" s="132" t="s">
        <v>171</v>
      </c>
      <c r="F158" s="475" t="s">
        <v>808</v>
      </c>
      <c r="G158" s="63">
        <v>64286007</v>
      </c>
      <c r="H158" s="63">
        <v>0</v>
      </c>
      <c r="I158" s="63">
        <v>64286007</v>
      </c>
      <c r="J158" s="608">
        <v>48.4</v>
      </c>
      <c r="K158" s="63">
        <v>31114427</v>
      </c>
      <c r="L158" s="63">
        <v>0</v>
      </c>
      <c r="M158" s="63">
        <v>200000</v>
      </c>
      <c r="N158" s="63">
        <v>0</v>
      </c>
      <c r="O158" s="63">
        <v>31314427</v>
      </c>
      <c r="P158" s="63">
        <v>0</v>
      </c>
      <c r="Q158" s="63">
        <v>31314427</v>
      </c>
      <c r="R158" s="63">
        <v>0</v>
      </c>
      <c r="S158" s="63">
        <v>0</v>
      </c>
      <c r="T158" s="63">
        <v>0</v>
      </c>
      <c r="U158" s="63">
        <v>0</v>
      </c>
      <c r="V158" s="63">
        <v>0</v>
      </c>
      <c r="W158" s="63">
        <v>0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0</v>
      </c>
      <c r="AE158" s="63">
        <v>0</v>
      </c>
      <c r="AF158" s="63">
        <v>0</v>
      </c>
      <c r="AG158" s="63">
        <v>0</v>
      </c>
      <c r="AH158" s="63">
        <v>-2470738</v>
      </c>
      <c r="AI158" s="63">
        <v>0</v>
      </c>
      <c r="AJ158" s="63">
        <v>-2470738</v>
      </c>
      <c r="AK158" s="63">
        <v>0</v>
      </c>
      <c r="AL158" s="63">
        <v>0</v>
      </c>
      <c r="AM158" s="63">
        <v>0</v>
      </c>
      <c r="AN158" s="63">
        <v>656018</v>
      </c>
      <c r="AO158" s="63">
        <v>0</v>
      </c>
      <c r="AP158" s="63">
        <v>656018</v>
      </c>
      <c r="AQ158" s="63">
        <v>-1814720</v>
      </c>
      <c r="AR158" s="63">
        <v>0</v>
      </c>
      <c r="AS158" s="63">
        <v>-1814720</v>
      </c>
      <c r="AT158" s="63">
        <v>-2189269</v>
      </c>
      <c r="AU158" s="63">
        <v>0</v>
      </c>
      <c r="AV158" s="63">
        <v>-2189269</v>
      </c>
      <c r="AW158" s="63">
        <v>-89907</v>
      </c>
      <c r="AX158" s="63">
        <v>0</v>
      </c>
      <c r="AY158" s="63">
        <v>-89907</v>
      </c>
      <c r="AZ158" s="63">
        <v>-9990</v>
      </c>
      <c r="BA158" s="63">
        <v>0</v>
      </c>
      <c r="BB158" s="63">
        <v>-9990</v>
      </c>
      <c r="BC158" s="63">
        <v>-4103886</v>
      </c>
      <c r="BD158" s="63">
        <v>0</v>
      </c>
      <c r="BE158" s="63">
        <v>0</v>
      </c>
      <c r="BF158" s="63">
        <v>0</v>
      </c>
      <c r="BG158" s="63">
        <v>-4103886</v>
      </c>
      <c r="BH158" s="63">
        <v>0</v>
      </c>
      <c r="BI158" s="63">
        <v>-4103886</v>
      </c>
      <c r="BJ158" s="63">
        <v>0</v>
      </c>
      <c r="BK158" s="63">
        <v>0</v>
      </c>
      <c r="BL158" s="63">
        <v>0</v>
      </c>
      <c r="BM158" s="63">
        <v>-749716</v>
      </c>
      <c r="BN158" s="63">
        <v>0</v>
      </c>
      <c r="BO158" s="63">
        <v>-749716</v>
      </c>
      <c r="BP158" s="63">
        <v>-749716</v>
      </c>
      <c r="BQ158" s="63">
        <v>0</v>
      </c>
      <c r="BR158" s="63">
        <v>0</v>
      </c>
      <c r="BS158" s="63">
        <v>0</v>
      </c>
      <c r="BT158" s="63">
        <v>-749716</v>
      </c>
      <c r="BU158" s="63">
        <v>0</v>
      </c>
      <c r="BV158" s="63">
        <v>-749716</v>
      </c>
      <c r="BW158" s="63">
        <v>-164538</v>
      </c>
      <c r="BX158" s="63">
        <v>0</v>
      </c>
      <c r="BY158" s="63">
        <v>-164538</v>
      </c>
      <c r="BZ158" s="63">
        <v>-31478</v>
      </c>
      <c r="CA158" s="63">
        <v>0</v>
      </c>
      <c r="CB158" s="63">
        <v>-31478</v>
      </c>
      <c r="CC158" s="63">
        <v>-547</v>
      </c>
      <c r="CD158" s="63">
        <v>0</v>
      </c>
      <c r="CE158" s="63">
        <v>-547</v>
      </c>
      <c r="CF158" s="63">
        <v>0</v>
      </c>
      <c r="CG158" s="63">
        <v>0</v>
      </c>
      <c r="CH158" s="63">
        <v>0</v>
      </c>
      <c r="CI158" s="63">
        <v>0</v>
      </c>
      <c r="CJ158" s="63">
        <v>0</v>
      </c>
      <c r="CK158" s="63">
        <v>0</v>
      </c>
      <c r="CL158" s="63">
        <v>0</v>
      </c>
      <c r="CM158" s="63">
        <v>0</v>
      </c>
      <c r="CN158" s="63">
        <v>0</v>
      </c>
      <c r="CO158" s="63">
        <v>0</v>
      </c>
      <c r="CP158" s="63">
        <v>0</v>
      </c>
      <c r="CQ158" s="63">
        <v>-196563</v>
      </c>
      <c r="CR158" s="63">
        <v>0</v>
      </c>
      <c r="CS158" s="63">
        <v>0</v>
      </c>
      <c r="CT158" s="63">
        <v>0</v>
      </c>
      <c r="CU158" s="63">
        <v>-196563</v>
      </c>
      <c r="CV158" s="63">
        <v>0</v>
      </c>
      <c r="CW158" s="63">
        <v>-196563</v>
      </c>
      <c r="CX158" s="63">
        <v>0</v>
      </c>
      <c r="CY158" s="63">
        <v>0</v>
      </c>
      <c r="CZ158" s="63">
        <v>0</v>
      </c>
      <c r="DA158" s="63">
        <v>0</v>
      </c>
      <c r="DB158" s="63">
        <v>0</v>
      </c>
      <c r="DC158" s="63">
        <v>0</v>
      </c>
      <c r="DD158" s="63">
        <v>0</v>
      </c>
      <c r="DE158" s="63">
        <v>0</v>
      </c>
      <c r="DF158" s="63">
        <v>0</v>
      </c>
      <c r="DG158" s="63">
        <v>0</v>
      </c>
      <c r="DH158" s="63">
        <v>0</v>
      </c>
      <c r="DI158" s="63">
        <v>0</v>
      </c>
      <c r="DJ158" s="63">
        <v>0</v>
      </c>
      <c r="DK158" s="63">
        <v>0</v>
      </c>
      <c r="DL158" s="63">
        <v>0</v>
      </c>
      <c r="DM158" s="63">
        <v>0</v>
      </c>
      <c r="DN158" s="63">
        <v>26264262</v>
      </c>
      <c r="DO158" s="63">
        <v>0</v>
      </c>
      <c r="DP158" s="63">
        <v>26264262</v>
      </c>
      <c r="DQ158" s="63"/>
      <c r="DR158" s="585"/>
    </row>
    <row r="159" spans="1:122" x14ac:dyDescent="0.2">
      <c r="A159" s="90">
        <v>152</v>
      </c>
      <c r="B159" s="129" t="s">
        <v>174</v>
      </c>
      <c r="C159" s="130" t="s">
        <v>754</v>
      </c>
      <c r="D159" s="131" t="s">
        <v>748</v>
      </c>
      <c r="E159" s="132" t="s">
        <v>173</v>
      </c>
      <c r="F159" s="475" t="s">
        <v>808</v>
      </c>
      <c r="G159" s="63">
        <v>139241002</v>
      </c>
      <c r="H159" s="63">
        <v>0</v>
      </c>
      <c r="I159" s="63">
        <v>139241002</v>
      </c>
      <c r="J159" s="608">
        <v>48.4</v>
      </c>
      <c r="K159" s="63">
        <v>67392645</v>
      </c>
      <c r="L159" s="63">
        <v>0</v>
      </c>
      <c r="M159" s="63">
        <v>1392410</v>
      </c>
      <c r="N159" s="63">
        <v>0</v>
      </c>
      <c r="O159" s="63">
        <v>68785055</v>
      </c>
      <c r="P159" s="63">
        <v>0</v>
      </c>
      <c r="Q159" s="63">
        <v>68785055</v>
      </c>
      <c r="R159" s="63">
        <v>0</v>
      </c>
      <c r="S159" s="63">
        <v>0</v>
      </c>
      <c r="T159" s="63">
        <v>0</v>
      </c>
      <c r="U159" s="63">
        <v>0</v>
      </c>
      <c r="V159" s="63">
        <v>0</v>
      </c>
      <c r="W159" s="63">
        <v>0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0</v>
      </c>
      <c r="AE159" s="63">
        <v>0</v>
      </c>
      <c r="AF159" s="63">
        <v>0</v>
      </c>
      <c r="AG159" s="63">
        <v>0</v>
      </c>
      <c r="AH159" s="63">
        <v>-4761343</v>
      </c>
      <c r="AI159" s="63">
        <v>0</v>
      </c>
      <c r="AJ159" s="63">
        <v>-4761343</v>
      </c>
      <c r="AK159" s="63">
        <v>0</v>
      </c>
      <c r="AL159" s="63">
        <v>0</v>
      </c>
      <c r="AM159" s="63">
        <v>0</v>
      </c>
      <c r="AN159" s="63">
        <v>1368828</v>
      </c>
      <c r="AO159" s="63">
        <v>0</v>
      </c>
      <c r="AP159" s="63">
        <v>1368828</v>
      </c>
      <c r="AQ159" s="63">
        <v>-3392515</v>
      </c>
      <c r="AR159" s="63">
        <v>0</v>
      </c>
      <c r="AS159" s="63">
        <v>-3392515</v>
      </c>
      <c r="AT159" s="63">
        <v>-6813109</v>
      </c>
      <c r="AU159" s="63">
        <v>0</v>
      </c>
      <c r="AV159" s="63">
        <v>-6813109</v>
      </c>
      <c r="AW159" s="63">
        <v>0</v>
      </c>
      <c r="AX159" s="63">
        <v>0</v>
      </c>
      <c r="AY159" s="63">
        <v>0</v>
      </c>
      <c r="AZ159" s="63">
        <v>0</v>
      </c>
      <c r="BA159" s="63">
        <v>0</v>
      </c>
      <c r="BB159" s="63">
        <v>0</v>
      </c>
      <c r="BC159" s="63">
        <v>-10205624</v>
      </c>
      <c r="BD159" s="63">
        <v>0</v>
      </c>
      <c r="BE159" s="63">
        <v>0</v>
      </c>
      <c r="BF159" s="63">
        <v>0</v>
      </c>
      <c r="BG159" s="63">
        <v>-10205624</v>
      </c>
      <c r="BH159" s="63">
        <v>0</v>
      </c>
      <c r="BI159" s="63">
        <v>-10205624</v>
      </c>
      <c r="BJ159" s="63">
        <v>0</v>
      </c>
      <c r="BK159" s="63">
        <v>0</v>
      </c>
      <c r="BL159" s="63">
        <v>0</v>
      </c>
      <c r="BM159" s="63">
        <v>-577235</v>
      </c>
      <c r="BN159" s="63">
        <v>0</v>
      </c>
      <c r="BO159" s="63">
        <v>-577235</v>
      </c>
      <c r="BP159" s="63">
        <v>-577235</v>
      </c>
      <c r="BQ159" s="63">
        <v>0</v>
      </c>
      <c r="BR159" s="63">
        <v>0</v>
      </c>
      <c r="BS159" s="63">
        <v>0</v>
      </c>
      <c r="BT159" s="63">
        <v>-577235</v>
      </c>
      <c r="BU159" s="63">
        <v>0</v>
      </c>
      <c r="BV159" s="63">
        <v>-577235</v>
      </c>
      <c r="BW159" s="63">
        <v>0</v>
      </c>
      <c r="BX159" s="63">
        <v>0</v>
      </c>
      <c r="BY159" s="63">
        <v>0</v>
      </c>
      <c r="BZ159" s="63">
        <v>0</v>
      </c>
      <c r="CA159" s="63">
        <v>0</v>
      </c>
      <c r="CB159" s="63">
        <v>0</v>
      </c>
      <c r="CC159" s="63">
        <v>0</v>
      </c>
      <c r="CD159" s="63">
        <v>0</v>
      </c>
      <c r="CE159" s="63">
        <v>0</v>
      </c>
      <c r="CF159" s="63">
        <v>0</v>
      </c>
      <c r="CG159" s="63">
        <v>0</v>
      </c>
      <c r="CH159" s="63">
        <v>0</v>
      </c>
      <c r="CI159" s="63">
        <v>0</v>
      </c>
      <c r="CJ159" s="63">
        <v>0</v>
      </c>
      <c r="CK159" s="63">
        <v>0</v>
      </c>
      <c r="CL159" s="63">
        <v>0</v>
      </c>
      <c r="CM159" s="63">
        <v>0</v>
      </c>
      <c r="CN159" s="63">
        <v>0</v>
      </c>
      <c r="CO159" s="63">
        <v>0</v>
      </c>
      <c r="CP159" s="63">
        <v>0</v>
      </c>
      <c r="CQ159" s="63">
        <v>0</v>
      </c>
      <c r="CR159" s="63">
        <v>0</v>
      </c>
      <c r="CS159" s="63">
        <v>0</v>
      </c>
      <c r="CT159" s="63">
        <v>0</v>
      </c>
      <c r="CU159" s="63">
        <v>0</v>
      </c>
      <c r="CV159" s="63">
        <v>0</v>
      </c>
      <c r="CW159" s="63">
        <v>0</v>
      </c>
      <c r="CX159" s="63">
        <v>0</v>
      </c>
      <c r="CY159" s="63">
        <v>0</v>
      </c>
      <c r="CZ159" s="63">
        <v>0</v>
      </c>
      <c r="DA159" s="63">
        <v>-10607</v>
      </c>
      <c r="DB159" s="63">
        <v>0</v>
      </c>
      <c r="DC159" s="63">
        <v>-10607</v>
      </c>
      <c r="DD159" s="63">
        <v>0</v>
      </c>
      <c r="DE159" s="63">
        <v>0</v>
      </c>
      <c r="DF159" s="63">
        <v>0</v>
      </c>
      <c r="DG159" s="63">
        <v>-10607</v>
      </c>
      <c r="DH159" s="63">
        <v>0</v>
      </c>
      <c r="DI159" s="63">
        <v>0</v>
      </c>
      <c r="DJ159" s="63">
        <v>0</v>
      </c>
      <c r="DK159" s="63">
        <v>-10607</v>
      </c>
      <c r="DL159" s="63">
        <v>0</v>
      </c>
      <c r="DM159" s="63">
        <v>-10607</v>
      </c>
      <c r="DN159" s="63">
        <v>57991589</v>
      </c>
      <c r="DO159" s="63">
        <v>0</v>
      </c>
      <c r="DP159" s="63">
        <v>57991589</v>
      </c>
      <c r="DQ159" s="63"/>
      <c r="DR159" s="585"/>
    </row>
    <row r="160" spans="1:122" x14ac:dyDescent="0.2">
      <c r="A160" s="90">
        <v>153</v>
      </c>
      <c r="B160" s="129" t="s">
        <v>176</v>
      </c>
      <c r="C160" s="130" t="s">
        <v>742</v>
      </c>
      <c r="D160" s="131" t="s">
        <v>752</v>
      </c>
      <c r="E160" s="132" t="s">
        <v>175</v>
      </c>
      <c r="F160" s="475" t="s">
        <v>808</v>
      </c>
      <c r="G160" s="63">
        <v>83097124</v>
      </c>
      <c r="H160" s="63">
        <v>0</v>
      </c>
      <c r="I160" s="63">
        <v>83097124</v>
      </c>
      <c r="J160" s="608">
        <v>48.4</v>
      </c>
      <c r="K160" s="63">
        <v>40219008</v>
      </c>
      <c r="L160" s="63">
        <v>0</v>
      </c>
      <c r="M160" s="63">
        <v>-904248</v>
      </c>
      <c r="N160" s="63">
        <v>0</v>
      </c>
      <c r="O160" s="63">
        <v>39314760</v>
      </c>
      <c r="P160" s="63">
        <v>0</v>
      </c>
      <c r="Q160" s="63">
        <v>39314760</v>
      </c>
      <c r="R160" s="63">
        <v>0</v>
      </c>
      <c r="S160" s="63">
        <v>0</v>
      </c>
      <c r="T160" s="63">
        <v>0</v>
      </c>
      <c r="U160" s="63">
        <v>0</v>
      </c>
      <c r="V160" s="63">
        <v>0</v>
      </c>
      <c r="W160" s="63">
        <v>0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0</v>
      </c>
      <c r="AE160" s="63">
        <v>0</v>
      </c>
      <c r="AF160" s="63">
        <v>0</v>
      </c>
      <c r="AG160" s="63">
        <v>0</v>
      </c>
      <c r="AH160" s="63">
        <v>-1802394</v>
      </c>
      <c r="AI160" s="63">
        <v>0</v>
      </c>
      <c r="AJ160" s="63">
        <v>-1802394</v>
      </c>
      <c r="AK160" s="63">
        <v>-34092</v>
      </c>
      <c r="AL160" s="63">
        <v>0</v>
      </c>
      <c r="AM160" s="63">
        <v>-34092</v>
      </c>
      <c r="AN160" s="63">
        <v>872544</v>
      </c>
      <c r="AO160" s="63">
        <v>0</v>
      </c>
      <c r="AP160" s="63">
        <v>872544</v>
      </c>
      <c r="AQ160" s="63">
        <v>-929850</v>
      </c>
      <c r="AR160" s="63">
        <v>0</v>
      </c>
      <c r="AS160" s="63">
        <v>-929850</v>
      </c>
      <c r="AT160" s="63">
        <v>-1414265</v>
      </c>
      <c r="AU160" s="63">
        <v>0</v>
      </c>
      <c r="AV160" s="63">
        <v>-1414265</v>
      </c>
      <c r="AW160" s="63">
        <v>-58263</v>
      </c>
      <c r="AX160" s="63">
        <v>0</v>
      </c>
      <c r="AY160" s="63">
        <v>-58263</v>
      </c>
      <c r="AZ160" s="63">
        <v>-8159</v>
      </c>
      <c r="BA160" s="63">
        <v>0</v>
      </c>
      <c r="BB160" s="63">
        <v>-8159</v>
      </c>
      <c r="BC160" s="63">
        <v>-2410537</v>
      </c>
      <c r="BD160" s="63">
        <v>0</v>
      </c>
      <c r="BE160" s="63">
        <v>-18752</v>
      </c>
      <c r="BF160" s="63">
        <v>0</v>
      </c>
      <c r="BG160" s="63">
        <v>-2429289</v>
      </c>
      <c r="BH160" s="63">
        <v>0</v>
      </c>
      <c r="BI160" s="63">
        <v>-2429289</v>
      </c>
      <c r="BJ160" s="63">
        <v>-9385</v>
      </c>
      <c r="BK160" s="63">
        <v>0</v>
      </c>
      <c r="BL160" s="63">
        <v>-9385</v>
      </c>
      <c r="BM160" s="63">
        <v>-2246651</v>
      </c>
      <c r="BN160" s="63">
        <v>0</v>
      </c>
      <c r="BO160" s="63">
        <v>-2246651</v>
      </c>
      <c r="BP160" s="63">
        <v>-2256036</v>
      </c>
      <c r="BQ160" s="63">
        <v>0</v>
      </c>
      <c r="BR160" s="63">
        <v>0</v>
      </c>
      <c r="BS160" s="63">
        <v>0</v>
      </c>
      <c r="BT160" s="63">
        <v>-2256036</v>
      </c>
      <c r="BU160" s="63">
        <v>0</v>
      </c>
      <c r="BV160" s="63">
        <v>-2256036</v>
      </c>
      <c r="BW160" s="63">
        <v>-35328</v>
      </c>
      <c r="BX160" s="63">
        <v>0</v>
      </c>
      <c r="BY160" s="63">
        <v>-35328</v>
      </c>
      <c r="BZ160" s="63">
        <v>-41493</v>
      </c>
      <c r="CA160" s="63">
        <v>0</v>
      </c>
      <c r="CB160" s="63">
        <v>-41493</v>
      </c>
      <c r="CC160" s="63">
        <v>0</v>
      </c>
      <c r="CD160" s="63">
        <v>0</v>
      </c>
      <c r="CE160" s="63">
        <v>0</v>
      </c>
      <c r="CF160" s="63">
        <v>-2847</v>
      </c>
      <c r="CG160" s="63">
        <v>0</v>
      </c>
      <c r="CH160" s="63">
        <v>-2847</v>
      </c>
      <c r="CI160" s="63">
        <v>-1750</v>
      </c>
      <c r="CJ160" s="63">
        <v>0</v>
      </c>
      <c r="CK160" s="63">
        <v>-1750</v>
      </c>
      <c r="CL160" s="63">
        <v>0</v>
      </c>
      <c r="CM160" s="63">
        <v>0</v>
      </c>
      <c r="CN160" s="63">
        <v>0</v>
      </c>
      <c r="CO160" s="63">
        <v>0</v>
      </c>
      <c r="CP160" s="63">
        <v>0</v>
      </c>
      <c r="CQ160" s="63">
        <v>-81418</v>
      </c>
      <c r="CR160" s="63">
        <v>0</v>
      </c>
      <c r="CS160" s="63">
        <v>-898</v>
      </c>
      <c r="CT160" s="63">
        <v>0</v>
      </c>
      <c r="CU160" s="63">
        <v>-82316</v>
      </c>
      <c r="CV160" s="63">
        <v>0</v>
      </c>
      <c r="CW160" s="63">
        <v>-82316</v>
      </c>
      <c r="CX160" s="63">
        <v>0</v>
      </c>
      <c r="CY160" s="63">
        <v>0</v>
      </c>
      <c r="CZ160" s="63">
        <v>0</v>
      </c>
      <c r="DA160" s="63">
        <v>0</v>
      </c>
      <c r="DB160" s="63">
        <v>0</v>
      </c>
      <c r="DC160" s="63">
        <v>0</v>
      </c>
      <c r="DD160" s="63">
        <v>-14011</v>
      </c>
      <c r="DE160" s="63">
        <v>0</v>
      </c>
      <c r="DF160" s="63">
        <v>-14011</v>
      </c>
      <c r="DG160" s="63">
        <v>-14011</v>
      </c>
      <c r="DH160" s="63">
        <v>0</v>
      </c>
      <c r="DI160" s="63">
        <v>0</v>
      </c>
      <c r="DJ160" s="63">
        <v>0</v>
      </c>
      <c r="DK160" s="63">
        <v>-14011</v>
      </c>
      <c r="DL160" s="63">
        <v>0</v>
      </c>
      <c r="DM160" s="63">
        <v>-14011</v>
      </c>
      <c r="DN160" s="63">
        <v>34533108</v>
      </c>
      <c r="DO160" s="63">
        <v>0</v>
      </c>
      <c r="DP160" s="63">
        <v>34533108</v>
      </c>
      <c r="DQ160" s="63"/>
      <c r="DR160" s="585"/>
    </row>
    <row r="161" spans="1:122" x14ac:dyDescent="0.2">
      <c r="A161" s="90">
        <v>154</v>
      </c>
      <c r="B161" s="129" t="s">
        <v>178</v>
      </c>
      <c r="C161" s="130" t="s">
        <v>742</v>
      </c>
      <c r="D161" s="131" t="s">
        <v>745</v>
      </c>
      <c r="E161" s="132" t="s">
        <v>177</v>
      </c>
      <c r="F161" s="475" t="s">
        <v>808</v>
      </c>
      <c r="G161" s="63">
        <v>105740843</v>
      </c>
      <c r="H161" s="63">
        <v>0</v>
      </c>
      <c r="I161" s="63">
        <v>105740843</v>
      </c>
      <c r="J161" s="608">
        <v>48.4</v>
      </c>
      <c r="K161" s="63">
        <v>51178568</v>
      </c>
      <c r="L161" s="63">
        <v>0</v>
      </c>
      <c r="M161" s="63">
        <v>0</v>
      </c>
      <c r="N161" s="63">
        <v>0</v>
      </c>
      <c r="O161" s="63">
        <v>51178568</v>
      </c>
      <c r="P161" s="63">
        <v>0</v>
      </c>
      <c r="Q161" s="63">
        <v>51178568</v>
      </c>
      <c r="R161" s="63">
        <v>0</v>
      </c>
      <c r="S161" s="63">
        <v>0</v>
      </c>
      <c r="T161" s="63">
        <v>0</v>
      </c>
      <c r="U161" s="63">
        <v>0</v>
      </c>
      <c r="V161" s="63">
        <v>0</v>
      </c>
      <c r="W161" s="63">
        <v>0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0</v>
      </c>
      <c r="AE161" s="63">
        <v>0</v>
      </c>
      <c r="AF161" s="63">
        <v>0</v>
      </c>
      <c r="AG161" s="63">
        <v>0</v>
      </c>
      <c r="AH161" s="63">
        <v>-1930027</v>
      </c>
      <c r="AI161" s="63">
        <v>0</v>
      </c>
      <c r="AJ161" s="63">
        <v>-1930027</v>
      </c>
      <c r="AK161" s="63">
        <v>-4033</v>
      </c>
      <c r="AL161" s="63">
        <v>0</v>
      </c>
      <c r="AM161" s="63">
        <v>-4033</v>
      </c>
      <c r="AN161" s="63">
        <v>1964434</v>
      </c>
      <c r="AO161" s="63">
        <v>0</v>
      </c>
      <c r="AP161" s="63">
        <v>1964434</v>
      </c>
      <c r="AQ161" s="63">
        <v>34407</v>
      </c>
      <c r="AR161" s="63">
        <v>0</v>
      </c>
      <c r="AS161" s="63">
        <v>34407</v>
      </c>
      <c r="AT161" s="63">
        <v>-4920753</v>
      </c>
      <c r="AU161" s="63">
        <v>0</v>
      </c>
      <c r="AV161" s="63">
        <v>-4920753</v>
      </c>
      <c r="AW161" s="63">
        <v>-76099</v>
      </c>
      <c r="AX161" s="63">
        <v>0</v>
      </c>
      <c r="AY161" s="63">
        <v>-76099</v>
      </c>
      <c r="AZ161" s="63">
        <v>0</v>
      </c>
      <c r="BA161" s="63">
        <v>0</v>
      </c>
      <c r="BB161" s="63">
        <v>0</v>
      </c>
      <c r="BC161" s="63">
        <v>-4962445</v>
      </c>
      <c r="BD161" s="63">
        <v>0</v>
      </c>
      <c r="BE161" s="63">
        <v>-115301</v>
      </c>
      <c r="BF161" s="63">
        <v>0</v>
      </c>
      <c r="BG161" s="63">
        <v>-5077746</v>
      </c>
      <c r="BH161" s="63">
        <v>0</v>
      </c>
      <c r="BI161" s="63">
        <v>-5077746</v>
      </c>
      <c r="BJ161" s="63">
        <v>0</v>
      </c>
      <c r="BK161" s="63">
        <v>0</v>
      </c>
      <c r="BL161" s="63">
        <v>0</v>
      </c>
      <c r="BM161" s="63">
        <v>-635569</v>
      </c>
      <c r="BN161" s="63">
        <v>0</v>
      </c>
      <c r="BO161" s="63">
        <v>-635569</v>
      </c>
      <c r="BP161" s="63">
        <v>-635569</v>
      </c>
      <c r="BQ161" s="63">
        <v>0</v>
      </c>
      <c r="BR161" s="63">
        <v>0</v>
      </c>
      <c r="BS161" s="63">
        <v>0</v>
      </c>
      <c r="BT161" s="63">
        <v>-635569</v>
      </c>
      <c r="BU161" s="63">
        <v>0</v>
      </c>
      <c r="BV161" s="63">
        <v>-635569</v>
      </c>
      <c r="BW161" s="63">
        <v>-34033</v>
      </c>
      <c r="BX161" s="63">
        <v>0</v>
      </c>
      <c r="BY161" s="63">
        <v>-34033</v>
      </c>
      <c r="BZ161" s="63">
        <v>-10019</v>
      </c>
      <c r="CA161" s="63">
        <v>0</v>
      </c>
      <c r="CB161" s="63">
        <v>-10019</v>
      </c>
      <c r="CC161" s="63">
        <v>-2007</v>
      </c>
      <c r="CD161" s="63">
        <v>0</v>
      </c>
      <c r="CE161" s="63">
        <v>-2007</v>
      </c>
      <c r="CF161" s="63">
        <v>0</v>
      </c>
      <c r="CG161" s="63">
        <v>0</v>
      </c>
      <c r="CH161" s="63">
        <v>0</v>
      </c>
      <c r="CI161" s="63">
        <v>0</v>
      </c>
      <c r="CJ161" s="63">
        <v>0</v>
      </c>
      <c r="CK161" s="63">
        <v>0</v>
      </c>
      <c r="CL161" s="63">
        <v>0</v>
      </c>
      <c r="CM161" s="63">
        <v>0</v>
      </c>
      <c r="CN161" s="63">
        <v>0</v>
      </c>
      <c r="CO161" s="63">
        <v>0</v>
      </c>
      <c r="CP161" s="63">
        <v>0</v>
      </c>
      <c r="CQ161" s="63">
        <v>-46059</v>
      </c>
      <c r="CR161" s="63">
        <v>0</v>
      </c>
      <c r="CS161" s="63">
        <v>0</v>
      </c>
      <c r="CT161" s="63">
        <v>0</v>
      </c>
      <c r="CU161" s="63">
        <v>-46059</v>
      </c>
      <c r="CV161" s="63">
        <v>0</v>
      </c>
      <c r="CW161" s="63">
        <v>-46059</v>
      </c>
      <c r="CX161" s="63">
        <v>-176838</v>
      </c>
      <c r="CY161" s="63">
        <v>0</v>
      </c>
      <c r="CZ161" s="63">
        <v>-176838</v>
      </c>
      <c r="DA161" s="63">
        <v>-132421</v>
      </c>
      <c r="DB161" s="63">
        <v>0</v>
      </c>
      <c r="DC161" s="63">
        <v>-132421</v>
      </c>
      <c r="DD161" s="63">
        <v>0</v>
      </c>
      <c r="DE161" s="63">
        <v>0</v>
      </c>
      <c r="DF161" s="63">
        <v>0</v>
      </c>
      <c r="DG161" s="63">
        <v>-309259</v>
      </c>
      <c r="DH161" s="63">
        <v>0</v>
      </c>
      <c r="DI161" s="63">
        <v>0</v>
      </c>
      <c r="DJ161" s="63">
        <v>0</v>
      </c>
      <c r="DK161" s="63">
        <v>-309259</v>
      </c>
      <c r="DL161" s="63">
        <v>0</v>
      </c>
      <c r="DM161" s="63">
        <v>-309259</v>
      </c>
      <c r="DN161" s="63">
        <v>45109935</v>
      </c>
      <c r="DO161" s="63">
        <v>0</v>
      </c>
      <c r="DP161" s="63">
        <v>45109935</v>
      </c>
      <c r="DQ161" s="63"/>
      <c r="DR161" s="585"/>
    </row>
    <row r="162" spans="1:122" x14ac:dyDescent="0.2">
      <c r="A162" s="90">
        <v>155</v>
      </c>
      <c r="B162" s="129" t="s">
        <v>180</v>
      </c>
      <c r="C162" s="130" t="s">
        <v>749</v>
      </c>
      <c r="D162" s="131" t="s">
        <v>744</v>
      </c>
      <c r="E162" s="132" t="s">
        <v>179</v>
      </c>
      <c r="F162" s="475" t="s">
        <v>808</v>
      </c>
      <c r="G162" s="63">
        <v>424163164</v>
      </c>
      <c r="H162" s="63">
        <v>81433020</v>
      </c>
      <c r="I162" s="63">
        <v>505596184</v>
      </c>
      <c r="J162" s="608">
        <v>48.4</v>
      </c>
      <c r="K162" s="63">
        <v>205294971</v>
      </c>
      <c r="L162" s="63">
        <v>39413582</v>
      </c>
      <c r="M162" s="63">
        <v>-3039660</v>
      </c>
      <c r="N162" s="63">
        <v>-985340</v>
      </c>
      <c r="O162" s="63">
        <v>202255311</v>
      </c>
      <c r="P162" s="63">
        <v>38428242</v>
      </c>
      <c r="Q162" s="63">
        <v>240683553</v>
      </c>
      <c r="R162" s="63">
        <v>0</v>
      </c>
      <c r="S162" s="63">
        <v>0</v>
      </c>
      <c r="T162" s="63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0</v>
      </c>
      <c r="AE162" s="63">
        <v>0</v>
      </c>
      <c r="AF162" s="63">
        <v>0</v>
      </c>
      <c r="AG162" s="63">
        <v>0</v>
      </c>
      <c r="AH162" s="63">
        <v>-8843557</v>
      </c>
      <c r="AI162" s="63">
        <v>-565043</v>
      </c>
      <c r="AJ162" s="63">
        <v>-9408600</v>
      </c>
      <c r="AK162" s="63">
        <v>-88436</v>
      </c>
      <c r="AL162" s="63">
        <v>-5650</v>
      </c>
      <c r="AM162" s="63">
        <v>-94086</v>
      </c>
      <c r="AN162" s="63">
        <v>4869538</v>
      </c>
      <c r="AO162" s="63">
        <v>975537</v>
      </c>
      <c r="AP162" s="63">
        <v>5845075</v>
      </c>
      <c r="AQ162" s="63">
        <v>-3974019</v>
      </c>
      <c r="AR162" s="63">
        <v>410494</v>
      </c>
      <c r="AS162" s="63">
        <v>-3563525</v>
      </c>
      <c r="AT162" s="63">
        <v>-15934879</v>
      </c>
      <c r="AU162" s="63">
        <v>-758677</v>
      </c>
      <c r="AV162" s="63">
        <v>-16693556</v>
      </c>
      <c r="AW162" s="63">
        <v>-4704</v>
      </c>
      <c r="AX162" s="63">
        <v>0</v>
      </c>
      <c r="AY162" s="63">
        <v>-4704</v>
      </c>
      <c r="AZ162" s="63">
        <v>0</v>
      </c>
      <c r="BA162" s="63">
        <v>0</v>
      </c>
      <c r="BB162" s="63">
        <v>0</v>
      </c>
      <c r="BC162" s="63">
        <v>-19913602</v>
      </c>
      <c r="BD162" s="63">
        <v>-348183</v>
      </c>
      <c r="BE162" s="63">
        <v>0</v>
      </c>
      <c r="BF162" s="63">
        <v>0</v>
      </c>
      <c r="BG162" s="63">
        <v>-19913602</v>
      </c>
      <c r="BH162" s="63">
        <v>-348183</v>
      </c>
      <c r="BI162" s="63">
        <v>-20261785</v>
      </c>
      <c r="BJ162" s="63">
        <v>-100000</v>
      </c>
      <c r="BK162" s="63">
        <v>0</v>
      </c>
      <c r="BL162" s="63">
        <v>-100000</v>
      </c>
      <c r="BM162" s="63">
        <v>-7785513</v>
      </c>
      <c r="BN162" s="63">
        <v>-8865487</v>
      </c>
      <c r="BO162" s="63">
        <v>-16651000</v>
      </c>
      <c r="BP162" s="63">
        <v>-7885513</v>
      </c>
      <c r="BQ162" s="63">
        <v>-8865487</v>
      </c>
      <c r="BR162" s="63">
        <v>118283</v>
      </c>
      <c r="BS162" s="63">
        <v>132982</v>
      </c>
      <c r="BT162" s="63">
        <v>-7767230</v>
      </c>
      <c r="BU162" s="63">
        <v>-8732505</v>
      </c>
      <c r="BV162" s="63">
        <v>-16499735</v>
      </c>
      <c r="BW162" s="63">
        <v>-23823</v>
      </c>
      <c r="BX162" s="63">
        <v>-296</v>
      </c>
      <c r="BY162" s="63">
        <v>-24119</v>
      </c>
      <c r="BZ162" s="63">
        <v>-1495</v>
      </c>
      <c r="CA162" s="63">
        <v>0</v>
      </c>
      <c r="CB162" s="63">
        <v>-1495</v>
      </c>
      <c r="CC162" s="63">
        <v>0</v>
      </c>
      <c r="CD162" s="63">
        <v>0</v>
      </c>
      <c r="CE162" s="63">
        <v>0</v>
      </c>
      <c r="CF162" s="63">
        <v>0</v>
      </c>
      <c r="CG162" s="63">
        <v>0</v>
      </c>
      <c r="CH162" s="63">
        <v>0</v>
      </c>
      <c r="CI162" s="63">
        <v>0</v>
      </c>
      <c r="CJ162" s="63">
        <v>0</v>
      </c>
      <c r="CK162" s="63">
        <v>0</v>
      </c>
      <c r="CL162" s="63">
        <v>0</v>
      </c>
      <c r="CM162" s="63">
        <v>-236576</v>
      </c>
      <c r="CN162" s="63">
        <v>-236576</v>
      </c>
      <c r="CO162" s="63">
        <v>-236576</v>
      </c>
      <c r="CP162" s="63">
        <v>0</v>
      </c>
      <c r="CQ162" s="63">
        <v>-25318</v>
      </c>
      <c r="CR162" s="63">
        <v>-236872</v>
      </c>
      <c r="CS162" s="63">
        <v>0</v>
      </c>
      <c r="CT162" s="63">
        <v>0</v>
      </c>
      <c r="CU162" s="63">
        <v>-25318</v>
      </c>
      <c r="CV162" s="63">
        <v>-236872</v>
      </c>
      <c r="CW162" s="63">
        <v>-262190</v>
      </c>
      <c r="CX162" s="63">
        <v>-50000</v>
      </c>
      <c r="CY162" s="63">
        <v>0</v>
      </c>
      <c r="CZ162" s="63">
        <v>-50000</v>
      </c>
      <c r="DA162" s="63">
        <v>-93178</v>
      </c>
      <c r="DB162" s="63">
        <v>-60886</v>
      </c>
      <c r="DC162" s="63">
        <v>-154064</v>
      </c>
      <c r="DD162" s="63">
        <v>-47680</v>
      </c>
      <c r="DE162" s="63">
        <v>0</v>
      </c>
      <c r="DF162" s="63">
        <v>-47680</v>
      </c>
      <c r="DG162" s="63">
        <v>-190858</v>
      </c>
      <c r="DH162" s="63">
        <v>-60886</v>
      </c>
      <c r="DI162" s="63">
        <v>0</v>
      </c>
      <c r="DJ162" s="63">
        <v>0</v>
      </c>
      <c r="DK162" s="63">
        <v>-190858</v>
      </c>
      <c r="DL162" s="63">
        <v>-60886</v>
      </c>
      <c r="DM162" s="63">
        <v>-251744</v>
      </c>
      <c r="DN162" s="63">
        <v>174358303</v>
      </c>
      <c r="DO162" s="63">
        <v>29049796</v>
      </c>
      <c r="DP162" s="63">
        <v>203408099</v>
      </c>
      <c r="DQ162" s="63"/>
      <c r="DR162" s="585" t="s">
        <v>768</v>
      </c>
    </row>
    <row r="163" spans="1:122" x14ac:dyDescent="0.2">
      <c r="A163" s="90">
        <v>156</v>
      </c>
      <c r="B163" s="129" t="s">
        <v>181</v>
      </c>
      <c r="C163" s="130" t="s">
        <v>501</v>
      </c>
      <c r="D163" s="131" t="s">
        <v>746</v>
      </c>
      <c r="E163" s="132" t="s">
        <v>504</v>
      </c>
      <c r="F163" s="475" t="s">
        <v>808</v>
      </c>
      <c r="G163" s="63">
        <v>157716041</v>
      </c>
      <c r="H163" s="63">
        <v>9915000</v>
      </c>
      <c r="I163" s="63">
        <v>167631041</v>
      </c>
      <c r="J163" s="608">
        <v>48.4</v>
      </c>
      <c r="K163" s="63">
        <v>76334564</v>
      </c>
      <c r="L163" s="63">
        <v>4798860</v>
      </c>
      <c r="M163" s="63">
        <v>-850857</v>
      </c>
      <c r="N163" s="63">
        <v>0</v>
      </c>
      <c r="O163" s="63">
        <v>75483707</v>
      </c>
      <c r="P163" s="63">
        <v>4798860</v>
      </c>
      <c r="Q163" s="63">
        <v>80282567</v>
      </c>
      <c r="R163" s="63">
        <v>0</v>
      </c>
      <c r="S163" s="63">
        <v>0</v>
      </c>
      <c r="T163" s="63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0</v>
      </c>
      <c r="AE163" s="63">
        <v>0</v>
      </c>
      <c r="AF163" s="63">
        <v>0</v>
      </c>
      <c r="AG163" s="63">
        <v>0</v>
      </c>
      <c r="AH163" s="63">
        <v>-3087849</v>
      </c>
      <c r="AI163" s="63">
        <v>-45577</v>
      </c>
      <c r="AJ163" s="63">
        <v>-3133426</v>
      </c>
      <c r="AK163" s="63">
        <v>-5537</v>
      </c>
      <c r="AL163" s="63">
        <v>0</v>
      </c>
      <c r="AM163" s="63">
        <v>-5537</v>
      </c>
      <c r="AN163" s="63">
        <v>1881665</v>
      </c>
      <c r="AO163" s="63">
        <v>0</v>
      </c>
      <c r="AP163" s="63">
        <v>1881665</v>
      </c>
      <c r="AQ163" s="63">
        <v>-1206184</v>
      </c>
      <c r="AR163" s="63">
        <v>-45577</v>
      </c>
      <c r="AS163" s="63">
        <v>-1251761</v>
      </c>
      <c r="AT163" s="63">
        <v>-5345241</v>
      </c>
      <c r="AU163" s="63">
        <v>0</v>
      </c>
      <c r="AV163" s="63">
        <v>-5345241</v>
      </c>
      <c r="AW163" s="63">
        <v>-48180</v>
      </c>
      <c r="AX163" s="63">
        <v>0</v>
      </c>
      <c r="AY163" s="63">
        <v>-48180</v>
      </c>
      <c r="AZ163" s="63">
        <v>0</v>
      </c>
      <c r="BA163" s="63">
        <v>0</v>
      </c>
      <c r="BB163" s="63">
        <v>0</v>
      </c>
      <c r="BC163" s="63">
        <v>-6599605</v>
      </c>
      <c r="BD163" s="63">
        <v>-45577</v>
      </c>
      <c r="BE163" s="63">
        <v>-228657</v>
      </c>
      <c r="BF163" s="63">
        <v>0</v>
      </c>
      <c r="BG163" s="63">
        <v>-6828262</v>
      </c>
      <c r="BH163" s="63">
        <v>-45577</v>
      </c>
      <c r="BI163" s="63">
        <v>-6873839</v>
      </c>
      <c r="BJ163" s="63">
        <v>-20809</v>
      </c>
      <c r="BK163" s="63">
        <v>-312</v>
      </c>
      <c r="BL163" s="63">
        <v>-21121</v>
      </c>
      <c r="BM163" s="63">
        <v>-1812032</v>
      </c>
      <c r="BN163" s="63">
        <v>-27147</v>
      </c>
      <c r="BO163" s="63">
        <v>-1839179</v>
      </c>
      <c r="BP163" s="63">
        <v>-1832841</v>
      </c>
      <c r="BQ163" s="63">
        <v>-27459</v>
      </c>
      <c r="BR163" s="63">
        <v>0</v>
      </c>
      <c r="BS163" s="63">
        <v>0</v>
      </c>
      <c r="BT163" s="63">
        <v>-1832841</v>
      </c>
      <c r="BU163" s="63">
        <v>-27459</v>
      </c>
      <c r="BV163" s="63">
        <v>-1860300</v>
      </c>
      <c r="BW163" s="63">
        <v>-127759</v>
      </c>
      <c r="BX163" s="63">
        <v>0</v>
      </c>
      <c r="BY163" s="63">
        <v>-127759</v>
      </c>
      <c r="BZ163" s="63">
        <v>-60320</v>
      </c>
      <c r="CA163" s="63">
        <v>0</v>
      </c>
      <c r="CB163" s="63">
        <v>-60320</v>
      </c>
      <c r="CC163" s="63">
        <v>-55</v>
      </c>
      <c r="CD163" s="63">
        <v>0</v>
      </c>
      <c r="CE163" s="63">
        <v>-55</v>
      </c>
      <c r="CF163" s="63">
        <v>0</v>
      </c>
      <c r="CG163" s="63">
        <v>0</v>
      </c>
      <c r="CH163" s="63">
        <v>0</v>
      </c>
      <c r="CI163" s="63">
        <v>0</v>
      </c>
      <c r="CJ163" s="63">
        <v>0</v>
      </c>
      <c r="CK163" s="63">
        <v>0</v>
      </c>
      <c r="CL163" s="63">
        <v>-2201</v>
      </c>
      <c r="CM163" s="63">
        <v>0</v>
      </c>
      <c r="CN163" s="63">
        <v>-2201</v>
      </c>
      <c r="CO163" s="63">
        <v>0</v>
      </c>
      <c r="CP163" s="63">
        <v>0</v>
      </c>
      <c r="CQ163" s="63">
        <v>-190335</v>
      </c>
      <c r="CR163" s="63">
        <v>0</v>
      </c>
      <c r="CS163" s="63">
        <v>-5984</v>
      </c>
      <c r="CT163" s="63">
        <v>0</v>
      </c>
      <c r="CU163" s="63">
        <v>-196319</v>
      </c>
      <c r="CV163" s="63">
        <v>0</v>
      </c>
      <c r="CW163" s="63">
        <v>-196319</v>
      </c>
      <c r="CX163" s="63">
        <v>0</v>
      </c>
      <c r="CY163" s="63">
        <v>-1705</v>
      </c>
      <c r="CZ163" s="63">
        <v>-1705</v>
      </c>
      <c r="DA163" s="63">
        <v>-6337</v>
      </c>
      <c r="DB163" s="63">
        <v>0</v>
      </c>
      <c r="DC163" s="63">
        <v>-6337</v>
      </c>
      <c r="DD163" s="63">
        <v>-1065543</v>
      </c>
      <c r="DE163" s="63">
        <v>0</v>
      </c>
      <c r="DF163" s="63">
        <v>-1065543</v>
      </c>
      <c r="DG163" s="63">
        <v>-1071880</v>
      </c>
      <c r="DH163" s="63">
        <v>-1705</v>
      </c>
      <c r="DI163" s="63">
        <v>0</v>
      </c>
      <c r="DJ163" s="63">
        <v>0</v>
      </c>
      <c r="DK163" s="63">
        <v>-1071880</v>
      </c>
      <c r="DL163" s="63">
        <v>-1705</v>
      </c>
      <c r="DM163" s="63">
        <v>-1073585</v>
      </c>
      <c r="DN163" s="63">
        <v>65554405</v>
      </c>
      <c r="DO163" s="63">
        <v>4724119</v>
      </c>
      <c r="DP163" s="63">
        <v>70278524</v>
      </c>
      <c r="DQ163" s="63"/>
      <c r="DR163" s="585" t="s">
        <v>768</v>
      </c>
    </row>
    <row r="164" spans="1:122" x14ac:dyDescent="0.2">
      <c r="A164" s="90">
        <v>157</v>
      </c>
      <c r="B164" s="129" t="s">
        <v>183</v>
      </c>
      <c r="C164" s="130" t="s">
        <v>742</v>
      </c>
      <c r="D164" s="131" t="s">
        <v>743</v>
      </c>
      <c r="E164" s="132" t="s">
        <v>182</v>
      </c>
      <c r="F164" s="475" t="s">
        <v>808</v>
      </c>
      <c r="G164" s="63">
        <v>142081587</v>
      </c>
      <c r="H164" s="63">
        <v>0</v>
      </c>
      <c r="I164" s="63">
        <v>142081587</v>
      </c>
      <c r="J164" s="608">
        <v>48.4</v>
      </c>
      <c r="K164" s="63">
        <v>68767488</v>
      </c>
      <c r="L164" s="63">
        <v>0</v>
      </c>
      <c r="M164" s="63">
        <v>0</v>
      </c>
      <c r="N164" s="63">
        <v>0</v>
      </c>
      <c r="O164" s="63">
        <v>68767488</v>
      </c>
      <c r="P164" s="63">
        <v>0</v>
      </c>
      <c r="Q164" s="63">
        <v>68767488</v>
      </c>
      <c r="R164" s="63">
        <v>0</v>
      </c>
      <c r="S164" s="63">
        <v>0</v>
      </c>
      <c r="T164" s="63">
        <v>0</v>
      </c>
      <c r="U164" s="63">
        <v>0</v>
      </c>
      <c r="V164" s="63">
        <v>0</v>
      </c>
      <c r="W164" s="63">
        <v>0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0</v>
      </c>
      <c r="AE164" s="63">
        <v>0</v>
      </c>
      <c r="AF164" s="63">
        <v>0</v>
      </c>
      <c r="AG164" s="63">
        <v>0</v>
      </c>
      <c r="AH164" s="63">
        <v>-2476649</v>
      </c>
      <c r="AI164" s="63">
        <v>0</v>
      </c>
      <c r="AJ164" s="63">
        <v>-2476649</v>
      </c>
      <c r="AK164" s="63">
        <v>-8305</v>
      </c>
      <c r="AL164" s="63">
        <v>0</v>
      </c>
      <c r="AM164" s="63">
        <v>-8305</v>
      </c>
      <c r="AN164" s="63">
        <v>1602753</v>
      </c>
      <c r="AO164" s="63">
        <v>0</v>
      </c>
      <c r="AP164" s="63">
        <v>1602753</v>
      </c>
      <c r="AQ164" s="63">
        <v>-873896</v>
      </c>
      <c r="AR164" s="63">
        <v>0</v>
      </c>
      <c r="AS164" s="63">
        <v>-873896</v>
      </c>
      <c r="AT164" s="63">
        <v>-4073488</v>
      </c>
      <c r="AU164" s="63">
        <v>0</v>
      </c>
      <c r="AV164" s="63">
        <v>-4073488</v>
      </c>
      <c r="AW164" s="63">
        <v>-105221</v>
      </c>
      <c r="AX164" s="63">
        <v>0</v>
      </c>
      <c r="AY164" s="63">
        <v>-105221</v>
      </c>
      <c r="AZ164" s="63">
        <v>-3933</v>
      </c>
      <c r="BA164" s="63">
        <v>0</v>
      </c>
      <c r="BB164" s="63">
        <v>-3933</v>
      </c>
      <c r="BC164" s="63">
        <v>-5056538</v>
      </c>
      <c r="BD164" s="63">
        <v>0</v>
      </c>
      <c r="BE164" s="63">
        <v>0</v>
      </c>
      <c r="BF164" s="63">
        <v>0</v>
      </c>
      <c r="BG164" s="63">
        <v>-5056538</v>
      </c>
      <c r="BH164" s="63">
        <v>0</v>
      </c>
      <c r="BI164" s="63">
        <v>-5056538</v>
      </c>
      <c r="BJ164" s="63">
        <v>0</v>
      </c>
      <c r="BK164" s="63">
        <v>0</v>
      </c>
      <c r="BL164" s="63">
        <v>0</v>
      </c>
      <c r="BM164" s="63">
        <v>-1423356</v>
      </c>
      <c r="BN164" s="63">
        <v>0</v>
      </c>
      <c r="BO164" s="63">
        <v>-1423356</v>
      </c>
      <c r="BP164" s="63">
        <v>-1423356</v>
      </c>
      <c r="BQ164" s="63">
        <v>0</v>
      </c>
      <c r="BR164" s="63">
        <v>0</v>
      </c>
      <c r="BS164" s="63">
        <v>0</v>
      </c>
      <c r="BT164" s="63">
        <v>-1423356</v>
      </c>
      <c r="BU164" s="63">
        <v>0</v>
      </c>
      <c r="BV164" s="63">
        <v>-1423356</v>
      </c>
      <c r="BW164" s="63">
        <v>-142222</v>
      </c>
      <c r="BX164" s="63">
        <v>0</v>
      </c>
      <c r="BY164" s="63">
        <v>-142222</v>
      </c>
      <c r="BZ164" s="63">
        <v>-4911</v>
      </c>
      <c r="CA164" s="63">
        <v>0</v>
      </c>
      <c r="CB164" s="63">
        <v>-4911</v>
      </c>
      <c r="CC164" s="63">
        <v>-7803</v>
      </c>
      <c r="CD164" s="63">
        <v>0</v>
      </c>
      <c r="CE164" s="63">
        <v>-7803</v>
      </c>
      <c r="CF164" s="63">
        <v>-3467</v>
      </c>
      <c r="CG164" s="63">
        <v>0</v>
      </c>
      <c r="CH164" s="63">
        <v>-3467</v>
      </c>
      <c r="CI164" s="63">
        <v>0</v>
      </c>
      <c r="CJ164" s="63">
        <v>0</v>
      </c>
      <c r="CK164" s="63">
        <v>0</v>
      </c>
      <c r="CL164" s="63">
        <v>0</v>
      </c>
      <c r="CM164" s="63">
        <v>0</v>
      </c>
      <c r="CN164" s="63">
        <v>0</v>
      </c>
      <c r="CO164" s="63">
        <v>0</v>
      </c>
      <c r="CP164" s="63">
        <v>0</v>
      </c>
      <c r="CQ164" s="63">
        <v>-158403</v>
      </c>
      <c r="CR164" s="63">
        <v>0</v>
      </c>
      <c r="CS164" s="63">
        <v>0</v>
      </c>
      <c r="CT164" s="63">
        <v>0</v>
      </c>
      <c r="CU164" s="63">
        <v>-158403</v>
      </c>
      <c r="CV164" s="63">
        <v>0</v>
      </c>
      <c r="CW164" s="63">
        <v>-158403</v>
      </c>
      <c r="CX164" s="63">
        <v>0</v>
      </c>
      <c r="CY164" s="63">
        <v>0</v>
      </c>
      <c r="CZ164" s="63">
        <v>0</v>
      </c>
      <c r="DA164" s="63">
        <v>-35875</v>
      </c>
      <c r="DB164" s="63">
        <v>0</v>
      </c>
      <c r="DC164" s="63">
        <v>-35875</v>
      </c>
      <c r="DD164" s="63">
        <v>-11877</v>
      </c>
      <c r="DE164" s="63">
        <v>0</v>
      </c>
      <c r="DF164" s="63">
        <v>-11877</v>
      </c>
      <c r="DG164" s="63">
        <v>-47752</v>
      </c>
      <c r="DH164" s="63">
        <v>0</v>
      </c>
      <c r="DI164" s="63">
        <v>0</v>
      </c>
      <c r="DJ164" s="63">
        <v>0</v>
      </c>
      <c r="DK164" s="63">
        <v>-47752</v>
      </c>
      <c r="DL164" s="63">
        <v>0</v>
      </c>
      <c r="DM164" s="63">
        <v>-47752</v>
      </c>
      <c r="DN164" s="63">
        <v>62081439</v>
      </c>
      <c r="DO164" s="63">
        <v>0</v>
      </c>
      <c r="DP164" s="63">
        <v>62081439</v>
      </c>
      <c r="DQ164" s="63"/>
      <c r="DR164" s="585"/>
    </row>
    <row r="165" spans="1:122" x14ac:dyDescent="0.2">
      <c r="A165" s="90">
        <v>158</v>
      </c>
      <c r="B165" s="129" t="s">
        <v>185</v>
      </c>
      <c r="C165" s="130" t="s">
        <v>742</v>
      </c>
      <c r="D165" s="131" t="s">
        <v>746</v>
      </c>
      <c r="E165" s="132" t="s">
        <v>184</v>
      </c>
      <c r="F165" s="475" t="s">
        <v>808</v>
      </c>
      <c r="G165" s="63">
        <v>36015772</v>
      </c>
      <c r="H165" s="63">
        <v>0</v>
      </c>
      <c r="I165" s="63">
        <v>36015772</v>
      </c>
      <c r="J165" s="608">
        <v>48.4</v>
      </c>
      <c r="K165" s="63">
        <v>17431634</v>
      </c>
      <c r="L165" s="63">
        <v>0</v>
      </c>
      <c r="M165" s="63">
        <v>-76878</v>
      </c>
      <c r="N165" s="63">
        <v>0</v>
      </c>
      <c r="O165" s="63">
        <v>17354756</v>
      </c>
      <c r="P165" s="63">
        <v>0</v>
      </c>
      <c r="Q165" s="63">
        <v>17354756</v>
      </c>
      <c r="R165" s="63">
        <v>0</v>
      </c>
      <c r="S165" s="63">
        <v>0</v>
      </c>
      <c r="T165" s="63">
        <v>0</v>
      </c>
      <c r="U165" s="63">
        <v>0</v>
      </c>
      <c r="V165" s="63">
        <v>0</v>
      </c>
      <c r="W165" s="63">
        <v>0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0</v>
      </c>
      <c r="AE165" s="63">
        <v>0</v>
      </c>
      <c r="AF165" s="63">
        <v>0</v>
      </c>
      <c r="AG165" s="63">
        <v>0</v>
      </c>
      <c r="AH165" s="63">
        <v>-1911306</v>
      </c>
      <c r="AI165" s="63">
        <v>0</v>
      </c>
      <c r="AJ165" s="63">
        <v>-1911306</v>
      </c>
      <c r="AK165" s="63">
        <v>-1960</v>
      </c>
      <c r="AL165" s="63">
        <v>0</v>
      </c>
      <c r="AM165" s="63">
        <v>-1960</v>
      </c>
      <c r="AN165" s="63">
        <v>332592</v>
      </c>
      <c r="AO165" s="63">
        <v>0</v>
      </c>
      <c r="AP165" s="63">
        <v>332592</v>
      </c>
      <c r="AQ165" s="63">
        <v>-1578714</v>
      </c>
      <c r="AR165" s="63">
        <v>0</v>
      </c>
      <c r="AS165" s="63">
        <v>-1578714</v>
      </c>
      <c r="AT165" s="63">
        <v>-814758</v>
      </c>
      <c r="AU165" s="63">
        <v>0</v>
      </c>
      <c r="AV165" s="63">
        <v>-814758</v>
      </c>
      <c r="AW165" s="63">
        <v>-43289</v>
      </c>
      <c r="AX165" s="63">
        <v>0</v>
      </c>
      <c r="AY165" s="63">
        <v>-43289</v>
      </c>
      <c r="AZ165" s="63">
        <v>-14276</v>
      </c>
      <c r="BA165" s="63">
        <v>0</v>
      </c>
      <c r="BB165" s="63">
        <v>-14276</v>
      </c>
      <c r="BC165" s="63">
        <v>-2451037</v>
      </c>
      <c r="BD165" s="63">
        <v>0</v>
      </c>
      <c r="BE165" s="63">
        <v>-20000</v>
      </c>
      <c r="BF165" s="63">
        <v>0</v>
      </c>
      <c r="BG165" s="63">
        <v>-2471037</v>
      </c>
      <c r="BH165" s="63">
        <v>0</v>
      </c>
      <c r="BI165" s="63">
        <v>-2471037</v>
      </c>
      <c r="BJ165" s="63">
        <v>-20000</v>
      </c>
      <c r="BK165" s="63">
        <v>0</v>
      </c>
      <c r="BL165" s="63">
        <v>-20000</v>
      </c>
      <c r="BM165" s="63">
        <v>-266152</v>
      </c>
      <c r="BN165" s="63">
        <v>0</v>
      </c>
      <c r="BO165" s="63">
        <v>-266152</v>
      </c>
      <c r="BP165" s="63">
        <v>-286152</v>
      </c>
      <c r="BQ165" s="63">
        <v>0</v>
      </c>
      <c r="BR165" s="63">
        <v>-85143</v>
      </c>
      <c r="BS165" s="63">
        <v>0</v>
      </c>
      <c r="BT165" s="63">
        <v>-371295</v>
      </c>
      <c r="BU165" s="63">
        <v>0</v>
      </c>
      <c r="BV165" s="63">
        <v>-371295</v>
      </c>
      <c r="BW165" s="63">
        <v>-31293</v>
      </c>
      <c r="BX165" s="63">
        <v>0</v>
      </c>
      <c r="BY165" s="63">
        <v>-31293</v>
      </c>
      <c r="BZ165" s="63">
        <v>-11653</v>
      </c>
      <c r="CA165" s="63">
        <v>0</v>
      </c>
      <c r="CB165" s="63">
        <v>-11653</v>
      </c>
      <c r="CC165" s="63">
        <v>0</v>
      </c>
      <c r="CD165" s="63">
        <v>0</v>
      </c>
      <c r="CE165" s="63">
        <v>0</v>
      </c>
      <c r="CF165" s="63">
        <v>0</v>
      </c>
      <c r="CG165" s="63">
        <v>0</v>
      </c>
      <c r="CH165" s="63">
        <v>0</v>
      </c>
      <c r="CI165" s="63">
        <v>0</v>
      </c>
      <c r="CJ165" s="63">
        <v>0</v>
      </c>
      <c r="CK165" s="63">
        <v>0</v>
      </c>
      <c r="CL165" s="63">
        <v>0</v>
      </c>
      <c r="CM165" s="63">
        <v>0</v>
      </c>
      <c r="CN165" s="63">
        <v>0</v>
      </c>
      <c r="CO165" s="63">
        <v>0</v>
      </c>
      <c r="CP165" s="63">
        <v>0</v>
      </c>
      <c r="CQ165" s="63">
        <v>-42946</v>
      </c>
      <c r="CR165" s="63">
        <v>0</v>
      </c>
      <c r="CS165" s="63">
        <v>-2590</v>
      </c>
      <c r="CT165" s="63">
        <v>0</v>
      </c>
      <c r="CU165" s="63">
        <v>-45536</v>
      </c>
      <c r="CV165" s="63">
        <v>0</v>
      </c>
      <c r="CW165" s="63">
        <v>-45536</v>
      </c>
      <c r="CX165" s="63">
        <v>0</v>
      </c>
      <c r="CY165" s="63">
        <v>0</v>
      </c>
      <c r="CZ165" s="63">
        <v>0</v>
      </c>
      <c r="DA165" s="63">
        <v>0</v>
      </c>
      <c r="DB165" s="63">
        <v>0</v>
      </c>
      <c r="DC165" s="63">
        <v>0</v>
      </c>
      <c r="DD165" s="63">
        <v>-8115</v>
      </c>
      <c r="DE165" s="63">
        <v>0</v>
      </c>
      <c r="DF165" s="63">
        <v>-8115</v>
      </c>
      <c r="DG165" s="63">
        <v>-8115</v>
      </c>
      <c r="DH165" s="63">
        <v>0</v>
      </c>
      <c r="DI165" s="63">
        <v>0</v>
      </c>
      <c r="DJ165" s="63">
        <v>0</v>
      </c>
      <c r="DK165" s="63">
        <v>-8115</v>
      </c>
      <c r="DL165" s="63">
        <v>0</v>
      </c>
      <c r="DM165" s="63">
        <v>-8115</v>
      </c>
      <c r="DN165" s="63">
        <v>14458773</v>
      </c>
      <c r="DO165" s="63">
        <v>0</v>
      </c>
      <c r="DP165" s="63">
        <v>14458773</v>
      </c>
      <c r="DQ165" s="63"/>
      <c r="DR165" s="585"/>
    </row>
    <row r="166" spans="1:122" x14ac:dyDescent="0.2">
      <c r="A166" s="90">
        <v>159</v>
      </c>
      <c r="B166" s="129" t="s">
        <v>186</v>
      </c>
      <c r="C166" s="130" t="s">
        <v>742</v>
      </c>
      <c r="D166" s="131" t="s">
        <v>752</v>
      </c>
      <c r="E166" s="132" t="s">
        <v>766</v>
      </c>
      <c r="F166" s="475" t="s">
        <v>808</v>
      </c>
      <c r="G166" s="63">
        <v>41782708</v>
      </c>
      <c r="H166" s="63">
        <v>0</v>
      </c>
      <c r="I166" s="63">
        <v>41782708</v>
      </c>
      <c r="J166" s="608">
        <v>48.4</v>
      </c>
      <c r="K166" s="63">
        <v>20222831</v>
      </c>
      <c r="L166" s="63">
        <v>0</v>
      </c>
      <c r="M166" s="63">
        <v>0</v>
      </c>
      <c r="N166" s="63">
        <v>0</v>
      </c>
      <c r="O166" s="63">
        <v>20222831</v>
      </c>
      <c r="P166" s="63">
        <v>0</v>
      </c>
      <c r="Q166" s="63">
        <v>20222831</v>
      </c>
      <c r="R166" s="63">
        <v>0</v>
      </c>
      <c r="S166" s="63">
        <v>0</v>
      </c>
      <c r="T166" s="63">
        <v>0</v>
      </c>
      <c r="U166" s="63">
        <v>0</v>
      </c>
      <c r="V166" s="63">
        <v>0</v>
      </c>
      <c r="W166" s="63">
        <v>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0</v>
      </c>
      <c r="AE166" s="63">
        <v>0</v>
      </c>
      <c r="AF166" s="63">
        <v>0</v>
      </c>
      <c r="AG166" s="63">
        <v>0</v>
      </c>
      <c r="AH166" s="63">
        <v>-2148760</v>
      </c>
      <c r="AI166" s="63">
        <v>0</v>
      </c>
      <c r="AJ166" s="63">
        <v>-2148760</v>
      </c>
      <c r="AK166" s="63">
        <v>-7099</v>
      </c>
      <c r="AL166" s="63">
        <v>0</v>
      </c>
      <c r="AM166" s="63">
        <v>-7099</v>
      </c>
      <c r="AN166" s="63">
        <v>401275</v>
      </c>
      <c r="AO166" s="63">
        <v>0</v>
      </c>
      <c r="AP166" s="63">
        <v>401275</v>
      </c>
      <c r="AQ166" s="63">
        <v>-1747485</v>
      </c>
      <c r="AR166" s="63">
        <v>0</v>
      </c>
      <c r="AS166" s="63">
        <v>-1747485</v>
      </c>
      <c r="AT166" s="63">
        <v>-1667958</v>
      </c>
      <c r="AU166" s="63">
        <v>0</v>
      </c>
      <c r="AV166" s="63">
        <v>-1667958</v>
      </c>
      <c r="AW166" s="63">
        <v>-149955</v>
      </c>
      <c r="AX166" s="63">
        <v>0</v>
      </c>
      <c r="AY166" s="63">
        <v>-149955</v>
      </c>
      <c r="AZ166" s="63">
        <v>-59143</v>
      </c>
      <c r="BA166" s="63">
        <v>0</v>
      </c>
      <c r="BB166" s="63">
        <v>-59143</v>
      </c>
      <c r="BC166" s="63">
        <v>-3624541</v>
      </c>
      <c r="BD166" s="63">
        <v>0</v>
      </c>
      <c r="BE166" s="63">
        <v>0</v>
      </c>
      <c r="BF166" s="63">
        <v>0</v>
      </c>
      <c r="BG166" s="63">
        <v>-3624541</v>
      </c>
      <c r="BH166" s="63">
        <v>0</v>
      </c>
      <c r="BI166" s="63">
        <v>-3624541</v>
      </c>
      <c r="BJ166" s="63">
        <v>0</v>
      </c>
      <c r="BK166" s="63">
        <v>0</v>
      </c>
      <c r="BL166" s="63">
        <v>0</v>
      </c>
      <c r="BM166" s="63">
        <v>-303432</v>
      </c>
      <c r="BN166" s="63">
        <v>0</v>
      </c>
      <c r="BO166" s="63">
        <v>-303432</v>
      </c>
      <c r="BP166" s="63">
        <v>-303432</v>
      </c>
      <c r="BQ166" s="63">
        <v>0</v>
      </c>
      <c r="BR166" s="63">
        <v>0</v>
      </c>
      <c r="BS166" s="63">
        <v>0</v>
      </c>
      <c r="BT166" s="63">
        <v>-303432</v>
      </c>
      <c r="BU166" s="63">
        <v>0</v>
      </c>
      <c r="BV166" s="63">
        <v>-303432</v>
      </c>
      <c r="BW166" s="63">
        <v>-88109</v>
      </c>
      <c r="BX166" s="63">
        <v>0</v>
      </c>
      <c r="BY166" s="63">
        <v>-88109</v>
      </c>
      <c r="BZ166" s="63">
        <v>-61040</v>
      </c>
      <c r="CA166" s="63">
        <v>0</v>
      </c>
      <c r="CB166" s="63">
        <v>-61040</v>
      </c>
      <c r="CC166" s="63">
        <v>-37400</v>
      </c>
      <c r="CD166" s="63">
        <v>0</v>
      </c>
      <c r="CE166" s="63">
        <v>-37400</v>
      </c>
      <c r="CF166" s="63">
        <v>-33985</v>
      </c>
      <c r="CG166" s="63">
        <v>0</v>
      </c>
      <c r="CH166" s="63">
        <v>-33985</v>
      </c>
      <c r="CI166" s="63">
        <v>-30098</v>
      </c>
      <c r="CJ166" s="63">
        <v>0</v>
      </c>
      <c r="CK166" s="63">
        <v>-30098</v>
      </c>
      <c r="CL166" s="63">
        <v>0</v>
      </c>
      <c r="CM166" s="63">
        <v>0</v>
      </c>
      <c r="CN166" s="63">
        <v>0</v>
      </c>
      <c r="CO166" s="63">
        <v>0</v>
      </c>
      <c r="CP166" s="63">
        <v>0</v>
      </c>
      <c r="CQ166" s="63">
        <v>-250632</v>
      </c>
      <c r="CR166" s="63">
        <v>0</v>
      </c>
      <c r="CS166" s="63">
        <v>0</v>
      </c>
      <c r="CT166" s="63">
        <v>0</v>
      </c>
      <c r="CU166" s="63">
        <v>-250632</v>
      </c>
      <c r="CV166" s="63">
        <v>0</v>
      </c>
      <c r="CW166" s="63">
        <v>-250632</v>
      </c>
      <c r="CX166" s="63">
        <v>0</v>
      </c>
      <c r="CY166" s="63">
        <v>0</v>
      </c>
      <c r="CZ166" s="63">
        <v>0</v>
      </c>
      <c r="DA166" s="63">
        <v>-4162</v>
      </c>
      <c r="DB166" s="63">
        <v>0</v>
      </c>
      <c r="DC166" s="63">
        <v>-4162</v>
      </c>
      <c r="DD166" s="63">
        <v>-4061</v>
      </c>
      <c r="DE166" s="63">
        <v>0</v>
      </c>
      <c r="DF166" s="63">
        <v>-4061</v>
      </c>
      <c r="DG166" s="63">
        <v>-8223</v>
      </c>
      <c r="DH166" s="63">
        <v>0</v>
      </c>
      <c r="DI166" s="63">
        <v>0</v>
      </c>
      <c r="DJ166" s="63">
        <v>0</v>
      </c>
      <c r="DK166" s="63">
        <v>-8223</v>
      </c>
      <c r="DL166" s="63">
        <v>0</v>
      </c>
      <c r="DM166" s="63">
        <v>-8223</v>
      </c>
      <c r="DN166" s="63">
        <v>16036003</v>
      </c>
      <c r="DO166" s="63">
        <v>0</v>
      </c>
      <c r="DP166" s="63">
        <v>16036003</v>
      </c>
      <c r="DQ166" s="63"/>
      <c r="DR166" s="585"/>
    </row>
    <row r="167" spans="1:122" x14ac:dyDescent="0.2">
      <c r="A167" s="90">
        <v>160</v>
      </c>
      <c r="B167" s="129" t="s">
        <v>188</v>
      </c>
      <c r="C167" s="130" t="s">
        <v>749</v>
      </c>
      <c r="D167" s="131" t="s">
        <v>744</v>
      </c>
      <c r="E167" s="132" t="s">
        <v>187</v>
      </c>
      <c r="F167" s="475" t="s">
        <v>808</v>
      </c>
      <c r="G167" s="63">
        <v>820051898</v>
      </c>
      <c r="H167" s="63">
        <v>26637565</v>
      </c>
      <c r="I167" s="63">
        <v>846689463</v>
      </c>
      <c r="J167" s="608">
        <v>48.4</v>
      </c>
      <c r="K167" s="63">
        <v>396905119</v>
      </c>
      <c r="L167" s="63">
        <v>12892581</v>
      </c>
      <c r="M167" s="63">
        <v>4750000</v>
      </c>
      <c r="N167" s="63">
        <v>0</v>
      </c>
      <c r="O167" s="63">
        <v>401655119</v>
      </c>
      <c r="P167" s="63">
        <v>12892581</v>
      </c>
      <c r="Q167" s="63">
        <v>414547700</v>
      </c>
      <c r="R167" s="63">
        <v>0</v>
      </c>
      <c r="S167" s="63">
        <v>0</v>
      </c>
      <c r="T167" s="63">
        <v>0</v>
      </c>
      <c r="U167" s="63">
        <v>0</v>
      </c>
      <c r="V167" s="63">
        <v>0</v>
      </c>
      <c r="W167" s="63">
        <v>0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0</v>
      </c>
      <c r="AE167" s="63">
        <v>0</v>
      </c>
      <c r="AF167" s="63">
        <v>0</v>
      </c>
      <c r="AG167" s="63">
        <v>0</v>
      </c>
      <c r="AH167" s="63">
        <v>-10965240</v>
      </c>
      <c r="AI167" s="63">
        <v>-101263</v>
      </c>
      <c r="AJ167" s="63">
        <v>-11066503</v>
      </c>
      <c r="AK167" s="63">
        <v>0</v>
      </c>
      <c r="AL167" s="63">
        <v>0</v>
      </c>
      <c r="AM167" s="63">
        <v>0</v>
      </c>
      <c r="AN167" s="63">
        <v>9620088</v>
      </c>
      <c r="AO167" s="63">
        <v>326159</v>
      </c>
      <c r="AP167" s="63">
        <v>9946247</v>
      </c>
      <c r="AQ167" s="63">
        <v>-1345152</v>
      </c>
      <c r="AR167" s="63">
        <v>224896</v>
      </c>
      <c r="AS167" s="63">
        <v>-1120256</v>
      </c>
      <c r="AT167" s="63">
        <v>-23512724</v>
      </c>
      <c r="AU167" s="63">
        <v>-330147</v>
      </c>
      <c r="AV167" s="63">
        <v>-23842871</v>
      </c>
      <c r="AW167" s="63">
        <v>-111344</v>
      </c>
      <c r="AX167" s="63">
        <v>0</v>
      </c>
      <c r="AY167" s="63">
        <v>-111344</v>
      </c>
      <c r="AZ167" s="63">
        <v>0</v>
      </c>
      <c r="BA167" s="63">
        <v>0</v>
      </c>
      <c r="BB167" s="63">
        <v>0</v>
      </c>
      <c r="BC167" s="63">
        <v>-24969220</v>
      </c>
      <c r="BD167" s="63">
        <v>-105251</v>
      </c>
      <c r="BE167" s="63">
        <v>0</v>
      </c>
      <c r="BF167" s="63">
        <v>0</v>
      </c>
      <c r="BG167" s="63">
        <v>-24969220</v>
      </c>
      <c r="BH167" s="63">
        <v>-105251</v>
      </c>
      <c r="BI167" s="63">
        <v>-25074471</v>
      </c>
      <c r="BJ167" s="63">
        <v>0</v>
      </c>
      <c r="BK167" s="63">
        <v>0</v>
      </c>
      <c r="BL167" s="63">
        <v>0</v>
      </c>
      <c r="BM167" s="63">
        <v>-31091709</v>
      </c>
      <c r="BN167" s="63">
        <v>-172941</v>
      </c>
      <c r="BO167" s="63">
        <v>-31264650</v>
      </c>
      <c r="BP167" s="63">
        <v>-31091709</v>
      </c>
      <c r="BQ167" s="63">
        <v>-172941</v>
      </c>
      <c r="BR167" s="63">
        <v>0</v>
      </c>
      <c r="BS167" s="63">
        <v>0</v>
      </c>
      <c r="BT167" s="63">
        <v>-31091709</v>
      </c>
      <c r="BU167" s="63">
        <v>-172941</v>
      </c>
      <c r="BV167" s="63">
        <v>-31264650</v>
      </c>
      <c r="BW167" s="63">
        <v>-2938254</v>
      </c>
      <c r="BX167" s="63">
        <v>0</v>
      </c>
      <c r="BY167" s="63">
        <v>-2938254</v>
      </c>
      <c r="BZ167" s="63">
        <v>-165875</v>
      </c>
      <c r="CA167" s="63">
        <v>0</v>
      </c>
      <c r="CB167" s="63">
        <v>-165875</v>
      </c>
      <c r="CC167" s="63">
        <v>0</v>
      </c>
      <c r="CD167" s="63">
        <v>0</v>
      </c>
      <c r="CE167" s="63">
        <v>0</v>
      </c>
      <c r="CF167" s="63">
        <v>0</v>
      </c>
      <c r="CG167" s="63">
        <v>0</v>
      </c>
      <c r="CH167" s="63">
        <v>0</v>
      </c>
      <c r="CI167" s="63">
        <v>0</v>
      </c>
      <c r="CJ167" s="63">
        <v>0</v>
      </c>
      <c r="CK167" s="63">
        <v>0</v>
      </c>
      <c r="CL167" s="63">
        <v>0</v>
      </c>
      <c r="CM167" s="63">
        <v>-1533306</v>
      </c>
      <c r="CN167" s="63">
        <v>-1533306</v>
      </c>
      <c r="CO167" s="63">
        <v>-1533306</v>
      </c>
      <c r="CP167" s="63">
        <v>0</v>
      </c>
      <c r="CQ167" s="63">
        <v>-3104129</v>
      </c>
      <c r="CR167" s="63">
        <v>-1533306</v>
      </c>
      <c r="CS167" s="63">
        <v>0</v>
      </c>
      <c r="CT167" s="63">
        <v>0</v>
      </c>
      <c r="CU167" s="63">
        <v>-3104129</v>
      </c>
      <c r="CV167" s="63">
        <v>-1533306</v>
      </c>
      <c r="CW167" s="63">
        <v>-4637435</v>
      </c>
      <c r="CX167" s="63">
        <v>0</v>
      </c>
      <c r="CY167" s="63">
        <v>0</v>
      </c>
      <c r="CZ167" s="63">
        <v>0</v>
      </c>
      <c r="DA167" s="63">
        <v>-175092</v>
      </c>
      <c r="DB167" s="63">
        <v>0</v>
      </c>
      <c r="DC167" s="63">
        <v>-175092</v>
      </c>
      <c r="DD167" s="63">
        <v>0</v>
      </c>
      <c r="DE167" s="63">
        <v>0</v>
      </c>
      <c r="DF167" s="63">
        <v>0</v>
      </c>
      <c r="DG167" s="63">
        <v>-175092</v>
      </c>
      <c r="DH167" s="63">
        <v>0</v>
      </c>
      <c r="DI167" s="63">
        <v>0</v>
      </c>
      <c r="DJ167" s="63">
        <v>0</v>
      </c>
      <c r="DK167" s="63">
        <v>-175092</v>
      </c>
      <c r="DL167" s="63">
        <v>0</v>
      </c>
      <c r="DM167" s="63">
        <v>-175092</v>
      </c>
      <c r="DN167" s="63">
        <v>342314969</v>
      </c>
      <c r="DO167" s="63">
        <v>11081083</v>
      </c>
      <c r="DP167" s="63">
        <v>353396052</v>
      </c>
      <c r="DQ167" s="63"/>
      <c r="DR167" s="585" t="s">
        <v>768</v>
      </c>
    </row>
    <row r="168" spans="1:122" x14ac:dyDescent="0.2">
      <c r="A168" s="90">
        <v>161</v>
      </c>
      <c r="B168" s="129" t="s">
        <v>190</v>
      </c>
      <c r="C168" s="130" t="s">
        <v>742</v>
      </c>
      <c r="D168" s="131" t="s">
        <v>745</v>
      </c>
      <c r="E168" s="132" t="s">
        <v>189</v>
      </c>
      <c r="F168" s="475" t="s">
        <v>808</v>
      </c>
      <c r="G168" s="63">
        <v>71058868</v>
      </c>
      <c r="H168" s="63">
        <v>0</v>
      </c>
      <c r="I168" s="63">
        <v>71058868</v>
      </c>
      <c r="J168" s="608">
        <v>48.4</v>
      </c>
      <c r="K168" s="63">
        <v>34392492</v>
      </c>
      <c r="L168" s="63">
        <v>0</v>
      </c>
      <c r="M168" s="63">
        <v>0</v>
      </c>
      <c r="N168" s="63">
        <v>0</v>
      </c>
      <c r="O168" s="63">
        <v>34392492</v>
      </c>
      <c r="P168" s="63">
        <v>0</v>
      </c>
      <c r="Q168" s="63">
        <v>34392492</v>
      </c>
      <c r="R168" s="63">
        <v>0</v>
      </c>
      <c r="S168" s="63">
        <v>0</v>
      </c>
      <c r="T168" s="63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0</v>
      </c>
      <c r="AE168" s="63">
        <v>0</v>
      </c>
      <c r="AF168" s="63">
        <v>0</v>
      </c>
      <c r="AG168" s="63">
        <v>0</v>
      </c>
      <c r="AH168" s="63">
        <v>-1868140</v>
      </c>
      <c r="AI168" s="63">
        <v>0</v>
      </c>
      <c r="AJ168" s="63">
        <v>-1868140</v>
      </c>
      <c r="AK168" s="63">
        <v>-2864</v>
      </c>
      <c r="AL168" s="63">
        <v>0</v>
      </c>
      <c r="AM168" s="63">
        <v>-2864</v>
      </c>
      <c r="AN168" s="63">
        <v>786259</v>
      </c>
      <c r="AO168" s="63">
        <v>0</v>
      </c>
      <c r="AP168" s="63">
        <v>786259</v>
      </c>
      <c r="AQ168" s="63">
        <v>-1081881</v>
      </c>
      <c r="AR168" s="63">
        <v>0</v>
      </c>
      <c r="AS168" s="63">
        <v>-1081881</v>
      </c>
      <c r="AT168" s="63">
        <v>-2120271</v>
      </c>
      <c r="AU168" s="63">
        <v>0</v>
      </c>
      <c r="AV168" s="63">
        <v>-2120271</v>
      </c>
      <c r="AW168" s="63">
        <v>-13717</v>
      </c>
      <c r="AX168" s="63">
        <v>0</v>
      </c>
      <c r="AY168" s="63">
        <v>-13717</v>
      </c>
      <c r="AZ168" s="63">
        <v>0</v>
      </c>
      <c r="BA168" s="63">
        <v>0</v>
      </c>
      <c r="BB168" s="63">
        <v>0</v>
      </c>
      <c r="BC168" s="63">
        <v>-3215869</v>
      </c>
      <c r="BD168" s="63">
        <v>0</v>
      </c>
      <c r="BE168" s="63">
        <v>-88000</v>
      </c>
      <c r="BF168" s="63">
        <v>0</v>
      </c>
      <c r="BG168" s="63">
        <v>-3303869</v>
      </c>
      <c r="BH168" s="63">
        <v>0</v>
      </c>
      <c r="BI168" s="63">
        <v>-3303869</v>
      </c>
      <c r="BJ168" s="63">
        <v>0</v>
      </c>
      <c r="BK168" s="63">
        <v>0</v>
      </c>
      <c r="BL168" s="63">
        <v>0</v>
      </c>
      <c r="BM168" s="63">
        <v>-762583</v>
      </c>
      <c r="BN168" s="63">
        <v>0</v>
      </c>
      <c r="BO168" s="63">
        <v>-762583</v>
      </c>
      <c r="BP168" s="63">
        <v>-762583</v>
      </c>
      <c r="BQ168" s="63">
        <v>0</v>
      </c>
      <c r="BR168" s="63">
        <v>0</v>
      </c>
      <c r="BS168" s="63">
        <v>0</v>
      </c>
      <c r="BT168" s="63">
        <v>-762583</v>
      </c>
      <c r="BU168" s="63">
        <v>0</v>
      </c>
      <c r="BV168" s="63">
        <v>-762583</v>
      </c>
      <c r="BW168" s="63">
        <v>-9000</v>
      </c>
      <c r="BX168" s="63">
        <v>0</v>
      </c>
      <c r="BY168" s="63">
        <v>-9000</v>
      </c>
      <c r="BZ168" s="63">
        <v>-112703</v>
      </c>
      <c r="CA168" s="63">
        <v>0</v>
      </c>
      <c r="CB168" s="63">
        <v>-112703</v>
      </c>
      <c r="CC168" s="63">
        <v>0</v>
      </c>
      <c r="CD168" s="63">
        <v>0</v>
      </c>
      <c r="CE168" s="63">
        <v>0</v>
      </c>
      <c r="CF168" s="63">
        <v>0</v>
      </c>
      <c r="CG168" s="63">
        <v>0</v>
      </c>
      <c r="CH168" s="63">
        <v>0</v>
      </c>
      <c r="CI168" s="63">
        <v>0</v>
      </c>
      <c r="CJ168" s="63">
        <v>0</v>
      </c>
      <c r="CK168" s="63">
        <v>0</v>
      </c>
      <c r="CL168" s="63">
        <v>0</v>
      </c>
      <c r="CM168" s="63">
        <v>0</v>
      </c>
      <c r="CN168" s="63">
        <v>0</v>
      </c>
      <c r="CO168" s="63">
        <v>0</v>
      </c>
      <c r="CP168" s="63">
        <v>0</v>
      </c>
      <c r="CQ168" s="63">
        <v>-121703</v>
      </c>
      <c r="CR168" s="63">
        <v>0</v>
      </c>
      <c r="CS168" s="63">
        <v>0</v>
      </c>
      <c r="CT168" s="63">
        <v>0</v>
      </c>
      <c r="CU168" s="63">
        <v>-121703</v>
      </c>
      <c r="CV168" s="63">
        <v>0</v>
      </c>
      <c r="CW168" s="63">
        <v>-121703</v>
      </c>
      <c r="CX168" s="63">
        <v>0</v>
      </c>
      <c r="CY168" s="63">
        <v>0</v>
      </c>
      <c r="CZ168" s="63">
        <v>0</v>
      </c>
      <c r="DA168" s="63">
        <v>-5218</v>
      </c>
      <c r="DB168" s="63">
        <v>0</v>
      </c>
      <c r="DC168" s="63">
        <v>-5218</v>
      </c>
      <c r="DD168" s="63">
        <v>0</v>
      </c>
      <c r="DE168" s="63">
        <v>0</v>
      </c>
      <c r="DF168" s="63">
        <v>0</v>
      </c>
      <c r="DG168" s="63">
        <v>-5218</v>
      </c>
      <c r="DH168" s="63">
        <v>0</v>
      </c>
      <c r="DI168" s="63">
        <v>0</v>
      </c>
      <c r="DJ168" s="63">
        <v>0</v>
      </c>
      <c r="DK168" s="63">
        <v>-5218</v>
      </c>
      <c r="DL168" s="63">
        <v>0</v>
      </c>
      <c r="DM168" s="63">
        <v>-5218</v>
      </c>
      <c r="DN168" s="63">
        <v>30199119</v>
      </c>
      <c r="DO168" s="63">
        <v>0</v>
      </c>
      <c r="DP168" s="63">
        <v>30199119</v>
      </c>
      <c r="DQ168" s="63"/>
      <c r="DR168" s="585"/>
    </row>
    <row r="169" spans="1:122" x14ac:dyDescent="0.2">
      <c r="A169" s="90">
        <v>162</v>
      </c>
      <c r="B169" s="129" t="s">
        <v>191</v>
      </c>
      <c r="C169" s="130" t="s">
        <v>501</v>
      </c>
      <c r="D169" s="131" t="s">
        <v>743</v>
      </c>
      <c r="E169" s="132" t="s">
        <v>536</v>
      </c>
      <c r="F169" s="475" t="s">
        <v>808</v>
      </c>
      <c r="G169" s="63">
        <v>218376454</v>
      </c>
      <c r="H169" s="63">
        <v>0</v>
      </c>
      <c r="I169" s="63">
        <v>218376454</v>
      </c>
      <c r="J169" s="608">
        <v>48.4</v>
      </c>
      <c r="K169" s="63">
        <v>105694204</v>
      </c>
      <c r="L169" s="63">
        <v>0</v>
      </c>
      <c r="M169" s="63">
        <v>0</v>
      </c>
      <c r="N169" s="63">
        <v>0</v>
      </c>
      <c r="O169" s="63">
        <v>105694204</v>
      </c>
      <c r="P169" s="63">
        <v>0</v>
      </c>
      <c r="Q169" s="63">
        <v>105694204</v>
      </c>
      <c r="R169" s="63">
        <v>0</v>
      </c>
      <c r="S169" s="63">
        <v>0</v>
      </c>
      <c r="T169" s="63">
        <v>0</v>
      </c>
      <c r="U169" s="63">
        <v>0</v>
      </c>
      <c r="V169" s="63">
        <v>0</v>
      </c>
      <c r="W169" s="63">
        <v>0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0</v>
      </c>
      <c r="AE169" s="63">
        <v>0</v>
      </c>
      <c r="AF169" s="63">
        <v>0</v>
      </c>
      <c r="AG169" s="63">
        <v>0</v>
      </c>
      <c r="AH169" s="63">
        <v>-4171460</v>
      </c>
      <c r="AI169" s="63">
        <v>0</v>
      </c>
      <c r="AJ169" s="63">
        <v>-4171460</v>
      </c>
      <c r="AK169" s="63">
        <v>-14344</v>
      </c>
      <c r="AL169" s="63">
        <v>0</v>
      </c>
      <c r="AM169" s="63">
        <v>-14344</v>
      </c>
      <c r="AN169" s="63">
        <v>2643438</v>
      </c>
      <c r="AO169" s="63">
        <v>0</v>
      </c>
      <c r="AP169" s="63">
        <v>2643438</v>
      </c>
      <c r="AQ169" s="63">
        <v>-1528022</v>
      </c>
      <c r="AR169" s="63">
        <v>0</v>
      </c>
      <c r="AS169" s="63">
        <v>-1528022</v>
      </c>
      <c r="AT169" s="63">
        <v>-7339909</v>
      </c>
      <c r="AU169" s="63">
        <v>0</v>
      </c>
      <c r="AV169" s="63">
        <v>-7339909</v>
      </c>
      <c r="AW169" s="63">
        <v>-103421</v>
      </c>
      <c r="AX169" s="63">
        <v>0</v>
      </c>
      <c r="AY169" s="63">
        <v>-103421</v>
      </c>
      <c r="AZ169" s="63">
        <v>-3926</v>
      </c>
      <c r="BA169" s="63">
        <v>0</v>
      </c>
      <c r="BB169" s="63">
        <v>-3926</v>
      </c>
      <c r="BC169" s="63">
        <v>-8975278</v>
      </c>
      <c r="BD169" s="63">
        <v>0</v>
      </c>
      <c r="BE169" s="63">
        <v>0</v>
      </c>
      <c r="BF169" s="63">
        <v>0</v>
      </c>
      <c r="BG169" s="63">
        <v>-8975278</v>
      </c>
      <c r="BH169" s="63">
        <v>0</v>
      </c>
      <c r="BI169" s="63">
        <v>-8975278</v>
      </c>
      <c r="BJ169" s="63">
        <v>-50000</v>
      </c>
      <c r="BK169" s="63">
        <v>0</v>
      </c>
      <c r="BL169" s="63">
        <v>-50000</v>
      </c>
      <c r="BM169" s="63">
        <v>-1863460</v>
      </c>
      <c r="BN169" s="63">
        <v>0</v>
      </c>
      <c r="BO169" s="63">
        <v>-1863460</v>
      </c>
      <c r="BP169" s="63">
        <v>-1913460</v>
      </c>
      <c r="BQ169" s="63">
        <v>0</v>
      </c>
      <c r="BR169" s="63">
        <v>0</v>
      </c>
      <c r="BS169" s="63">
        <v>0</v>
      </c>
      <c r="BT169" s="63">
        <v>-1913460</v>
      </c>
      <c r="BU169" s="63">
        <v>0</v>
      </c>
      <c r="BV169" s="63">
        <v>-1913460</v>
      </c>
      <c r="BW169" s="63">
        <v>-369809</v>
      </c>
      <c r="BX169" s="63">
        <v>0</v>
      </c>
      <c r="BY169" s="63">
        <v>-369809</v>
      </c>
      <c r="BZ169" s="63">
        <v>-201534</v>
      </c>
      <c r="CA169" s="63">
        <v>0</v>
      </c>
      <c r="CB169" s="63">
        <v>-201534</v>
      </c>
      <c r="CC169" s="63">
        <v>-23320</v>
      </c>
      <c r="CD169" s="63">
        <v>0</v>
      </c>
      <c r="CE169" s="63">
        <v>-23320</v>
      </c>
      <c r="CF169" s="63">
        <v>-2420</v>
      </c>
      <c r="CG169" s="63">
        <v>0</v>
      </c>
      <c r="CH169" s="63">
        <v>-2420</v>
      </c>
      <c r="CI169" s="63">
        <v>0</v>
      </c>
      <c r="CJ169" s="63">
        <v>0</v>
      </c>
      <c r="CK169" s="63">
        <v>0</v>
      </c>
      <c r="CL169" s="63">
        <v>0</v>
      </c>
      <c r="CM169" s="63">
        <v>0</v>
      </c>
      <c r="CN169" s="63">
        <v>0</v>
      </c>
      <c r="CO169" s="63">
        <v>0</v>
      </c>
      <c r="CP169" s="63">
        <v>0</v>
      </c>
      <c r="CQ169" s="63">
        <v>-597083</v>
      </c>
      <c r="CR169" s="63">
        <v>0</v>
      </c>
      <c r="CS169" s="63">
        <v>150000</v>
      </c>
      <c r="CT169" s="63">
        <v>0</v>
      </c>
      <c r="CU169" s="63">
        <v>-447083</v>
      </c>
      <c r="CV169" s="63">
        <v>0</v>
      </c>
      <c r="CW169" s="63">
        <v>-447083</v>
      </c>
      <c r="CX169" s="63">
        <v>-186151</v>
      </c>
      <c r="CY169" s="63">
        <v>0</v>
      </c>
      <c r="CZ169" s="63">
        <v>-186151</v>
      </c>
      <c r="DA169" s="63">
        <v>-29945</v>
      </c>
      <c r="DB169" s="63">
        <v>0</v>
      </c>
      <c r="DC169" s="63">
        <v>-29945</v>
      </c>
      <c r="DD169" s="63">
        <v>-18281</v>
      </c>
      <c r="DE169" s="63">
        <v>0</v>
      </c>
      <c r="DF169" s="63">
        <v>-18281</v>
      </c>
      <c r="DG169" s="63">
        <v>-234377</v>
      </c>
      <c r="DH169" s="63">
        <v>0</v>
      </c>
      <c r="DI169" s="63">
        <v>0</v>
      </c>
      <c r="DJ169" s="63">
        <v>0</v>
      </c>
      <c r="DK169" s="63">
        <v>-234377</v>
      </c>
      <c r="DL169" s="63">
        <v>0</v>
      </c>
      <c r="DM169" s="63">
        <v>-234377</v>
      </c>
      <c r="DN169" s="63">
        <v>94124006</v>
      </c>
      <c r="DO169" s="63">
        <v>0</v>
      </c>
      <c r="DP169" s="63">
        <v>94124006</v>
      </c>
      <c r="DQ169" s="63"/>
      <c r="DR169" s="585"/>
    </row>
    <row r="170" spans="1:122" ht="12.75" x14ac:dyDescent="0.2">
      <c r="A170" s="90">
        <v>163</v>
      </c>
      <c r="B170" s="129" t="s">
        <v>193</v>
      </c>
      <c r="C170" s="130" t="s">
        <v>742</v>
      </c>
      <c r="D170" s="131" t="s">
        <v>745</v>
      </c>
      <c r="E170" s="132" t="s">
        <v>192</v>
      </c>
      <c r="F170" s="475" t="s">
        <v>808</v>
      </c>
      <c r="G170" s="63">
        <v>34619993</v>
      </c>
      <c r="H170" s="63">
        <v>0</v>
      </c>
      <c r="I170" s="63">
        <v>34619993</v>
      </c>
      <c r="J170" s="608">
        <v>48.4</v>
      </c>
      <c r="K170" s="63">
        <v>16756077</v>
      </c>
      <c r="L170" s="63">
        <v>0</v>
      </c>
      <c r="M170" s="63">
        <v>-74578</v>
      </c>
      <c r="N170" s="63">
        <v>0</v>
      </c>
      <c r="O170" s="63">
        <v>16681499</v>
      </c>
      <c r="P170" s="63">
        <v>0</v>
      </c>
      <c r="Q170" s="63">
        <v>16681499</v>
      </c>
      <c r="R170" s="63">
        <v>0</v>
      </c>
      <c r="S170" s="63">
        <v>0</v>
      </c>
      <c r="T170" s="63">
        <v>0</v>
      </c>
      <c r="U170" s="63">
        <v>0</v>
      </c>
      <c r="V170" s="63">
        <v>0</v>
      </c>
      <c r="W170" s="63">
        <v>0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0</v>
      </c>
      <c r="AE170" s="63">
        <v>0</v>
      </c>
      <c r="AF170" s="63">
        <v>0</v>
      </c>
      <c r="AG170" s="63">
        <v>0</v>
      </c>
      <c r="AH170" s="63">
        <v>-1352400</v>
      </c>
      <c r="AI170" s="63">
        <v>0</v>
      </c>
      <c r="AJ170" s="63">
        <v>-1352400</v>
      </c>
      <c r="AK170" s="63">
        <v>-1756</v>
      </c>
      <c r="AL170" s="63">
        <v>0</v>
      </c>
      <c r="AM170" s="63">
        <v>-1756</v>
      </c>
      <c r="AN170" s="63">
        <v>407000</v>
      </c>
      <c r="AO170" s="63">
        <v>0</v>
      </c>
      <c r="AP170" s="63">
        <v>407000</v>
      </c>
      <c r="AQ170" s="63">
        <v>-945400</v>
      </c>
      <c r="AR170" s="63">
        <v>0</v>
      </c>
      <c r="AS170" s="63">
        <v>-945400</v>
      </c>
      <c r="AT170" s="63">
        <v>-1354100</v>
      </c>
      <c r="AU170" s="63">
        <v>0</v>
      </c>
      <c r="AV170" s="63">
        <v>-1354100</v>
      </c>
      <c r="AW170" s="63">
        <v>-35471</v>
      </c>
      <c r="AX170" s="63">
        <v>0</v>
      </c>
      <c r="AY170" s="63">
        <v>-35471</v>
      </c>
      <c r="AZ170" s="63">
        <v>-25704</v>
      </c>
      <c r="BA170" s="63">
        <v>0</v>
      </c>
      <c r="BB170" s="63">
        <v>-25704</v>
      </c>
      <c r="BC170" s="63">
        <v>-2360675</v>
      </c>
      <c r="BD170" s="63">
        <v>0</v>
      </c>
      <c r="BE170" s="63">
        <v>0</v>
      </c>
      <c r="BF170" s="63">
        <v>0</v>
      </c>
      <c r="BG170" s="63">
        <v>-2360675</v>
      </c>
      <c r="BH170" s="63">
        <v>0</v>
      </c>
      <c r="BI170" s="63">
        <v>-2360675</v>
      </c>
      <c r="BJ170" s="63">
        <v>-10000</v>
      </c>
      <c r="BK170" s="63">
        <v>0</v>
      </c>
      <c r="BL170" s="63">
        <v>-10000</v>
      </c>
      <c r="BM170" s="63">
        <v>-252000</v>
      </c>
      <c r="BN170" s="63">
        <v>0</v>
      </c>
      <c r="BO170" s="63">
        <v>-252000</v>
      </c>
      <c r="BP170" s="63">
        <v>-262000</v>
      </c>
      <c r="BQ170" s="63">
        <v>0</v>
      </c>
      <c r="BR170" s="63">
        <v>0</v>
      </c>
      <c r="BS170" s="63">
        <v>0</v>
      </c>
      <c r="BT170" s="63">
        <v>-262000</v>
      </c>
      <c r="BU170" s="63">
        <v>0</v>
      </c>
      <c r="BV170" s="63">
        <v>-262000</v>
      </c>
      <c r="BW170" s="63">
        <v>-14280</v>
      </c>
      <c r="BX170" s="63">
        <v>0</v>
      </c>
      <c r="BY170" s="63">
        <v>-14280</v>
      </c>
      <c r="BZ170" s="63">
        <v>-31860</v>
      </c>
      <c r="CA170" s="63">
        <v>0</v>
      </c>
      <c r="CB170" s="63">
        <v>-31860</v>
      </c>
      <c r="CC170" s="63">
        <v>-308</v>
      </c>
      <c r="CD170" s="63">
        <v>0</v>
      </c>
      <c r="CE170" s="63">
        <v>-308</v>
      </c>
      <c r="CF170" s="63">
        <v>-7752</v>
      </c>
      <c r="CG170" s="63">
        <v>0</v>
      </c>
      <c r="CH170" s="63">
        <v>-7752</v>
      </c>
      <c r="CI170" s="63">
        <v>-1236</v>
      </c>
      <c r="CJ170" s="63">
        <v>0</v>
      </c>
      <c r="CK170" s="63">
        <v>-1236</v>
      </c>
      <c r="CL170" s="63">
        <v>-50000</v>
      </c>
      <c r="CM170" s="63">
        <v>0</v>
      </c>
      <c r="CN170" s="63">
        <v>-50000</v>
      </c>
      <c r="CO170" s="63">
        <v>0</v>
      </c>
      <c r="CP170" s="63">
        <v>0</v>
      </c>
      <c r="CQ170" s="63">
        <v>-105436</v>
      </c>
      <c r="CR170" s="63">
        <v>0</v>
      </c>
      <c r="CS170" s="63">
        <v>0</v>
      </c>
      <c r="CT170" s="63">
        <v>0</v>
      </c>
      <c r="CU170" s="63">
        <v>-105436</v>
      </c>
      <c r="CV170" s="63">
        <v>0</v>
      </c>
      <c r="CW170" s="63">
        <v>-105436</v>
      </c>
      <c r="CX170" s="63">
        <v>0</v>
      </c>
      <c r="CY170" s="63">
        <v>0</v>
      </c>
      <c r="CZ170" s="63">
        <v>0</v>
      </c>
      <c r="DA170" s="63">
        <v>0</v>
      </c>
      <c r="DB170" s="63">
        <v>0</v>
      </c>
      <c r="DC170" s="63">
        <v>0</v>
      </c>
      <c r="DD170" s="63">
        <v>-12000</v>
      </c>
      <c r="DE170" s="63">
        <v>0</v>
      </c>
      <c r="DF170" s="63">
        <v>-12000</v>
      </c>
      <c r="DG170" s="63">
        <v>-12000</v>
      </c>
      <c r="DH170" s="63">
        <v>0</v>
      </c>
      <c r="DI170" s="63">
        <v>0</v>
      </c>
      <c r="DJ170" s="63">
        <v>0</v>
      </c>
      <c r="DK170" s="63">
        <v>-12000</v>
      </c>
      <c r="DL170" s="63">
        <v>0</v>
      </c>
      <c r="DM170" s="63">
        <v>-12000</v>
      </c>
      <c r="DN170" s="63">
        <v>13941388</v>
      </c>
      <c r="DO170" s="63">
        <v>0</v>
      </c>
      <c r="DP170" s="63">
        <v>13941388</v>
      </c>
      <c r="DQ170" s="63"/>
      <c r="DR170" s="586"/>
    </row>
    <row r="171" spans="1:122" x14ac:dyDescent="0.2">
      <c r="A171" s="90">
        <v>164</v>
      </c>
      <c r="B171" s="129" t="s">
        <v>195</v>
      </c>
      <c r="C171" s="130" t="s">
        <v>742</v>
      </c>
      <c r="D171" s="131" t="s">
        <v>751</v>
      </c>
      <c r="E171" s="132" t="s">
        <v>194</v>
      </c>
      <c r="F171" s="475" t="s">
        <v>808</v>
      </c>
      <c r="G171" s="63">
        <v>85406755</v>
      </c>
      <c r="H171" s="63">
        <v>0</v>
      </c>
      <c r="I171" s="63">
        <v>85406755</v>
      </c>
      <c r="J171" s="608">
        <v>48.4</v>
      </c>
      <c r="K171" s="63">
        <v>41336869</v>
      </c>
      <c r="L171" s="63">
        <v>0</v>
      </c>
      <c r="M171" s="63">
        <v>0</v>
      </c>
      <c r="N171" s="63">
        <v>0</v>
      </c>
      <c r="O171" s="63">
        <v>41336869</v>
      </c>
      <c r="P171" s="63">
        <v>0</v>
      </c>
      <c r="Q171" s="63">
        <v>41336869</v>
      </c>
      <c r="R171" s="63">
        <v>0</v>
      </c>
      <c r="S171" s="63">
        <v>0</v>
      </c>
      <c r="T171" s="63">
        <v>0</v>
      </c>
      <c r="U171" s="63">
        <v>0</v>
      </c>
      <c r="V171" s="63">
        <v>0</v>
      </c>
      <c r="W171" s="63">
        <v>0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0</v>
      </c>
      <c r="AE171" s="63">
        <v>0</v>
      </c>
      <c r="AF171" s="63">
        <v>0</v>
      </c>
      <c r="AG171" s="63">
        <v>0</v>
      </c>
      <c r="AH171" s="63">
        <v>-3166931</v>
      </c>
      <c r="AI171" s="63">
        <v>0</v>
      </c>
      <c r="AJ171" s="63">
        <v>-3166931</v>
      </c>
      <c r="AK171" s="63">
        <v>0</v>
      </c>
      <c r="AL171" s="63">
        <v>0</v>
      </c>
      <c r="AM171" s="63">
        <v>0</v>
      </c>
      <c r="AN171" s="63">
        <v>892762</v>
      </c>
      <c r="AO171" s="63">
        <v>0</v>
      </c>
      <c r="AP171" s="63">
        <v>892762</v>
      </c>
      <c r="AQ171" s="63">
        <v>-2274169</v>
      </c>
      <c r="AR171" s="63">
        <v>0</v>
      </c>
      <c r="AS171" s="63">
        <v>-2274169</v>
      </c>
      <c r="AT171" s="63">
        <v>-2943327</v>
      </c>
      <c r="AU171" s="63">
        <v>0</v>
      </c>
      <c r="AV171" s="63">
        <v>-2943327</v>
      </c>
      <c r="AW171" s="63">
        <v>-88486</v>
      </c>
      <c r="AX171" s="63">
        <v>0</v>
      </c>
      <c r="AY171" s="63">
        <v>-88486</v>
      </c>
      <c r="AZ171" s="63">
        <v>-38313</v>
      </c>
      <c r="BA171" s="63">
        <v>0</v>
      </c>
      <c r="BB171" s="63">
        <v>-38313</v>
      </c>
      <c r="BC171" s="63">
        <v>-5344295</v>
      </c>
      <c r="BD171" s="63">
        <v>0</v>
      </c>
      <c r="BE171" s="63">
        <v>0</v>
      </c>
      <c r="BF171" s="63">
        <v>0</v>
      </c>
      <c r="BG171" s="63">
        <v>-5344295</v>
      </c>
      <c r="BH171" s="63">
        <v>0</v>
      </c>
      <c r="BI171" s="63">
        <v>-5344295</v>
      </c>
      <c r="BJ171" s="63">
        <v>0</v>
      </c>
      <c r="BK171" s="63">
        <v>0</v>
      </c>
      <c r="BL171" s="63">
        <v>0</v>
      </c>
      <c r="BM171" s="63">
        <v>-490348</v>
      </c>
      <c r="BN171" s="63">
        <v>0</v>
      </c>
      <c r="BO171" s="63">
        <v>-490348</v>
      </c>
      <c r="BP171" s="63">
        <v>-490348</v>
      </c>
      <c r="BQ171" s="63">
        <v>0</v>
      </c>
      <c r="BR171" s="63">
        <v>0</v>
      </c>
      <c r="BS171" s="63">
        <v>0</v>
      </c>
      <c r="BT171" s="63">
        <v>-490348</v>
      </c>
      <c r="BU171" s="63">
        <v>0</v>
      </c>
      <c r="BV171" s="63">
        <v>-490348</v>
      </c>
      <c r="BW171" s="63">
        <v>-51690</v>
      </c>
      <c r="BX171" s="63">
        <v>0</v>
      </c>
      <c r="BY171" s="63">
        <v>-51690</v>
      </c>
      <c r="BZ171" s="63">
        <v>-22460</v>
      </c>
      <c r="CA171" s="63">
        <v>0</v>
      </c>
      <c r="CB171" s="63">
        <v>-22460</v>
      </c>
      <c r="CC171" s="63">
        <v>-3152</v>
      </c>
      <c r="CD171" s="63">
        <v>0</v>
      </c>
      <c r="CE171" s="63">
        <v>-3152</v>
      </c>
      <c r="CF171" s="63">
        <v>-26385</v>
      </c>
      <c r="CG171" s="63">
        <v>0</v>
      </c>
      <c r="CH171" s="63">
        <v>-26385</v>
      </c>
      <c r="CI171" s="63">
        <v>-17052</v>
      </c>
      <c r="CJ171" s="63">
        <v>0</v>
      </c>
      <c r="CK171" s="63">
        <v>-17052</v>
      </c>
      <c r="CL171" s="63">
        <v>0</v>
      </c>
      <c r="CM171" s="63">
        <v>0</v>
      </c>
      <c r="CN171" s="63">
        <v>0</v>
      </c>
      <c r="CO171" s="63">
        <v>0</v>
      </c>
      <c r="CP171" s="63">
        <v>0</v>
      </c>
      <c r="CQ171" s="63">
        <v>-120739</v>
      </c>
      <c r="CR171" s="63">
        <v>0</v>
      </c>
      <c r="CS171" s="63">
        <v>0</v>
      </c>
      <c r="CT171" s="63">
        <v>0</v>
      </c>
      <c r="CU171" s="63">
        <v>-120739</v>
      </c>
      <c r="CV171" s="63">
        <v>0</v>
      </c>
      <c r="CW171" s="63">
        <v>-120739</v>
      </c>
      <c r="CX171" s="63">
        <v>0</v>
      </c>
      <c r="CY171" s="63">
        <v>0</v>
      </c>
      <c r="CZ171" s="63">
        <v>0</v>
      </c>
      <c r="DA171" s="63">
        <v>-1447</v>
      </c>
      <c r="DB171" s="63">
        <v>0</v>
      </c>
      <c r="DC171" s="63">
        <v>-1447</v>
      </c>
      <c r="DD171" s="63">
        <v>-4386</v>
      </c>
      <c r="DE171" s="63">
        <v>0</v>
      </c>
      <c r="DF171" s="63">
        <v>-4386</v>
      </c>
      <c r="DG171" s="63">
        <v>-5833</v>
      </c>
      <c r="DH171" s="63">
        <v>0</v>
      </c>
      <c r="DI171" s="63">
        <v>0</v>
      </c>
      <c r="DJ171" s="63">
        <v>0</v>
      </c>
      <c r="DK171" s="63">
        <v>-5833</v>
      </c>
      <c r="DL171" s="63">
        <v>0</v>
      </c>
      <c r="DM171" s="63">
        <v>-5833</v>
      </c>
      <c r="DN171" s="63">
        <v>35375654</v>
      </c>
      <c r="DO171" s="63">
        <v>0</v>
      </c>
      <c r="DP171" s="63">
        <v>35375654</v>
      </c>
      <c r="DQ171" s="63"/>
      <c r="DR171" s="585"/>
    </row>
    <row r="172" spans="1:122" x14ac:dyDescent="0.2">
      <c r="A172" s="90">
        <v>165</v>
      </c>
      <c r="B172" s="129" t="s">
        <v>197</v>
      </c>
      <c r="C172" s="130" t="s">
        <v>747</v>
      </c>
      <c r="D172" s="131" t="s">
        <v>748</v>
      </c>
      <c r="E172" s="132" t="s">
        <v>196</v>
      </c>
      <c r="F172" s="475" t="s">
        <v>808</v>
      </c>
      <c r="G172" s="63">
        <v>201743435</v>
      </c>
      <c r="H172" s="63">
        <v>0</v>
      </c>
      <c r="I172" s="63">
        <v>201743435</v>
      </c>
      <c r="J172" s="608">
        <v>48.4</v>
      </c>
      <c r="K172" s="63">
        <v>97643823</v>
      </c>
      <c r="L172" s="63">
        <v>0</v>
      </c>
      <c r="M172" s="63">
        <v>0</v>
      </c>
      <c r="N172" s="63">
        <v>0</v>
      </c>
      <c r="O172" s="63">
        <v>97643823</v>
      </c>
      <c r="P172" s="63">
        <v>0</v>
      </c>
      <c r="Q172" s="63">
        <v>97643823</v>
      </c>
      <c r="R172" s="63">
        <v>0</v>
      </c>
      <c r="S172" s="63">
        <v>0</v>
      </c>
      <c r="T172" s="63">
        <v>0</v>
      </c>
      <c r="U172" s="63">
        <v>0</v>
      </c>
      <c r="V172" s="63">
        <v>0</v>
      </c>
      <c r="W172" s="63">
        <v>0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0</v>
      </c>
      <c r="AE172" s="63">
        <v>0</v>
      </c>
      <c r="AF172" s="63">
        <v>0</v>
      </c>
      <c r="AG172" s="63">
        <v>0</v>
      </c>
      <c r="AH172" s="63">
        <v>-2808303</v>
      </c>
      <c r="AI172" s="63">
        <v>0</v>
      </c>
      <c r="AJ172" s="63">
        <v>-2808303</v>
      </c>
      <c r="AK172" s="63">
        <v>-28083</v>
      </c>
      <c r="AL172" s="63">
        <v>0</v>
      </c>
      <c r="AM172" s="63">
        <v>-28083</v>
      </c>
      <c r="AN172" s="63">
        <v>2255247</v>
      </c>
      <c r="AO172" s="63">
        <v>0</v>
      </c>
      <c r="AP172" s="63">
        <v>2255247</v>
      </c>
      <c r="AQ172" s="63">
        <v>-553056</v>
      </c>
      <c r="AR172" s="63">
        <v>0</v>
      </c>
      <c r="AS172" s="63">
        <v>-553056</v>
      </c>
      <c r="AT172" s="63">
        <v>-5156574</v>
      </c>
      <c r="AU172" s="63">
        <v>0</v>
      </c>
      <c r="AV172" s="63">
        <v>-5156574</v>
      </c>
      <c r="AW172" s="63">
        <v>-108485</v>
      </c>
      <c r="AX172" s="63">
        <v>0</v>
      </c>
      <c r="AY172" s="63">
        <v>-108485</v>
      </c>
      <c r="AZ172" s="63">
        <v>0</v>
      </c>
      <c r="BA172" s="63">
        <v>0</v>
      </c>
      <c r="BB172" s="63">
        <v>0</v>
      </c>
      <c r="BC172" s="63">
        <v>-5818115</v>
      </c>
      <c r="BD172" s="63">
        <v>0</v>
      </c>
      <c r="BE172" s="63">
        <v>-40727</v>
      </c>
      <c r="BF172" s="63">
        <v>0</v>
      </c>
      <c r="BG172" s="63">
        <v>-5858842</v>
      </c>
      <c r="BH172" s="63">
        <v>0</v>
      </c>
      <c r="BI172" s="63">
        <v>-5858842</v>
      </c>
      <c r="BJ172" s="63">
        <v>-65000</v>
      </c>
      <c r="BK172" s="63">
        <v>0</v>
      </c>
      <c r="BL172" s="63">
        <v>-65000</v>
      </c>
      <c r="BM172" s="63">
        <v>-769270</v>
      </c>
      <c r="BN172" s="63">
        <v>0</v>
      </c>
      <c r="BO172" s="63">
        <v>-769270</v>
      </c>
      <c r="BP172" s="63">
        <v>-834270</v>
      </c>
      <c r="BQ172" s="63">
        <v>0</v>
      </c>
      <c r="BR172" s="63">
        <v>-628175</v>
      </c>
      <c r="BS172" s="63">
        <v>0</v>
      </c>
      <c r="BT172" s="63">
        <v>-1462445</v>
      </c>
      <c r="BU172" s="63">
        <v>0</v>
      </c>
      <c r="BV172" s="63">
        <v>-1462445</v>
      </c>
      <c r="BW172" s="63">
        <v>-402645</v>
      </c>
      <c r="BX172" s="63">
        <v>0</v>
      </c>
      <c r="BY172" s="63">
        <v>-402645</v>
      </c>
      <c r="BZ172" s="63">
        <v>-114169</v>
      </c>
      <c r="CA172" s="63">
        <v>0</v>
      </c>
      <c r="CB172" s="63">
        <v>-114169</v>
      </c>
      <c r="CC172" s="63">
        <v>-194</v>
      </c>
      <c r="CD172" s="63">
        <v>0</v>
      </c>
      <c r="CE172" s="63">
        <v>-194</v>
      </c>
      <c r="CF172" s="63">
        <v>0</v>
      </c>
      <c r="CG172" s="63">
        <v>0</v>
      </c>
      <c r="CH172" s="63">
        <v>0</v>
      </c>
      <c r="CI172" s="63">
        <v>0</v>
      </c>
      <c r="CJ172" s="63">
        <v>0</v>
      </c>
      <c r="CK172" s="63">
        <v>0</v>
      </c>
      <c r="CL172" s="63">
        <v>-200000</v>
      </c>
      <c r="CM172" s="63">
        <v>0</v>
      </c>
      <c r="CN172" s="63">
        <v>-200000</v>
      </c>
      <c r="CO172" s="63">
        <v>0</v>
      </c>
      <c r="CP172" s="63">
        <v>0</v>
      </c>
      <c r="CQ172" s="63">
        <v>-717008</v>
      </c>
      <c r="CR172" s="63">
        <v>0</v>
      </c>
      <c r="CS172" s="63">
        <v>-35850</v>
      </c>
      <c r="CT172" s="63">
        <v>0</v>
      </c>
      <c r="CU172" s="63">
        <v>-752858</v>
      </c>
      <c r="CV172" s="63">
        <v>0</v>
      </c>
      <c r="CW172" s="63">
        <v>-752858</v>
      </c>
      <c r="CX172" s="63">
        <v>0</v>
      </c>
      <c r="CY172" s="63">
        <v>0</v>
      </c>
      <c r="CZ172" s="63">
        <v>0</v>
      </c>
      <c r="DA172" s="63">
        <v>-24900</v>
      </c>
      <c r="DB172" s="63">
        <v>0</v>
      </c>
      <c r="DC172" s="63">
        <v>-24900</v>
      </c>
      <c r="DD172" s="63">
        <v>-6286</v>
      </c>
      <c r="DE172" s="63">
        <v>0</v>
      </c>
      <c r="DF172" s="63">
        <v>-6286</v>
      </c>
      <c r="DG172" s="63">
        <v>-31186</v>
      </c>
      <c r="DH172" s="63">
        <v>0</v>
      </c>
      <c r="DI172" s="63">
        <v>0</v>
      </c>
      <c r="DJ172" s="63">
        <v>0</v>
      </c>
      <c r="DK172" s="63">
        <v>-31186</v>
      </c>
      <c r="DL172" s="63">
        <v>0</v>
      </c>
      <c r="DM172" s="63">
        <v>-31186</v>
      </c>
      <c r="DN172" s="63">
        <v>89538492</v>
      </c>
      <c r="DO172" s="63">
        <v>0</v>
      </c>
      <c r="DP172" s="63">
        <v>89538492</v>
      </c>
      <c r="DQ172" s="63"/>
      <c r="DR172" s="585"/>
    </row>
    <row r="173" spans="1:122" x14ac:dyDescent="0.2">
      <c r="A173" s="90">
        <v>166</v>
      </c>
      <c r="B173" s="129" t="s">
        <v>199</v>
      </c>
      <c r="C173" s="130" t="s">
        <v>742</v>
      </c>
      <c r="D173" s="131" t="s">
        <v>751</v>
      </c>
      <c r="E173" s="132" t="s">
        <v>198</v>
      </c>
      <c r="F173" s="475" t="s">
        <v>808</v>
      </c>
      <c r="G173" s="63">
        <v>40804146</v>
      </c>
      <c r="H173" s="63">
        <v>0</v>
      </c>
      <c r="I173" s="63">
        <v>40804146</v>
      </c>
      <c r="J173" s="608">
        <v>48.4</v>
      </c>
      <c r="K173" s="63">
        <v>19749207</v>
      </c>
      <c r="L173" s="63">
        <v>0</v>
      </c>
      <c r="M173" s="63">
        <v>-265935</v>
      </c>
      <c r="N173" s="63">
        <v>0</v>
      </c>
      <c r="O173" s="63">
        <v>19483272</v>
      </c>
      <c r="P173" s="63">
        <v>0</v>
      </c>
      <c r="Q173" s="63">
        <v>19483272</v>
      </c>
      <c r="R173" s="63">
        <v>0</v>
      </c>
      <c r="S173" s="63">
        <v>0</v>
      </c>
      <c r="T173" s="63">
        <v>0</v>
      </c>
      <c r="U173" s="63">
        <v>0</v>
      </c>
      <c r="V173" s="63">
        <v>0</v>
      </c>
      <c r="W173" s="63">
        <v>0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0</v>
      </c>
      <c r="AE173" s="63">
        <v>0</v>
      </c>
      <c r="AF173" s="63">
        <v>0</v>
      </c>
      <c r="AG173" s="63">
        <v>0</v>
      </c>
      <c r="AH173" s="63">
        <v>-2268185</v>
      </c>
      <c r="AI173" s="63">
        <v>0</v>
      </c>
      <c r="AJ173" s="63">
        <v>-2268185</v>
      </c>
      <c r="AK173" s="63">
        <v>-5200</v>
      </c>
      <c r="AL173" s="63">
        <v>0</v>
      </c>
      <c r="AM173" s="63">
        <v>-5200</v>
      </c>
      <c r="AN173" s="63">
        <v>450437</v>
      </c>
      <c r="AO173" s="63">
        <v>0</v>
      </c>
      <c r="AP173" s="63">
        <v>450437</v>
      </c>
      <c r="AQ173" s="63">
        <v>-1817748</v>
      </c>
      <c r="AR173" s="63">
        <v>0</v>
      </c>
      <c r="AS173" s="63">
        <v>-1817748</v>
      </c>
      <c r="AT173" s="63">
        <v>-1294139</v>
      </c>
      <c r="AU173" s="63">
        <v>0</v>
      </c>
      <c r="AV173" s="63">
        <v>-1294139</v>
      </c>
      <c r="AW173" s="63">
        <v>-33783</v>
      </c>
      <c r="AX173" s="63">
        <v>0</v>
      </c>
      <c r="AY173" s="63">
        <v>-33783</v>
      </c>
      <c r="AZ173" s="63">
        <v>-26730</v>
      </c>
      <c r="BA173" s="63">
        <v>0</v>
      </c>
      <c r="BB173" s="63">
        <v>-26730</v>
      </c>
      <c r="BC173" s="63">
        <v>-3172400</v>
      </c>
      <c r="BD173" s="63">
        <v>0</v>
      </c>
      <c r="BE173" s="63">
        <v>0</v>
      </c>
      <c r="BF173" s="63">
        <v>0</v>
      </c>
      <c r="BG173" s="63">
        <v>-3172400</v>
      </c>
      <c r="BH173" s="63">
        <v>0</v>
      </c>
      <c r="BI173" s="63">
        <v>-3172400</v>
      </c>
      <c r="BJ173" s="63">
        <v>-57305</v>
      </c>
      <c r="BK173" s="63">
        <v>0</v>
      </c>
      <c r="BL173" s="63">
        <v>-57305</v>
      </c>
      <c r="BM173" s="63">
        <v>-399821</v>
      </c>
      <c r="BN173" s="63">
        <v>0</v>
      </c>
      <c r="BO173" s="63">
        <v>-399821</v>
      </c>
      <c r="BP173" s="63">
        <v>-457126</v>
      </c>
      <c r="BQ173" s="63">
        <v>0</v>
      </c>
      <c r="BR173" s="63">
        <v>0</v>
      </c>
      <c r="BS173" s="63">
        <v>0</v>
      </c>
      <c r="BT173" s="63">
        <v>-457126</v>
      </c>
      <c r="BU173" s="63">
        <v>0</v>
      </c>
      <c r="BV173" s="63">
        <v>-457126</v>
      </c>
      <c r="BW173" s="63">
        <v>-56271</v>
      </c>
      <c r="BX173" s="63">
        <v>0</v>
      </c>
      <c r="BY173" s="63">
        <v>-56271</v>
      </c>
      <c r="BZ173" s="63">
        <v>-2640</v>
      </c>
      <c r="CA173" s="63">
        <v>0</v>
      </c>
      <c r="CB173" s="63">
        <v>-2640</v>
      </c>
      <c r="CC173" s="63">
        <v>0</v>
      </c>
      <c r="CD173" s="63">
        <v>0</v>
      </c>
      <c r="CE173" s="63">
        <v>0</v>
      </c>
      <c r="CF173" s="63">
        <v>0</v>
      </c>
      <c r="CG173" s="63">
        <v>0</v>
      </c>
      <c r="CH173" s="63">
        <v>0</v>
      </c>
      <c r="CI173" s="63">
        <v>-2256</v>
      </c>
      <c r="CJ173" s="63">
        <v>0</v>
      </c>
      <c r="CK173" s="63">
        <v>-2256</v>
      </c>
      <c r="CL173" s="63">
        <v>0</v>
      </c>
      <c r="CM173" s="63">
        <v>0</v>
      </c>
      <c r="CN173" s="63">
        <v>0</v>
      </c>
      <c r="CO173" s="63">
        <v>0</v>
      </c>
      <c r="CP173" s="63">
        <v>0</v>
      </c>
      <c r="CQ173" s="63">
        <v>-61167</v>
      </c>
      <c r="CR173" s="63">
        <v>0</v>
      </c>
      <c r="CS173" s="63">
        <v>0</v>
      </c>
      <c r="CT173" s="63">
        <v>0</v>
      </c>
      <c r="CU173" s="63">
        <v>-61167</v>
      </c>
      <c r="CV173" s="63">
        <v>0</v>
      </c>
      <c r="CW173" s="63">
        <v>-61167</v>
      </c>
      <c r="CX173" s="63">
        <v>-30749</v>
      </c>
      <c r="CY173" s="63">
        <v>0</v>
      </c>
      <c r="CZ173" s="63">
        <v>-30749</v>
      </c>
      <c r="DA173" s="63">
        <v>-9500</v>
      </c>
      <c r="DB173" s="63">
        <v>0</v>
      </c>
      <c r="DC173" s="63">
        <v>-9500</v>
      </c>
      <c r="DD173" s="63">
        <v>0</v>
      </c>
      <c r="DE173" s="63">
        <v>0</v>
      </c>
      <c r="DF173" s="63">
        <v>0</v>
      </c>
      <c r="DG173" s="63">
        <v>-40249</v>
      </c>
      <c r="DH173" s="63">
        <v>0</v>
      </c>
      <c r="DI173" s="63">
        <v>0</v>
      </c>
      <c r="DJ173" s="63">
        <v>0</v>
      </c>
      <c r="DK173" s="63">
        <v>-40249</v>
      </c>
      <c r="DL173" s="63">
        <v>0</v>
      </c>
      <c r="DM173" s="63">
        <v>-40249</v>
      </c>
      <c r="DN173" s="63">
        <v>15752330</v>
      </c>
      <c r="DO173" s="63">
        <v>0</v>
      </c>
      <c r="DP173" s="63">
        <v>15752330</v>
      </c>
      <c r="DQ173" s="63"/>
      <c r="DR173" s="585"/>
    </row>
    <row r="174" spans="1:122" x14ac:dyDescent="0.2">
      <c r="A174" s="90">
        <v>167</v>
      </c>
      <c r="B174" s="129" t="s">
        <v>201</v>
      </c>
      <c r="C174" s="130" t="s">
        <v>742</v>
      </c>
      <c r="D174" s="131" t="s">
        <v>746</v>
      </c>
      <c r="E174" s="132" t="s">
        <v>200</v>
      </c>
      <c r="F174" s="475" t="s">
        <v>808</v>
      </c>
      <c r="G174" s="63">
        <v>56288820</v>
      </c>
      <c r="H174" s="63">
        <v>0</v>
      </c>
      <c r="I174" s="63">
        <v>56288820</v>
      </c>
      <c r="J174" s="608">
        <v>48.4</v>
      </c>
      <c r="K174" s="63">
        <v>27243789</v>
      </c>
      <c r="L174" s="63">
        <v>0</v>
      </c>
      <c r="M174" s="63">
        <v>-72065</v>
      </c>
      <c r="N174" s="63">
        <v>0</v>
      </c>
      <c r="O174" s="63">
        <v>27171724</v>
      </c>
      <c r="P174" s="63">
        <v>0</v>
      </c>
      <c r="Q174" s="63">
        <v>27171724</v>
      </c>
      <c r="R174" s="63">
        <v>0</v>
      </c>
      <c r="S174" s="63">
        <v>0</v>
      </c>
      <c r="T174" s="63">
        <v>0</v>
      </c>
      <c r="U174" s="63">
        <v>0</v>
      </c>
      <c r="V174" s="63">
        <v>0</v>
      </c>
      <c r="W174" s="63">
        <v>0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0</v>
      </c>
      <c r="AE174" s="63">
        <v>0</v>
      </c>
      <c r="AF174" s="63">
        <v>0</v>
      </c>
      <c r="AG174" s="63">
        <v>0</v>
      </c>
      <c r="AH174" s="63">
        <v>-2144941</v>
      </c>
      <c r="AI174" s="63">
        <v>0</v>
      </c>
      <c r="AJ174" s="63">
        <v>-2144941</v>
      </c>
      <c r="AK174" s="63">
        <v>-8342</v>
      </c>
      <c r="AL174" s="63">
        <v>0</v>
      </c>
      <c r="AM174" s="63">
        <v>-8342</v>
      </c>
      <c r="AN174" s="63">
        <v>581328</v>
      </c>
      <c r="AO174" s="63">
        <v>0</v>
      </c>
      <c r="AP174" s="63">
        <v>581328</v>
      </c>
      <c r="AQ174" s="63">
        <v>-1563613</v>
      </c>
      <c r="AR174" s="63">
        <v>0</v>
      </c>
      <c r="AS174" s="63">
        <v>-1563613</v>
      </c>
      <c r="AT174" s="63">
        <v>-951495</v>
      </c>
      <c r="AU174" s="63">
        <v>0</v>
      </c>
      <c r="AV174" s="63">
        <v>-951495</v>
      </c>
      <c r="AW174" s="63">
        <v>-38335</v>
      </c>
      <c r="AX174" s="63">
        <v>0</v>
      </c>
      <c r="AY174" s="63">
        <v>-38335</v>
      </c>
      <c r="AZ174" s="63">
        <v>-86508</v>
      </c>
      <c r="BA174" s="63">
        <v>0</v>
      </c>
      <c r="BB174" s="63">
        <v>-86508</v>
      </c>
      <c r="BC174" s="63">
        <v>-2639951</v>
      </c>
      <c r="BD174" s="63">
        <v>0</v>
      </c>
      <c r="BE174" s="63">
        <v>-305430</v>
      </c>
      <c r="BF174" s="63">
        <v>0</v>
      </c>
      <c r="BG174" s="63">
        <v>-2945381</v>
      </c>
      <c r="BH174" s="63">
        <v>0</v>
      </c>
      <c r="BI174" s="63">
        <v>-2945381</v>
      </c>
      <c r="BJ174" s="63">
        <v>0</v>
      </c>
      <c r="BK174" s="63">
        <v>0</v>
      </c>
      <c r="BL174" s="63">
        <v>0</v>
      </c>
      <c r="BM174" s="63">
        <v>-327975</v>
      </c>
      <c r="BN174" s="63">
        <v>0</v>
      </c>
      <c r="BO174" s="63">
        <v>-327975</v>
      </c>
      <c r="BP174" s="63">
        <v>-327975</v>
      </c>
      <c r="BQ174" s="63">
        <v>0</v>
      </c>
      <c r="BR174" s="63">
        <v>-59019</v>
      </c>
      <c r="BS174" s="63">
        <v>0</v>
      </c>
      <c r="BT174" s="63">
        <v>-386994</v>
      </c>
      <c r="BU174" s="63">
        <v>0</v>
      </c>
      <c r="BV174" s="63">
        <v>-386994</v>
      </c>
      <c r="BW174" s="63">
        <v>-171319</v>
      </c>
      <c r="BX174" s="63">
        <v>0</v>
      </c>
      <c r="BY174" s="63">
        <v>-171319</v>
      </c>
      <c r="BZ174" s="63">
        <v>-112276</v>
      </c>
      <c r="CA174" s="63">
        <v>0</v>
      </c>
      <c r="CB174" s="63">
        <v>-112276</v>
      </c>
      <c r="CC174" s="63">
        <v>-6840</v>
      </c>
      <c r="CD174" s="63">
        <v>0</v>
      </c>
      <c r="CE174" s="63">
        <v>-6840</v>
      </c>
      <c r="CF174" s="63">
        <v>-86508</v>
      </c>
      <c r="CG174" s="63">
        <v>0</v>
      </c>
      <c r="CH174" s="63">
        <v>-86508</v>
      </c>
      <c r="CI174" s="63">
        <v>-69003</v>
      </c>
      <c r="CJ174" s="63">
        <v>0</v>
      </c>
      <c r="CK174" s="63">
        <v>-69003</v>
      </c>
      <c r="CL174" s="63">
        <v>0</v>
      </c>
      <c r="CM174" s="63">
        <v>0</v>
      </c>
      <c r="CN174" s="63">
        <v>0</v>
      </c>
      <c r="CO174" s="63">
        <v>0</v>
      </c>
      <c r="CP174" s="63">
        <v>0</v>
      </c>
      <c r="CQ174" s="63">
        <v>-445946</v>
      </c>
      <c r="CR174" s="63">
        <v>0</v>
      </c>
      <c r="CS174" s="63">
        <v>0</v>
      </c>
      <c r="CT174" s="63">
        <v>0</v>
      </c>
      <c r="CU174" s="63">
        <v>-445946</v>
      </c>
      <c r="CV174" s="63">
        <v>0</v>
      </c>
      <c r="CW174" s="63">
        <v>-445946</v>
      </c>
      <c r="CX174" s="63">
        <v>0</v>
      </c>
      <c r="CY174" s="63">
        <v>0</v>
      </c>
      <c r="CZ174" s="63">
        <v>0</v>
      </c>
      <c r="DA174" s="63">
        <v>-3417</v>
      </c>
      <c r="DB174" s="63">
        <v>0</v>
      </c>
      <c r="DC174" s="63">
        <v>-3417</v>
      </c>
      <c r="DD174" s="63">
        <v>-169</v>
      </c>
      <c r="DE174" s="63">
        <v>0</v>
      </c>
      <c r="DF174" s="63">
        <v>-169</v>
      </c>
      <c r="DG174" s="63">
        <v>-3586</v>
      </c>
      <c r="DH174" s="63">
        <v>0</v>
      </c>
      <c r="DI174" s="63">
        <v>0</v>
      </c>
      <c r="DJ174" s="63">
        <v>0</v>
      </c>
      <c r="DK174" s="63">
        <v>-3586</v>
      </c>
      <c r="DL174" s="63">
        <v>0</v>
      </c>
      <c r="DM174" s="63">
        <v>-3586</v>
      </c>
      <c r="DN174" s="63">
        <v>23389817</v>
      </c>
      <c r="DO174" s="63">
        <v>0</v>
      </c>
      <c r="DP174" s="63">
        <v>23389817</v>
      </c>
      <c r="DQ174" s="63"/>
      <c r="DR174" s="585" t="s">
        <v>768</v>
      </c>
    </row>
    <row r="175" spans="1:122" x14ac:dyDescent="0.2">
      <c r="A175" s="90">
        <v>168</v>
      </c>
      <c r="B175" s="129" t="s">
        <v>203</v>
      </c>
      <c r="C175" s="130" t="s">
        <v>742</v>
      </c>
      <c r="D175" s="131" t="s">
        <v>743</v>
      </c>
      <c r="E175" s="132" t="s">
        <v>202</v>
      </c>
      <c r="F175" s="475" t="s">
        <v>808</v>
      </c>
      <c r="G175" s="63">
        <v>107618509</v>
      </c>
      <c r="H175" s="63">
        <v>0</v>
      </c>
      <c r="I175" s="63">
        <v>107618509</v>
      </c>
      <c r="J175" s="608">
        <v>48.4</v>
      </c>
      <c r="K175" s="63">
        <v>52087358</v>
      </c>
      <c r="L175" s="63">
        <v>0</v>
      </c>
      <c r="M175" s="63">
        <v>668540</v>
      </c>
      <c r="N175" s="63">
        <v>0</v>
      </c>
      <c r="O175" s="63">
        <v>52755898</v>
      </c>
      <c r="P175" s="63">
        <v>0</v>
      </c>
      <c r="Q175" s="63">
        <v>52755898</v>
      </c>
      <c r="R175" s="63">
        <v>0</v>
      </c>
      <c r="S175" s="63">
        <v>0</v>
      </c>
      <c r="T175" s="63">
        <v>0</v>
      </c>
      <c r="U175" s="63">
        <v>0</v>
      </c>
      <c r="V175" s="63">
        <v>0</v>
      </c>
      <c r="W175" s="63">
        <v>0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0</v>
      </c>
      <c r="AE175" s="63">
        <v>0</v>
      </c>
      <c r="AF175" s="63">
        <v>0</v>
      </c>
      <c r="AG175" s="63">
        <v>0</v>
      </c>
      <c r="AH175" s="63">
        <v>-2551566</v>
      </c>
      <c r="AI175" s="63">
        <v>0</v>
      </c>
      <c r="AJ175" s="63">
        <v>-2551566</v>
      </c>
      <c r="AK175" s="63">
        <v>0</v>
      </c>
      <c r="AL175" s="63">
        <v>0</v>
      </c>
      <c r="AM175" s="63">
        <v>0</v>
      </c>
      <c r="AN175" s="63">
        <v>1161393</v>
      </c>
      <c r="AO175" s="63">
        <v>0</v>
      </c>
      <c r="AP175" s="63">
        <v>1161393</v>
      </c>
      <c r="AQ175" s="63">
        <v>-1390173</v>
      </c>
      <c r="AR175" s="63">
        <v>0</v>
      </c>
      <c r="AS175" s="63">
        <v>-1390173</v>
      </c>
      <c r="AT175" s="63">
        <v>-3639471</v>
      </c>
      <c r="AU175" s="63">
        <v>0</v>
      </c>
      <c r="AV175" s="63">
        <v>-3639471</v>
      </c>
      <c r="AW175" s="63">
        <v>-60614</v>
      </c>
      <c r="AX175" s="63">
        <v>0</v>
      </c>
      <c r="AY175" s="63">
        <v>-60614</v>
      </c>
      <c r="AZ175" s="63">
        <v>-5194</v>
      </c>
      <c r="BA175" s="63">
        <v>0</v>
      </c>
      <c r="BB175" s="63">
        <v>-5194</v>
      </c>
      <c r="BC175" s="63">
        <v>-5095452</v>
      </c>
      <c r="BD175" s="63">
        <v>0</v>
      </c>
      <c r="BE175" s="63">
        <v>-80713</v>
      </c>
      <c r="BF175" s="63">
        <v>0</v>
      </c>
      <c r="BG175" s="63">
        <v>-5176165</v>
      </c>
      <c r="BH175" s="63">
        <v>0</v>
      </c>
      <c r="BI175" s="63">
        <v>-5176165</v>
      </c>
      <c r="BJ175" s="63">
        <v>0</v>
      </c>
      <c r="BK175" s="63">
        <v>0</v>
      </c>
      <c r="BL175" s="63">
        <v>0</v>
      </c>
      <c r="BM175" s="63">
        <v>-863712</v>
      </c>
      <c r="BN175" s="63">
        <v>0</v>
      </c>
      <c r="BO175" s="63">
        <v>-863712</v>
      </c>
      <c r="BP175" s="63">
        <v>-863712</v>
      </c>
      <c r="BQ175" s="63">
        <v>0</v>
      </c>
      <c r="BR175" s="63">
        <v>0</v>
      </c>
      <c r="BS175" s="63">
        <v>0</v>
      </c>
      <c r="BT175" s="63">
        <v>-863712</v>
      </c>
      <c r="BU175" s="63">
        <v>0</v>
      </c>
      <c r="BV175" s="63">
        <v>-863712</v>
      </c>
      <c r="BW175" s="63">
        <v>-92064</v>
      </c>
      <c r="BX175" s="63">
        <v>0</v>
      </c>
      <c r="BY175" s="63">
        <v>-92064</v>
      </c>
      <c r="BZ175" s="63">
        <v>-727597</v>
      </c>
      <c r="CA175" s="63">
        <v>0</v>
      </c>
      <c r="CB175" s="63">
        <v>-727597</v>
      </c>
      <c r="CC175" s="63">
        <v>-4801</v>
      </c>
      <c r="CD175" s="63">
        <v>0</v>
      </c>
      <c r="CE175" s="63">
        <v>-4801</v>
      </c>
      <c r="CF175" s="63">
        <v>-5194</v>
      </c>
      <c r="CG175" s="63">
        <v>0</v>
      </c>
      <c r="CH175" s="63">
        <v>-5194</v>
      </c>
      <c r="CI175" s="63">
        <v>0</v>
      </c>
      <c r="CJ175" s="63">
        <v>0</v>
      </c>
      <c r="CK175" s="63">
        <v>0</v>
      </c>
      <c r="CL175" s="63">
        <v>0</v>
      </c>
      <c r="CM175" s="63">
        <v>0</v>
      </c>
      <c r="CN175" s="63">
        <v>0</v>
      </c>
      <c r="CO175" s="63">
        <v>0</v>
      </c>
      <c r="CP175" s="63">
        <v>0</v>
      </c>
      <c r="CQ175" s="63">
        <v>-829656</v>
      </c>
      <c r="CR175" s="63">
        <v>0</v>
      </c>
      <c r="CS175" s="63">
        <v>0</v>
      </c>
      <c r="CT175" s="63">
        <v>0</v>
      </c>
      <c r="CU175" s="63">
        <v>-829656</v>
      </c>
      <c r="CV175" s="63">
        <v>0</v>
      </c>
      <c r="CW175" s="63">
        <v>-829656</v>
      </c>
      <c r="CX175" s="63">
        <v>-24651</v>
      </c>
      <c r="CY175" s="63">
        <v>0</v>
      </c>
      <c r="CZ175" s="63">
        <v>-24651</v>
      </c>
      <c r="DA175" s="63">
        <v>-2965</v>
      </c>
      <c r="DB175" s="63">
        <v>0</v>
      </c>
      <c r="DC175" s="63">
        <v>-2965</v>
      </c>
      <c r="DD175" s="63">
        <v>-8149</v>
      </c>
      <c r="DE175" s="63">
        <v>0</v>
      </c>
      <c r="DF175" s="63">
        <v>-8149</v>
      </c>
      <c r="DG175" s="63">
        <v>-35765</v>
      </c>
      <c r="DH175" s="63">
        <v>0</v>
      </c>
      <c r="DI175" s="63">
        <v>0</v>
      </c>
      <c r="DJ175" s="63">
        <v>0</v>
      </c>
      <c r="DK175" s="63">
        <v>-35765</v>
      </c>
      <c r="DL175" s="63">
        <v>0</v>
      </c>
      <c r="DM175" s="63">
        <v>-35765</v>
      </c>
      <c r="DN175" s="63">
        <v>45850600</v>
      </c>
      <c r="DO175" s="63">
        <v>0</v>
      </c>
      <c r="DP175" s="63">
        <v>45850600</v>
      </c>
      <c r="DQ175" s="63"/>
      <c r="DR175" s="585"/>
    </row>
    <row r="176" spans="1:122" x14ac:dyDescent="0.2">
      <c r="A176" s="90">
        <v>169</v>
      </c>
      <c r="B176" s="129" t="s">
        <v>204</v>
      </c>
      <c r="C176" s="130" t="s">
        <v>501</v>
      </c>
      <c r="D176" s="131" t="s">
        <v>755</v>
      </c>
      <c r="E176" s="132" t="s">
        <v>517</v>
      </c>
      <c r="F176" s="475" t="s">
        <v>808</v>
      </c>
      <c r="G176" s="63">
        <v>109086909</v>
      </c>
      <c r="H176" s="63">
        <v>0</v>
      </c>
      <c r="I176" s="63">
        <v>109086909</v>
      </c>
      <c r="J176" s="608">
        <v>48.4</v>
      </c>
      <c r="K176" s="63">
        <v>52798064</v>
      </c>
      <c r="L176" s="63">
        <v>0</v>
      </c>
      <c r="M176" s="63">
        <v>0</v>
      </c>
      <c r="N176" s="63">
        <v>0</v>
      </c>
      <c r="O176" s="63">
        <v>52798064</v>
      </c>
      <c r="P176" s="63">
        <v>0</v>
      </c>
      <c r="Q176" s="63">
        <v>52798064</v>
      </c>
      <c r="R176" s="63">
        <v>0</v>
      </c>
      <c r="S176" s="63">
        <v>0</v>
      </c>
      <c r="T176" s="63">
        <v>0</v>
      </c>
      <c r="U176" s="63">
        <v>0</v>
      </c>
      <c r="V176" s="63">
        <v>0</v>
      </c>
      <c r="W176" s="63">
        <v>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0</v>
      </c>
      <c r="AE176" s="63">
        <v>0</v>
      </c>
      <c r="AF176" s="63">
        <v>0</v>
      </c>
      <c r="AG176" s="63">
        <v>0</v>
      </c>
      <c r="AH176" s="63">
        <v>-2501119</v>
      </c>
      <c r="AI176" s="63">
        <v>0</v>
      </c>
      <c r="AJ176" s="63">
        <v>-2501119</v>
      </c>
      <c r="AK176" s="63">
        <v>0</v>
      </c>
      <c r="AL176" s="63">
        <v>0</v>
      </c>
      <c r="AM176" s="63">
        <v>0</v>
      </c>
      <c r="AN176" s="63">
        <v>1218459</v>
      </c>
      <c r="AO176" s="63">
        <v>0</v>
      </c>
      <c r="AP176" s="63">
        <v>1218459</v>
      </c>
      <c r="AQ176" s="63">
        <v>-1282660</v>
      </c>
      <c r="AR176" s="63">
        <v>0</v>
      </c>
      <c r="AS176" s="63">
        <v>-1282660</v>
      </c>
      <c r="AT176" s="63">
        <v>-5470168</v>
      </c>
      <c r="AU176" s="63">
        <v>0</v>
      </c>
      <c r="AV176" s="63">
        <v>-5470168</v>
      </c>
      <c r="AW176" s="63">
        <v>-22126</v>
      </c>
      <c r="AX176" s="63">
        <v>0</v>
      </c>
      <c r="AY176" s="63">
        <v>-22126</v>
      </c>
      <c r="AZ176" s="63">
        <v>0</v>
      </c>
      <c r="BA176" s="63">
        <v>0</v>
      </c>
      <c r="BB176" s="63">
        <v>0</v>
      </c>
      <c r="BC176" s="63">
        <v>-6774954</v>
      </c>
      <c r="BD176" s="63">
        <v>0</v>
      </c>
      <c r="BE176" s="63">
        <v>0</v>
      </c>
      <c r="BF176" s="63">
        <v>0</v>
      </c>
      <c r="BG176" s="63">
        <v>-6774954</v>
      </c>
      <c r="BH176" s="63">
        <v>0</v>
      </c>
      <c r="BI176" s="63">
        <v>-6774954</v>
      </c>
      <c r="BJ176" s="63">
        <v>-8000</v>
      </c>
      <c r="BK176" s="63">
        <v>0</v>
      </c>
      <c r="BL176" s="63">
        <v>-8000</v>
      </c>
      <c r="BM176" s="63">
        <v>-2110000</v>
      </c>
      <c r="BN176" s="63">
        <v>0</v>
      </c>
      <c r="BO176" s="63">
        <v>-2110000</v>
      </c>
      <c r="BP176" s="63">
        <v>-2118000</v>
      </c>
      <c r="BQ176" s="63">
        <v>0</v>
      </c>
      <c r="BR176" s="63">
        <v>0</v>
      </c>
      <c r="BS176" s="63">
        <v>0</v>
      </c>
      <c r="BT176" s="63">
        <v>-2118000</v>
      </c>
      <c r="BU176" s="63">
        <v>0</v>
      </c>
      <c r="BV176" s="63">
        <v>-2118000</v>
      </c>
      <c r="BW176" s="63">
        <v>-2361</v>
      </c>
      <c r="BX176" s="63">
        <v>0</v>
      </c>
      <c r="BY176" s="63">
        <v>-2361</v>
      </c>
      <c r="BZ176" s="63">
        <v>-30000</v>
      </c>
      <c r="CA176" s="63">
        <v>0</v>
      </c>
      <c r="CB176" s="63">
        <v>-30000</v>
      </c>
      <c r="CC176" s="63">
        <v>-5000</v>
      </c>
      <c r="CD176" s="63">
        <v>0</v>
      </c>
      <c r="CE176" s="63">
        <v>-5000</v>
      </c>
      <c r="CF176" s="63">
        <v>0</v>
      </c>
      <c r="CG176" s="63">
        <v>0</v>
      </c>
      <c r="CH176" s="63">
        <v>0</v>
      </c>
      <c r="CI176" s="63">
        <v>0</v>
      </c>
      <c r="CJ176" s="63">
        <v>0</v>
      </c>
      <c r="CK176" s="63">
        <v>0</v>
      </c>
      <c r="CL176" s="63">
        <v>-894600</v>
      </c>
      <c r="CM176" s="63">
        <v>0</v>
      </c>
      <c r="CN176" s="63">
        <v>-894600</v>
      </c>
      <c r="CO176" s="63">
        <v>0</v>
      </c>
      <c r="CP176" s="63">
        <v>0</v>
      </c>
      <c r="CQ176" s="63">
        <v>-931961</v>
      </c>
      <c r="CR176" s="63">
        <v>0</v>
      </c>
      <c r="CS176" s="63">
        <v>0</v>
      </c>
      <c r="CT176" s="63">
        <v>0</v>
      </c>
      <c r="CU176" s="63">
        <v>-931961</v>
      </c>
      <c r="CV176" s="63">
        <v>0</v>
      </c>
      <c r="CW176" s="63">
        <v>-931961</v>
      </c>
      <c r="CX176" s="63">
        <v>0</v>
      </c>
      <c r="CY176" s="63">
        <v>0</v>
      </c>
      <c r="CZ176" s="63">
        <v>0</v>
      </c>
      <c r="DA176" s="63">
        <v>-95993</v>
      </c>
      <c r="DB176" s="63">
        <v>0</v>
      </c>
      <c r="DC176" s="63">
        <v>-95993</v>
      </c>
      <c r="DD176" s="63">
        <v>0</v>
      </c>
      <c r="DE176" s="63">
        <v>0</v>
      </c>
      <c r="DF176" s="63">
        <v>0</v>
      </c>
      <c r="DG176" s="63">
        <v>-95993</v>
      </c>
      <c r="DH176" s="63">
        <v>0</v>
      </c>
      <c r="DI176" s="63">
        <v>0</v>
      </c>
      <c r="DJ176" s="63">
        <v>0</v>
      </c>
      <c r="DK176" s="63">
        <v>-95993</v>
      </c>
      <c r="DL176" s="63">
        <v>0</v>
      </c>
      <c r="DM176" s="63">
        <v>-95993</v>
      </c>
      <c r="DN176" s="63">
        <v>42877156</v>
      </c>
      <c r="DO176" s="63">
        <v>0</v>
      </c>
      <c r="DP176" s="63">
        <v>42877156</v>
      </c>
      <c r="DQ176" s="63"/>
      <c r="DR176" s="585" t="s">
        <v>768</v>
      </c>
    </row>
    <row r="177" spans="1:122" x14ac:dyDescent="0.2">
      <c r="A177" s="90">
        <v>170</v>
      </c>
      <c r="B177" s="129" t="s">
        <v>205</v>
      </c>
      <c r="C177" s="130" t="s">
        <v>501</v>
      </c>
      <c r="D177" s="131" t="s">
        <v>743</v>
      </c>
      <c r="E177" s="132" t="s">
        <v>511</v>
      </c>
      <c r="F177" s="475" t="s">
        <v>808</v>
      </c>
      <c r="G177" s="63">
        <v>369318874</v>
      </c>
      <c r="H177" s="63">
        <v>0</v>
      </c>
      <c r="I177" s="63">
        <v>369318874</v>
      </c>
      <c r="J177" s="608">
        <v>48.4</v>
      </c>
      <c r="K177" s="63">
        <v>178750335</v>
      </c>
      <c r="L177" s="63">
        <v>0</v>
      </c>
      <c r="M177" s="63">
        <v>5035732</v>
      </c>
      <c r="N177" s="63">
        <v>0</v>
      </c>
      <c r="O177" s="63">
        <v>183786067</v>
      </c>
      <c r="P177" s="63">
        <v>0</v>
      </c>
      <c r="Q177" s="63">
        <v>183786067</v>
      </c>
      <c r="R177" s="63">
        <v>0</v>
      </c>
      <c r="S177" s="63">
        <v>0</v>
      </c>
      <c r="T177" s="63">
        <v>0</v>
      </c>
      <c r="U177" s="63">
        <v>0</v>
      </c>
      <c r="V177" s="63">
        <v>0</v>
      </c>
      <c r="W177" s="63">
        <v>0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0</v>
      </c>
      <c r="AE177" s="63">
        <v>0</v>
      </c>
      <c r="AF177" s="63">
        <v>0</v>
      </c>
      <c r="AG177" s="63">
        <v>0</v>
      </c>
      <c r="AH177" s="63">
        <v>-3612560</v>
      </c>
      <c r="AI177" s="63">
        <v>0</v>
      </c>
      <c r="AJ177" s="63">
        <v>-3612560</v>
      </c>
      <c r="AK177" s="63">
        <v>0</v>
      </c>
      <c r="AL177" s="63">
        <v>0</v>
      </c>
      <c r="AM177" s="63">
        <v>0</v>
      </c>
      <c r="AN177" s="63">
        <v>3769809</v>
      </c>
      <c r="AO177" s="63">
        <v>0</v>
      </c>
      <c r="AP177" s="63">
        <v>3769809</v>
      </c>
      <c r="AQ177" s="63">
        <v>157249</v>
      </c>
      <c r="AR177" s="63">
        <v>0</v>
      </c>
      <c r="AS177" s="63">
        <v>157249</v>
      </c>
      <c r="AT177" s="63">
        <v>-9112319</v>
      </c>
      <c r="AU177" s="63">
        <v>0</v>
      </c>
      <c r="AV177" s="63">
        <v>-9112319</v>
      </c>
      <c r="AW177" s="63">
        <v>-75800</v>
      </c>
      <c r="AX177" s="63">
        <v>0</v>
      </c>
      <c r="AY177" s="63">
        <v>-75800</v>
      </c>
      <c r="AZ177" s="63">
        <v>-13260</v>
      </c>
      <c r="BA177" s="63">
        <v>0</v>
      </c>
      <c r="BB177" s="63">
        <v>-13260</v>
      </c>
      <c r="BC177" s="63">
        <v>-9044130</v>
      </c>
      <c r="BD177" s="63">
        <v>0</v>
      </c>
      <c r="BE177" s="63">
        <v>0</v>
      </c>
      <c r="BF177" s="63">
        <v>0</v>
      </c>
      <c r="BG177" s="63">
        <v>-9044130</v>
      </c>
      <c r="BH177" s="63">
        <v>0</v>
      </c>
      <c r="BI177" s="63">
        <v>-9044130</v>
      </c>
      <c r="BJ177" s="63">
        <v>-103824</v>
      </c>
      <c r="BK177" s="63">
        <v>0</v>
      </c>
      <c r="BL177" s="63">
        <v>-103824</v>
      </c>
      <c r="BM177" s="63">
        <v>-5306464</v>
      </c>
      <c r="BN177" s="63">
        <v>0</v>
      </c>
      <c r="BO177" s="63">
        <v>-5306464</v>
      </c>
      <c r="BP177" s="63">
        <v>-5410288</v>
      </c>
      <c r="BQ177" s="63">
        <v>0</v>
      </c>
      <c r="BR177" s="63">
        <v>0</v>
      </c>
      <c r="BS177" s="63">
        <v>0</v>
      </c>
      <c r="BT177" s="63">
        <v>-5410288</v>
      </c>
      <c r="BU177" s="63">
        <v>0</v>
      </c>
      <c r="BV177" s="63">
        <v>-5410288</v>
      </c>
      <c r="BW177" s="63">
        <v>-532283</v>
      </c>
      <c r="BX177" s="63">
        <v>0</v>
      </c>
      <c r="BY177" s="63">
        <v>-532283</v>
      </c>
      <c r="BZ177" s="63">
        <v>0</v>
      </c>
      <c r="CA177" s="63">
        <v>0</v>
      </c>
      <c r="CB177" s="63">
        <v>0</v>
      </c>
      <c r="CC177" s="63">
        <v>-15669</v>
      </c>
      <c r="CD177" s="63">
        <v>0</v>
      </c>
      <c r="CE177" s="63">
        <v>-15669</v>
      </c>
      <c r="CF177" s="63">
        <v>0</v>
      </c>
      <c r="CG177" s="63">
        <v>0</v>
      </c>
      <c r="CH177" s="63">
        <v>0</v>
      </c>
      <c r="CI177" s="63">
        <v>0</v>
      </c>
      <c r="CJ177" s="63">
        <v>0</v>
      </c>
      <c r="CK177" s="63">
        <v>0</v>
      </c>
      <c r="CL177" s="63">
        <v>-236112</v>
      </c>
      <c r="CM177" s="63">
        <v>0</v>
      </c>
      <c r="CN177" s="63">
        <v>-236112</v>
      </c>
      <c r="CO177" s="63">
        <v>0</v>
      </c>
      <c r="CP177" s="63">
        <v>0</v>
      </c>
      <c r="CQ177" s="63">
        <v>-784064</v>
      </c>
      <c r="CR177" s="63">
        <v>0</v>
      </c>
      <c r="CS177" s="63">
        <v>0</v>
      </c>
      <c r="CT177" s="63">
        <v>0</v>
      </c>
      <c r="CU177" s="63">
        <v>-784064</v>
      </c>
      <c r="CV177" s="63">
        <v>0</v>
      </c>
      <c r="CW177" s="63">
        <v>-784064</v>
      </c>
      <c r="CX177" s="63">
        <v>-40000</v>
      </c>
      <c r="CY177" s="63">
        <v>0</v>
      </c>
      <c r="CZ177" s="63">
        <v>-40000</v>
      </c>
      <c r="DA177" s="63">
        <v>-19808</v>
      </c>
      <c r="DB177" s="63">
        <v>0</v>
      </c>
      <c r="DC177" s="63">
        <v>-19808</v>
      </c>
      <c r="DD177" s="63">
        <v>0</v>
      </c>
      <c r="DE177" s="63">
        <v>0</v>
      </c>
      <c r="DF177" s="63">
        <v>0</v>
      </c>
      <c r="DG177" s="63">
        <v>-59808</v>
      </c>
      <c r="DH177" s="63">
        <v>0</v>
      </c>
      <c r="DI177" s="63">
        <v>0</v>
      </c>
      <c r="DJ177" s="63">
        <v>0</v>
      </c>
      <c r="DK177" s="63">
        <v>-59808</v>
      </c>
      <c r="DL177" s="63">
        <v>0</v>
      </c>
      <c r="DM177" s="63">
        <v>-59808</v>
      </c>
      <c r="DN177" s="63">
        <v>168487777</v>
      </c>
      <c r="DO177" s="63">
        <v>0</v>
      </c>
      <c r="DP177" s="63">
        <v>168487777</v>
      </c>
      <c r="DQ177" s="63"/>
      <c r="DR177" s="585"/>
    </row>
    <row r="178" spans="1:122" x14ac:dyDescent="0.2">
      <c r="A178" s="90">
        <v>171</v>
      </c>
      <c r="B178" s="129" t="s">
        <v>207</v>
      </c>
      <c r="C178" s="130" t="s">
        <v>742</v>
      </c>
      <c r="D178" s="131" t="s">
        <v>743</v>
      </c>
      <c r="E178" s="132" t="s">
        <v>206</v>
      </c>
      <c r="F178" s="475" t="s">
        <v>808</v>
      </c>
      <c r="G178" s="63">
        <v>90367381</v>
      </c>
      <c r="H178" s="63">
        <v>0</v>
      </c>
      <c r="I178" s="63">
        <v>90367381</v>
      </c>
      <c r="J178" s="608">
        <v>48.4</v>
      </c>
      <c r="K178" s="63">
        <v>43737812</v>
      </c>
      <c r="L178" s="63">
        <v>0</v>
      </c>
      <c r="M178" s="63">
        <v>0</v>
      </c>
      <c r="N178" s="63">
        <v>0</v>
      </c>
      <c r="O178" s="63">
        <v>43737812</v>
      </c>
      <c r="P178" s="63">
        <v>0</v>
      </c>
      <c r="Q178" s="63">
        <v>43737812</v>
      </c>
      <c r="R178" s="63">
        <v>0</v>
      </c>
      <c r="S178" s="63">
        <v>0</v>
      </c>
      <c r="T178" s="63">
        <v>0</v>
      </c>
      <c r="U178" s="63">
        <v>0</v>
      </c>
      <c r="V178" s="63">
        <v>0</v>
      </c>
      <c r="W178" s="63">
        <v>0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0</v>
      </c>
      <c r="AE178" s="63">
        <v>0</v>
      </c>
      <c r="AF178" s="63">
        <v>0</v>
      </c>
      <c r="AG178" s="63">
        <v>0</v>
      </c>
      <c r="AH178" s="63">
        <v>-1866212</v>
      </c>
      <c r="AI178" s="63">
        <v>0</v>
      </c>
      <c r="AJ178" s="63">
        <v>-1866212</v>
      </c>
      <c r="AK178" s="63">
        <v>-18815</v>
      </c>
      <c r="AL178" s="63">
        <v>0</v>
      </c>
      <c r="AM178" s="63">
        <v>-18815</v>
      </c>
      <c r="AN178" s="63">
        <v>1006068</v>
      </c>
      <c r="AO178" s="63">
        <v>0</v>
      </c>
      <c r="AP178" s="63">
        <v>1006068</v>
      </c>
      <c r="AQ178" s="63">
        <v>-860144</v>
      </c>
      <c r="AR178" s="63">
        <v>0</v>
      </c>
      <c r="AS178" s="63">
        <v>-860144</v>
      </c>
      <c r="AT178" s="63">
        <v>-2107466</v>
      </c>
      <c r="AU178" s="63">
        <v>0</v>
      </c>
      <c r="AV178" s="63">
        <v>-2107466</v>
      </c>
      <c r="AW178" s="63">
        <v>-36430</v>
      </c>
      <c r="AX178" s="63">
        <v>0</v>
      </c>
      <c r="AY178" s="63">
        <v>-36430</v>
      </c>
      <c r="AZ178" s="63">
        <v>-9144</v>
      </c>
      <c r="BA178" s="63">
        <v>0</v>
      </c>
      <c r="BB178" s="63">
        <v>-9144</v>
      </c>
      <c r="BC178" s="63">
        <v>-3013184</v>
      </c>
      <c r="BD178" s="63">
        <v>0</v>
      </c>
      <c r="BE178" s="63">
        <v>0</v>
      </c>
      <c r="BF178" s="63">
        <v>0</v>
      </c>
      <c r="BG178" s="63">
        <v>-3013184</v>
      </c>
      <c r="BH178" s="63">
        <v>0</v>
      </c>
      <c r="BI178" s="63">
        <v>-3013184</v>
      </c>
      <c r="BJ178" s="63">
        <v>0</v>
      </c>
      <c r="BK178" s="63">
        <v>0</v>
      </c>
      <c r="BL178" s="63">
        <v>0</v>
      </c>
      <c r="BM178" s="63">
        <v>-526323</v>
      </c>
      <c r="BN178" s="63">
        <v>0</v>
      </c>
      <c r="BO178" s="63">
        <v>-526323</v>
      </c>
      <c r="BP178" s="63">
        <v>-526323</v>
      </c>
      <c r="BQ178" s="63">
        <v>0</v>
      </c>
      <c r="BR178" s="63">
        <v>0</v>
      </c>
      <c r="BS178" s="63">
        <v>0</v>
      </c>
      <c r="BT178" s="63">
        <v>-526323</v>
      </c>
      <c r="BU178" s="63">
        <v>0</v>
      </c>
      <c r="BV178" s="63">
        <v>-526323</v>
      </c>
      <c r="BW178" s="63">
        <v>-22028</v>
      </c>
      <c r="BX178" s="63">
        <v>0</v>
      </c>
      <c r="BY178" s="63">
        <v>-22028</v>
      </c>
      <c r="BZ178" s="63">
        <v>-10479</v>
      </c>
      <c r="CA178" s="63">
        <v>0</v>
      </c>
      <c r="CB178" s="63">
        <v>-10479</v>
      </c>
      <c r="CC178" s="63">
        <v>-2483</v>
      </c>
      <c r="CD178" s="63">
        <v>0</v>
      </c>
      <c r="CE178" s="63">
        <v>-2483</v>
      </c>
      <c r="CF178" s="63">
        <v>-7778</v>
      </c>
      <c r="CG178" s="63">
        <v>0</v>
      </c>
      <c r="CH178" s="63">
        <v>-7778</v>
      </c>
      <c r="CI178" s="63">
        <v>-28400</v>
      </c>
      <c r="CJ178" s="63">
        <v>0</v>
      </c>
      <c r="CK178" s="63">
        <v>-28400</v>
      </c>
      <c r="CL178" s="63">
        <v>0</v>
      </c>
      <c r="CM178" s="63">
        <v>0</v>
      </c>
      <c r="CN178" s="63">
        <v>0</v>
      </c>
      <c r="CO178" s="63">
        <v>0</v>
      </c>
      <c r="CP178" s="63">
        <v>0</v>
      </c>
      <c r="CQ178" s="63">
        <v>-71168</v>
      </c>
      <c r="CR178" s="63">
        <v>0</v>
      </c>
      <c r="CS178" s="63">
        <v>0</v>
      </c>
      <c r="CT178" s="63">
        <v>0</v>
      </c>
      <c r="CU178" s="63">
        <v>-71168</v>
      </c>
      <c r="CV178" s="63">
        <v>0</v>
      </c>
      <c r="CW178" s="63">
        <v>-71168</v>
      </c>
      <c r="CX178" s="63">
        <v>0</v>
      </c>
      <c r="CY178" s="63">
        <v>0</v>
      </c>
      <c r="CZ178" s="63">
        <v>0</v>
      </c>
      <c r="DA178" s="63">
        <v>-6715</v>
      </c>
      <c r="DB178" s="63">
        <v>0</v>
      </c>
      <c r="DC178" s="63">
        <v>-6715</v>
      </c>
      <c r="DD178" s="63">
        <v>-1711</v>
      </c>
      <c r="DE178" s="63">
        <v>0</v>
      </c>
      <c r="DF178" s="63">
        <v>-1711</v>
      </c>
      <c r="DG178" s="63">
        <v>-8426</v>
      </c>
      <c r="DH178" s="63">
        <v>0</v>
      </c>
      <c r="DI178" s="63">
        <v>0</v>
      </c>
      <c r="DJ178" s="63">
        <v>0</v>
      </c>
      <c r="DK178" s="63">
        <v>-8426</v>
      </c>
      <c r="DL178" s="63">
        <v>0</v>
      </c>
      <c r="DM178" s="63">
        <v>-8426</v>
      </c>
      <c r="DN178" s="63">
        <v>40118711</v>
      </c>
      <c r="DO178" s="63">
        <v>0</v>
      </c>
      <c r="DP178" s="63">
        <v>40118711</v>
      </c>
      <c r="DQ178" s="63"/>
      <c r="DR178" s="585"/>
    </row>
    <row r="179" spans="1:122" x14ac:dyDescent="0.2">
      <c r="A179" s="90">
        <v>172</v>
      </c>
      <c r="B179" s="129" t="s">
        <v>209</v>
      </c>
      <c r="C179" s="130" t="s">
        <v>742</v>
      </c>
      <c r="D179" s="131" t="s">
        <v>743</v>
      </c>
      <c r="E179" s="132" t="s">
        <v>208</v>
      </c>
      <c r="F179" s="475" t="s">
        <v>808</v>
      </c>
      <c r="G179" s="63">
        <v>156711040</v>
      </c>
      <c r="H179" s="63">
        <v>0</v>
      </c>
      <c r="I179" s="63">
        <v>156711040</v>
      </c>
      <c r="J179" s="608">
        <v>48.4</v>
      </c>
      <c r="K179" s="63">
        <v>75848143</v>
      </c>
      <c r="L179" s="63">
        <v>0</v>
      </c>
      <c r="M179" s="63">
        <v>0</v>
      </c>
      <c r="N179" s="63">
        <v>0</v>
      </c>
      <c r="O179" s="63">
        <v>75848143</v>
      </c>
      <c r="P179" s="63">
        <v>0</v>
      </c>
      <c r="Q179" s="63">
        <v>75848143</v>
      </c>
      <c r="R179" s="63">
        <v>0</v>
      </c>
      <c r="S179" s="63">
        <v>0</v>
      </c>
      <c r="T179" s="63">
        <v>0</v>
      </c>
      <c r="U179" s="63">
        <v>0</v>
      </c>
      <c r="V179" s="63">
        <v>0</v>
      </c>
      <c r="W179" s="63">
        <v>0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0</v>
      </c>
      <c r="AE179" s="63">
        <v>0</v>
      </c>
      <c r="AF179" s="63">
        <v>0</v>
      </c>
      <c r="AG179" s="63">
        <v>0</v>
      </c>
      <c r="AH179" s="63">
        <v>-4347117</v>
      </c>
      <c r="AI179" s="63">
        <v>0</v>
      </c>
      <c r="AJ179" s="63">
        <v>-4347117</v>
      </c>
      <c r="AK179" s="63">
        <v>-10000</v>
      </c>
      <c r="AL179" s="63">
        <v>0</v>
      </c>
      <c r="AM179" s="63">
        <v>-10000</v>
      </c>
      <c r="AN179" s="63">
        <v>1705888</v>
      </c>
      <c r="AO179" s="63">
        <v>0</v>
      </c>
      <c r="AP179" s="63">
        <v>1705888</v>
      </c>
      <c r="AQ179" s="63">
        <v>-2641229</v>
      </c>
      <c r="AR179" s="63">
        <v>0</v>
      </c>
      <c r="AS179" s="63">
        <v>-2641229</v>
      </c>
      <c r="AT179" s="63">
        <v>-3310581</v>
      </c>
      <c r="AU179" s="63">
        <v>0</v>
      </c>
      <c r="AV179" s="63">
        <v>-3310581</v>
      </c>
      <c r="AW179" s="63">
        <v>-133176</v>
      </c>
      <c r="AX179" s="63">
        <v>0</v>
      </c>
      <c r="AY179" s="63">
        <v>-133176</v>
      </c>
      <c r="AZ179" s="63">
        <v>-19103</v>
      </c>
      <c r="BA179" s="63">
        <v>0</v>
      </c>
      <c r="BB179" s="63">
        <v>-19103</v>
      </c>
      <c r="BC179" s="63">
        <v>-6104089</v>
      </c>
      <c r="BD179" s="63">
        <v>0</v>
      </c>
      <c r="BE179" s="63">
        <v>-32000</v>
      </c>
      <c r="BF179" s="63">
        <v>0</v>
      </c>
      <c r="BG179" s="63">
        <v>-6136089</v>
      </c>
      <c r="BH179" s="63">
        <v>0</v>
      </c>
      <c r="BI179" s="63">
        <v>-6136089</v>
      </c>
      <c r="BJ179" s="63">
        <v>-133974</v>
      </c>
      <c r="BK179" s="63">
        <v>0</v>
      </c>
      <c r="BL179" s="63">
        <v>-133974</v>
      </c>
      <c r="BM179" s="63">
        <v>-1332949</v>
      </c>
      <c r="BN179" s="63">
        <v>0</v>
      </c>
      <c r="BO179" s="63">
        <v>-1332949</v>
      </c>
      <c r="BP179" s="63">
        <v>-1466923</v>
      </c>
      <c r="BQ179" s="63">
        <v>0</v>
      </c>
      <c r="BR179" s="63">
        <v>0</v>
      </c>
      <c r="BS179" s="63">
        <v>0</v>
      </c>
      <c r="BT179" s="63">
        <v>-1466923</v>
      </c>
      <c r="BU179" s="63">
        <v>0</v>
      </c>
      <c r="BV179" s="63">
        <v>-1466923</v>
      </c>
      <c r="BW179" s="63">
        <v>-107677</v>
      </c>
      <c r="BX179" s="63">
        <v>0</v>
      </c>
      <c r="BY179" s="63">
        <v>-107677</v>
      </c>
      <c r="BZ179" s="63">
        <v>-46366</v>
      </c>
      <c r="CA179" s="63">
        <v>0</v>
      </c>
      <c r="CB179" s="63">
        <v>-46366</v>
      </c>
      <c r="CC179" s="63">
        <v>0</v>
      </c>
      <c r="CD179" s="63">
        <v>0</v>
      </c>
      <c r="CE179" s="63">
        <v>0</v>
      </c>
      <c r="CF179" s="63">
        <v>-10120</v>
      </c>
      <c r="CG179" s="63">
        <v>0</v>
      </c>
      <c r="CH179" s="63">
        <v>-10120</v>
      </c>
      <c r="CI179" s="63">
        <v>-5592</v>
      </c>
      <c r="CJ179" s="63">
        <v>0</v>
      </c>
      <c r="CK179" s="63">
        <v>-5592</v>
      </c>
      <c r="CL179" s="63">
        <v>-5000</v>
      </c>
      <c r="CM179" s="63">
        <v>0</v>
      </c>
      <c r="CN179" s="63">
        <v>-5000</v>
      </c>
      <c r="CO179" s="63">
        <v>0</v>
      </c>
      <c r="CP179" s="63">
        <v>0</v>
      </c>
      <c r="CQ179" s="63">
        <v>-174755</v>
      </c>
      <c r="CR179" s="63">
        <v>0</v>
      </c>
      <c r="CS179" s="63">
        <v>0</v>
      </c>
      <c r="CT179" s="63">
        <v>0</v>
      </c>
      <c r="CU179" s="63">
        <v>-174755</v>
      </c>
      <c r="CV179" s="63">
        <v>0</v>
      </c>
      <c r="CW179" s="63">
        <v>-174755</v>
      </c>
      <c r="CX179" s="63">
        <v>-25000</v>
      </c>
      <c r="CY179" s="63">
        <v>0</v>
      </c>
      <c r="CZ179" s="63">
        <v>-25000</v>
      </c>
      <c r="DA179" s="63">
        <v>-90000</v>
      </c>
      <c r="DB179" s="63">
        <v>0</v>
      </c>
      <c r="DC179" s="63">
        <v>-90000</v>
      </c>
      <c r="DD179" s="63">
        <v>-9085</v>
      </c>
      <c r="DE179" s="63">
        <v>0</v>
      </c>
      <c r="DF179" s="63">
        <v>-9085</v>
      </c>
      <c r="DG179" s="63">
        <v>-124085</v>
      </c>
      <c r="DH179" s="63">
        <v>0</v>
      </c>
      <c r="DI179" s="63">
        <v>0</v>
      </c>
      <c r="DJ179" s="63">
        <v>0</v>
      </c>
      <c r="DK179" s="63">
        <v>-124085</v>
      </c>
      <c r="DL179" s="63">
        <v>0</v>
      </c>
      <c r="DM179" s="63">
        <v>-124085</v>
      </c>
      <c r="DN179" s="63">
        <v>67946291</v>
      </c>
      <c r="DO179" s="63">
        <v>0</v>
      </c>
      <c r="DP179" s="63">
        <v>67946291</v>
      </c>
      <c r="DQ179" s="63"/>
      <c r="DR179" s="585"/>
    </row>
    <row r="180" spans="1:122" x14ac:dyDescent="0.2">
      <c r="A180" s="90">
        <v>173</v>
      </c>
      <c r="B180" s="129" t="s">
        <v>210</v>
      </c>
      <c r="C180" s="130" t="s">
        <v>742</v>
      </c>
      <c r="D180" s="131" t="s">
        <v>745</v>
      </c>
      <c r="E180" s="132" t="s">
        <v>546</v>
      </c>
      <c r="F180" s="475" t="s">
        <v>808</v>
      </c>
      <c r="G180" s="63">
        <v>92009366</v>
      </c>
      <c r="H180" s="63">
        <v>0</v>
      </c>
      <c r="I180" s="63">
        <v>92009366</v>
      </c>
      <c r="J180" s="608">
        <v>48.4</v>
      </c>
      <c r="K180" s="63">
        <v>44532533</v>
      </c>
      <c r="L180" s="63">
        <v>0</v>
      </c>
      <c r="M180" s="63">
        <v>0</v>
      </c>
      <c r="N180" s="63">
        <v>0</v>
      </c>
      <c r="O180" s="63">
        <v>44532533</v>
      </c>
      <c r="P180" s="63">
        <v>0</v>
      </c>
      <c r="Q180" s="63">
        <v>44532533</v>
      </c>
      <c r="R180" s="63">
        <v>0</v>
      </c>
      <c r="S180" s="63">
        <v>0</v>
      </c>
      <c r="T180" s="63">
        <v>0</v>
      </c>
      <c r="U180" s="63">
        <v>0</v>
      </c>
      <c r="V180" s="63">
        <v>0</v>
      </c>
      <c r="W180" s="63">
        <v>0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0</v>
      </c>
      <c r="AE180" s="63">
        <v>0</v>
      </c>
      <c r="AF180" s="63">
        <v>0</v>
      </c>
      <c r="AG180" s="63">
        <v>0</v>
      </c>
      <c r="AH180" s="63">
        <v>-2618922</v>
      </c>
      <c r="AI180" s="63">
        <v>0</v>
      </c>
      <c r="AJ180" s="63">
        <v>-2618922</v>
      </c>
      <c r="AK180" s="63">
        <v>0</v>
      </c>
      <c r="AL180" s="63">
        <v>0</v>
      </c>
      <c r="AM180" s="63">
        <v>0</v>
      </c>
      <c r="AN180" s="63">
        <v>1003930</v>
      </c>
      <c r="AO180" s="63">
        <v>0</v>
      </c>
      <c r="AP180" s="63">
        <v>1003930</v>
      </c>
      <c r="AQ180" s="63">
        <v>-1614992</v>
      </c>
      <c r="AR180" s="63">
        <v>0</v>
      </c>
      <c r="AS180" s="63">
        <v>-1614992</v>
      </c>
      <c r="AT180" s="63">
        <v>-1545197</v>
      </c>
      <c r="AU180" s="63">
        <v>0</v>
      </c>
      <c r="AV180" s="63">
        <v>-1545197</v>
      </c>
      <c r="AW180" s="63">
        <v>-70952</v>
      </c>
      <c r="AX180" s="63">
        <v>0</v>
      </c>
      <c r="AY180" s="63">
        <v>-70952</v>
      </c>
      <c r="AZ180" s="63">
        <v>-28017</v>
      </c>
      <c r="BA180" s="63">
        <v>0</v>
      </c>
      <c r="BB180" s="63">
        <v>-28017</v>
      </c>
      <c r="BC180" s="63">
        <v>-3259158</v>
      </c>
      <c r="BD180" s="63">
        <v>0</v>
      </c>
      <c r="BE180" s="63">
        <v>-150000</v>
      </c>
      <c r="BF180" s="63">
        <v>0</v>
      </c>
      <c r="BG180" s="63">
        <v>-3409158</v>
      </c>
      <c r="BH180" s="63">
        <v>0</v>
      </c>
      <c r="BI180" s="63">
        <v>-3409158</v>
      </c>
      <c r="BJ180" s="63">
        <v>0</v>
      </c>
      <c r="BK180" s="63">
        <v>0</v>
      </c>
      <c r="BL180" s="63">
        <v>0</v>
      </c>
      <c r="BM180" s="63">
        <v>-679170</v>
      </c>
      <c r="BN180" s="63">
        <v>0</v>
      </c>
      <c r="BO180" s="63">
        <v>-679170</v>
      </c>
      <c r="BP180" s="63">
        <v>-679170</v>
      </c>
      <c r="BQ180" s="63">
        <v>0</v>
      </c>
      <c r="BR180" s="63">
        <v>-200000</v>
      </c>
      <c r="BS180" s="63">
        <v>0</v>
      </c>
      <c r="BT180" s="63">
        <v>-879170</v>
      </c>
      <c r="BU180" s="63">
        <v>0</v>
      </c>
      <c r="BV180" s="63">
        <v>-879170</v>
      </c>
      <c r="BW180" s="63">
        <v>-44689</v>
      </c>
      <c r="BX180" s="63">
        <v>0</v>
      </c>
      <c r="BY180" s="63">
        <v>-44689</v>
      </c>
      <c r="BZ180" s="63">
        <v>-145534</v>
      </c>
      <c r="CA180" s="63">
        <v>0</v>
      </c>
      <c r="CB180" s="63">
        <v>-145534</v>
      </c>
      <c r="CC180" s="63">
        <v>0</v>
      </c>
      <c r="CD180" s="63">
        <v>0</v>
      </c>
      <c r="CE180" s="63">
        <v>0</v>
      </c>
      <c r="CF180" s="63">
        <v>-4497</v>
      </c>
      <c r="CG180" s="63">
        <v>0</v>
      </c>
      <c r="CH180" s="63">
        <v>-4497</v>
      </c>
      <c r="CI180" s="63">
        <v>0</v>
      </c>
      <c r="CJ180" s="63">
        <v>0</v>
      </c>
      <c r="CK180" s="63">
        <v>0</v>
      </c>
      <c r="CL180" s="63">
        <v>0</v>
      </c>
      <c r="CM180" s="63">
        <v>0</v>
      </c>
      <c r="CN180" s="63">
        <v>0</v>
      </c>
      <c r="CO180" s="63">
        <v>0</v>
      </c>
      <c r="CP180" s="63">
        <v>0</v>
      </c>
      <c r="CQ180" s="63">
        <v>-194720</v>
      </c>
      <c r="CR180" s="63">
        <v>0</v>
      </c>
      <c r="CS180" s="63">
        <v>0</v>
      </c>
      <c r="CT180" s="63">
        <v>0</v>
      </c>
      <c r="CU180" s="63">
        <v>-194720</v>
      </c>
      <c r="CV180" s="63">
        <v>0</v>
      </c>
      <c r="CW180" s="63">
        <v>-194720</v>
      </c>
      <c r="CX180" s="63">
        <v>0</v>
      </c>
      <c r="CY180" s="63">
        <v>0</v>
      </c>
      <c r="CZ180" s="63">
        <v>0</v>
      </c>
      <c r="DA180" s="63">
        <v>0</v>
      </c>
      <c r="DB180" s="63">
        <v>0</v>
      </c>
      <c r="DC180" s="63">
        <v>0</v>
      </c>
      <c r="DD180" s="63">
        <v>-5000</v>
      </c>
      <c r="DE180" s="63">
        <v>0</v>
      </c>
      <c r="DF180" s="63">
        <v>-5000</v>
      </c>
      <c r="DG180" s="63">
        <v>-5000</v>
      </c>
      <c r="DH180" s="63">
        <v>0</v>
      </c>
      <c r="DI180" s="63">
        <v>0</v>
      </c>
      <c r="DJ180" s="63">
        <v>0</v>
      </c>
      <c r="DK180" s="63">
        <v>-5000</v>
      </c>
      <c r="DL180" s="63">
        <v>0</v>
      </c>
      <c r="DM180" s="63">
        <v>-5000</v>
      </c>
      <c r="DN180" s="63">
        <v>40044485</v>
      </c>
      <c r="DO180" s="63">
        <v>0</v>
      </c>
      <c r="DP180" s="63">
        <v>40044485</v>
      </c>
      <c r="DQ180" s="63"/>
      <c r="DR180" s="585"/>
    </row>
    <row r="181" spans="1:122" x14ac:dyDescent="0.2">
      <c r="A181" s="90">
        <v>174</v>
      </c>
      <c r="B181" s="129" t="s">
        <v>211</v>
      </c>
      <c r="C181" s="130" t="s">
        <v>749</v>
      </c>
      <c r="D181" s="131" t="s">
        <v>755</v>
      </c>
      <c r="E181" s="132" t="s">
        <v>760</v>
      </c>
      <c r="F181" s="475" t="s">
        <v>808</v>
      </c>
      <c r="G181" s="63">
        <v>362571547</v>
      </c>
      <c r="H181" s="63">
        <v>18430000</v>
      </c>
      <c r="I181" s="63">
        <v>381001547</v>
      </c>
      <c r="J181" s="608">
        <v>48.4</v>
      </c>
      <c r="K181" s="63">
        <v>175484629</v>
      </c>
      <c r="L181" s="63">
        <v>8920120</v>
      </c>
      <c r="M181" s="63">
        <v>0</v>
      </c>
      <c r="N181" s="63">
        <v>-684180</v>
      </c>
      <c r="O181" s="63">
        <v>175484629</v>
      </c>
      <c r="P181" s="63">
        <v>8235940</v>
      </c>
      <c r="Q181" s="63">
        <v>183720569</v>
      </c>
      <c r="R181" s="63">
        <v>0</v>
      </c>
      <c r="S181" s="63">
        <v>0</v>
      </c>
      <c r="T181" s="63">
        <v>0</v>
      </c>
      <c r="U181" s="63">
        <v>0</v>
      </c>
      <c r="V181" s="63">
        <v>0</v>
      </c>
      <c r="W181" s="63">
        <v>0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0</v>
      </c>
      <c r="AE181" s="63">
        <v>0</v>
      </c>
      <c r="AF181" s="63">
        <v>0</v>
      </c>
      <c r="AG181" s="63">
        <v>0</v>
      </c>
      <c r="AH181" s="63">
        <v>-5212339</v>
      </c>
      <c r="AI181" s="63">
        <v>-47352</v>
      </c>
      <c r="AJ181" s="63">
        <v>-5259691</v>
      </c>
      <c r="AK181" s="63">
        <v>-22889</v>
      </c>
      <c r="AL181" s="63">
        <v>0</v>
      </c>
      <c r="AM181" s="63">
        <v>-22889</v>
      </c>
      <c r="AN181" s="63">
        <v>4288923</v>
      </c>
      <c r="AO181" s="63">
        <v>229983</v>
      </c>
      <c r="AP181" s="63">
        <v>4518906</v>
      </c>
      <c r="AQ181" s="63">
        <v>-923416</v>
      </c>
      <c r="AR181" s="63">
        <v>182631</v>
      </c>
      <c r="AS181" s="63">
        <v>-740785</v>
      </c>
      <c r="AT181" s="63">
        <v>-13993276</v>
      </c>
      <c r="AU181" s="63">
        <v>-1145087</v>
      </c>
      <c r="AV181" s="63">
        <v>-15138363</v>
      </c>
      <c r="AW181" s="63">
        <v>-131702</v>
      </c>
      <c r="AX181" s="63">
        <v>0</v>
      </c>
      <c r="AY181" s="63">
        <v>-131702</v>
      </c>
      <c r="AZ181" s="63">
        <v>-1669</v>
      </c>
      <c r="BA181" s="63">
        <v>0</v>
      </c>
      <c r="BB181" s="63">
        <v>-1669</v>
      </c>
      <c r="BC181" s="63">
        <v>-15050063</v>
      </c>
      <c r="BD181" s="63">
        <v>-962456</v>
      </c>
      <c r="BE181" s="63">
        <v>0</v>
      </c>
      <c r="BF181" s="63">
        <v>0</v>
      </c>
      <c r="BG181" s="63">
        <v>-15050063</v>
      </c>
      <c r="BH181" s="63">
        <v>-962456</v>
      </c>
      <c r="BI181" s="63">
        <v>-16012519</v>
      </c>
      <c r="BJ181" s="63">
        <v>-250000</v>
      </c>
      <c r="BK181" s="63">
        <v>0</v>
      </c>
      <c r="BL181" s="63">
        <v>-250000</v>
      </c>
      <c r="BM181" s="63">
        <v>-8391766</v>
      </c>
      <c r="BN181" s="63">
        <v>-953619</v>
      </c>
      <c r="BO181" s="63">
        <v>-9345385</v>
      </c>
      <c r="BP181" s="63">
        <v>-8641766</v>
      </c>
      <c r="BQ181" s="63">
        <v>-953619</v>
      </c>
      <c r="BR181" s="63">
        <v>0</v>
      </c>
      <c r="BS181" s="63">
        <v>0</v>
      </c>
      <c r="BT181" s="63">
        <v>-8641766</v>
      </c>
      <c r="BU181" s="63">
        <v>-953619</v>
      </c>
      <c r="BV181" s="63">
        <v>-9595385</v>
      </c>
      <c r="BW181" s="63">
        <v>-195947</v>
      </c>
      <c r="BX181" s="63">
        <v>0</v>
      </c>
      <c r="BY181" s="63">
        <v>-195947</v>
      </c>
      <c r="BZ181" s="63">
        <v>-411346</v>
      </c>
      <c r="CA181" s="63">
        <v>0</v>
      </c>
      <c r="CB181" s="63">
        <v>-411346</v>
      </c>
      <c r="CC181" s="63">
        <v>-27047</v>
      </c>
      <c r="CD181" s="63">
        <v>0</v>
      </c>
      <c r="CE181" s="63">
        <v>-27047</v>
      </c>
      <c r="CF181" s="63">
        <v>0</v>
      </c>
      <c r="CG181" s="63">
        <v>0</v>
      </c>
      <c r="CH181" s="63">
        <v>0</v>
      </c>
      <c r="CI181" s="63">
        <v>0</v>
      </c>
      <c r="CJ181" s="63">
        <v>0</v>
      </c>
      <c r="CK181" s="63">
        <v>0</v>
      </c>
      <c r="CL181" s="63">
        <v>0</v>
      </c>
      <c r="CM181" s="63">
        <v>0</v>
      </c>
      <c r="CN181" s="63">
        <v>0</v>
      </c>
      <c r="CO181" s="63">
        <v>0</v>
      </c>
      <c r="CP181" s="63">
        <v>0</v>
      </c>
      <c r="CQ181" s="63">
        <v>-634340</v>
      </c>
      <c r="CR181" s="63">
        <v>0</v>
      </c>
      <c r="CS181" s="63">
        <v>0</v>
      </c>
      <c r="CT181" s="63">
        <v>0</v>
      </c>
      <c r="CU181" s="63">
        <v>-634340</v>
      </c>
      <c r="CV181" s="63">
        <v>0</v>
      </c>
      <c r="CW181" s="63">
        <v>-634340</v>
      </c>
      <c r="CX181" s="63">
        <v>-66896</v>
      </c>
      <c r="CY181" s="63">
        <v>-281381</v>
      </c>
      <c r="CZ181" s="63">
        <v>-348277</v>
      </c>
      <c r="DA181" s="63">
        <v>-120835</v>
      </c>
      <c r="DB181" s="63">
        <v>0</v>
      </c>
      <c r="DC181" s="63">
        <v>-120835</v>
      </c>
      <c r="DD181" s="63">
        <v>0</v>
      </c>
      <c r="DE181" s="63">
        <v>0</v>
      </c>
      <c r="DF181" s="63">
        <v>0</v>
      </c>
      <c r="DG181" s="63">
        <v>-187731</v>
      </c>
      <c r="DH181" s="63">
        <v>-281381</v>
      </c>
      <c r="DI181" s="63">
        <v>0</v>
      </c>
      <c r="DJ181" s="63">
        <v>0</v>
      </c>
      <c r="DK181" s="63">
        <v>-187731</v>
      </c>
      <c r="DL181" s="63">
        <v>-281381</v>
      </c>
      <c r="DM181" s="63">
        <v>-469112</v>
      </c>
      <c r="DN181" s="63">
        <v>150970729</v>
      </c>
      <c r="DO181" s="63">
        <v>6038484</v>
      </c>
      <c r="DP181" s="63">
        <v>157009213</v>
      </c>
      <c r="DQ181" s="63"/>
      <c r="DR181" s="585" t="s">
        <v>768</v>
      </c>
    </row>
    <row r="182" spans="1:122" x14ac:dyDescent="0.2">
      <c r="A182" s="90">
        <v>175</v>
      </c>
      <c r="B182" s="129" t="s">
        <v>213</v>
      </c>
      <c r="C182" s="130" t="s">
        <v>742</v>
      </c>
      <c r="D182" s="131" t="s">
        <v>752</v>
      </c>
      <c r="E182" s="132" t="s">
        <v>212</v>
      </c>
      <c r="F182" s="475" t="s">
        <v>808</v>
      </c>
      <c r="G182" s="63">
        <v>86124988</v>
      </c>
      <c r="H182" s="63">
        <v>0</v>
      </c>
      <c r="I182" s="63">
        <v>86124988</v>
      </c>
      <c r="J182" s="608">
        <v>48.4</v>
      </c>
      <c r="K182" s="63">
        <v>41684494</v>
      </c>
      <c r="L182" s="63">
        <v>0</v>
      </c>
      <c r="M182" s="63">
        <v>-443795</v>
      </c>
      <c r="N182" s="63">
        <v>0</v>
      </c>
      <c r="O182" s="63">
        <v>41240699</v>
      </c>
      <c r="P182" s="63">
        <v>0</v>
      </c>
      <c r="Q182" s="63">
        <v>41240699</v>
      </c>
      <c r="R182" s="63">
        <v>0</v>
      </c>
      <c r="S182" s="63">
        <v>0</v>
      </c>
      <c r="T182" s="63">
        <v>0</v>
      </c>
      <c r="U182" s="63">
        <v>0</v>
      </c>
      <c r="V182" s="63">
        <v>0</v>
      </c>
      <c r="W182" s="63">
        <v>0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0</v>
      </c>
      <c r="AE182" s="63">
        <v>0</v>
      </c>
      <c r="AF182" s="63">
        <v>0</v>
      </c>
      <c r="AG182" s="63">
        <v>0</v>
      </c>
      <c r="AH182" s="63">
        <v>-2196018</v>
      </c>
      <c r="AI182" s="63">
        <v>0</v>
      </c>
      <c r="AJ182" s="63">
        <v>-2196018</v>
      </c>
      <c r="AK182" s="63">
        <v>0</v>
      </c>
      <c r="AL182" s="63">
        <v>0</v>
      </c>
      <c r="AM182" s="63">
        <v>0</v>
      </c>
      <c r="AN182" s="63">
        <v>793577</v>
      </c>
      <c r="AO182" s="63">
        <v>0</v>
      </c>
      <c r="AP182" s="63">
        <v>793577</v>
      </c>
      <c r="AQ182" s="63">
        <v>-1402441</v>
      </c>
      <c r="AR182" s="63">
        <v>0</v>
      </c>
      <c r="AS182" s="63">
        <v>-1402441</v>
      </c>
      <c r="AT182" s="63">
        <v>-2693223</v>
      </c>
      <c r="AU182" s="63">
        <v>0</v>
      </c>
      <c r="AV182" s="63">
        <v>-2693223</v>
      </c>
      <c r="AW182" s="63">
        <v>-14729</v>
      </c>
      <c r="AX182" s="63">
        <v>0</v>
      </c>
      <c r="AY182" s="63">
        <v>-14729</v>
      </c>
      <c r="AZ182" s="63">
        <v>0</v>
      </c>
      <c r="BA182" s="63">
        <v>0</v>
      </c>
      <c r="BB182" s="63">
        <v>0</v>
      </c>
      <c r="BC182" s="63">
        <v>-4110393</v>
      </c>
      <c r="BD182" s="63">
        <v>0</v>
      </c>
      <c r="BE182" s="63">
        <v>0</v>
      </c>
      <c r="BF182" s="63">
        <v>0</v>
      </c>
      <c r="BG182" s="63">
        <v>-4110393</v>
      </c>
      <c r="BH182" s="63">
        <v>0</v>
      </c>
      <c r="BI182" s="63">
        <v>-4110393</v>
      </c>
      <c r="BJ182" s="63">
        <v>0</v>
      </c>
      <c r="BK182" s="63">
        <v>0</v>
      </c>
      <c r="BL182" s="63">
        <v>0</v>
      </c>
      <c r="BM182" s="63">
        <v>-454304</v>
      </c>
      <c r="BN182" s="63">
        <v>0</v>
      </c>
      <c r="BO182" s="63">
        <v>-454304</v>
      </c>
      <c r="BP182" s="63">
        <v>-454304</v>
      </c>
      <c r="BQ182" s="63">
        <v>0</v>
      </c>
      <c r="BR182" s="63">
        <v>0</v>
      </c>
      <c r="BS182" s="63">
        <v>0</v>
      </c>
      <c r="BT182" s="63">
        <v>-454304</v>
      </c>
      <c r="BU182" s="63">
        <v>0</v>
      </c>
      <c r="BV182" s="63">
        <v>-454304</v>
      </c>
      <c r="BW182" s="63">
        <v>-13626</v>
      </c>
      <c r="BX182" s="63">
        <v>0</v>
      </c>
      <c r="BY182" s="63">
        <v>-13626</v>
      </c>
      <c r="BZ182" s="63">
        <v>-122924</v>
      </c>
      <c r="CA182" s="63">
        <v>0</v>
      </c>
      <c r="CB182" s="63">
        <v>-122924</v>
      </c>
      <c r="CC182" s="63">
        <v>0</v>
      </c>
      <c r="CD182" s="63">
        <v>0</v>
      </c>
      <c r="CE182" s="63">
        <v>0</v>
      </c>
      <c r="CF182" s="63">
        <v>0</v>
      </c>
      <c r="CG182" s="63">
        <v>0</v>
      </c>
      <c r="CH182" s="63">
        <v>0</v>
      </c>
      <c r="CI182" s="63">
        <v>0</v>
      </c>
      <c r="CJ182" s="63">
        <v>0</v>
      </c>
      <c r="CK182" s="63">
        <v>0</v>
      </c>
      <c r="CL182" s="63">
        <v>0</v>
      </c>
      <c r="CM182" s="63">
        <v>0</v>
      </c>
      <c r="CN182" s="63">
        <v>0</v>
      </c>
      <c r="CO182" s="63">
        <v>0</v>
      </c>
      <c r="CP182" s="63">
        <v>0</v>
      </c>
      <c r="CQ182" s="63">
        <v>-136550</v>
      </c>
      <c r="CR182" s="63">
        <v>0</v>
      </c>
      <c r="CS182" s="63">
        <v>0</v>
      </c>
      <c r="CT182" s="63">
        <v>0</v>
      </c>
      <c r="CU182" s="63">
        <v>-136550</v>
      </c>
      <c r="CV182" s="63">
        <v>0</v>
      </c>
      <c r="CW182" s="63">
        <v>-136550</v>
      </c>
      <c r="CX182" s="63">
        <v>0</v>
      </c>
      <c r="CY182" s="63">
        <v>0</v>
      </c>
      <c r="CZ182" s="63">
        <v>0</v>
      </c>
      <c r="DA182" s="63">
        <v>-51864</v>
      </c>
      <c r="DB182" s="63">
        <v>0</v>
      </c>
      <c r="DC182" s="63">
        <v>-51864</v>
      </c>
      <c r="DD182" s="63">
        <v>0</v>
      </c>
      <c r="DE182" s="63">
        <v>0</v>
      </c>
      <c r="DF182" s="63">
        <v>0</v>
      </c>
      <c r="DG182" s="63">
        <v>-51864</v>
      </c>
      <c r="DH182" s="63">
        <v>0</v>
      </c>
      <c r="DI182" s="63">
        <v>0</v>
      </c>
      <c r="DJ182" s="63">
        <v>0</v>
      </c>
      <c r="DK182" s="63">
        <v>-51864</v>
      </c>
      <c r="DL182" s="63">
        <v>0</v>
      </c>
      <c r="DM182" s="63">
        <v>-51864</v>
      </c>
      <c r="DN182" s="63">
        <v>36487588</v>
      </c>
      <c r="DO182" s="63">
        <v>0</v>
      </c>
      <c r="DP182" s="63">
        <v>36487588</v>
      </c>
      <c r="DQ182" s="63"/>
      <c r="DR182" s="585" t="s">
        <v>768</v>
      </c>
    </row>
    <row r="183" spans="1:122" x14ac:dyDescent="0.2">
      <c r="A183" s="90">
        <v>176</v>
      </c>
      <c r="B183" s="129" t="s">
        <v>215</v>
      </c>
      <c r="C183" s="130" t="s">
        <v>747</v>
      </c>
      <c r="D183" s="131" t="s">
        <v>748</v>
      </c>
      <c r="E183" s="132" t="s">
        <v>214</v>
      </c>
      <c r="F183" s="475" t="s">
        <v>808</v>
      </c>
      <c r="G183" s="63">
        <v>317626104</v>
      </c>
      <c r="H183" s="63">
        <v>1582250</v>
      </c>
      <c r="I183" s="63">
        <v>319208354</v>
      </c>
      <c r="J183" s="608">
        <v>48.4</v>
      </c>
      <c r="K183" s="63">
        <v>153731034</v>
      </c>
      <c r="L183" s="63">
        <v>765809</v>
      </c>
      <c r="M183" s="63">
        <v>928264</v>
      </c>
      <c r="N183" s="63">
        <v>0</v>
      </c>
      <c r="O183" s="63">
        <v>154659298</v>
      </c>
      <c r="P183" s="63">
        <v>765809</v>
      </c>
      <c r="Q183" s="63">
        <v>155425107</v>
      </c>
      <c r="R183" s="63">
        <v>0</v>
      </c>
      <c r="S183" s="63">
        <v>0</v>
      </c>
      <c r="T183" s="63">
        <v>0</v>
      </c>
      <c r="U183" s="63">
        <v>0</v>
      </c>
      <c r="V183" s="63">
        <v>0</v>
      </c>
      <c r="W183" s="63">
        <v>0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0</v>
      </c>
      <c r="AE183" s="63">
        <v>0</v>
      </c>
      <c r="AF183" s="63">
        <v>0</v>
      </c>
      <c r="AG183" s="63">
        <v>0</v>
      </c>
      <c r="AH183" s="63">
        <v>-4938339</v>
      </c>
      <c r="AI183" s="63">
        <v>-2371</v>
      </c>
      <c r="AJ183" s="63">
        <v>-4940710</v>
      </c>
      <c r="AK183" s="63">
        <v>0</v>
      </c>
      <c r="AL183" s="63">
        <v>0</v>
      </c>
      <c r="AM183" s="63">
        <v>0</v>
      </c>
      <c r="AN183" s="63">
        <v>3641562</v>
      </c>
      <c r="AO183" s="63">
        <v>19836</v>
      </c>
      <c r="AP183" s="63">
        <v>3661398</v>
      </c>
      <c r="AQ183" s="63">
        <v>-1296777</v>
      </c>
      <c r="AR183" s="63">
        <v>17465</v>
      </c>
      <c r="AS183" s="63">
        <v>-1279312</v>
      </c>
      <c r="AT183" s="63">
        <v>-10660983</v>
      </c>
      <c r="AU183" s="63">
        <v>-83098</v>
      </c>
      <c r="AV183" s="63">
        <v>-10744081</v>
      </c>
      <c r="AW183" s="63">
        <v>0</v>
      </c>
      <c r="AX183" s="63">
        <v>0</v>
      </c>
      <c r="AY183" s="63">
        <v>0</v>
      </c>
      <c r="AZ183" s="63">
        <v>0</v>
      </c>
      <c r="BA183" s="63">
        <v>0</v>
      </c>
      <c r="BB183" s="63">
        <v>0</v>
      </c>
      <c r="BC183" s="63">
        <v>-11957760</v>
      </c>
      <c r="BD183" s="63">
        <v>-65633</v>
      </c>
      <c r="BE183" s="63">
        <v>0</v>
      </c>
      <c r="BF183" s="63">
        <v>0</v>
      </c>
      <c r="BG183" s="63">
        <v>-11957760</v>
      </c>
      <c r="BH183" s="63">
        <v>-65633</v>
      </c>
      <c r="BI183" s="63">
        <v>-12023393</v>
      </c>
      <c r="BJ183" s="63">
        <v>0</v>
      </c>
      <c r="BK183" s="63">
        <v>0</v>
      </c>
      <c r="BL183" s="63">
        <v>0</v>
      </c>
      <c r="BM183" s="63">
        <v>-3154029</v>
      </c>
      <c r="BN183" s="63">
        <v>0</v>
      </c>
      <c r="BO183" s="63">
        <v>-3154029</v>
      </c>
      <c r="BP183" s="63">
        <v>-3154029</v>
      </c>
      <c r="BQ183" s="63">
        <v>0</v>
      </c>
      <c r="BR183" s="63">
        <v>0</v>
      </c>
      <c r="BS183" s="63">
        <v>0</v>
      </c>
      <c r="BT183" s="63">
        <v>-3154029</v>
      </c>
      <c r="BU183" s="63">
        <v>0</v>
      </c>
      <c r="BV183" s="63">
        <v>-3154029</v>
      </c>
      <c r="BW183" s="63">
        <v>0</v>
      </c>
      <c r="BX183" s="63">
        <v>0</v>
      </c>
      <c r="BY183" s="63">
        <v>0</v>
      </c>
      <c r="BZ183" s="63">
        <v>0</v>
      </c>
      <c r="CA183" s="63">
        <v>0</v>
      </c>
      <c r="CB183" s="63">
        <v>0</v>
      </c>
      <c r="CC183" s="63">
        <v>0</v>
      </c>
      <c r="CD183" s="63">
        <v>0</v>
      </c>
      <c r="CE183" s="63">
        <v>0</v>
      </c>
      <c r="CF183" s="63">
        <v>0</v>
      </c>
      <c r="CG183" s="63">
        <v>0</v>
      </c>
      <c r="CH183" s="63">
        <v>0</v>
      </c>
      <c r="CI183" s="63">
        <v>0</v>
      </c>
      <c r="CJ183" s="63">
        <v>0</v>
      </c>
      <c r="CK183" s="63">
        <v>0</v>
      </c>
      <c r="CL183" s="63">
        <v>0</v>
      </c>
      <c r="CM183" s="63">
        <v>-240048</v>
      </c>
      <c r="CN183" s="63">
        <v>-240048</v>
      </c>
      <c r="CO183" s="63">
        <v>-240048</v>
      </c>
      <c r="CP183" s="63">
        <v>0</v>
      </c>
      <c r="CQ183" s="63">
        <v>0</v>
      </c>
      <c r="CR183" s="63">
        <v>-240048</v>
      </c>
      <c r="CS183" s="63">
        <v>0</v>
      </c>
      <c r="CT183" s="63">
        <v>0</v>
      </c>
      <c r="CU183" s="63">
        <v>0</v>
      </c>
      <c r="CV183" s="63">
        <v>-240048</v>
      </c>
      <c r="CW183" s="63">
        <v>-240048</v>
      </c>
      <c r="CX183" s="63">
        <v>0</v>
      </c>
      <c r="CY183" s="63">
        <v>0</v>
      </c>
      <c r="CZ183" s="63">
        <v>0</v>
      </c>
      <c r="DA183" s="63">
        <v>0</v>
      </c>
      <c r="DB183" s="63">
        <v>0</v>
      </c>
      <c r="DC183" s="63">
        <v>0</v>
      </c>
      <c r="DD183" s="63">
        <v>-50603</v>
      </c>
      <c r="DE183" s="63">
        <v>0</v>
      </c>
      <c r="DF183" s="63">
        <v>-50603</v>
      </c>
      <c r="DG183" s="63">
        <v>-50603</v>
      </c>
      <c r="DH183" s="63">
        <v>0</v>
      </c>
      <c r="DI183" s="63">
        <v>0</v>
      </c>
      <c r="DJ183" s="63">
        <v>0</v>
      </c>
      <c r="DK183" s="63">
        <v>-50603</v>
      </c>
      <c r="DL183" s="63">
        <v>0</v>
      </c>
      <c r="DM183" s="63">
        <v>-50603</v>
      </c>
      <c r="DN183" s="63">
        <v>139496906</v>
      </c>
      <c r="DO183" s="63">
        <v>460128</v>
      </c>
      <c r="DP183" s="63">
        <v>139957034</v>
      </c>
      <c r="DQ183" s="63"/>
      <c r="DR183" s="585" t="s">
        <v>768</v>
      </c>
    </row>
    <row r="184" spans="1:122" x14ac:dyDescent="0.2">
      <c r="A184" s="90">
        <v>177</v>
      </c>
      <c r="B184" s="129" t="s">
        <v>217</v>
      </c>
      <c r="C184" s="130" t="s">
        <v>742</v>
      </c>
      <c r="D184" s="131" t="s">
        <v>751</v>
      </c>
      <c r="E184" s="132" t="s">
        <v>216</v>
      </c>
      <c r="F184" s="475" t="s">
        <v>808</v>
      </c>
      <c r="G184" s="63">
        <v>86044504</v>
      </c>
      <c r="H184" s="63">
        <v>0</v>
      </c>
      <c r="I184" s="63">
        <v>86044504</v>
      </c>
      <c r="J184" s="608">
        <v>48.4</v>
      </c>
      <c r="K184" s="63">
        <v>41645540</v>
      </c>
      <c r="L184" s="63">
        <v>0</v>
      </c>
      <c r="M184" s="63">
        <v>458101</v>
      </c>
      <c r="N184" s="63">
        <v>0</v>
      </c>
      <c r="O184" s="63">
        <v>42103641</v>
      </c>
      <c r="P184" s="63">
        <v>0</v>
      </c>
      <c r="Q184" s="63">
        <v>42103641</v>
      </c>
      <c r="R184" s="63">
        <v>0</v>
      </c>
      <c r="S184" s="63">
        <v>0</v>
      </c>
      <c r="T184" s="63">
        <v>0</v>
      </c>
      <c r="U184" s="63">
        <v>0</v>
      </c>
      <c r="V184" s="63">
        <v>0</v>
      </c>
      <c r="W184" s="63">
        <v>0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0</v>
      </c>
      <c r="AE184" s="63">
        <v>0</v>
      </c>
      <c r="AF184" s="63">
        <v>0</v>
      </c>
      <c r="AG184" s="63">
        <v>0</v>
      </c>
      <c r="AH184" s="63">
        <v>-4650521</v>
      </c>
      <c r="AI184" s="63">
        <v>0</v>
      </c>
      <c r="AJ184" s="63">
        <v>-4650521</v>
      </c>
      <c r="AK184" s="63">
        <v>-1216</v>
      </c>
      <c r="AL184" s="63">
        <v>0</v>
      </c>
      <c r="AM184" s="63">
        <v>-1216</v>
      </c>
      <c r="AN184" s="63">
        <v>829726</v>
      </c>
      <c r="AO184" s="63">
        <v>0</v>
      </c>
      <c r="AP184" s="63">
        <v>829726</v>
      </c>
      <c r="AQ184" s="63">
        <v>-3820795</v>
      </c>
      <c r="AR184" s="63">
        <v>0</v>
      </c>
      <c r="AS184" s="63">
        <v>-3820795</v>
      </c>
      <c r="AT184" s="63">
        <v>-2292599</v>
      </c>
      <c r="AU184" s="63">
        <v>0</v>
      </c>
      <c r="AV184" s="63">
        <v>-2292599</v>
      </c>
      <c r="AW184" s="63">
        <v>-129878</v>
      </c>
      <c r="AX184" s="63">
        <v>0</v>
      </c>
      <c r="AY184" s="63">
        <v>-129878</v>
      </c>
      <c r="AZ184" s="63">
        <v>-39518</v>
      </c>
      <c r="BA184" s="63">
        <v>0</v>
      </c>
      <c r="BB184" s="63">
        <v>-39518</v>
      </c>
      <c r="BC184" s="63">
        <v>-6282790</v>
      </c>
      <c r="BD184" s="63">
        <v>0</v>
      </c>
      <c r="BE184" s="63">
        <v>-478003</v>
      </c>
      <c r="BF184" s="63">
        <v>0</v>
      </c>
      <c r="BG184" s="63">
        <v>-6760793</v>
      </c>
      <c r="BH184" s="63">
        <v>0</v>
      </c>
      <c r="BI184" s="63">
        <v>-6760793</v>
      </c>
      <c r="BJ184" s="63">
        <v>-15000</v>
      </c>
      <c r="BK184" s="63">
        <v>0</v>
      </c>
      <c r="BL184" s="63">
        <v>-15000</v>
      </c>
      <c r="BM184" s="63">
        <v>-434360</v>
      </c>
      <c r="BN184" s="63">
        <v>0</v>
      </c>
      <c r="BO184" s="63">
        <v>-434360</v>
      </c>
      <c r="BP184" s="63">
        <v>-449360</v>
      </c>
      <c r="BQ184" s="63">
        <v>0</v>
      </c>
      <c r="BR184" s="63">
        <v>0</v>
      </c>
      <c r="BS184" s="63">
        <v>0</v>
      </c>
      <c r="BT184" s="63">
        <v>-449360</v>
      </c>
      <c r="BU184" s="63">
        <v>0</v>
      </c>
      <c r="BV184" s="63">
        <v>-449360</v>
      </c>
      <c r="BW184" s="63">
        <v>-124400</v>
      </c>
      <c r="BX184" s="63">
        <v>0</v>
      </c>
      <c r="BY184" s="63">
        <v>-124400</v>
      </c>
      <c r="BZ184" s="63">
        <v>-165427</v>
      </c>
      <c r="CA184" s="63">
        <v>0</v>
      </c>
      <c r="CB184" s="63">
        <v>-165427</v>
      </c>
      <c r="CC184" s="63">
        <v>-9481</v>
      </c>
      <c r="CD184" s="63">
        <v>0</v>
      </c>
      <c r="CE184" s="63">
        <v>-9481</v>
      </c>
      <c r="CF184" s="63">
        <v>-15985</v>
      </c>
      <c r="CG184" s="63">
        <v>0</v>
      </c>
      <c r="CH184" s="63">
        <v>-15985</v>
      </c>
      <c r="CI184" s="63">
        <v>-8617</v>
      </c>
      <c r="CJ184" s="63">
        <v>0</v>
      </c>
      <c r="CK184" s="63">
        <v>-8617</v>
      </c>
      <c r="CL184" s="63">
        <v>0</v>
      </c>
      <c r="CM184" s="63">
        <v>0</v>
      </c>
      <c r="CN184" s="63">
        <v>0</v>
      </c>
      <c r="CO184" s="63">
        <v>0</v>
      </c>
      <c r="CP184" s="63">
        <v>0</v>
      </c>
      <c r="CQ184" s="63">
        <v>-323910</v>
      </c>
      <c r="CR184" s="63">
        <v>0</v>
      </c>
      <c r="CS184" s="63">
        <v>0</v>
      </c>
      <c r="CT184" s="63">
        <v>0</v>
      </c>
      <c r="CU184" s="63">
        <v>-323910</v>
      </c>
      <c r="CV184" s="63">
        <v>0</v>
      </c>
      <c r="CW184" s="63">
        <v>-323910</v>
      </c>
      <c r="CX184" s="63">
        <v>0</v>
      </c>
      <c r="CY184" s="63">
        <v>0</v>
      </c>
      <c r="CZ184" s="63">
        <v>0</v>
      </c>
      <c r="DA184" s="63">
        <v>-9691</v>
      </c>
      <c r="DB184" s="63">
        <v>0</v>
      </c>
      <c r="DC184" s="63">
        <v>-9691</v>
      </c>
      <c r="DD184" s="63">
        <v>-14281</v>
      </c>
      <c r="DE184" s="63">
        <v>0</v>
      </c>
      <c r="DF184" s="63">
        <v>-14281</v>
      </c>
      <c r="DG184" s="63">
        <v>-23972</v>
      </c>
      <c r="DH184" s="63">
        <v>0</v>
      </c>
      <c r="DI184" s="63">
        <v>0</v>
      </c>
      <c r="DJ184" s="63">
        <v>0</v>
      </c>
      <c r="DK184" s="63">
        <v>-23972</v>
      </c>
      <c r="DL184" s="63">
        <v>0</v>
      </c>
      <c r="DM184" s="63">
        <v>-23972</v>
      </c>
      <c r="DN184" s="63">
        <v>34545606</v>
      </c>
      <c r="DO184" s="63">
        <v>0</v>
      </c>
      <c r="DP184" s="63">
        <v>34545606</v>
      </c>
      <c r="DQ184" s="63"/>
      <c r="DR184" s="585"/>
    </row>
    <row r="185" spans="1:122" x14ac:dyDescent="0.2">
      <c r="A185" s="90">
        <v>178</v>
      </c>
      <c r="B185" s="129" t="s">
        <v>219</v>
      </c>
      <c r="C185" s="130" t="s">
        <v>742</v>
      </c>
      <c r="D185" s="131" t="s">
        <v>751</v>
      </c>
      <c r="E185" s="132" t="s">
        <v>218</v>
      </c>
      <c r="F185" s="475" t="s">
        <v>808</v>
      </c>
      <c r="G185" s="63">
        <v>39164830</v>
      </c>
      <c r="H185" s="63">
        <v>0</v>
      </c>
      <c r="I185" s="63">
        <v>39164830</v>
      </c>
      <c r="J185" s="608">
        <v>48.4</v>
      </c>
      <c r="K185" s="63">
        <v>18955778</v>
      </c>
      <c r="L185" s="63">
        <v>0</v>
      </c>
      <c r="M185" s="63">
        <v>0</v>
      </c>
      <c r="N185" s="63">
        <v>0</v>
      </c>
      <c r="O185" s="63">
        <v>18955778</v>
      </c>
      <c r="P185" s="63">
        <v>0</v>
      </c>
      <c r="Q185" s="63">
        <v>18955778</v>
      </c>
      <c r="R185" s="63">
        <v>0</v>
      </c>
      <c r="S185" s="63">
        <v>0</v>
      </c>
      <c r="T185" s="63">
        <v>0</v>
      </c>
      <c r="U185" s="63">
        <v>0</v>
      </c>
      <c r="V185" s="63">
        <v>0</v>
      </c>
      <c r="W185" s="63">
        <v>0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0</v>
      </c>
      <c r="AE185" s="63">
        <v>0</v>
      </c>
      <c r="AF185" s="63">
        <v>0</v>
      </c>
      <c r="AG185" s="63">
        <v>0</v>
      </c>
      <c r="AH185" s="63">
        <v>-1864819</v>
      </c>
      <c r="AI185" s="63">
        <v>0</v>
      </c>
      <c r="AJ185" s="63">
        <v>-1864819</v>
      </c>
      <c r="AK185" s="63">
        <v>-2650</v>
      </c>
      <c r="AL185" s="63">
        <v>0</v>
      </c>
      <c r="AM185" s="63">
        <v>-2650</v>
      </c>
      <c r="AN185" s="63">
        <v>375802</v>
      </c>
      <c r="AO185" s="63">
        <v>0</v>
      </c>
      <c r="AP185" s="63">
        <v>375802</v>
      </c>
      <c r="AQ185" s="63">
        <v>-1489017</v>
      </c>
      <c r="AR185" s="63">
        <v>0</v>
      </c>
      <c r="AS185" s="63">
        <v>-1489017</v>
      </c>
      <c r="AT185" s="63">
        <v>-2653334</v>
      </c>
      <c r="AU185" s="63">
        <v>0</v>
      </c>
      <c r="AV185" s="63">
        <v>-2653334</v>
      </c>
      <c r="AW185" s="63">
        <v>0</v>
      </c>
      <c r="AX185" s="63">
        <v>0</v>
      </c>
      <c r="AY185" s="63">
        <v>0</v>
      </c>
      <c r="AZ185" s="63">
        <v>-40058</v>
      </c>
      <c r="BA185" s="63">
        <v>0</v>
      </c>
      <c r="BB185" s="63">
        <v>-40058</v>
      </c>
      <c r="BC185" s="63">
        <v>-4182409</v>
      </c>
      <c r="BD185" s="63">
        <v>0</v>
      </c>
      <c r="BE185" s="63">
        <v>0</v>
      </c>
      <c r="BF185" s="63">
        <v>0</v>
      </c>
      <c r="BG185" s="63">
        <v>-4182409</v>
      </c>
      <c r="BH185" s="63">
        <v>0</v>
      </c>
      <c r="BI185" s="63">
        <v>-4182409</v>
      </c>
      <c r="BJ185" s="63">
        <v>0</v>
      </c>
      <c r="BK185" s="63">
        <v>0</v>
      </c>
      <c r="BL185" s="63">
        <v>0</v>
      </c>
      <c r="BM185" s="63">
        <v>-245617</v>
      </c>
      <c r="BN185" s="63">
        <v>0</v>
      </c>
      <c r="BO185" s="63">
        <v>-245617</v>
      </c>
      <c r="BP185" s="63">
        <v>-245617</v>
      </c>
      <c r="BQ185" s="63">
        <v>0</v>
      </c>
      <c r="BR185" s="63">
        <v>0</v>
      </c>
      <c r="BS185" s="63">
        <v>0</v>
      </c>
      <c r="BT185" s="63">
        <v>-245617</v>
      </c>
      <c r="BU185" s="63">
        <v>0</v>
      </c>
      <c r="BV185" s="63">
        <v>-245617</v>
      </c>
      <c r="BW185" s="63">
        <v>-30410</v>
      </c>
      <c r="BX185" s="63">
        <v>0</v>
      </c>
      <c r="BY185" s="63">
        <v>-30410</v>
      </c>
      <c r="BZ185" s="63">
        <v>0</v>
      </c>
      <c r="CA185" s="63">
        <v>0</v>
      </c>
      <c r="CB185" s="63">
        <v>0</v>
      </c>
      <c r="CC185" s="63">
        <v>0</v>
      </c>
      <c r="CD185" s="63">
        <v>0</v>
      </c>
      <c r="CE185" s="63">
        <v>0</v>
      </c>
      <c r="CF185" s="63">
        <v>0</v>
      </c>
      <c r="CG185" s="63">
        <v>0</v>
      </c>
      <c r="CH185" s="63">
        <v>0</v>
      </c>
      <c r="CI185" s="63">
        <v>0</v>
      </c>
      <c r="CJ185" s="63">
        <v>0</v>
      </c>
      <c r="CK185" s="63">
        <v>0</v>
      </c>
      <c r="CL185" s="63">
        <v>0</v>
      </c>
      <c r="CM185" s="63">
        <v>0</v>
      </c>
      <c r="CN185" s="63">
        <v>0</v>
      </c>
      <c r="CO185" s="63">
        <v>0</v>
      </c>
      <c r="CP185" s="63">
        <v>0</v>
      </c>
      <c r="CQ185" s="63">
        <v>-30410</v>
      </c>
      <c r="CR185" s="63">
        <v>0</v>
      </c>
      <c r="CS185" s="63">
        <v>0</v>
      </c>
      <c r="CT185" s="63">
        <v>0</v>
      </c>
      <c r="CU185" s="63">
        <v>-30410</v>
      </c>
      <c r="CV185" s="63">
        <v>0</v>
      </c>
      <c r="CW185" s="63">
        <v>-30410</v>
      </c>
      <c r="CX185" s="63">
        <v>-33423</v>
      </c>
      <c r="CY185" s="63">
        <v>0</v>
      </c>
      <c r="CZ185" s="63">
        <v>-33423</v>
      </c>
      <c r="DA185" s="63">
        <v>-4437</v>
      </c>
      <c r="DB185" s="63">
        <v>0</v>
      </c>
      <c r="DC185" s="63">
        <v>-4437</v>
      </c>
      <c r="DD185" s="63">
        <v>-16162</v>
      </c>
      <c r="DE185" s="63">
        <v>0</v>
      </c>
      <c r="DF185" s="63">
        <v>-16162</v>
      </c>
      <c r="DG185" s="63">
        <v>-54022</v>
      </c>
      <c r="DH185" s="63">
        <v>0</v>
      </c>
      <c r="DI185" s="63">
        <v>0</v>
      </c>
      <c r="DJ185" s="63">
        <v>0</v>
      </c>
      <c r="DK185" s="63">
        <v>-54022</v>
      </c>
      <c r="DL185" s="63">
        <v>0</v>
      </c>
      <c r="DM185" s="63">
        <v>-54022</v>
      </c>
      <c r="DN185" s="63">
        <v>14443320</v>
      </c>
      <c r="DO185" s="63">
        <v>0</v>
      </c>
      <c r="DP185" s="63">
        <v>14443320</v>
      </c>
      <c r="DQ185" s="63"/>
      <c r="DR185" s="585"/>
    </row>
    <row r="186" spans="1:122" x14ac:dyDescent="0.2">
      <c r="A186" s="90">
        <v>179</v>
      </c>
      <c r="B186" s="129" t="s">
        <v>221</v>
      </c>
      <c r="C186" s="130" t="s">
        <v>742</v>
      </c>
      <c r="D186" s="131" t="s">
        <v>745</v>
      </c>
      <c r="E186" s="132" t="s">
        <v>220</v>
      </c>
      <c r="F186" s="475" t="s">
        <v>808</v>
      </c>
      <c r="G186" s="63">
        <v>39936509</v>
      </c>
      <c r="H186" s="63">
        <v>0</v>
      </c>
      <c r="I186" s="63">
        <v>39936509</v>
      </c>
      <c r="J186" s="608">
        <v>48.4</v>
      </c>
      <c r="K186" s="63">
        <v>19329270</v>
      </c>
      <c r="L186" s="63">
        <v>0</v>
      </c>
      <c r="M186" s="63">
        <v>0</v>
      </c>
      <c r="N186" s="63">
        <v>0</v>
      </c>
      <c r="O186" s="63">
        <v>19329270</v>
      </c>
      <c r="P186" s="63">
        <v>0</v>
      </c>
      <c r="Q186" s="63">
        <v>19329270</v>
      </c>
      <c r="R186" s="63">
        <v>0</v>
      </c>
      <c r="S186" s="63">
        <v>0</v>
      </c>
      <c r="T186" s="63">
        <v>0</v>
      </c>
      <c r="U186" s="63">
        <v>0</v>
      </c>
      <c r="V186" s="63">
        <v>0</v>
      </c>
      <c r="W186" s="63">
        <v>0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0</v>
      </c>
      <c r="AE186" s="63">
        <v>0</v>
      </c>
      <c r="AF186" s="63">
        <v>0</v>
      </c>
      <c r="AG186" s="63">
        <v>0</v>
      </c>
      <c r="AH186" s="63">
        <v>-1850619</v>
      </c>
      <c r="AI186" s="63">
        <v>0</v>
      </c>
      <c r="AJ186" s="63">
        <v>-1850619</v>
      </c>
      <c r="AK186" s="63">
        <v>0</v>
      </c>
      <c r="AL186" s="63">
        <v>0</v>
      </c>
      <c r="AM186" s="63">
        <v>0</v>
      </c>
      <c r="AN186" s="63">
        <v>392235</v>
      </c>
      <c r="AO186" s="63">
        <v>0</v>
      </c>
      <c r="AP186" s="63">
        <v>392235</v>
      </c>
      <c r="AQ186" s="63">
        <v>-1458384</v>
      </c>
      <c r="AR186" s="63">
        <v>0</v>
      </c>
      <c r="AS186" s="63">
        <v>-1458384</v>
      </c>
      <c r="AT186" s="63">
        <v>-562684</v>
      </c>
      <c r="AU186" s="63">
        <v>0</v>
      </c>
      <c r="AV186" s="63">
        <v>-562684</v>
      </c>
      <c r="AW186" s="63">
        <v>-10318</v>
      </c>
      <c r="AX186" s="63">
        <v>0</v>
      </c>
      <c r="AY186" s="63">
        <v>-10318</v>
      </c>
      <c r="AZ186" s="63">
        <v>-9611</v>
      </c>
      <c r="BA186" s="63">
        <v>0</v>
      </c>
      <c r="BB186" s="63">
        <v>-9611</v>
      </c>
      <c r="BC186" s="63">
        <v>-2040997</v>
      </c>
      <c r="BD186" s="63">
        <v>0</v>
      </c>
      <c r="BE186" s="63">
        <v>0</v>
      </c>
      <c r="BF186" s="63">
        <v>0</v>
      </c>
      <c r="BG186" s="63">
        <v>-2040997</v>
      </c>
      <c r="BH186" s="63">
        <v>0</v>
      </c>
      <c r="BI186" s="63">
        <v>-2040997</v>
      </c>
      <c r="BJ186" s="63">
        <v>-5000</v>
      </c>
      <c r="BK186" s="63">
        <v>0</v>
      </c>
      <c r="BL186" s="63">
        <v>-5000</v>
      </c>
      <c r="BM186" s="63">
        <v>-342361</v>
      </c>
      <c r="BN186" s="63">
        <v>0</v>
      </c>
      <c r="BO186" s="63">
        <v>-342361</v>
      </c>
      <c r="BP186" s="63">
        <v>-347361</v>
      </c>
      <c r="BQ186" s="63">
        <v>0</v>
      </c>
      <c r="BR186" s="63">
        <v>0</v>
      </c>
      <c r="BS186" s="63">
        <v>0</v>
      </c>
      <c r="BT186" s="63">
        <v>-347361</v>
      </c>
      <c r="BU186" s="63">
        <v>0</v>
      </c>
      <c r="BV186" s="63">
        <v>-347361</v>
      </c>
      <c r="BW186" s="63">
        <v>-31159</v>
      </c>
      <c r="BX186" s="63">
        <v>0</v>
      </c>
      <c r="BY186" s="63">
        <v>-31159</v>
      </c>
      <c r="BZ186" s="63">
        <v>-16574</v>
      </c>
      <c r="CA186" s="63">
        <v>0</v>
      </c>
      <c r="CB186" s="63">
        <v>-16574</v>
      </c>
      <c r="CC186" s="63">
        <v>-229</v>
      </c>
      <c r="CD186" s="63">
        <v>0</v>
      </c>
      <c r="CE186" s="63">
        <v>-229</v>
      </c>
      <c r="CF186" s="63">
        <v>-1274</v>
      </c>
      <c r="CG186" s="63">
        <v>0</v>
      </c>
      <c r="CH186" s="63">
        <v>-1274</v>
      </c>
      <c r="CI186" s="63">
        <v>0</v>
      </c>
      <c r="CJ186" s="63">
        <v>0</v>
      </c>
      <c r="CK186" s="63">
        <v>0</v>
      </c>
      <c r="CL186" s="63">
        <v>0</v>
      </c>
      <c r="CM186" s="63">
        <v>0</v>
      </c>
      <c r="CN186" s="63">
        <v>0</v>
      </c>
      <c r="CO186" s="63">
        <v>0</v>
      </c>
      <c r="CP186" s="63">
        <v>0</v>
      </c>
      <c r="CQ186" s="63">
        <v>-49236</v>
      </c>
      <c r="CR186" s="63">
        <v>0</v>
      </c>
      <c r="CS186" s="63">
        <v>0</v>
      </c>
      <c r="CT186" s="63">
        <v>0</v>
      </c>
      <c r="CU186" s="63">
        <v>-49236</v>
      </c>
      <c r="CV186" s="63">
        <v>0</v>
      </c>
      <c r="CW186" s="63">
        <v>-49236</v>
      </c>
      <c r="CX186" s="63">
        <v>0</v>
      </c>
      <c r="CY186" s="63">
        <v>0</v>
      </c>
      <c r="CZ186" s="63">
        <v>0</v>
      </c>
      <c r="DA186" s="63">
        <v>0</v>
      </c>
      <c r="DB186" s="63">
        <v>0</v>
      </c>
      <c r="DC186" s="63">
        <v>0</v>
      </c>
      <c r="DD186" s="63">
        <v>-10647</v>
      </c>
      <c r="DE186" s="63">
        <v>0</v>
      </c>
      <c r="DF186" s="63">
        <v>-10647</v>
      </c>
      <c r="DG186" s="63">
        <v>-10647</v>
      </c>
      <c r="DH186" s="63">
        <v>0</v>
      </c>
      <c r="DI186" s="63">
        <v>0</v>
      </c>
      <c r="DJ186" s="63">
        <v>0</v>
      </c>
      <c r="DK186" s="63">
        <v>-10647</v>
      </c>
      <c r="DL186" s="63">
        <v>0</v>
      </c>
      <c r="DM186" s="63">
        <v>-10647</v>
      </c>
      <c r="DN186" s="63">
        <v>16881029</v>
      </c>
      <c r="DO186" s="63">
        <v>0</v>
      </c>
      <c r="DP186" s="63">
        <v>16881029</v>
      </c>
      <c r="DQ186" s="63"/>
      <c r="DR186" s="585"/>
    </row>
    <row r="187" spans="1:122" ht="12.75" x14ac:dyDescent="0.2">
      <c r="A187" s="90">
        <v>180</v>
      </c>
      <c r="B187" s="129" t="s">
        <v>222</v>
      </c>
      <c r="C187" s="130" t="s">
        <v>501</v>
      </c>
      <c r="D187" s="131" t="s">
        <v>750</v>
      </c>
      <c r="E187" s="132" t="s">
        <v>534</v>
      </c>
      <c r="F187" s="475" t="s">
        <v>808</v>
      </c>
      <c r="G187" s="63">
        <v>161398153</v>
      </c>
      <c r="H187" s="63">
        <v>132250</v>
      </c>
      <c r="I187" s="63">
        <v>161530403</v>
      </c>
      <c r="J187" s="608">
        <v>48.4</v>
      </c>
      <c r="K187" s="63">
        <v>78116706</v>
      </c>
      <c r="L187" s="63">
        <v>64009</v>
      </c>
      <c r="M187" s="63">
        <v>915671</v>
      </c>
      <c r="N187" s="63">
        <v>0</v>
      </c>
      <c r="O187" s="63">
        <v>79032377</v>
      </c>
      <c r="P187" s="63">
        <v>64009</v>
      </c>
      <c r="Q187" s="63">
        <v>79096386</v>
      </c>
      <c r="R187" s="63">
        <v>0</v>
      </c>
      <c r="S187" s="63">
        <v>0</v>
      </c>
      <c r="T187" s="63">
        <v>0</v>
      </c>
      <c r="U187" s="63">
        <v>0</v>
      </c>
      <c r="V187" s="63">
        <v>0</v>
      </c>
      <c r="W187" s="63">
        <v>0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0</v>
      </c>
      <c r="AE187" s="63">
        <v>0</v>
      </c>
      <c r="AF187" s="63">
        <v>0</v>
      </c>
      <c r="AG187" s="63">
        <v>0</v>
      </c>
      <c r="AH187" s="63">
        <v>-3471347</v>
      </c>
      <c r="AI187" s="63">
        <v>0</v>
      </c>
      <c r="AJ187" s="63">
        <v>-3471347</v>
      </c>
      <c r="AK187" s="63">
        <v>-32165</v>
      </c>
      <c r="AL187" s="63">
        <v>0</v>
      </c>
      <c r="AM187" s="63">
        <v>-32165</v>
      </c>
      <c r="AN187" s="63">
        <v>1859020</v>
      </c>
      <c r="AO187" s="63">
        <v>1719</v>
      </c>
      <c r="AP187" s="63">
        <v>1860739</v>
      </c>
      <c r="AQ187" s="63">
        <v>-1612327</v>
      </c>
      <c r="AR187" s="63">
        <v>1719</v>
      </c>
      <c r="AS187" s="63">
        <v>-1610608</v>
      </c>
      <c r="AT187" s="63">
        <v>-3525391</v>
      </c>
      <c r="AU187" s="63">
        <v>0</v>
      </c>
      <c r="AV187" s="63">
        <v>-3525391</v>
      </c>
      <c r="AW187" s="63">
        <v>-92283</v>
      </c>
      <c r="AX187" s="63">
        <v>0</v>
      </c>
      <c r="AY187" s="63">
        <v>-92283</v>
      </c>
      <c r="AZ187" s="63">
        <v>-596</v>
      </c>
      <c r="BA187" s="63">
        <v>0</v>
      </c>
      <c r="BB187" s="63">
        <v>-596</v>
      </c>
      <c r="BC187" s="63">
        <v>-5230597</v>
      </c>
      <c r="BD187" s="63">
        <v>1719</v>
      </c>
      <c r="BE187" s="63">
        <v>0</v>
      </c>
      <c r="BF187" s="63">
        <v>0</v>
      </c>
      <c r="BG187" s="63">
        <v>-5230597</v>
      </c>
      <c r="BH187" s="63">
        <v>1719</v>
      </c>
      <c r="BI187" s="63">
        <v>-5228878</v>
      </c>
      <c r="BJ187" s="63">
        <v>-70000</v>
      </c>
      <c r="BK187" s="63">
        <v>0</v>
      </c>
      <c r="BL187" s="63">
        <v>-70000</v>
      </c>
      <c r="BM187" s="63">
        <v>-1615531</v>
      </c>
      <c r="BN187" s="63">
        <v>0</v>
      </c>
      <c r="BO187" s="63">
        <v>-1615531</v>
      </c>
      <c r="BP187" s="63">
        <v>-1685531</v>
      </c>
      <c r="BQ187" s="63">
        <v>0</v>
      </c>
      <c r="BR187" s="63">
        <v>0</v>
      </c>
      <c r="BS187" s="63">
        <v>0</v>
      </c>
      <c r="BT187" s="63">
        <v>-1685531</v>
      </c>
      <c r="BU187" s="63">
        <v>0</v>
      </c>
      <c r="BV187" s="63">
        <v>-1685531</v>
      </c>
      <c r="BW187" s="63">
        <v>-27080</v>
      </c>
      <c r="BX187" s="63">
        <v>0</v>
      </c>
      <c r="BY187" s="63">
        <v>-27080</v>
      </c>
      <c r="BZ187" s="63">
        <v>-199091</v>
      </c>
      <c r="CA187" s="63">
        <v>0</v>
      </c>
      <c r="CB187" s="63">
        <v>-199091</v>
      </c>
      <c r="CC187" s="63">
        <v>-2864</v>
      </c>
      <c r="CD187" s="63">
        <v>0</v>
      </c>
      <c r="CE187" s="63">
        <v>-2864</v>
      </c>
      <c r="CF187" s="63">
        <v>-574</v>
      </c>
      <c r="CG187" s="63">
        <v>0</v>
      </c>
      <c r="CH187" s="63">
        <v>-574</v>
      </c>
      <c r="CI187" s="63">
        <v>0</v>
      </c>
      <c r="CJ187" s="63">
        <v>0</v>
      </c>
      <c r="CK187" s="63">
        <v>0</v>
      </c>
      <c r="CL187" s="63">
        <v>0</v>
      </c>
      <c r="CM187" s="63">
        <v>-65728</v>
      </c>
      <c r="CN187" s="63">
        <v>-65728</v>
      </c>
      <c r="CO187" s="63">
        <v>-65728</v>
      </c>
      <c r="CP187" s="63">
        <v>0</v>
      </c>
      <c r="CQ187" s="63">
        <v>-229609</v>
      </c>
      <c r="CR187" s="63">
        <v>-65728</v>
      </c>
      <c r="CS187" s="63">
        <v>0</v>
      </c>
      <c r="CT187" s="63">
        <v>0</v>
      </c>
      <c r="CU187" s="63">
        <v>-229609</v>
      </c>
      <c r="CV187" s="63">
        <v>-65728</v>
      </c>
      <c r="CW187" s="63">
        <v>-295337</v>
      </c>
      <c r="CX187" s="63">
        <v>0</v>
      </c>
      <c r="CY187" s="63">
        <v>0</v>
      </c>
      <c r="CZ187" s="63">
        <v>0</v>
      </c>
      <c r="DA187" s="63">
        <v>-20667</v>
      </c>
      <c r="DB187" s="63">
        <v>0</v>
      </c>
      <c r="DC187" s="63">
        <v>-20667</v>
      </c>
      <c r="DD187" s="63">
        <v>-798</v>
      </c>
      <c r="DE187" s="63">
        <v>0</v>
      </c>
      <c r="DF187" s="63">
        <v>-798</v>
      </c>
      <c r="DG187" s="63">
        <v>-21465</v>
      </c>
      <c r="DH187" s="63">
        <v>0</v>
      </c>
      <c r="DI187" s="63">
        <v>0</v>
      </c>
      <c r="DJ187" s="63">
        <v>0</v>
      </c>
      <c r="DK187" s="63">
        <v>-21465</v>
      </c>
      <c r="DL187" s="63">
        <v>0</v>
      </c>
      <c r="DM187" s="63">
        <v>-21465</v>
      </c>
      <c r="DN187" s="63">
        <v>71865175</v>
      </c>
      <c r="DO187" s="63">
        <v>0</v>
      </c>
      <c r="DP187" s="63">
        <v>71865175</v>
      </c>
      <c r="DQ187" s="63"/>
      <c r="DR187" s="587" t="s">
        <v>768</v>
      </c>
    </row>
    <row r="188" spans="1:122" x14ac:dyDescent="0.2">
      <c r="A188" s="90">
        <v>181</v>
      </c>
      <c r="B188" s="129" t="s">
        <v>224</v>
      </c>
      <c r="C188" s="130" t="s">
        <v>742</v>
      </c>
      <c r="D188" s="131" t="s">
        <v>746</v>
      </c>
      <c r="E188" s="132" t="s">
        <v>223</v>
      </c>
      <c r="F188" s="475" t="s">
        <v>808</v>
      </c>
      <c r="G188" s="63">
        <v>96845861</v>
      </c>
      <c r="H188" s="63">
        <v>0</v>
      </c>
      <c r="I188" s="63">
        <v>96845861</v>
      </c>
      <c r="J188" s="608">
        <v>48.4</v>
      </c>
      <c r="K188" s="63">
        <v>46873397</v>
      </c>
      <c r="L188" s="63">
        <v>0</v>
      </c>
      <c r="M188" s="63">
        <v>-542299</v>
      </c>
      <c r="N188" s="63">
        <v>0</v>
      </c>
      <c r="O188" s="63">
        <v>46331098</v>
      </c>
      <c r="P188" s="63">
        <v>0</v>
      </c>
      <c r="Q188" s="63">
        <v>46331098</v>
      </c>
      <c r="R188" s="63">
        <v>0</v>
      </c>
      <c r="S188" s="63">
        <v>0</v>
      </c>
      <c r="T188" s="63">
        <v>0</v>
      </c>
      <c r="U188" s="63">
        <v>0</v>
      </c>
      <c r="V188" s="63">
        <v>0</v>
      </c>
      <c r="W188" s="63">
        <v>0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0</v>
      </c>
      <c r="AE188" s="63">
        <v>0</v>
      </c>
      <c r="AF188" s="63">
        <v>0</v>
      </c>
      <c r="AG188" s="63">
        <v>0</v>
      </c>
      <c r="AH188" s="63">
        <v>-2708344</v>
      </c>
      <c r="AI188" s="63">
        <v>0</v>
      </c>
      <c r="AJ188" s="63">
        <v>-2708344</v>
      </c>
      <c r="AK188" s="63">
        <v>0</v>
      </c>
      <c r="AL188" s="63">
        <v>0</v>
      </c>
      <c r="AM188" s="63">
        <v>0</v>
      </c>
      <c r="AN188" s="63">
        <v>993522</v>
      </c>
      <c r="AO188" s="63">
        <v>0</v>
      </c>
      <c r="AP188" s="63">
        <v>993522</v>
      </c>
      <c r="AQ188" s="63">
        <v>-1714822</v>
      </c>
      <c r="AR188" s="63">
        <v>0</v>
      </c>
      <c r="AS188" s="63">
        <v>-1714822</v>
      </c>
      <c r="AT188" s="63">
        <v>-2643054</v>
      </c>
      <c r="AU188" s="63">
        <v>0</v>
      </c>
      <c r="AV188" s="63">
        <v>-2643054</v>
      </c>
      <c r="AW188" s="63">
        <v>-107383</v>
      </c>
      <c r="AX188" s="63">
        <v>0</v>
      </c>
      <c r="AY188" s="63">
        <v>-107383</v>
      </c>
      <c r="AZ188" s="63">
        <v>-13160</v>
      </c>
      <c r="BA188" s="63">
        <v>0</v>
      </c>
      <c r="BB188" s="63">
        <v>-13160</v>
      </c>
      <c r="BC188" s="63">
        <v>-4478419</v>
      </c>
      <c r="BD188" s="63">
        <v>0</v>
      </c>
      <c r="BE188" s="63">
        <v>12811</v>
      </c>
      <c r="BF188" s="63">
        <v>0</v>
      </c>
      <c r="BG188" s="63">
        <v>-4465608</v>
      </c>
      <c r="BH188" s="63">
        <v>0</v>
      </c>
      <c r="BI188" s="63">
        <v>-4465608</v>
      </c>
      <c r="BJ188" s="63">
        <v>-19258</v>
      </c>
      <c r="BK188" s="63">
        <v>0</v>
      </c>
      <c r="BL188" s="63">
        <v>-19258</v>
      </c>
      <c r="BM188" s="63">
        <v>-1491638</v>
      </c>
      <c r="BN188" s="63">
        <v>0</v>
      </c>
      <c r="BO188" s="63">
        <v>-1491638</v>
      </c>
      <c r="BP188" s="63">
        <v>-1510896</v>
      </c>
      <c r="BQ188" s="63">
        <v>0</v>
      </c>
      <c r="BR188" s="63">
        <v>126834</v>
      </c>
      <c r="BS188" s="63">
        <v>0</v>
      </c>
      <c r="BT188" s="63">
        <v>-1384062</v>
      </c>
      <c r="BU188" s="63">
        <v>0</v>
      </c>
      <c r="BV188" s="63">
        <v>-1384062</v>
      </c>
      <c r="BW188" s="63">
        <v>-184843</v>
      </c>
      <c r="BX188" s="63">
        <v>0</v>
      </c>
      <c r="BY188" s="63">
        <v>-184843</v>
      </c>
      <c r="BZ188" s="63">
        <v>-97551</v>
      </c>
      <c r="CA188" s="63">
        <v>0</v>
      </c>
      <c r="CB188" s="63">
        <v>-97551</v>
      </c>
      <c r="CC188" s="63">
        <v>-16265</v>
      </c>
      <c r="CD188" s="63">
        <v>0</v>
      </c>
      <c r="CE188" s="63">
        <v>-16265</v>
      </c>
      <c r="CF188" s="63">
        <v>-12947</v>
      </c>
      <c r="CG188" s="63">
        <v>0</v>
      </c>
      <c r="CH188" s="63">
        <v>-12947</v>
      </c>
      <c r="CI188" s="63">
        <v>-6369</v>
      </c>
      <c r="CJ188" s="63">
        <v>0</v>
      </c>
      <c r="CK188" s="63">
        <v>-6369</v>
      </c>
      <c r="CL188" s="63">
        <v>0</v>
      </c>
      <c r="CM188" s="63">
        <v>0</v>
      </c>
      <c r="CN188" s="63">
        <v>0</v>
      </c>
      <c r="CO188" s="63">
        <v>0</v>
      </c>
      <c r="CP188" s="63">
        <v>0</v>
      </c>
      <c r="CQ188" s="63">
        <v>-317975</v>
      </c>
      <c r="CR188" s="63">
        <v>0</v>
      </c>
      <c r="CS188" s="63">
        <v>-12255</v>
      </c>
      <c r="CT188" s="63">
        <v>0</v>
      </c>
      <c r="CU188" s="63">
        <v>-330230</v>
      </c>
      <c r="CV188" s="63">
        <v>0</v>
      </c>
      <c r="CW188" s="63">
        <v>-330230</v>
      </c>
      <c r="CX188" s="63">
        <v>-2500</v>
      </c>
      <c r="CY188" s="63">
        <v>0</v>
      </c>
      <c r="CZ188" s="63">
        <v>-2500</v>
      </c>
      <c r="DA188" s="63">
        <v>-2500</v>
      </c>
      <c r="DB188" s="63">
        <v>0</v>
      </c>
      <c r="DC188" s="63">
        <v>-2500</v>
      </c>
      <c r="DD188" s="63">
        <v>-2575</v>
      </c>
      <c r="DE188" s="63">
        <v>0</v>
      </c>
      <c r="DF188" s="63">
        <v>-2575</v>
      </c>
      <c r="DG188" s="63">
        <v>-7575</v>
      </c>
      <c r="DH188" s="63">
        <v>0</v>
      </c>
      <c r="DI188" s="63">
        <v>1500</v>
      </c>
      <c r="DJ188" s="63">
        <v>0</v>
      </c>
      <c r="DK188" s="63">
        <v>-6075</v>
      </c>
      <c r="DL188" s="63">
        <v>0</v>
      </c>
      <c r="DM188" s="63">
        <v>-6075</v>
      </c>
      <c r="DN188" s="63">
        <v>40145123</v>
      </c>
      <c r="DO188" s="63">
        <v>0</v>
      </c>
      <c r="DP188" s="63">
        <v>40145123</v>
      </c>
      <c r="DQ188" s="63"/>
      <c r="DR188" s="585"/>
    </row>
    <row r="189" spans="1:122" x14ac:dyDescent="0.2">
      <c r="A189" s="90">
        <v>182</v>
      </c>
      <c r="B189" s="129" t="s">
        <v>226</v>
      </c>
      <c r="C189" s="130" t="s">
        <v>742</v>
      </c>
      <c r="D189" s="131" t="s">
        <v>745</v>
      </c>
      <c r="E189" s="132" t="s">
        <v>225</v>
      </c>
      <c r="F189" s="475" t="s">
        <v>808</v>
      </c>
      <c r="G189" s="63">
        <v>62963596</v>
      </c>
      <c r="H189" s="63">
        <v>0</v>
      </c>
      <c r="I189" s="63">
        <v>62963596</v>
      </c>
      <c r="J189" s="608">
        <v>48.4</v>
      </c>
      <c r="K189" s="63">
        <v>30474380</v>
      </c>
      <c r="L189" s="63">
        <v>0</v>
      </c>
      <c r="M189" s="63">
        <v>725032</v>
      </c>
      <c r="N189" s="63">
        <v>0</v>
      </c>
      <c r="O189" s="63">
        <v>31199412</v>
      </c>
      <c r="P189" s="63">
        <v>0</v>
      </c>
      <c r="Q189" s="63">
        <v>31199412</v>
      </c>
      <c r="R189" s="63">
        <v>0</v>
      </c>
      <c r="S189" s="63">
        <v>0</v>
      </c>
      <c r="T189" s="63">
        <v>0</v>
      </c>
      <c r="U189" s="63">
        <v>0</v>
      </c>
      <c r="V189" s="63">
        <v>0</v>
      </c>
      <c r="W189" s="63">
        <v>0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0</v>
      </c>
      <c r="AE189" s="63">
        <v>0</v>
      </c>
      <c r="AF189" s="63">
        <v>0</v>
      </c>
      <c r="AG189" s="63">
        <v>0</v>
      </c>
      <c r="AH189" s="63">
        <v>-2329989</v>
      </c>
      <c r="AI189" s="63">
        <v>0</v>
      </c>
      <c r="AJ189" s="63">
        <v>-2329989</v>
      </c>
      <c r="AK189" s="63">
        <v>-14315</v>
      </c>
      <c r="AL189" s="63">
        <v>0</v>
      </c>
      <c r="AM189" s="63">
        <v>-14315</v>
      </c>
      <c r="AN189" s="63">
        <v>653534</v>
      </c>
      <c r="AO189" s="63">
        <v>0</v>
      </c>
      <c r="AP189" s="63">
        <v>653534</v>
      </c>
      <c r="AQ189" s="63">
        <v>-1676455</v>
      </c>
      <c r="AR189" s="63">
        <v>0</v>
      </c>
      <c r="AS189" s="63">
        <v>-1676455</v>
      </c>
      <c r="AT189" s="63">
        <v>-1674051</v>
      </c>
      <c r="AU189" s="63">
        <v>0</v>
      </c>
      <c r="AV189" s="63">
        <v>-1674051</v>
      </c>
      <c r="AW189" s="63">
        <v>-28905</v>
      </c>
      <c r="AX189" s="63">
        <v>0</v>
      </c>
      <c r="AY189" s="63">
        <v>-28905</v>
      </c>
      <c r="AZ189" s="63">
        <v>-43538</v>
      </c>
      <c r="BA189" s="63">
        <v>0</v>
      </c>
      <c r="BB189" s="63">
        <v>-43538</v>
      </c>
      <c r="BC189" s="63">
        <v>-3422949</v>
      </c>
      <c r="BD189" s="63">
        <v>0</v>
      </c>
      <c r="BE189" s="63">
        <v>-10875</v>
      </c>
      <c r="BF189" s="63">
        <v>0</v>
      </c>
      <c r="BG189" s="63">
        <v>-3433824</v>
      </c>
      <c r="BH189" s="63">
        <v>0</v>
      </c>
      <c r="BI189" s="63">
        <v>-3433824</v>
      </c>
      <c r="BJ189" s="63">
        <v>0</v>
      </c>
      <c r="BK189" s="63">
        <v>0</v>
      </c>
      <c r="BL189" s="63">
        <v>0</v>
      </c>
      <c r="BM189" s="63">
        <v>-583856</v>
      </c>
      <c r="BN189" s="63">
        <v>0</v>
      </c>
      <c r="BO189" s="63">
        <v>-583856</v>
      </c>
      <c r="BP189" s="63">
        <v>-583856</v>
      </c>
      <c r="BQ189" s="63">
        <v>0</v>
      </c>
      <c r="BR189" s="63">
        <v>0</v>
      </c>
      <c r="BS189" s="63">
        <v>0</v>
      </c>
      <c r="BT189" s="63">
        <v>-583856</v>
      </c>
      <c r="BU189" s="63">
        <v>0</v>
      </c>
      <c r="BV189" s="63">
        <v>-583856</v>
      </c>
      <c r="BW189" s="63">
        <v>-64131</v>
      </c>
      <c r="BX189" s="63">
        <v>0</v>
      </c>
      <c r="BY189" s="63">
        <v>-64131</v>
      </c>
      <c r="BZ189" s="63">
        <v>-13443</v>
      </c>
      <c r="CA189" s="63">
        <v>0</v>
      </c>
      <c r="CB189" s="63">
        <v>-13443</v>
      </c>
      <c r="CC189" s="63">
        <v>0</v>
      </c>
      <c r="CD189" s="63">
        <v>0</v>
      </c>
      <c r="CE189" s="63">
        <v>0</v>
      </c>
      <c r="CF189" s="63">
        <v>-7511</v>
      </c>
      <c r="CG189" s="63">
        <v>0</v>
      </c>
      <c r="CH189" s="63">
        <v>-7511</v>
      </c>
      <c r="CI189" s="63">
        <v>0</v>
      </c>
      <c r="CJ189" s="63">
        <v>0</v>
      </c>
      <c r="CK189" s="63">
        <v>0</v>
      </c>
      <c r="CL189" s="63">
        <v>0</v>
      </c>
      <c r="CM189" s="63">
        <v>0</v>
      </c>
      <c r="CN189" s="63">
        <v>0</v>
      </c>
      <c r="CO189" s="63">
        <v>0</v>
      </c>
      <c r="CP189" s="63">
        <v>0</v>
      </c>
      <c r="CQ189" s="63">
        <v>-85085</v>
      </c>
      <c r="CR189" s="63">
        <v>0</v>
      </c>
      <c r="CS189" s="63">
        <v>0</v>
      </c>
      <c r="CT189" s="63">
        <v>0</v>
      </c>
      <c r="CU189" s="63">
        <v>-85085</v>
      </c>
      <c r="CV189" s="63">
        <v>0</v>
      </c>
      <c r="CW189" s="63">
        <v>-85085</v>
      </c>
      <c r="CX189" s="63">
        <v>-19159</v>
      </c>
      <c r="CY189" s="63">
        <v>0</v>
      </c>
      <c r="CZ189" s="63">
        <v>-19159</v>
      </c>
      <c r="DA189" s="63">
        <v>-70725</v>
      </c>
      <c r="DB189" s="63">
        <v>0</v>
      </c>
      <c r="DC189" s="63">
        <v>-70725</v>
      </c>
      <c r="DD189" s="63">
        <v>0</v>
      </c>
      <c r="DE189" s="63">
        <v>0</v>
      </c>
      <c r="DF189" s="63">
        <v>0</v>
      </c>
      <c r="DG189" s="63">
        <v>-89884</v>
      </c>
      <c r="DH189" s="63">
        <v>0</v>
      </c>
      <c r="DI189" s="63">
        <v>0</v>
      </c>
      <c r="DJ189" s="63">
        <v>0</v>
      </c>
      <c r="DK189" s="63">
        <v>-89884</v>
      </c>
      <c r="DL189" s="63">
        <v>0</v>
      </c>
      <c r="DM189" s="63">
        <v>-89884</v>
      </c>
      <c r="DN189" s="63">
        <v>27006763</v>
      </c>
      <c r="DO189" s="63">
        <v>0</v>
      </c>
      <c r="DP189" s="63">
        <v>27006763</v>
      </c>
      <c r="DQ189" s="63"/>
      <c r="DR189" s="585"/>
    </row>
    <row r="190" spans="1:122" ht="12.75" x14ac:dyDescent="0.2">
      <c r="A190" s="90">
        <v>183</v>
      </c>
      <c r="B190" s="129" t="s">
        <v>227</v>
      </c>
      <c r="C190" s="130" t="s">
        <v>501</v>
      </c>
      <c r="D190" s="131" t="s">
        <v>750</v>
      </c>
      <c r="E190" s="132" t="s">
        <v>535</v>
      </c>
      <c r="F190" s="475" t="s">
        <v>808</v>
      </c>
      <c r="G190" s="63">
        <v>211121244</v>
      </c>
      <c r="H190" s="63">
        <v>5969200</v>
      </c>
      <c r="I190" s="63">
        <v>217090444</v>
      </c>
      <c r="J190" s="608">
        <v>48.4</v>
      </c>
      <c r="K190" s="63">
        <v>102182682</v>
      </c>
      <c r="L190" s="63">
        <v>2889093</v>
      </c>
      <c r="M190" s="63">
        <v>-4382162</v>
      </c>
      <c r="N190" s="63">
        <v>107448</v>
      </c>
      <c r="O190" s="63">
        <v>97800520</v>
      </c>
      <c r="P190" s="63">
        <v>2996541</v>
      </c>
      <c r="Q190" s="63">
        <v>100797061</v>
      </c>
      <c r="R190" s="63">
        <v>0</v>
      </c>
      <c r="S190" s="63">
        <v>0</v>
      </c>
      <c r="T190" s="63">
        <v>0</v>
      </c>
      <c r="U190" s="63">
        <v>0</v>
      </c>
      <c r="V190" s="63">
        <v>0</v>
      </c>
      <c r="W190" s="63">
        <v>0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0</v>
      </c>
      <c r="AE190" s="63">
        <v>0</v>
      </c>
      <c r="AF190" s="63">
        <v>0</v>
      </c>
      <c r="AG190" s="63">
        <v>0</v>
      </c>
      <c r="AH190" s="63">
        <v>-3713572</v>
      </c>
      <c r="AI190" s="63">
        <v>-5124</v>
      </c>
      <c r="AJ190" s="63">
        <v>-3718696</v>
      </c>
      <c r="AK190" s="63">
        <v>-23530</v>
      </c>
      <c r="AL190" s="63">
        <v>0</v>
      </c>
      <c r="AM190" s="63">
        <v>-23530</v>
      </c>
      <c r="AN190" s="63">
        <v>2408937</v>
      </c>
      <c r="AO190" s="63">
        <v>77860</v>
      </c>
      <c r="AP190" s="63">
        <v>2486797</v>
      </c>
      <c r="AQ190" s="63">
        <v>-1304635</v>
      </c>
      <c r="AR190" s="63">
        <v>72736</v>
      </c>
      <c r="AS190" s="63">
        <v>-1231899</v>
      </c>
      <c r="AT190" s="63">
        <v>-2281526</v>
      </c>
      <c r="AU190" s="63">
        <v>0</v>
      </c>
      <c r="AV190" s="63">
        <v>-2281526</v>
      </c>
      <c r="AW190" s="63">
        <v>-37583</v>
      </c>
      <c r="AX190" s="63">
        <v>0</v>
      </c>
      <c r="AY190" s="63">
        <v>-37583</v>
      </c>
      <c r="AZ190" s="63">
        <v>-24045</v>
      </c>
      <c r="BA190" s="63">
        <v>0</v>
      </c>
      <c r="BB190" s="63">
        <v>-24045</v>
      </c>
      <c r="BC190" s="63">
        <v>-3647789</v>
      </c>
      <c r="BD190" s="63">
        <v>72736</v>
      </c>
      <c r="BE190" s="63">
        <v>0</v>
      </c>
      <c r="BF190" s="63">
        <v>0</v>
      </c>
      <c r="BG190" s="63">
        <v>-3647789</v>
      </c>
      <c r="BH190" s="63">
        <v>72736</v>
      </c>
      <c r="BI190" s="63">
        <v>-3575053</v>
      </c>
      <c r="BJ190" s="63">
        <v>-109000</v>
      </c>
      <c r="BK190" s="63">
        <v>0</v>
      </c>
      <c r="BL190" s="63">
        <v>-109000</v>
      </c>
      <c r="BM190" s="63">
        <v>-1744881</v>
      </c>
      <c r="BN190" s="63">
        <v>-1040470</v>
      </c>
      <c r="BO190" s="63">
        <v>-2785351</v>
      </c>
      <c r="BP190" s="63">
        <v>-1853881</v>
      </c>
      <c r="BQ190" s="63">
        <v>-1040470</v>
      </c>
      <c r="BR190" s="63">
        <v>0</v>
      </c>
      <c r="BS190" s="63">
        <v>0</v>
      </c>
      <c r="BT190" s="63">
        <v>-1853881</v>
      </c>
      <c r="BU190" s="63">
        <v>-1040470</v>
      </c>
      <c r="BV190" s="63">
        <v>-2894351</v>
      </c>
      <c r="BW190" s="63">
        <v>-85051</v>
      </c>
      <c r="BX190" s="63">
        <v>0</v>
      </c>
      <c r="BY190" s="63">
        <v>-85051</v>
      </c>
      <c r="BZ190" s="63">
        <v>-92808</v>
      </c>
      <c r="CA190" s="63">
        <v>0</v>
      </c>
      <c r="CB190" s="63">
        <v>-92808</v>
      </c>
      <c r="CC190" s="63">
        <v>-3254</v>
      </c>
      <c r="CD190" s="63">
        <v>0</v>
      </c>
      <c r="CE190" s="63">
        <v>-3254</v>
      </c>
      <c r="CF190" s="63">
        <v>-20874</v>
      </c>
      <c r="CG190" s="63">
        <v>0</v>
      </c>
      <c r="CH190" s="63">
        <v>-20874</v>
      </c>
      <c r="CI190" s="63">
        <v>-2370</v>
      </c>
      <c r="CJ190" s="63">
        <v>0</v>
      </c>
      <c r="CK190" s="63">
        <v>-2370</v>
      </c>
      <c r="CL190" s="63">
        <v>0</v>
      </c>
      <c r="CM190" s="63">
        <v>0</v>
      </c>
      <c r="CN190" s="63">
        <v>0</v>
      </c>
      <c r="CO190" s="63">
        <v>0</v>
      </c>
      <c r="CP190" s="63">
        <v>0</v>
      </c>
      <c r="CQ190" s="63">
        <v>-204357</v>
      </c>
      <c r="CR190" s="63">
        <v>0</v>
      </c>
      <c r="CS190" s="63">
        <v>0</v>
      </c>
      <c r="CT190" s="63">
        <v>0</v>
      </c>
      <c r="CU190" s="63">
        <v>-204357</v>
      </c>
      <c r="CV190" s="63">
        <v>0</v>
      </c>
      <c r="CW190" s="63">
        <v>-204357</v>
      </c>
      <c r="CX190" s="63">
        <v>-12450</v>
      </c>
      <c r="CY190" s="63">
        <v>0</v>
      </c>
      <c r="CZ190" s="63">
        <v>-12450</v>
      </c>
      <c r="DA190" s="63">
        <v>-86905</v>
      </c>
      <c r="DB190" s="63">
        <v>0</v>
      </c>
      <c r="DC190" s="63">
        <v>-86905</v>
      </c>
      <c r="DD190" s="63">
        <v>-5540</v>
      </c>
      <c r="DE190" s="63">
        <v>0</v>
      </c>
      <c r="DF190" s="63">
        <v>-5540</v>
      </c>
      <c r="DG190" s="63">
        <v>-104895</v>
      </c>
      <c r="DH190" s="63">
        <v>0</v>
      </c>
      <c r="DI190" s="63">
        <v>0</v>
      </c>
      <c r="DJ190" s="63">
        <v>0</v>
      </c>
      <c r="DK190" s="63">
        <v>-104895</v>
      </c>
      <c r="DL190" s="63">
        <v>0</v>
      </c>
      <c r="DM190" s="63">
        <v>-104895</v>
      </c>
      <c r="DN190" s="63">
        <v>91989598</v>
      </c>
      <c r="DO190" s="63">
        <v>2028807</v>
      </c>
      <c r="DP190" s="63">
        <v>94018405</v>
      </c>
      <c r="DQ190" s="63"/>
      <c r="DR190" s="587" t="s">
        <v>768</v>
      </c>
    </row>
    <row r="191" spans="1:122" x14ac:dyDescent="0.2">
      <c r="A191" s="90">
        <v>184</v>
      </c>
      <c r="B191" s="129" t="s">
        <v>229</v>
      </c>
      <c r="C191" s="130" t="s">
        <v>742</v>
      </c>
      <c r="D191" s="131" t="s">
        <v>746</v>
      </c>
      <c r="E191" s="132" t="s">
        <v>228</v>
      </c>
      <c r="F191" s="475" t="s">
        <v>808</v>
      </c>
      <c r="G191" s="63">
        <v>66723695</v>
      </c>
      <c r="H191" s="63">
        <v>0</v>
      </c>
      <c r="I191" s="63">
        <v>66723695</v>
      </c>
      <c r="J191" s="608">
        <v>48.4</v>
      </c>
      <c r="K191" s="63">
        <v>32294268</v>
      </c>
      <c r="L191" s="63">
        <v>0</v>
      </c>
      <c r="M191" s="63">
        <v>-317975</v>
      </c>
      <c r="N191" s="63">
        <v>0</v>
      </c>
      <c r="O191" s="63">
        <v>31976293</v>
      </c>
      <c r="P191" s="63">
        <v>0</v>
      </c>
      <c r="Q191" s="63">
        <v>31976293</v>
      </c>
      <c r="R191" s="63">
        <v>0</v>
      </c>
      <c r="S191" s="63">
        <v>0</v>
      </c>
      <c r="T191" s="63">
        <v>0</v>
      </c>
      <c r="U191" s="63">
        <v>0</v>
      </c>
      <c r="V191" s="63">
        <v>0</v>
      </c>
      <c r="W191" s="63">
        <v>0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0</v>
      </c>
      <c r="AE191" s="63">
        <v>0</v>
      </c>
      <c r="AF191" s="63">
        <v>0</v>
      </c>
      <c r="AG191" s="63">
        <v>0</v>
      </c>
      <c r="AH191" s="63">
        <v>-4374219</v>
      </c>
      <c r="AI191" s="63">
        <v>0</v>
      </c>
      <c r="AJ191" s="63">
        <v>-4374219</v>
      </c>
      <c r="AK191" s="63">
        <v>-3306</v>
      </c>
      <c r="AL191" s="63">
        <v>0</v>
      </c>
      <c r="AM191" s="63">
        <v>-3306</v>
      </c>
      <c r="AN191" s="63">
        <v>593454</v>
      </c>
      <c r="AO191" s="63">
        <v>0</v>
      </c>
      <c r="AP191" s="63">
        <v>593454</v>
      </c>
      <c r="AQ191" s="63">
        <v>-3780765</v>
      </c>
      <c r="AR191" s="63">
        <v>0</v>
      </c>
      <c r="AS191" s="63">
        <v>-3780765</v>
      </c>
      <c r="AT191" s="63">
        <v>-1615916</v>
      </c>
      <c r="AU191" s="63">
        <v>0</v>
      </c>
      <c r="AV191" s="63">
        <v>-1615916</v>
      </c>
      <c r="AW191" s="63">
        <v>-66797</v>
      </c>
      <c r="AX191" s="63">
        <v>0</v>
      </c>
      <c r="AY191" s="63">
        <v>-66797</v>
      </c>
      <c r="AZ191" s="63">
        <v>-101382</v>
      </c>
      <c r="BA191" s="63">
        <v>0</v>
      </c>
      <c r="BB191" s="63">
        <v>-101382</v>
      </c>
      <c r="BC191" s="63">
        <v>-5564860</v>
      </c>
      <c r="BD191" s="63">
        <v>0</v>
      </c>
      <c r="BE191" s="63">
        <v>0</v>
      </c>
      <c r="BF191" s="63">
        <v>0</v>
      </c>
      <c r="BG191" s="63">
        <v>-5564860</v>
      </c>
      <c r="BH191" s="63">
        <v>0</v>
      </c>
      <c r="BI191" s="63">
        <v>-5564860</v>
      </c>
      <c r="BJ191" s="63">
        <v>0</v>
      </c>
      <c r="BK191" s="63">
        <v>0</v>
      </c>
      <c r="BL191" s="63">
        <v>0</v>
      </c>
      <c r="BM191" s="63">
        <v>-336101</v>
      </c>
      <c r="BN191" s="63">
        <v>0</v>
      </c>
      <c r="BO191" s="63">
        <v>-336101</v>
      </c>
      <c r="BP191" s="63">
        <v>-336101</v>
      </c>
      <c r="BQ191" s="63">
        <v>0</v>
      </c>
      <c r="BR191" s="63">
        <v>-5042</v>
      </c>
      <c r="BS191" s="63">
        <v>0</v>
      </c>
      <c r="BT191" s="63">
        <v>-341143</v>
      </c>
      <c r="BU191" s="63">
        <v>0</v>
      </c>
      <c r="BV191" s="63">
        <v>-341143</v>
      </c>
      <c r="BW191" s="63">
        <v>-27368</v>
      </c>
      <c r="BX191" s="63">
        <v>0</v>
      </c>
      <c r="BY191" s="63">
        <v>-27368</v>
      </c>
      <c r="BZ191" s="63">
        <v>0</v>
      </c>
      <c r="CA191" s="63">
        <v>0</v>
      </c>
      <c r="CB191" s="63">
        <v>0</v>
      </c>
      <c r="CC191" s="63">
        <v>0</v>
      </c>
      <c r="CD191" s="63">
        <v>0</v>
      </c>
      <c r="CE191" s="63">
        <v>0</v>
      </c>
      <c r="CF191" s="63">
        <v>-4568</v>
      </c>
      <c r="CG191" s="63">
        <v>0</v>
      </c>
      <c r="CH191" s="63">
        <v>-4568</v>
      </c>
      <c r="CI191" s="63">
        <v>0</v>
      </c>
      <c r="CJ191" s="63">
        <v>0</v>
      </c>
      <c r="CK191" s="63">
        <v>0</v>
      </c>
      <c r="CL191" s="63">
        <v>0</v>
      </c>
      <c r="CM191" s="63">
        <v>0</v>
      </c>
      <c r="CN191" s="63">
        <v>0</v>
      </c>
      <c r="CO191" s="63">
        <v>0</v>
      </c>
      <c r="CP191" s="63">
        <v>0</v>
      </c>
      <c r="CQ191" s="63">
        <v>-31936</v>
      </c>
      <c r="CR191" s="63">
        <v>0</v>
      </c>
      <c r="CS191" s="63">
        <v>0</v>
      </c>
      <c r="CT191" s="63">
        <v>0</v>
      </c>
      <c r="CU191" s="63">
        <v>-31936</v>
      </c>
      <c r="CV191" s="63">
        <v>0</v>
      </c>
      <c r="CW191" s="63">
        <v>-31936</v>
      </c>
      <c r="CX191" s="63">
        <v>-924</v>
      </c>
      <c r="CY191" s="63">
        <v>0</v>
      </c>
      <c r="CZ191" s="63">
        <v>-924</v>
      </c>
      <c r="DA191" s="63">
        <v>-2210</v>
      </c>
      <c r="DB191" s="63">
        <v>0</v>
      </c>
      <c r="DC191" s="63">
        <v>-2210</v>
      </c>
      <c r="DD191" s="63">
        <v>-28524</v>
      </c>
      <c r="DE191" s="63">
        <v>0</v>
      </c>
      <c r="DF191" s="63">
        <v>-28524</v>
      </c>
      <c r="DG191" s="63">
        <v>-31658</v>
      </c>
      <c r="DH191" s="63">
        <v>0</v>
      </c>
      <c r="DI191" s="63">
        <v>0</v>
      </c>
      <c r="DJ191" s="63">
        <v>0</v>
      </c>
      <c r="DK191" s="63">
        <v>-31658</v>
      </c>
      <c r="DL191" s="63">
        <v>0</v>
      </c>
      <c r="DM191" s="63">
        <v>-31658</v>
      </c>
      <c r="DN191" s="63">
        <v>26006696</v>
      </c>
      <c r="DO191" s="63">
        <v>0</v>
      </c>
      <c r="DP191" s="63">
        <v>26006696</v>
      </c>
      <c r="DQ191" s="63"/>
      <c r="DR191" s="585" t="s">
        <v>768</v>
      </c>
    </row>
    <row r="192" spans="1:122" x14ac:dyDescent="0.2">
      <c r="A192" s="90">
        <v>185</v>
      </c>
      <c r="B192" s="129" t="s">
        <v>230</v>
      </c>
      <c r="C192" s="130" t="s">
        <v>501</v>
      </c>
      <c r="D192" s="131" t="s">
        <v>751</v>
      </c>
      <c r="E192" s="132" t="s">
        <v>503</v>
      </c>
      <c r="F192" s="475" t="s">
        <v>808</v>
      </c>
      <c r="G192" s="63">
        <v>149320381</v>
      </c>
      <c r="H192" s="63">
        <v>1585425</v>
      </c>
      <c r="I192" s="63">
        <v>150905806</v>
      </c>
      <c r="J192" s="608">
        <v>48.4</v>
      </c>
      <c r="K192" s="63">
        <v>72271064</v>
      </c>
      <c r="L192" s="63">
        <v>767346</v>
      </c>
      <c r="M192" s="63">
        <v>1569783</v>
      </c>
      <c r="N192" s="63">
        <v>273744</v>
      </c>
      <c r="O192" s="63">
        <v>73840847</v>
      </c>
      <c r="P192" s="63">
        <v>1041090</v>
      </c>
      <c r="Q192" s="63">
        <v>74881937</v>
      </c>
      <c r="R192" s="63">
        <v>0</v>
      </c>
      <c r="S192" s="63">
        <v>0</v>
      </c>
      <c r="T192" s="63">
        <v>0</v>
      </c>
      <c r="U192" s="63">
        <v>0</v>
      </c>
      <c r="V192" s="63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0</v>
      </c>
      <c r="AE192" s="63">
        <v>0</v>
      </c>
      <c r="AF192" s="63">
        <v>0</v>
      </c>
      <c r="AG192" s="63">
        <v>0</v>
      </c>
      <c r="AH192" s="63">
        <v>-4106359</v>
      </c>
      <c r="AI192" s="63">
        <v>-46596</v>
      </c>
      <c r="AJ192" s="63">
        <v>-4152955</v>
      </c>
      <c r="AK192" s="63">
        <v>0</v>
      </c>
      <c r="AL192" s="63">
        <v>0</v>
      </c>
      <c r="AM192" s="63">
        <v>0</v>
      </c>
      <c r="AN192" s="63">
        <v>1652908</v>
      </c>
      <c r="AO192" s="63">
        <v>32361</v>
      </c>
      <c r="AP192" s="63">
        <v>1685269</v>
      </c>
      <c r="AQ192" s="63">
        <v>-2453451</v>
      </c>
      <c r="AR192" s="63">
        <v>-14235</v>
      </c>
      <c r="AS192" s="63">
        <v>-2467686</v>
      </c>
      <c r="AT192" s="63">
        <v>-4298533</v>
      </c>
      <c r="AU192" s="63">
        <v>-167363</v>
      </c>
      <c r="AV192" s="63">
        <v>-4465896</v>
      </c>
      <c r="AW192" s="63">
        <v>-106426</v>
      </c>
      <c r="AX192" s="63">
        <v>0</v>
      </c>
      <c r="AY192" s="63">
        <v>-106426</v>
      </c>
      <c r="AZ192" s="63">
        <v>-13967</v>
      </c>
      <c r="BA192" s="63">
        <v>0</v>
      </c>
      <c r="BB192" s="63">
        <v>-13967</v>
      </c>
      <c r="BC192" s="63">
        <v>-6872377</v>
      </c>
      <c r="BD192" s="63">
        <v>-181598</v>
      </c>
      <c r="BE192" s="63">
        <v>0</v>
      </c>
      <c r="BF192" s="63">
        <v>-153951</v>
      </c>
      <c r="BG192" s="63">
        <v>-6872377</v>
      </c>
      <c r="BH192" s="63">
        <v>-335549</v>
      </c>
      <c r="BI192" s="63">
        <v>-7207926</v>
      </c>
      <c r="BJ192" s="63">
        <v>-1130</v>
      </c>
      <c r="BK192" s="63">
        <v>0</v>
      </c>
      <c r="BL192" s="63">
        <v>-1130</v>
      </c>
      <c r="BM192" s="63">
        <v>-2012635</v>
      </c>
      <c r="BN192" s="63">
        <v>0</v>
      </c>
      <c r="BO192" s="63">
        <v>-2012635</v>
      </c>
      <c r="BP192" s="63">
        <v>-2013765</v>
      </c>
      <c r="BQ192" s="63">
        <v>0</v>
      </c>
      <c r="BR192" s="63">
        <v>0</v>
      </c>
      <c r="BS192" s="63">
        <v>0</v>
      </c>
      <c r="BT192" s="63">
        <v>-2013765</v>
      </c>
      <c r="BU192" s="63">
        <v>0</v>
      </c>
      <c r="BV192" s="63">
        <v>-2013765</v>
      </c>
      <c r="BW192" s="63">
        <v>-63180</v>
      </c>
      <c r="BX192" s="63">
        <v>0</v>
      </c>
      <c r="BY192" s="63">
        <v>-63180</v>
      </c>
      <c r="BZ192" s="63">
        <v>-644619</v>
      </c>
      <c r="CA192" s="63">
        <v>-7852</v>
      </c>
      <c r="CB192" s="63">
        <v>-652471</v>
      </c>
      <c r="CC192" s="63">
        <v>0</v>
      </c>
      <c r="CD192" s="63">
        <v>0</v>
      </c>
      <c r="CE192" s="63">
        <v>0</v>
      </c>
      <c r="CF192" s="63">
        <v>-4217</v>
      </c>
      <c r="CG192" s="63">
        <v>0</v>
      </c>
      <c r="CH192" s="63">
        <v>-4217</v>
      </c>
      <c r="CI192" s="63">
        <v>-1501</v>
      </c>
      <c r="CJ192" s="63">
        <v>0</v>
      </c>
      <c r="CK192" s="63">
        <v>-1501</v>
      </c>
      <c r="CL192" s="63">
        <v>0</v>
      </c>
      <c r="CM192" s="63">
        <v>0</v>
      </c>
      <c r="CN192" s="63">
        <v>0</v>
      </c>
      <c r="CO192" s="63">
        <v>0</v>
      </c>
      <c r="CP192" s="63">
        <v>0</v>
      </c>
      <c r="CQ192" s="63">
        <v>-713517</v>
      </c>
      <c r="CR192" s="63">
        <v>-7852</v>
      </c>
      <c r="CS192" s="63">
        <v>0</v>
      </c>
      <c r="CT192" s="63">
        <v>0</v>
      </c>
      <c r="CU192" s="63">
        <v>-713517</v>
      </c>
      <c r="CV192" s="63">
        <v>-7852</v>
      </c>
      <c r="CW192" s="63">
        <v>-721369</v>
      </c>
      <c r="CX192" s="63">
        <v>0</v>
      </c>
      <c r="CY192" s="63">
        <v>-17992</v>
      </c>
      <c r="CZ192" s="63">
        <v>-17992</v>
      </c>
      <c r="DA192" s="63">
        <v>-5823</v>
      </c>
      <c r="DB192" s="63">
        <v>0</v>
      </c>
      <c r="DC192" s="63">
        <v>-5823</v>
      </c>
      <c r="DD192" s="63">
        <v>0</v>
      </c>
      <c r="DE192" s="63">
        <v>0</v>
      </c>
      <c r="DF192" s="63">
        <v>0</v>
      </c>
      <c r="DG192" s="63">
        <v>-5823</v>
      </c>
      <c r="DH192" s="63">
        <v>-17992</v>
      </c>
      <c r="DI192" s="63">
        <v>0</v>
      </c>
      <c r="DJ192" s="63">
        <v>0</v>
      </c>
      <c r="DK192" s="63">
        <v>-5823</v>
      </c>
      <c r="DL192" s="63">
        <v>-17992</v>
      </c>
      <c r="DM192" s="63">
        <v>-23815</v>
      </c>
      <c r="DN192" s="63">
        <v>64235365</v>
      </c>
      <c r="DO192" s="63">
        <v>679697</v>
      </c>
      <c r="DP192" s="63">
        <v>64915062</v>
      </c>
      <c r="DQ192" s="63"/>
      <c r="DR192" s="585" t="s">
        <v>768</v>
      </c>
    </row>
    <row r="193" spans="1:122" x14ac:dyDescent="0.2">
      <c r="A193" s="90">
        <v>186</v>
      </c>
      <c r="B193" s="129" t="s">
        <v>232</v>
      </c>
      <c r="C193" s="130" t="s">
        <v>749</v>
      </c>
      <c r="D193" s="131" t="s">
        <v>755</v>
      </c>
      <c r="E193" s="132" t="s">
        <v>231</v>
      </c>
      <c r="F193" s="475" t="s">
        <v>808</v>
      </c>
      <c r="G193" s="63">
        <v>145529171</v>
      </c>
      <c r="H193" s="63">
        <v>1384650</v>
      </c>
      <c r="I193" s="63">
        <v>146913821</v>
      </c>
      <c r="J193" s="608">
        <v>48.4</v>
      </c>
      <c r="K193" s="63">
        <v>70436119</v>
      </c>
      <c r="L193" s="63">
        <v>670171</v>
      </c>
      <c r="M193" s="63">
        <v>0</v>
      </c>
      <c r="N193" s="63">
        <v>0</v>
      </c>
      <c r="O193" s="63">
        <v>70436119</v>
      </c>
      <c r="P193" s="63">
        <v>670171</v>
      </c>
      <c r="Q193" s="63">
        <v>71106290</v>
      </c>
      <c r="R193" s="63">
        <v>0</v>
      </c>
      <c r="S193" s="63">
        <v>0</v>
      </c>
      <c r="T193" s="63">
        <v>0</v>
      </c>
      <c r="U193" s="63">
        <v>0</v>
      </c>
      <c r="V193" s="63">
        <v>0</v>
      </c>
      <c r="W193" s="63">
        <v>0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0</v>
      </c>
      <c r="AE193" s="63">
        <v>0</v>
      </c>
      <c r="AF193" s="63">
        <v>0</v>
      </c>
      <c r="AG193" s="63">
        <v>0</v>
      </c>
      <c r="AH193" s="63">
        <v>-3586870</v>
      </c>
      <c r="AI193" s="63">
        <v>-2766</v>
      </c>
      <c r="AJ193" s="63">
        <v>-3589636</v>
      </c>
      <c r="AK193" s="63">
        <v>-18441</v>
      </c>
      <c r="AL193" s="63">
        <v>0</v>
      </c>
      <c r="AM193" s="63">
        <v>-18441</v>
      </c>
      <c r="AN193" s="63">
        <v>1630180</v>
      </c>
      <c r="AO193" s="63">
        <v>17201</v>
      </c>
      <c r="AP193" s="63">
        <v>1647381</v>
      </c>
      <c r="AQ193" s="63">
        <v>-1956690</v>
      </c>
      <c r="AR193" s="63">
        <v>14435</v>
      </c>
      <c r="AS193" s="63">
        <v>-1942255</v>
      </c>
      <c r="AT193" s="63">
        <v>-4241229</v>
      </c>
      <c r="AU193" s="63">
        <v>0</v>
      </c>
      <c r="AV193" s="63">
        <v>-4241229</v>
      </c>
      <c r="AW193" s="63">
        <v>-60729</v>
      </c>
      <c r="AX193" s="63">
        <v>0</v>
      </c>
      <c r="AY193" s="63">
        <v>-60729</v>
      </c>
      <c r="AZ193" s="63">
        <v>0</v>
      </c>
      <c r="BA193" s="63">
        <v>0</v>
      </c>
      <c r="BB193" s="63">
        <v>0</v>
      </c>
      <c r="BC193" s="63">
        <v>-6258648</v>
      </c>
      <c r="BD193" s="63">
        <v>14435</v>
      </c>
      <c r="BE193" s="63">
        <v>0</v>
      </c>
      <c r="BF193" s="63">
        <v>0</v>
      </c>
      <c r="BG193" s="63">
        <v>-6258648</v>
      </c>
      <c r="BH193" s="63">
        <v>14435</v>
      </c>
      <c r="BI193" s="63">
        <v>-6244213</v>
      </c>
      <c r="BJ193" s="63">
        <v>-150000</v>
      </c>
      <c r="BK193" s="63">
        <v>0</v>
      </c>
      <c r="BL193" s="63">
        <v>-150000</v>
      </c>
      <c r="BM193" s="63">
        <v>-2698969</v>
      </c>
      <c r="BN193" s="63">
        <v>-1031</v>
      </c>
      <c r="BO193" s="63">
        <v>-2700000</v>
      </c>
      <c r="BP193" s="63">
        <v>-2848969</v>
      </c>
      <c r="BQ193" s="63">
        <v>-1031</v>
      </c>
      <c r="BR193" s="63">
        <v>0</v>
      </c>
      <c r="BS193" s="63">
        <v>0</v>
      </c>
      <c r="BT193" s="63">
        <v>-2848969</v>
      </c>
      <c r="BU193" s="63">
        <v>-1031</v>
      </c>
      <c r="BV193" s="63">
        <v>-2850000</v>
      </c>
      <c r="BW193" s="63">
        <v>-304846</v>
      </c>
      <c r="BX193" s="63">
        <v>0</v>
      </c>
      <c r="BY193" s="63">
        <v>-304846</v>
      </c>
      <c r="BZ193" s="63">
        <v>-34269</v>
      </c>
      <c r="CA193" s="63">
        <v>0</v>
      </c>
      <c r="CB193" s="63">
        <v>-34269</v>
      </c>
      <c r="CC193" s="63">
        <v>-15182</v>
      </c>
      <c r="CD193" s="63">
        <v>0</v>
      </c>
      <c r="CE193" s="63">
        <v>-15182</v>
      </c>
      <c r="CF193" s="63">
        <v>0</v>
      </c>
      <c r="CG193" s="63">
        <v>0</v>
      </c>
      <c r="CH193" s="63">
        <v>0</v>
      </c>
      <c r="CI193" s="63">
        <v>0</v>
      </c>
      <c r="CJ193" s="63">
        <v>0</v>
      </c>
      <c r="CK193" s="63">
        <v>0</v>
      </c>
      <c r="CL193" s="63">
        <v>0</v>
      </c>
      <c r="CM193" s="63">
        <v>-68483</v>
      </c>
      <c r="CN193" s="63">
        <v>-68483</v>
      </c>
      <c r="CO193" s="63">
        <v>-68483</v>
      </c>
      <c r="CP193" s="63">
        <v>0</v>
      </c>
      <c r="CQ193" s="63">
        <v>-354297</v>
      </c>
      <c r="CR193" s="63">
        <v>-68483</v>
      </c>
      <c r="CS193" s="63">
        <v>0</v>
      </c>
      <c r="CT193" s="63">
        <v>0</v>
      </c>
      <c r="CU193" s="63">
        <v>-354297</v>
      </c>
      <c r="CV193" s="63">
        <v>-68483</v>
      </c>
      <c r="CW193" s="63">
        <v>-422780</v>
      </c>
      <c r="CX193" s="63">
        <v>0</v>
      </c>
      <c r="CY193" s="63">
        <v>0</v>
      </c>
      <c r="CZ193" s="63">
        <v>0</v>
      </c>
      <c r="DA193" s="63">
        <v>-80000</v>
      </c>
      <c r="DB193" s="63">
        <v>0</v>
      </c>
      <c r="DC193" s="63">
        <v>-80000</v>
      </c>
      <c r="DD193" s="63">
        <v>-5000</v>
      </c>
      <c r="DE193" s="63">
        <v>0</v>
      </c>
      <c r="DF193" s="63">
        <v>-5000</v>
      </c>
      <c r="DG193" s="63">
        <v>-85000</v>
      </c>
      <c r="DH193" s="63">
        <v>0</v>
      </c>
      <c r="DI193" s="63">
        <v>0</v>
      </c>
      <c r="DJ193" s="63">
        <v>0</v>
      </c>
      <c r="DK193" s="63">
        <v>-85000</v>
      </c>
      <c r="DL193" s="63">
        <v>0</v>
      </c>
      <c r="DM193" s="63">
        <v>-85000</v>
      </c>
      <c r="DN193" s="63">
        <v>60889205</v>
      </c>
      <c r="DO193" s="63">
        <v>615092</v>
      </c>
      <c r="DP193" s="63">
        <v>61504297</v>
      </c>
      <c r="DQ193" s="63"/>
      <c r="DR193" s="585" t="s">
        <v>768</v>
      </c>
    </row>
    <row r="194" spans="1:122" x14ac:dyDescent="0.2">
      <c r="A194" s="90">
        <v>187</v>
      </c>
      <c r="B194" s="129" t="s">
        <v>234</v>
      </c>
      <c r="C194" s="130" t="s">
        <v>742</v>
      </c>
      <c r="D194" s="131" t="s">
        <v>752</v>
      </c>
      <c r="E194" s="132" t="s">
        <v>233</v>
      </c>
      <c r="F194" s="475" t="s">
        <v>808</v>
      </c>
      <c r="G194" s="63">
        <v>98117573</v>
      </c>
      <c r="H194" s="63">
        <v>0</v>
      </c>
      <c r="I194" s="63">
        <v>98117573</v>
      </c>
      <c r="J194" s="608">
        <v>48.4</v>
      </c>
      <c r="K194" s="63">
        <v>47488905</v>
      </c>
      <c r="L194" s="63">
        <v>0</v>
      </c>
      <c r="M194" s="63">
        <v>120000</v>
      </c>
      <c r="N194" s="63">
        <v>0</v>
      </c>
      <c r="O194" s="63">
        <v>47608905</v>
      </c>
      <c r="P194" s="63">
        <v>0</v>
      </c>
      <c r="Q194" s="63">
        <v>47608905</v>
      </c>
      <c r="R194" s="63">
        <v>0</v>
      </c>
      <c r="S194" s="63">
        <v>0</v>
      </c>
      <c r="T194" s="63">
        <v>0</v>
      </c>
      <c r="U194" s="63">
        <v>0</v>
      </c>
      <c r="V194" s="63">
        <v>0</v>
      </c>
      <c r="W194" s="63">
        <v>0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63">
        <v>0</v>
      </c>
      <c r="AF194" s="63">
        <v>0</v>
      </c>
      <c r="AG194" s="63">
        <v>0</v>
      </c>
      <c r="AH194" s="63">
        <v>-1433443</v>
      </c>
      <c r="AI194" s="63">
        <v>0</v>
      </c>
      <c r="AJ194" s="63">
        <v>-1433443</v>
      </c>
      <c r="AK194" s="63">
        <v>-7194</v>
      </c>
      <c r="AL194" s="63">
        <v>0</v>
      </c>
      <c r="AM194" s="63">
        <v>-7194</v>
      </c>
      <c r="AN194" s="63">
        <v>1194345</v>
      </c>
      <c r="AO194" s="63">
        <v>0</v>
      </c>
      <c r="AP194" s="63">
        <v>1194345</v>
      </c>
      <c r="AQ194" s="63">
        <v>-239098</v>
      </c>
      <c r="AR194" s="63">
        <v>0</v>
      </c>
      <c r="AS194" s="63">
        <v>-239098</v>
      </c>
      <c r="AT194" s="63">
        <v>-910579</v>
      </c>
      <c r="AU194" s="63">
        <v>0</v>
      </c>
      <c r="AV194" s="63">
        <v>-910579</v>
      </c>
      <c r="AW194" s="63">
        <v>-31299</v>
      </c>
      <c r="AX194" s="63">
        <v>0</v>
      </c>
      <c r="AY194" s="63">
        <v>-31299</v>
      </c>
      <c r="AZ194" s="63">
        <v>-16364</v>
      </c>
      <c r="BA194" s="63">
        <v>0</v>
      </c>
      <c r="BB194" s="63">
        <v>-16364</v>
      </c>
      <c r="BC194" s="63">
        <v>-1197340</v>
      </c>
      <c r="BD194" s="63">
        <v>0</v>
      </c>
      <c r="BE194" s="63">
        <v>0</v>
      </c>
      <c r="BF194" s="63">
        <v>0</v>
      </c>
      <c r="BG194" s="63">
        <v>-1197340</v>
      </c>
      <c r="BH194" s="63">
        <v>0</v>
      </c>
      <c r="BI194" s="63">
        <v>-1197340</v>
      </c>
      <c r="BJ194" s="63">
        <v>-100000</v>
      </c>
      <c r="BK194" s="63">
        <v>0</v>
      </c>
      <c r="BL194" s="63">
        <v>-100000</v>
      </c>
      <c r="BM194" s="63">
        <v>-1221996</v>
      </c>
      <c r="BN194" s="63">
        <v>0</v>
      </c>
      <c r="BO194" s="63">
        <v>-1221996</v>
      </c>
      <c r="BP194" s="63">
        <v>-1321996</v>
      </c>
      <c r="BQ194" s="63">
        <v>0</v>
      </c>
      <c r="BR194" s="63">
        <v>0</v>
      </c>
      <c r="BS194" s="63">
        <v>0</v>
      </c>
      <c r="BT194" s="63">
        <v>-1321996</v>
      </c>
      <c r="BU194" s="63">
        <v>0</v>
      </c>
      <c r="BV194" s="63">
        <v>-1321996</v>
      </c>
      <c r="BW194" s="63">
        <v>-34493</v>
      </c>
      <c r="BX194" s="63">
        <v>0</v>
      </c>
      <c r="BY194" s="63">
        <v>-34493</v>
      </c>
      <c r="BZ194" s="63">
        <v>-11274</v>
      </c>
      <c r="CA194" s="63">
        <v>0</v>
      </c>
      <c r="CB194" s="63">
        <v>-11274</v>
      </c>
      <c r="CC194" s="63">
        <v>-252</v>
      </c>
      <c r="CD194" s="63">
        <v>0</v>
      </c>
      <c r="CE194" s="63">
        <v>-252</v>
      </c>
      <c r="CF194" s="63">
        <v>0</v>
      </c>
      <c r="CG194" s="63">
        <v>0</v>
      </c>
      <c r="CH194" s="63">
        <v>0</v>
      </c>
      <c r="CI194" s="63">
        <v>0</v>
      </c>
      <c r="CJ194" s="63">
        <v>0</v>
      </c>
      <c r="CK194" s="63">
        <v>0</v>
      </c>
      <c r="CL194" s="63">
        <v>0</v>
      </c>
      <c r="CM194" s="63">
        <v>0</v>
      </c>
      <c r="CN194" s="63">
        <v>0</v>
      </c>
      <c r="CO194" s="63">
        <v>0</v>
      </c>
      <c r="CP194" s="63">
        <v>0</v>
      </c>
      <c r="CQ194" s="63">
        <v>-46019</v>
      </c>
      <c r="CR194" s="63">
        <v>0</v>
      </c>
      <c r="CS194" s="63">
        <v>0</v>
      </c>
      <c r="CT194" s="63">
        <v>0</v>
      </c>
      <c r="CU194" s="63">
        <v>-46019</v>
      </c>
      <c r="CV194" s="63">
        <v>0</v>
      </c>
      <c r="CW194" s="63">
        <v>-46019</v>
      </c>
      <c r="CX194" s="63">
        <v>0</v>
      </c>
      <c r="CY194" s="63">
        <v>0</v>
      </c>
      <c r="CZ194" s="63">
        <v>0</v>
      </c>
      <c r="DA194" s="63">
        <v>-6701</v>
      </c>
      <c r="DB194" s="63">
        <v>0</v>
      </c>
      <c r="DC194" s="63">
        <v>-6701</v>
      </c>
      <c r="DD194" s="63">
        <v>-5495</v>
      </c>
      <c r="DE194" s="63">
        <v>0</v>
      </c>
      <c r="DF194" s="63">
        <v>-5495</v>
      </c>
      <c r="DG194" s="63">
        <v>-12196</v>
      </c>
      <c r="DH194" s="63">
        <v>0</v>
      </c>
      <c r="DI194" s="63">
        <v>0</v>
      </c>
      <c r="DJ194" s="63">
        <v>0</v>
      </c>
      <c r="DK194" s="63">
        <v>-12196</v>
      </c>
      <c r="DL194" s="63">
        <v>0</v>
      </c>
      <c r="DM194" s="63">
        <v>-12196</v>
      </c>
      <c r="DN194" s="63">
        <v>45031354</v>
      </c>
      <c r="DO194" s="63">
        <v>0</v>
      </c>
      <c r="DP194" s="63">
        <v>45031354</v>
      </c>
      <c r="DQ194" s="63"/>
      <c r="DR194" s="585"/>
    </row>
    <row r="195" spans="1:122" x14ac:dyDescent="0.2">
      <c r="A195" s="90">
        <v>188</v>
      </c>
      <c r="B195" s="129" t="s">
        <v>245</v>
      </c>
      <c r="C195" s="130" t="s">
        <v>742</v>
      </c>
      <c r="D195" s="131" t="s">
        <v>745</v>
      </c>
      <c r="E195" s="132" t="s">
        <v>244</v>
      </c>
      <c r="F195" s="475" t="s">
        <v>808</v>
      </c>
      <c r="G195" s="63">
        <v>116884636</v>
      </c>
      <c r="H195" s="63">
        <v>0</v>
      </c>
      <c r="I195" s="63">
        <v>116884636</v>
      </c>
      <c r="J195" s="608">
        <v>48.4</v>
      </c>
      <c r="K195" s="63">
        <v>56572164</v>
      </c>
      <c r="L195" s="63">
        <v>0</v>
      </c>
      <c r="M195" s="63">
        <v>250000</v>
      </c>
      <c r="N195" s="63">
        <v>0</v>
      </c>
      <c r="O195" s="63">
        <v>56822164</v>
      </c>
      <c r="P195" s="63">
        <v>0</v>
      </c>
      <c r="Q195" s="63">
        <v>56822164</v>
      </c>
      <c r="R195" s="63">
        <v>0</v>
      </c>
      <c r="S195" s="63">
        <v>0</v>
      </c>
      <c r="T195" s="63">
        <v>0</v>
      </c>
      <c r="U195" s="63">
        <v>0</v>
      </c>
      <c r="V195" s="63">
        <v>0</v>
      </c>
      <c r="W195" s="63">
        <v>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0</v>
      </c>
      <c r="AE195" s="63">
        <v>0</v>
      </c>
      <c r="AF195" s="63">
        <v>0</v>
      </c>
      <c r="AG195" s="63">
        <v>0</v>
      </c>
      <c r="AH195" s="63">
        <v>-1981230</v>
      </c>
      <c r="AI195" s="63">
        <v>0</v>
      </c>
      <c r="AJ195" s="63">
        <v>-1981230</v>
      </c>
      <c r="AK195" s="63">
        <v>-8433</v>
      </c>
      <c r="AL195" s="63">
        <v>0</v>
      </c>
      <c r="AM195" s="63">
        <v>-8433</v>
      </c>
      <c r="AN195" s="63">
        <v>1377753</v>
      </c>
      <c r="AO195" s="63">
        <v>0</v>
      </c>
      <c r="AP195" s="63">
        <v>1377753</v>
      </c>
      <c r="AQ195" s="63">
        <v>-603477</v>
      </c>
      <c r="AR195" s="63">
        <v>0</v>
      </c>
      <c r="AS195" s="63">
        <v>-603477</v>
      </c>
      <c r="AT195" s="63">
        <v>-1425509</v>
      </c>
      <c r="AU195" s="63">
        <v>0</v>
      </c>
      <c r="AV195" s="63">
        <v>-1425509</v>
      </c>
      <c r="AW195" s="63">
        <v>-14950</v>
      </c>
      <c r="AX195" s="63">
        <v>0</v>
      </c>
      <c r="AY195" s="63">
        <v>-14950</v>
      </c>
      <c r="AZ195" s="63">
        <v>-10013</v>
      </c>
      <c r="BA195" s="63">
        <v>0</v>
      </c>
      <c r="BB195" s="63">
        <v>-10013</v>
      </c>
      <c r="BC195" s="63">
        <v>-2053949</v>
      </c>
      <c r="BD195" s="63">
        <v>0</v>
      </c>
      <c r="BE195" s="63">
        <v>0</v>
      </c>
      <c r="BF195" s="63">
        <v>0</v>
      </c>
      <c r="BG195" s="63">
        <v>-2053949</v>
      </c>
      <c r="BH195" s="63">
        <v>0</v>
      </c>
      <c r="BI195" s="63">
        <v>-2053949</v>
      </c>
      <c r="BJ195" s="63">
        <v>-180000</v>
      </c>
      <c r="BK195" s="63">
        <v>0</v>
      </c>
      <c r="BL195" s="63">
        <v>-180000</v>
      </c>
      <c r="BM195" s="63">
        <v>-490750</v>
      </c>
      <c r="BN195" s="63">
        <v>0</v>
      </c>
      <c r="BO195" s="63">
        <v>-490750</v>
      </c>
      <c r="BP195" s="63">
        <v>-670750</v>
      </c>
      <c r="BQ195" s="63">
        <v>0</v>
      </c>
      <c r="BR195" s="63">
        <v>-509250</v>
      </c>
      <c r="BS195" s="63">
        <v>0</v>
      </c>
      <c r="BT195" s="63">
        <v>-1180000</v>
      </c>
      <c r="BU195" s="63">
        <v>0</v>
      </c>
      <c r="BV195" s="63">
        <v>-1180000</v>
      </c>
      <c r="BW195" s="63">
        <v>-54724</v>
      </c>
      <c r="BX195" s="63">
        <v>0</v>
      </c>
      <c r="BY195" s="63">
        <v>-54724</v>
      </c>
      <c r="BZ195" s="63">
        <v>-78073</v>
      </c>
      <c r="CA195" s="63">
        <v>0</v>
      </c>
      <c r="CB195" s="63">
        <v>-78073</v>
      </c>
      <c r="CC195" s="63">
        <v>-1311</v>
      </c>
      <c r="CD195" s="63">
        <v>0</v>
      </c>
      <c r="CE195" s="63">
        <v>-1311</v>
      </c>
      <c r="CF195" s="63">
        <v>-9560</v>
      </c>
      <c r="CG195" s="63">
        <v>0</v>
      </c>
      <c r="CH195" s="63">
        <v>-9560</v>
      </c>
      <c r="CI195" s="63">
        <v>-240</v>
      </c>
      <c r="CJ195" s="63">
        <v>0</v>
      </c>
      <c r="CK195" s="63">
        <v>-240</v>
      </c>
      <c r="CL195" s="63">
        <v>0</v>
      </c>
      <c r="CM195" s="63">
        <v>0</v>
      </c>
      <c r="CN195" s="63">
        <v>0</v>
      </c>
      <c r="CO195" s="63">
        <v>0</v>
      </c>
      <c r="CP195" s="63">
        <v>0</v>
      </c>
      <c r="CQ195" s="63">
        <v>-143908</v>
      </c>
      <c r="CR195" s="63">
        <v>0</v>
      </c>
      <c r="CS195" s="63">
        <v>0</v>
      </c>
      <c r="CT195" s="63">
        <v>0</v>
      </c>
      <c r="CU195" s="63">
        <v>-143908</v>
      </c>
      <c r="CV195" s="63">
        <v>0</v>
      </c>
      <c r="CW195" s="63">
        <v>-143908</v>
      </c>
      <c r="CX195" s="63">
        <v>-5400</v>
      </c>
      <c r="CY195" s="63">
        <v>0</v>
      </c>
      <c r="CZ195" s="63">
        <v>-5400</v>
      </c>
      <c r="DA195" s="63">
        <v>0</v>
      </c>
      <c r="DB195" s="63">
        <v>0</v>
      </c>
      <c r="DC195" s="63">
        <v>0</v>
      </c>
      <c r="DD195" s="63">
        <v>-3637</v>
      </c>
      <c r="DE195" s="63">
        <v>0</v>
      </c>
      <c r="DF195" s="63">
        <v>-3637</v>
      </c>
      <c r="DG195" s="63">
        <v>-9037</v>
      </c>
      <c r="DH195" s="63">
        <v>0</v>
      </c>
      <c r="DI195" s="63">
        <v>-15000</v>
      </c>
      <c r="DJ195" s="63">
        <v>0</v>
      </c>
      <c r="DK195" s="63">
        <v>-24037</v>
      </c>
      <c r="DL195" s="63">
        <v>0</v>
      </c>
      <c r="DM195" s="63">
        <v>-24037</v>
      </c>
      <c r="DN195" s="63">
        <v>53420270</v>
      </c>
      <c r="DO195" s="63">
        <v>0</v>
      </c>
      <c r="DP195" s="63">
        <v>53420270</v>
      </c>
      <c r="DQ195" s="63"/>
      <c r="DR195" s="585"/>
    </row>
    <row r="196" spans="1:122" x14ac:dyDescent="0.2">
      <c r="A196" s="90">
        <v>189</v>
      </c>
      <c r="B196" s="129" t="s">
        <v>247</v>
      </c>
      <c r="C196" s="130" t="s">
        <v>742</v>
      </c>
      <c r="D196" s="131" t="s">
        <v>745</v>
      </c>
      <c r="E196" s="132" t="s">
        <v>246</v>
      </c>
      <c r="F196" s="475" t="s">
        <v>808</v>
      </c>
      <c r="G196" s="63">
        <v>235083815</v>
      </c>
      <c r="H196" s="63">
        <v>9536055</v>
      </c>
      <c r="I196" s="63">
        <v>244619870</v>
      </c>
      <c r="J196" s="608">
        <v>48.4</v>
      </c>
      <c r="K196" s="63">
        <v>113780566</v>
      </c>
      <c r="L196" s="63">
        <v>4615451</v>
      </c>
      <c r="M196" s="63">
        <v>-970000</v>
      </c>
      <c r="N196" s="63">
        <v>0</v>
      </c>
      <c r="O196" s="63">
        <v>112810566</v>
      </c>
      <c r="P196" s="63">
        <v>4615451</v>
      </c>
      <c r="Q196" s="63">
        <v>117426017</v>
      </c>
      <c r="R196" s="63">
        <v>0</v>
      </c>
      <c r="S196" s="63">
        <v>0</v>
      </c>
      <c r="T196" s="63">
        <v>0</v>
      </c>
      <c r="U196" s="63">
        <v>0</v>
      </c>
      <c r="V196" s="63">
        <v>0</v>
      </c>
      <c r="W196" s="63">
        <v>0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63">
        <v>0</v>
      </c>
      <c r="AF196" s="63">
        <v>0</v>
      </c>
      <c r="AG196" s="63">
        <v>0</v>
      </c>
      <c r="AH196" s="63">
        <v>-3767952</v>
      </c>
      <c r="AI196" s="63">
        <v>-67782</v>
      </c>
      <c r="AJ196" s="63">
        <v>-3835734</v>
      </c>
      <c r="AK196" s="63">
        <v>0</v>
      </c>
      <c r="AL196" s="63">
        <v>0</v>
      </c>
      <c r="AM196" s="63">
        <v>0</v>
      </c>
      <c r="AN196" s="63">
        <v>2786966</v>
      </c>
      <c r="AO196" s="63">
        <v>110817</v>
      </c>
      <c r="AP196" s="63">
        <v>2897783</v>
      </c>
      <c r="AQ196" s="63">
        <v>-980986</v>
      </c>
      <c r="AR196" s="63">
        <v>43035</v>
      </c>
      <c r="AS196" s="63">
        <v>-937951</v>
      </c>
      <c r="AT196" s="63">
        <v>-6988705</v>
      </c>
      <c r="AU196" s="63">
        <v>-83038</v>
      </c>
      <c r="AV196" s="63">
        <v>-7071743</v>
      </c>
      <c r="AW196" s="63">
        <v>-15902</v>
      </c>
      <c r="AX196" s="63">
        <v>0</v>
      </c>
      <c r="AY196" s="63">
        <v>-15902</v>
      </c>
      <c r="AZ196" s="63">
        <v>0</v>
      </c>
      <c r="BA196" s="63">
        <v>0</v>
      </c>
      <c r="BB196" s="63">
        <v>0</v>
      </c>
      <c r="BC196" s="63">
        <v>-7985593</v>
      </c>
      <c r="BD196" s="63">
        <v>-40003</v>
      </c>
      <c r="BE196" s="63">
        <v>0</v>
      </c>
      <c r="BF196" s="63">
        <v>0</v>
      </c>
      <c r="BG196" s="63">
        <v>-7985593</v>
      </c>
      <c r="BH196" s="63">
        <v>-40003</v>
      </c>
      <c r="BI196" s="63">
        <v>-8025596</v>
      </c>
      <c r="BJ196" s="63">
        <v>-140623</v>
      </c>
      <c r="BK196" s="63">
        <v>0</v>
      </c>
      <c r="BL196" s="63">
        <v>-140623</v>
      </c>
      <c r="BM196" s="63">
        <v>-3982580</v>
      </c>
      <c r="BN196" s="63">
        <v>-127680</v>
      </c>
      <c r="BO196" s="63">
        <v>-4110260</v>
      </c>
      <c r="BP196" s="63">
        <v>-4123203</v>
      </c>
      <c r="BQ196" s="63">
        <v>-127680</v>
      </c>
      <c r="BR196" s="63">
        <v>0</v>
      </c>
      <c r="BS196" s="63">
        <v>0</v>
      </c>
      <c r="BT196" s="63">
        <v>-4123203</v>
      </c>
      <c r="BU196" s="63">
        <v>-127680</v>
      </c>
      <c r="BV196" s="63">
        <v>-4250883</v>
      </c>
      <c r="BW196" s="63">
        <v>-225551</v>
      </c>
      <c r="BX196" s="63">
        <v>-3792</v>
      </c>
      <c r="BY196" s="63">
        <v>-229343</v>
      </c>
      <c r="BZ196" s="63">
        <v>-216266</v>
      </c>
      <c r="CA196" s="63">
        <v>0</v>
      </c>
      <c r="CB196" s="63">
        <v>-216266</v>
      </c>
      <c r="CC196" s="63">
        <v>-2982</v>
      </c>
      <c r="CD196" s="63">
        <v>0</v>
      </c>
      <c r="CE196" s="63">
        <v>-2982</v>
      </c>
      <c r="CF196" s="63">
        <v>0</v>
      </c>
      <c r="CG196" s="63">
        <v>0</v>
      </c>
      <c r="CH196" s="63">
        <v>0</v>
      </c>
      <c r="CI196" s="63">
        <v>0</v>
      </c>
      <c r="CJ196" s="63">
        <v>0</v>
      </c>
      <c r="CK196" s="63">
        <v>0</v>
      </c>
      <c r="CL196" s="63">
        <v>0</v>
      </c>
      <c r="CM196" s="63">
        <v>-2050864</v>
      </c>
      <c r="CN196" s="63">
        <v>-2050864</v>
      </c>
      <c r="CO196" s="63">
        <v>-2050864</v>
      </c>
      <c r="CP196" s="63">
        <v>0</v>
      </c>
      <c r="CQ196" s="63">
        <v>-444799</v>
      </c>
      <c r="CR196" s="63">
        <v>-2054656</v>
      </c>
      <c r="CS196" s="63">
        <v>0</v>
      </c>
      <c r="CT196" s="63">
        <v>0</v>
      </c>
      <c r="CU196" s="63">
        <v>-444799</v>
      </c>
      <c r="CV196" s="63">
        <v>-2054656</v>
      </c>
      <c r="CW196" s="63">
        <v>-2499455</v>
      </c>
      <c r="CX196" s="63">
        <v>0</v>
      </c>
      <c r="CY196" s="63">
        <v>0</v>
      </c>
      <c r="CZ196" s="63">
        <v>0</v>
      </c>
      <c r="DA196" s="63">
        <v>-250695</v>
      </c>
      <c r="DB196" s="63">
        <v>0</v>
      </c>
      <c r="DC196" s="63">
        <v>-250695</v>
      </c>
      <c r="DD196" s="63">
        <v>0</v>
      </c>
      <c r="DE196" s="63">
        <v>0</v>
      </c>
      <c r="DF196" s="63">
        <v>0</v>
      </c>
      <c r="DG196" s="63">
        <v>-250695</v>
      </c>
      <c r="DH196" s="63">
        <v>0</v>
      </c>
      <c r="DI196" s="63">
        <v>0</v>
      </c>
      <c r="DJ196" s="63">
        <v>0</v>
      </c>
      <c r="DK196" s="63">
        <v>-250695</v>
      </c>
      <c r="DL196" s="63">
        <v>0</v>
      </c>
      <c r="DM196" s="63">
        <v>-250695</v>
      </c>
      <c r="DN196" s="63">
        <v>100006276</v>
      </c>
      <c r="DO196" s="63">
        <v>2393112</v>
      </c>
      <c r="DP196" s="63">
        <v>102399388</v>
      </c>
      <c r="DQ196" s="63"/>
      <c r="DR196" s="585" t="s">
        <v>768</v>
      </c>
    </row>
    <row r="197" spans="1:122" x14ac:dyDescent="0.2">
      <c r="A197" s="90">
        <v>190</v>
      </c>
      <c r="B197" s="129" t="s">
        <v>249</v>
      </c>
      <c r="C197" s="130" t="s">
        <v>501</v>
      </c>
      <c r="D197" s="131" t="s">
        <v>755</v>
      </c>
      <c r="E197" s="132" t="s">
        <v>248</v>
      </c>
      <c r="F197" s="475" t="s">
        <v>808</v>
      </c>
      <c r="G197" s="63">
        <v>204478273</v>
      </c>
      <c r="H197" s="63">
        <v>249625</v>
      </c>
      <c r="I197" s="63">
        <v>204727898</v>
      </c>
      <c r="J197" s="608">
        <v>48.4</v>
      </c>
      <c r="K197" s="63">
        <v>98967484</v>
      </c>
      <c r="L197" s="63">
        <v>120819</v>
      </c>
      <c r="M197" s="63">
        <v>529449</v>
      </c>
      <c r="N197" s="63">
        <v>22385</v>
      </c>
      <c r="O197" s="63">
        <v>99496933</v>
      </c>
      <c r="P197" s="63">
        <v>143204</v>
      </c>
      <c r="Q197" s="63">
        <v>99640137</v>
      </c>
      <c r="R197" s="63">
        <v>0</v>
      </c>
      <c r="S197" s="63">
        <v>0</v>
      </c>
      <c r="T197" s="63">
        <v>0</v>
      </c>
      <c r="U197" s="63">
        <v>0</v>
      </c>
      <c r="V197" s="63">
        <v>0</v>
      </c>
      <c r="W197" s="63">
        <v>0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0</v>
      </c>
      <c r="AE197" s="63">
        <v>0</v>
      </c>
      <c r="AF197" s="63">
        <v>0</v>
      </c>
      <c r="AG197" s="63">
        <v>0</v>
      </c>
      <c r="AH197" s="63">
        <v>-8421615</v>
      </c>
      <c r="AI197" s="63">
        <v>0</v>
      </c>
      <c r="AJ197" s="63">
        <v>-8421615</v>
      </c>
      <c r="AK197" s="63">
        <v>-19847</v>
      </c>
      <c r="AL197" s="63">
        <v>0</v>
      </c>
      <c r="AM197" s="63">
        <v>-19847</v>
      </c>
      <c r="AN197" s="63">
        <v>2087247</v>
      </c>
      <c r="AO197" s="63">
        <v>1219</v>
      </c>
      <c r="AP197" s="63">
        <v>2088466</v>
      </c>
      <c r="AQ197" s="63">
        <v>-6334368</v>
      </c>
      <c r="AR197" s="63">
        <v>1219</v>
      </c>
      <c r="AS197" s="63">
        <v>-6333149</v>
      </c>
      <c r="AT197" s="63">
        <v>-6298091</v>
      </c>
      <c r="AU197" s="63">
        <v>0</v>
      </c>
      <c r="AV197" s="63">
        <v>-6298091</v>
      </c>
      <c r="AW197" s="63">
        <v>-198184</v>
      </c>
      <c r="AX197" s="63">
        <v>0</v>
      </c>
      <c r="AY197" s="63">
        <v>-198184</v>
      </c>
      <c r="AZ197" s="63">
        <v>-95131</v>
      </c>
      <c r="BA197" s="63">
        <v>0</v>
      </c>
      <c r="BB197" s="63">
        <v>-95131</v>
      </c>
      <c r="BC197" s="63">
        <v>-12925774</v>
      </c>
      <c r="BD197" s="63">
        <v>1219</v>
      </c>
      <c r="BE197" s="63">
        <v>0</v>
      </c>
      <c r="BF197" s="63">
        <v>0</v>
      </c>
      <c r="BG197" s="63">
        <v>-12925774</v>
      </c>
      <c r="BH197" s="63">
        <v>1219</v>
      </c>
      <c r="BI197" s="63">
        <v>-12924555</v>
      </c>
      <c r="BJ197" s="63">
        <v>-700000</v>
      </c>
      <c r="BK197" s="63">
        <v>0</v>
      </c>
      <c r="BL197" s="63">
        <v>-700000</v>
      </c>
      <c r="BM197" s="63">
        <v>-2822072</v>
      </c>
      <c r="BN197" s="63">
        <v>-1168</v>
      </c>
      <c r="BO197" s="63">
        <v>-2823240</v>
      </c>
      <c r="BP197" s="63">
        <v>-3522072</v>
      </c>
      <c r="BQ197" s="63">
        <v>-1168</v>
      </c>
      <c r="BR197" s="63">
        <v>0</v>
      </c>
      <c r="BS197" s="63">
        <v>0</v>
      </c>
      <c r="BT197" s="63">
        <v>-3522072</v>
      </c>
      <c r="BU197" s="63">
        <v>-1168</v>
      </c>
      <c r="BV197" s="63">
        <v>-3523240</v>
      </c>
      <c r="BW197" s="63">
        <v>-627560</v>
      </c>
      <c r="BX197" s="63">
        <v>0</v>
      </c>
      <c r="BY197" s="63">
        <v>-627560</v>
      </c>
      <c r="BZ197" s="63">
        <v>-426511</v>
      </c>
      <c r="CA197" s="63">
        <v>0</v>
      </c>
      <c r="CB197" s="63">
        <v>-426511</v>
      </c>
      <c r="CC197" s="63">
        <v>-19585</v>
      </c>
      <c r="CD197" s="63">
        <v>0</v>
      </c>
      <c r="CE197" s="63">
        <v>-19585</v>
      </c>
      <c r="CF197" s="63">
        <v>-11345</v>
      </c>
      <c r="CG197" s="63">
        <v>0</v>
      </c>
      <c r="CH197" s="63">
        <v>-11345</v>
      </c>
      <c r="CI197" s="63">
        <v>-17049</v>
      </c>
      <c r="CJ197" s="63">
        <v>0</v>
      </c>
      <c r="CK197" s="63">
        <v>-17049</v>
      </c>
      <c r="CL197" s="63">
        <v>-150000</v>
      </c>
      <c r="CM197" s="63">
        <v>-78096</v>
      </c>
      <c r="CN197" s="63">
        <v>-228096</v>
      </c>
      <c r="CO197" s="63">
        <v>-78096</v>
      </c>
      <c r="CP197" s="63">
        <v>0</v>
      </c>
      <c r="CQ197" s="63">
        <v>-1252050</v>
      </c>
      <c r="CR197" s="63">
        <v>-78096</v>
      </c>
      <c r="CS197" s="63">
        <v>0</v>
      </c>
      <c r="CT197" s="63">
        <v>-22385</v>
      </c>
      <c r="CU197" s="63">
        <v>-1252050</v>
      </c>
      <c r="CV197" s="63">
        <v>-100481</v>
      </c>
      <c r="CW197" s="63">
        <v>-1352531</v>
      </c>
      <c r="CX197" s="63">
        <v>-25000</v>
      </c>
      <c r="CY197" s="63">
        <v>0</v>
      </c>
      <c r="CZ197" s="63">
        <v>-25000</v>
      </c>
      <c r="DA197" s="63">
        <v>-35899</v>
      </c>
      <c r="DB197" s="63">
        <v>0</v>
      </c>
      <c r="DC197" s="63">
        <v>-35899</v>
      </c>
      <c r="DD197" s="63">
        <v>-28801</v>
      </c>
      <c r="DE197" s="63">
        <v>0</v>
      </c>
      <c r="DF197" s="63">
        <v>-28801</v>
      </c>
      <c r="DG197" s="63">
        <v>-89700</v>
      </c>
      <c r="DH197" s="63">
        <v>0</v>
      </c>
      <c r="DI197" s="63">
        <v>0</v>
      </c>
      <c r="DJ197" s="63">
        <v>0</v>
      </c>
      <c r="DK197" s="63">
        <v>-89700</v>
      </c>
      <c r="DL197" s="63">
        <v>0</v>
      </c>
      <c r="DM197" s="63">
        <v>-89700</v>
      </c>
      <c r="DN197" s="63">
        <v>81707337</v>
      </c>
      <c r="DO197" s="63">
        <v>42774</v>
      </c>
      <c r="DP197" s="63">
        <v>81750111</v>
      </c>
      <c r="DQ197" s="63"/>
      <c r="DR197" s="585" t="s">
        <v>768</v>
      </c>
    </row>
    <row r="198" spans="1:122" x14ac:dyDescent="0.2">
      <c r="A198" s="90">
        <v>191</v>
      </c>
      <c r="B198" s="129" t="s">
        <v>251</v>
      </c>
      <c r="C198" s="130" t="s">
        <v>742</v>
      </c>
      <c r="D198" s="131" t="s">
        <v>746</v>
      </c>
      <c r="E198" s="132" t="s">
        <v>250</v>
      </c>
      <c r="F198" s="475" t="s">
        <v>808</v>
      </c>
      <c r="G198" s="63">
        <v>193611442</v>
      </c>
      <c r="H198" s="63">
        <v>0</v>
      </c>
      <c r="I198" s="63">
        <v>193611442</v>
      </c>
      <c r="J198" s="608">
        <v>48.4</v>
      </c>
      <c r="K198" s="63">
        <v>93707938</v>
      </c>
      <c r="L198" s="63">
        <v>0</v>
      </c>
      <c r="M198" s="63">
        <v>-1405619</v>
      </c>
      <c r="N198" s="63">
        <v>0</v>
      </c>
      <c r="O198" s="63">
        <v>92302319</v>
      </c>
      <c r="P198" s="63">
        <v>0</v>
      </c>
      <c r="Q198" s="63">
        <v>92302319</v>
      </c>
      <c r="R198" s="63">
        <v>0</v>
      </c>
      <c r="S198" s="63">
        <v>0</v>
      </c>
      <c r="T198" s="63">
        <v>0</v>
      </c>
      <c r="U198" s="63">
        <v>0</v>
      </c>
      <c r="V198" s="63">
        <v>0</v>
      </c>
      <c r="W198" s="63">
        <v>0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0</v>
      </c>
      <c r="AE198" s="63">
        <v>0</v>
      </c>
      <c r="AF198" s="63">
        <v>0</v>
      </c>
      <c r="AG198" s="63">
        <v>0</v>
      </c>
      <c r="AH198" s="63">
        <v>-3826900</v>
      </c>
      <c r="AI198" s="63">
        <v>0</v>
      </c>
      <c r="AJ198" s="63">
        <v>-3826900</v>
      </c>
      <c r="AK198" s="63">
        <v>-9770</v>
      </c>
      <c r="AL198" s="63">
        <v>0</v>
      </c>
      <c r="AM198" s="63">
        <v>-9770</v>
      </c>
      <c r="AN198" s="63">
        <v>2222101</v>
      </c>
      <c r="AO198" s="63">
        <v>0</v>
      </c>
      <c r="AP198" s="63">
        <v>2222101</v>
      </c>
      <c r="AQ198" s="63">
        <v>-1604799</v>
      </c>
      <c r="AR198" s="63">
        <v>0</v>
      </c>
      <c r="AS198" s="63">
        <v>-1604799</v>
      </c>
      <c r="AT198" s="63">
        <v>-5901451</v>
      </c>
      <c r="AU198" s="63">
        <v>0</v>
      </c>
      <c r="AV198" s="63">
        <v>-5901451</v>
      </c>
      <c r="AW198" s="63">
        <v>-24836</v>
      </c>
      <c r="AX198" s="63">
        <v>0</v>
      </c>
      <c r="AY198" s="63">
        <v>-24836</v>
      </c>
      <c r="AZ198" s="63">
        <v>0</v>
      </c>
      <c r="BA198" s="63">
        <v>0</v>
      </c>
      <c r="BB198" s="63">
        <v>0</v>
      </c>
      <c r="BC198" s="63">
        <v>-7531086</v>
      </c>
      <c r="BD198" s="63">
        <v>0</v>
      </c>
      <c r="BE198" s="63">
        <v>0</v>
      </c>
      <c r="BF198" s="63">
        <v>0</v>
      </c>
      <c r="BG198" s="63">
        <v>-7531086</v>
      </c>
      <c r="BH198" s="63">
        <v>0</v>
      </c>
      <c r="BI198" s="63">
        <v>-7531086</v>
      </c>
      <c r="BJ198" s="63">
        <v>-25222</v>
      </c>
      <c r="BK198" s="63">
        <v>0</v>
      </c>
      <c r="BL198" s="63">
        <v>-25222</v>
      </c>
      <c r="BM198" s="63">
        <v>-3895110</v>
      </c>
      <c r="BN198" s="63">
        <v>0</v>
      </c>
      <c r="BO198" s="63">
        <v>-3895110</v>
      </c>
      <c r="BP198" s="63">
        <v>-3920332</v>
      </c>
      <c r="BQ198" s="63">
        <v>0</v>
      </c>
      <c r="BR198" s="63">
        <v>0</v>
      </c>
      <c r="BS198" s="63">
        <v>0</v>
      </c>
      <c r="BT198" s="63">
        <v>-3920332</v>
      </c>
      <c r="BU198" s="63">
        <v>0</v>
      </c>
      <c r="BV198" s="63">
        <v>-3920332</v>
      </c>
      <c r="BW198" s="63">
        <v>-115028</v>
      </c>
      <c r="BX198" s="63">
        <v>0</v>
      </c>
      <c r="BY198" s="63">
        <v>-115028</v>
      </c>
      <c r="BZ198" s="63">
        <v>-42913</v>
      </c>
      <c r="CA198" s="63">
        <v>0</v>
      </c>
      <c r="CB198" s="63">
        <v>-42913</v>
      </c>
      <c r="CC198" s="63">
        <v>0</v>
      </c>
      <c r="CD198" s="63">
        <v>0</v>
      </c>
      <c r="CE198" s="63">
        <v>0</v>
      </c>
      <c r="CF198" s="63">
        <v>0</v>
      </c>
      <c r="CG198" s="63">
        <v>0</v>
      </c>
      <c r="CH198" s="63">
        <v>0</v>
      </c>
      <c r="CI198" s="63">
        <v>0</v>
      </c>
      <c r="CJ198" s="63">
        <v>0</v>
      </c>
      <c r="CK198" s="63">
        <v>0</v>
      </c>
      <c r="CL198" s="63">
        <v>0</v>
      </c>
      <c r="CM198" s="63">
        <v>0</v>
      </c>
      <c r="CN198" s="63">
        <v>0</v>
      </c>
      <c r="CO198" s="63">
        <v>0</v>
      </c>
      <c r="CP198" s="63">
        <v>0</v>
      </c>
      <c r="CQ198" s="63">
        <v>-157941</v>
      </c>
      <c r="CR198" s="63">
        <v>0</v>
      </c>
      <c r="CS198" s="63">
        <v>0</v>
      </c>
      <c r="CT198" s="63">
        <v>0</v>
      </c>
      <c r="CU198" s="63">
        <v>-157941</v>
      </c>
      <c r="CV198" s="63">
        <v>0</v>
      </c>
      <c r="CW198" s="63">
        <v>-157941</v>
      </c>
      <c r="CX198" s="63">
        <v>0</v>
      </c>
      <c r="CY198" s="63">
        <v>0</v>
      </c>
      <c r="CZ198" s="63">
        <v>0</v>
      </c>
      <c r="DA198" s="63">
        <v>-29129</v>
      </c>
      <c r="DB198" s="63">
        <v>0</v>
      </c>
      <c r="DC198" s="63">
        <v>-29129</v>
      </c>
      <c r="DD198" s="63">
        <v>-10928</v>
      </c>
      <c r="DE198" s="63">
        <v>0</v>
      </c>
      <c r="DF198" s="63">
        <v>-10928</v>
      </c>
      <c r="DG198" s="63">
        <v>-40057</v>
      </c>
      <c r="DH198" s="63">
        <v>0</v>
      </c>
      <c r="DI198" s="63">
        <v>0</v>
      </c>
      <c r="DJ198" s="63">
        <v>0</v>
      </c>
      <c r="DK198" s="63">
        <v>-40057</v>
      </c>
      <c r="DL198" s="63">
        <v>0</v>
      </c>
      <c r="DM198" s="63">
        <v>-40057</v>
      </c>
      <c r="DN198" s="63">
        <v>80652903</v>
      </c>
      <c r="DO198" s="63">
        <v>0</v>
      </c>
      <c r="DP198" s="63">
        <v>80652903</v>
      </c>
      <c r="DQ198" s="63"/>
      <c r="DR198" s="585"/>
    </row>
    <row r="199" spans="1:122" x14ac:dyDescent="0.2">
      <c r="A199" s="90">
        <v>192</v>
      </c>
      <c r="B199" s="129" t="s">
        <v>252</v>
      </c>
      <c r="C199" s="130" t="s">
        <v>501</v>
      </c>
      <c r="D199" s="131" t="s">
        <v>745</v>
      </c>
      <c r="E199" s="132" t="s">
        <v>545</v>
      </c>
      <c r="F199" s="475" t="s">
        <v>808</v>
      </c>
      <c r="G199" s="63">
        <v>296862961</v>
      </c>
      <c r="H199" s="63">
        <v>23557608</v>
      </c>
      <c r="I199" s="63">
        <v>320420569</v>
      </c>
      <c r="J199" s="608">
        <v>48.4</v>
      </c>
      <c r="K199" s="63">
        <v>143681673</v>
      </c>
      <c r="L199" s="63">
        <v>11401882</v>
      </c>
      <c r="M199" s="63">
        <v>0</v>
      </c>
      <c r="N199" s="63">
        <v>0</v>
      </c>
      <c r="O199" s="63">
        <v>143681673</v>
      </c>
      <c r="P199" s="63">
        <v>11401882</v>
      </c>
      <c r="Q199" s="63">
        <v>155083555</v>
      </c>
      <c r="R199" s="63">
        <v>0</v>
      </c>
      <c r="S199" s="63">
        <v>0</v>
      </c>
      <c r="T199" s="63">
        <v>0</v>
      </c>
      <c r="U199" s="63">
        <v>0</v>
      </c>
      <c r="V199" s="63">
        <v>0</v>
      </c>
      <c r="W199" s="63">
        <v>0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63">
        <v>0</v>
      </c>
      <c r="AF199" s="63">
        <v>0</v>
      </c>
      <c r="AG199" s="63">
        <v>0</v>
      </c>
      <c r="AH199" s="63">
        <v>-5356878</v>
      </c>
      <c r="AI199" s="63">
        <v>-390122</v>
      </c>
      <c r="AJ199" s="63">
        <v>-5747000</v>
      </c>
      <c r="AK199" s="63">
        <v>-20000</v>
      </c>
      <c r="AL199" s="63">
        <v>0</v>
      </c>
      <c r="AM199" s="63">
        <v>-20000</v>
      </c>
      <c r="AN199" s="63">
        <v>3560000</v>
      </c>
      <c r="AO199" s="63">
        <v>204000</v>
      </c>
      <c r="AP199" s="63">
        <v>3764000</v>
      </c>
      <c r="AQ199" s="63">
        <v>-1796878</v>
      </c>
      <c r="AR199" s="63">
        <v>-186122</v>
      </c>
      <c r="AS199" s="63">
        <v>-1983000</v>
      </c>
      <c r="AT199" s="63">
        <v>-12485609</v>
      </c>
      <c r="AU199" s="63">
        <v>-550000</v>
      </c>
      <c r="AV199" s="63">
        <v>-13035609</v>
      </c>
      <c r="AW199" s="63">
        <v>-47268</v>
      </c>
      <c r="AX199" s="63">
        <v>0</v>
      </c>
      <c r="AY199" s="63">
        <v>-47268</v>
      </c>
      <c r="AZ199" s="63">
        <v>0</v>
      </c>
      <c r="BA199" s="63">
        <v>0</v>
      </c>
      <c r="BB199" s="63">
        <v>0</v>
      </c>
      <c r="BC199" s="63">
        <v>-14329755</v>
      </c>
      <c r="BD199" s="63">
        <v>-736122</v>
      </c>
      <c r="BE199" s="63">
        <v>0</v>
      </c>
      <c r="BF199" s="63">
        <v>0</v>
      </c>
      <c r="BG199" s="63">
        <v>-14329755</v>
      </c>
      <c r="BH199" s="63">
        <v>-736122</v>
      </c>
      <c r="BI199" s="63">
        <v>-15065877</v>
      </c>
      <c r="BJ199" s="63">
        <v>-150000</v>
      </c>
      <c r="BK199" s="63">
        <v>-10000</v>
      </c>
      <c r="BL199" s="63">
        <v>-160000</v>
      </c>
      <c r="BM199" s="63">
        <v>-6146336</v>
      </c>
      <c r="BN199" s="63">
        <v>-534464</v>
      </c>
      <c r="BO199" s="63">
        <v>-6680800</v>
      </c>
      <c r="BP199" s="63">
        <v>-6296336</v>
      </c>
      <c r="BQ199" s="63">
        <v>-544464</v>
      </c>
      <c r="BR199" s="63">
        <v>0</v>
      </c>
      <c r="BS199" s="63">
        <v>0</v>
      </c>
      <c r="BT199" s="63">
        <v>-6296336</v>
      </c>
      <c r="BU199" s="63">
        <v>-544464</v>
      </c>
      <c r="BV199" s="63">
        <v>-6840800</v>
      </c>
      <c r="BW199" s="63">
        <v>-191913</v>
      </c>
      <c r="BX199" s="63">
        <v>-1785</v>
      </c>
      <c r="BY199" s="63">
        <v>-193698</v>
      </c>
      <c r="BZ199" s="63">
        <v>-257356</v>
      </c>
      <c r="CA199" s="63">
        <v>-306409</v>
      </c>
      <c r="CB199" s="63">
        <v>-563765</v>
      </c>
      <c r="CC199" s="63">
        <v>-855</v>
      </c>
      <c r="CD199" s="63">
        <v>0</v>
      </c>
      <c r="CE199" s="63">
        <v>-855</v>
      </c>
      <c r="CF199" s="63">
        <v>0</v>
      </c>
      <c r="CG199" s="63">
        <v>0</v>
      </c>
      <c r="CH199" s="63">
        <v>0</v>
      </c>
      <c r="CI199" s="63">
        <v>0</v>
      </c>
      <c r="CJ199" s="63">
        <v>0</v>
      </c>
      <c r="CK199" s="63">
        <v>0</v>
      </c>
      <c r="CL199" s="63">
        <v>-39000</v>
      </c>
      <c r="CM199" s="63">
        <v>-67000</v>
      </c>
      <c r="CN199" s="63">
        <v>-106000</v>
      </c>
      <c r="CO199" s="63">
        <v>0</v>
      </c>
      <c r="CP199" s="63">
        <v>0</v>
      </c>
      <c r="CQ199" s="63">
        <v>-489124</v>
      </c>
      <c r="CR199" s="63">
        <v>-375194</v>
      </c>
      <c r="CS199" s="63">
        <v>0</v>
      </c>
      <c r="CT199" s="63">
        <v>0</v>
      </c>
      <c r="CU199" s="63">
        <v>-489124</v>
      </c>
      <c r="CV199" s="63">
        <v>-375194</v>
      </c>
      <c r="CW199" s="63">
        <v>-864318</v>
      </c>
      <c r="CX199" s="63">
        <v>0</v>
      </c>
      <c r="CY199" s="63">
        <v>0</v>
      </c>
      <c r="CZ199" s="63">
        <v>0</v>
      </c>
      <c r="DA199" s="63">
        <v>-45000</v>
      </c>
      <c r="DB199" s="63">
        <v>-5000</v>
      </c>
      <c r="DC199" s="63">
        <v>-50000</v>
      </c>
      <c r="DD199" s="63">
        <v>0</v>
      </c>
      <c r="DE199" s="63">
        <v>0</v>
      </c>
      <c r="DF199" s="63">
        <v>0</v>
      </c>
      <c r="DG199" s="63">
        <v>-45000</v>
      </c>
      <c r="DH199" s="63">
        <v>-5000</v>
      </c>
      <c r="DI199" s="63">
        <v>0</v>
      </c>
      <c r="DJ199" s="63">
        <v>0</v>
      </c>
      <c r="DK199" s="63">
        <v>-45000</v>
      </c>
      <c r="DL199" s="63">
        <v>-5000</v>
      </c>
      <c r="DM199" s="63">
        <v>-50000</v>
      </c>
      <c r="DN199" s="63">
        <v>122521458</v>
      </c>
      <c r="DO199" s="63">
        <v>9741102</v>
      </c>
      <c r="DP199" s="63">
        <v>132262560</v>
      </c>
      <c r="DQ199" s="63"/>
      <c r="DR199" s="585" t="s">
        <v>768</v>
      </c>
    </row>
    <row r="200" spans="1:122" x14ac:dyDescent="0.2">
      <c r="A200" s="90">
        <v>193</v>
      </c>
      <c r="B200" s="129" t="s">
        <v>253</v>
      </c>
      <c r="C200" s="130" t="s">
        <v>742</v>
      </c>
      <c r="D200" s="131" t="s">
        <v>752</v>
      </c>
      <c r="E200" s="132" t="s">
        <v>550</v>
      </c>
      <c r="F200" s="475" t="s">
        <v>808</v>
      </c>
      <c r="G200" s="63">
        <v>84479647</v>
      </c>
      <c r="H200" s="63">
        <v>0</v>
      </c>
      <c r="I200" s="63">
        <v>84479647</v>
      </c>
      <c r="J200" s="608">
        <v>48.4</v>
      </c>
      <c r="K200" s="63">
        <v>40888149</v>
      </c>
      <c r="L200" s="63">
        <v>0</v>
      </c>
      <c r="M200" s="63">
        <v>250000</v>
      </c>
      <c r="N200" s="63">
        <v>0</v>
      </c>
      <c r="O200" s="63">
        <v>41138149</v>
      </c>
      <c r="P200" s="63">
        <v>0</v>
      </c>
      <c r="Q200" s="63">
        <v>41138149</v>
      </c>
      <c r="R200" s="63">
        <v>0</v>
      </c>
      <c r="S200" s="63">
        <v>0</v>
      </c>
      <c r="T200" s="63">
        <v>0</v>
      </c>
      <c r="U200" s="63">
        <v>0</v>
      </c>
      <c r="V200" s="63">
        <v>0</v>
      </c>
      <c r="W200" s="63">
        <v>0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0</v>
      </c>
      <c r="AE200" s="63">
        <v>0</v>
      </c>
      <c r="AF200" s="63">
        <v>0</v>
      </c>
      <c r="AG200" s="63">
        <v>0</v>
      </c>
      <c r="AH200" s="63">
        <v>-2002184</v>
      </c>
      <c r="AI200" s="63">
        <v>0</v>
      </c>
      <c r="AJ200" s="63">
        <v>-2002184</v>
      </c>
      <c r="AK200" s="63">
        <v>0</v>
      </c>
      <c r="AL200" s="63">
        <v>0</v>
      </c>
      <c r="AM200" s="63">
        <v>0</v>
      </c>
      <c r="AN200" s="63">
        <v>932884</v>
      </c>
      <c r="AO200" s="63">
        <v>0</v>
      </c>
      <c r="AP200" s="63">
        <v>932884</v>
      </c>
      <c r="AQ200" s="63">
        <v>-1069300</v>
      </c>
      <c r="AR200" s="63">
        <v>0</v>
      </c>
      <c r="AS200" s="63">
        <v>-1069300</v>
      </c>
      <c r="AT200" s="63">
        <v>-2031841</v>
      </c>
      <c r="AU200" s="63">
        <v>0</v>
      </c>
      <c r="AV200" s="63">
        <v>-2031841</v>
      </c>
      <c r="AW200" s="63">
        <v>-21868</v>
      </c>
      <c r="AX200" s="63">
        <v>0</v>
      </c>
      <c r="AY200" s="63">
        <v>-21868</v>
      </c>
      <c r="AZ200" s="63">
        <v>0</v>
      </c>
      <c r="BA200" s="63">
        <v>0</v>
      </c>
      <c r="BB200" s="63">
        <v>0</v>
      </c>
      <c r="BC200" s="63">
        <v>-3123009</v>
      </c>
      <c r="BD200" s="63">
        <v>0</v>
      </c>
      <c r="BE200" s="63">
        <v>0</v>
      </c>
      <c r="BF200" s="63">
        <v>0</v>
      </c>
      <c r="BG200" s="63">
        <v>-3123009</v>
      </c>
      <c r="BH200" s="63">
        <v>0</v>
      </c>
      <c r="BI200" s="63">
        <v>-3123009</v>
      </c>
      <c r="BJ200" s="63">
        <v>-25000</v>
      </c>
      <c r="BK200" s="63">
        <v>0</v>
      </c>
      <c r="BL200" s="63">
        <v>-25000</v>
      </c>
      <c r="BM200" s="63">
        <v>-800000</v>
      </c>
      <c r="BN200" s="63">
        <v>0</v>
      </c>
      <c r="BO200" s="63">
        <v>-800000</v>
      </c>
      <c r="BP200" s="63">
        <v>-825000</v>
      </c>
      <c r="BQ200" s="63">
        <v>0</v>
      </c>
      <c r="BR200" s="63">
        <v>-44000</v>
      </c>
      <c r="BS200" s="63">
        <v>0</v>
      </c>
      <c r="BT200" s="63">
        <v>-869000</v>
      </c>
      <c r="BU200" s="63">
        <v>0</v>
      </c>
      <c r="BV200" s="63">
        <v>-869000</v>
      </c>
      <c r="BW200" s="63">
        <v>-37936</v>
      </c>
      <c r="BX200" s="63">
        <v>0</v>
      </c>
      <c r="BY200" s="63">
        <v>-37936</v>
      </c>
      <c r="BZ200" s="63">
        <v>-20674</v>
      </c>
      <c r="CA200" s="63">
        <v>0</v>
      </c>
      <c r="CB200" s="63">
        <v>-20674</v>
      </c>
      <c r="CC200" s="63">
        <v>0</v>
      </c>
      <c r="CD200" s="63">
        <v>0</v>
      </c>
      <c r="CE200" s="63">
        <v>0</v>
      </c>
      <c r="CF200" s="63">
        <v>0</v>
      </c>
      <c r="CG200" s="63">
        <v>0</v>
      </c>
      <c r="CH200" s="63">
        <v>0</v>
      </c>
      <c r="CI200" s="63">
        <v>0</v>
      </c>
      <c r="CJ200" s="63">
        <v>0</v>
      </c>
      <c r="CK200" s="63">
        <v>0</v>
      </c>
      <c r="CL200" s="63">
        <v>-50000</v>
      </c>
      <c r="CM200" s="63">
        <v>0</v>
      </c>
      <c r="CN200" s="63">
        <v>-50000</v>
      </c>
      <c r="CO200" s="63">
        <v>0</v>
      </c>
      <c r="CP200" s="63">
        <v>0</v>
      </c>
      <c r="CQ200" s="63">
        <v>-108610</v>
      </c>
      <c r="CR200" s="63">
        <v>0</v>
      </c>
      <c r="CS200" s="63">
        <v>0</v>
      </c>
      <c r="CT200" s="63">
        <v>0</v>
      </c>
      <c r="CU200" s="63">
        <v>-108610</v>
      </c>
      <c r="CV200" s="63">
        <v>0</v>
      </c>
      <c r="CW200" s="63">
        <v>-108610</v>
      </c>
      <c r="CX200" s="63">
        <v>-60000</v>
      </c>
      <c r="CY200" s="63">
        <v>0</v>
      </c>
      <c r="CZ200" s="63">
        <v>-60000</v>
      </c>
      <c r="DA200" s="63">
        <v>0</v>
      </c>
      <c r="DB200" s="63">
        <v>0</v>
      </c>
      <c r="DC200" s="63">
        <v>0</v>
      </c>
      <c r="DD200" s="63">
        <v>-4000</v>
      </c>
      <c r="DE200" s="63">
        <v>0</v>
      </c>
      <c r="DF200" s="63">
        <v>-4000</v>
      </c>
      <c r="DG200" s="63">
        <v>-64000</v>
      </c>
      <c r="DH200" s="63">
        <v>0</v>
      </c>
      <c r="DI200" s="63">
        <v>0</v>
      </c>
      <c r="DJ200" s="63">
        <v>0</v>
      </c>
      <c r="DK200" s="63">
        <v>-64000</v>
      </c>
      <c r="DL200" s="63">
        <v>0</v>
      </c>
      <c r="DM200" s="63">
        <v>-64000</v>
      </c>
      <c r="DN200" s="63">
        <v>36973530</v>
      </c>
      <c r="DO200" s="63">
        <v>0</v>
      </c>
      <c r="DP200" s="63">
        <v>36973530</v>
      </c>
      <c r="DQ200" s="63"/>
      <c r="DR200" s="585"/>
    </row>
    <row r="201" spans="1:122" x14ac:dyDescent="0.2">
      <c r="A201" s="90">
        <v>194</v>
      </c>
      <c r="B201" s="129" t="s">
        <v>254</v>
      </c>
      <c r="C201" s="130" t="s">
        <v>742</v>
      </c>
      <c r="D201" s="131" t="s">
        <v>745</v>
      </c>
      <c r="E201" s="132" t="s">
        <v>543</v>
      </c>
      <c r="F201" s="475" t="s">
        <v>808</v>
      </c>
      <c r="G201" s="63">
        <v>31282569</v>
      </c>
      <c r="H201" s="63">
        <v>0</v>
      </c>
      <c r="I201" s="63">
        <v>31282569</v>
      </c>
      <c r="J201" s="608">
        <v>48.4</v>
      </c>
      <c r="K201" s="63">
        <v>15140763</v>
      </c>
      <c r="L201" s="63">
        <v>0</v>
      </c>
      <c r="M201" s="63">
        <v>0</v>
      </c>
      <c r="N201" s="63">
        <v>0</v>
      </c>
      <c r="O201" s="63">
        <v>15140763</v>
      </c>
      <c r="P201" s="63">
        <v>0</v>
      </c>
      <c r="Q201" s="63">
        <v>15140763</v>
      </c>
      <c r="R201" s="63">
        <v>0</v>
      </c>
      <c r="S201" s="63">
        <v>0</v>
      </c>
      <c r="T201" s="63">
        <v>0</v>
      </c>
      <c r="U201" s="63">
        <v>0</v>
      </c>
      <c r="V201" s="63">
        <v>0</v>
      </c>
      <c r="W201" s="63">
        <v>0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63">
        <v>0</v>
      </c>
      <c r="AF201" s="63">
        <v>0</v>
      </c>
      <c r="AG201" s="63">
        <v>0</v>
      </c>
      <c r="AH201" s="63">
        <v>-1024634</v>
      </c>
      <c r="AI201" s="63">
        <v>0</v>
      </c>
      <c r="AJ201" s="63">
        <v>-1024634</v>
      </c>
      <c r="AK201" s="63">
        <v>-10000</v>
      </c>
      <c r="AL201" s="63">
        <v>0</v>
      </c>
      <c r="AM201" s="63">
        <v>-10000</v>
      </c>
      <c r="AN201" s="63">
        <v>324179</v>
      </c>
      <c r="AO201" s="63">
        <v>0</v>
      </c>
      <c r="AP201" s="63">
        <v>324179</v>
      </c>
      <c r="AQ201" s="63">
        <v>-700455</v>
      </c>
      <c r="AR201" s="63">
        <v>0</v>
      </c>
      <c r="AS201" s="63">
        <v>-700455</v>
      </c>
      <c r="AT201" s="63">
        <v>-1413496</v>
      </c>
      <c r="AU201" s="63">
        <v>0</v>
      </c>
      <c r="AV201" s="63">
        <v>-1413496</v>
      </c>
      <c r="AW201" s="63">
        <v>0</v>
      </c>
      <c r="AX201" s="63">
        <v>0</v>
      </c>
      <c r="AY201" s="63">
        <v>0</v>
      </c>
      <c r="AZ201" s="63">
        <v>0</v>
      </c>
      <c r="BA201" s="63">
        <v>0</v>
      </c>
      <c r="BB201" s="63">
        <v>0</v>
      </c>
      <c r="BC201" s="63">
        <v>-2113951</v>
      </c>
      <c r="BD201" s="63">
        <v>0</v>
      </c>
      <c r="BE201" s="63">
        <v>0</v>
      </c>
      <c r="BF201" s="63">
        <v>0</v>
      </c>
      <c r="BG201" s="63">
        <v>-2113951</v>
      </c>
      <c r="BH201" s="63">
        <v>0</v>
      </c>
      <c r="BI201" s="63">
        <v>-2113951</v>
      </c>
      <c r="BJ201" s="63">
        <v>-5000</v>
      </c>
      <c r="BK201" s="63">
        <v>0</v>
      </c>
      <c r="BL201" s="63">
        <v>-5000</v>
      </c>
      <c r="BM201" s="63">
        <v>-351821</v>
      </c>
      <c r="BN201" s="63">
        <v>0</v>
      </c>
      <c r="BO201" s="63">
        <v>-351821</v>
      </c>
      <c r="BP201" s="63">
        <v>-356821</v>
      </c>
      <c r="BQ201" s="63">
        <v>0</v>
      </c>
      <c r="BR201" s="63">
        <v>0</v>
      </c>
      <c r="BS201" s="63">
        <v>0</v>
      </c>
      <c r="BT201" s="63">
        <v>-356821</v>
      </c>
      <c r="BU201" s="63">
        <v>0</v>
      </c>
      <c r="BV201" s="63">
        <v>-356821</v>
      </c>
      <c r="BW201" s="63">
        <v>-49591</v>
      </c>
      <c r="BX201" s="63">
        <v>0</v>
      </c>
      <c r="BY201" s="63">
        <v>-49591</v>
      </c>
      <c r="BZ201" s="63">
        <v>-13518</v>
      </c>
      <c r="CA201" s="63">
        <v>0</v>
      </c>
      <c r="CB201" s="63">
        <v>-13518</v>
      </c>
      <c r="CC201" s="63">
        <v>0</v>
      </c>
      <c r="CD201" s="63">
        <v>0</v>
      </c>
      <c r="CE201" s="63">
        <v>0</v>
      </c>
      <c r="CF201" s="63">
        <v>0</v>
      </c>
      <c r="CG201" s="63">
        <v>0</v>
      </c>
      <c r="CH201" s="63">
        <v>0</v>
      </c>
      <c r="CI201" s="63">
        <v>0</v>
      </c>
      <c r="CJ201" s="63">
        <v>0</v>
      </c>
      <c r="CK201" s="63">
        <v>0</v>
      </c>
      <c r="CL201" s="63">
        <v>0</v>
      </c>
      <c r="CM201" s="63">
        <v>0</v>
      </c>
      <c r="CN201" s="63">
        <v>0</v>
      </c>
      <c r="CO201" s="63">
        <v>0</v>
      </c>
      <c r="CP201" s="63">
        <v>0</v>
      </c>
      <c r="CQ201" s="63">
        <v>-63109</v>
      </c>
      <c r="CR201" s="63">
        <v>0</v>
      </c>
      <c r="CS201" s="63">
        <v>0</v>
      </c>
      <c r="CT201" s="63">
        <v>0</v>
      </c>
      <c r="CU201" s="63">
        <v>-63109</v>
      </c>
      <c r="CV201" s="63">
        <v>0</v>
      </c>
      <c r="CW201" s="63">
        <v>-63109</v>
      </c>
      <c r="CX201" s="63">
        <v>0</v>
      </c>
      <c r="CY201" s="63">
        <v>0</v>
      </c>
      <c r="CZ201" s="63">
        <v>0</v>
      </c>
      <c r="DA201" s="63">
        <v>-10000</v>
      </c>
      <c r="DB201" s="63">
        <v>0</v>
      </c>
      <c r="DC201" s="63">
        <v>-10000</v>
      </c>
      <c r="DD201" s="63">
        <v>0</v>
      </c>
      <c r="DE201" s="63">
        <v>0</v>
      </c>
      <c r="DF201" s="63">
        <v>0</v>
      </c>
      <c r="DG201" s="63">
        <v>-10000</v>
      </c>
      <c r="DH201" s="63">
        <v>0</v>
      </c>
      <c r="DI201" s="63">
        <v>0</v>
      </c>
      <c r="DJ201" s="63">
        <v>0</v>
      </c>
      <c r="DK201" s="63">
        <v>-10000</v>
      </c>
      <c r="DL201" s="63">
        <v>0</v>
      </c>
      <c r="DM201" s="63">
        <v>-10000</v>
      </c>
      <c r="DN201" s="63">
        <v>12596882</v>
      </c>
      <c r="DO201" s="63">
        <v>0</v>
      </c>
      <c r="DP201" s="63">
        <v>12596882</v>
      </c>
      <c r="DQ201" s="63"/>
      <c r="DR201" s="585"/>
    </row>
    <row r="202" spans="1:122" ht="12.75" x14ac:dyDescent="0.2">
      <c r="A202" s="90">
        <v>195</v>
      </c>
      <c r="B202" s="129" t="s">
        <v>256</v>
      </c>
      <c r="C202" s="130" t="s">
        <v>749</v>
      </c>
      <c r="D202" s="131" t="s">
        <v>744</v>
      </c>
      <c r="E202" s="132" t="s">
        <v>255</v>
      </c>
      <c r="F202" s="475" t="s">
        <v>808</v>
      </c>
      <c r="G202" s="63">
        <v>156963412</v>
      </c>
      <c r="H202" s="63">
        <v>0</v>
      </c>
      <c r="I202" s="63">
        <v>156963412</v>
      </c>
      <c r="J202" s="608">
        <v>48.4</v>
      </c>
      <c r="K202" s="63">
        <v>75970291</v>
      </c>
      <c r="L202" s="63">
        <v>0</v>
      </c>
      <c r="M202" s="63">
        <v>0</v>
      </c>
      <c r="N202" s="63">
        <v>0</v>
      </c>
      <c r="O202" s="63">
        <v>75970291</v>
      </c>
      <c r="P202" s="63">
        <v>0</v>
      </c>
      <c r="Q202" s="63">
        <v>75970291</v>
      </c>
      <c r="R202" s="63">
        <v>0</v>
      </c>
      <c r="S202" s="63">
        <v>0</v>
      </c>
      <c r="T202" s="63">
        <v>0</v>
      </c>
      <c r="U202" s="63">
        <v>0</v>
      </c>
      <c r="V202" s="63">
        <v>0</v>
      </c>
      <c r="W202" s="63">
        <v>0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0</v>
      </c>
      <c r="AE202" s="63">
        <v>0</v>
      </c>
      <c r="AF202" s="63">
        <v>0</v>
      </c>
      <c r="AG202" s="63">
        <v>0</v>
      </c>
      <c r="AH202" s="63">
        <v>-6008808</v>
      </c>
      <c r="AI202" s="63">
        <v>0</v>
      </c>
      <c r="AJ202" s="63">
        <v>-6008808</v>
      </c>
      <c r="AK202" s="63">
        <v>-2272</v>
      </c>
      <c r="AL202" s="63">
        <v>0</v>
      </c>
      <c r="AM202" s="63">
        <v>-2272</v>
      </c>
      <c r="AN202" s="63">
        <v>1674010</v>
      </c>
      <c r="AO202" s="63">
        <v>0</v>
      </c>
      <c r="AP202" s="63">
        <v>1674010</v>
      </c>
      <c r="AQ202" s="63">
        <v>-4334798</v>
      </c>
      <c r="AR202" s="63">
        <v>0</v>
      </c>
      <c r="AS202" s="63">
        <v>-4334798</v>
      </c>
      <c r="AT202" s="63">
        <v>-5648822</v>
      </c>
      <c r="AU202" s="63">
        <v>0</v>
      </c>
      <c r="AV202" s="63">
        <v>-5648822</v>
      </c>
      <c r="AW202" s="63">
        <v>-89211</v>
      </c>
      <c r="AX202" s="63">
        <v>0</v>
      </c>
      <c r="AY202" s="63">
        <v>-89211</v>
      </c>
      <c r="AZ202" s="63">
        <v>-10536</v>
      </c>
      <c r="BA202" s="63">
        <v>0</v>
      </c>
      <c r="BB202" s="63">
        <v>-10536</v>
      </c>
      <c r="BC202" s="63">
        <v>-10083367</v>
      </c>
      <c r="BD202" s="63">
        <v>0</v>
      </c>
      <c r="BE202" s="63">
        <v>0</v>
      </c>
      <c r="BF202" s="63">
        <v>0</v>
      </c>
      <c r="BG202" s="63">
        <v>-10083367</v>
      </c>
      <c r="BH202" s="63">
        <v>0</v>
      </c>
      <c r="BI202" s="63">
        <v>-10083367</v>
      </c>
      <c r="BJ202" s="63">
        <v>-13074</v>
      </c>
      <c r="BK202" s="63">
        <v>0</v>
      </c>
      <c r="BL202" s="63">
        <v>-13074</v>
      </c>
      <c r="BM202" s="63">
        <v>-2477068</v>
      </c>
      <c r="BN202" s="63">
        <v>0</v>
      </c>
      <c r="BO202" s="63">
        <v>-2477068</v>
      </c>
      <c r="BP202" s="63">
        <v>-2490142</v>
      </c>
      <c r="BQ202" s="63">
        <v>0</v>
      </c>
      <c r="BR202" s="63">
        <v>0</v>
      </c>
      <c r="BS202" s="63">
        <v>0</v>
      </c>
      <c r="BT202" s="63">
        <v>-2490142</v>
      </c>
      <c r="BU202" s="63">
        <v>0</v>
      </c>
      <c r="BV202" s="63">
        <v>-2490142</v>
      </c>
      <c r="BW202" s="63">
        <v>-194508</v>
      </c>
      <c r="BX202" s="63">
        <v>0</v>
      </c>
      <c r="BY202" s="63">
        <v>-194508</v>
      </c>
      <c r="BZ202" s="63">
        <v>-72697</v>
      </c>
      <c r="CA202" s="63">
        <v>0</v>
      </c>
      <c r="CB202" s="63">
        <v>-72697</v>
      </c>
      <c r="CC202" s="63">
        <v>-152</v>
      </c>
      <c r="CD202" s="63">
        <v>0</v>
      </c>
      <c r="CE202" s="63">
        <v>-152</v>
      </c>
      <c r="CF202" s="63">
        <v>-746</v>
      </c>
      <c r="CG202" s="63">
        <v>0</v>
      </c>
      <c r="CH202" s="63">
        <v>-746</v>
      </c>
      <c r="CI202" s="63">
        <v>0</v>
      </c>
      <c r="CJ202" s="63">
        <v>0</v>
      </c>
      <c r="CK202" s="63">
        <v>0</v>
      </c>
      <c r="CL202" s="63">
        <v>-8474</v>
      </c>
      <c r="CM202" s="63">
        <v>0</v>
      </c>
      <c r="CN202" s="63">
        <v>-8474</v>
      </c>
      <c r="CO202" s="63">
        <v>0</v>
      </c>
      <c r="CP202" s="63">
        <v>0</v>
      </c>
      <c r="CQ202" s="63">
        <v>-276577</v>
      </c>
      <c r="CR202" s="63">
        <v>0</v>
      </c>
      <c r="CS202" s="63">
        <v>0</v>
      </c>
      <c r="CT202" s="63">
        <v>0</v>
      </c>
      <c r="CU202" s="63">
        <v>-276577</v>
      </c>
      <c r="CV202" s="63">
        <v>0</v>
      </c>
      <c r="CW202" s="63">
        <v>-276577</v>
      </c>
      <c r="CX202" s="63">
        <v>0</v>
      </c>
      <c r="CY202" s="63">
        <v>0</v>
      </c>
      <c r="CZ202" s="63">
        <v>0</v>
      </c>
      <c r="DA202" s="63">
        <v>-90063</v>
      </c>
      <c r="DB202" s="63">
        <v>0</v>
      </c>
      <c r="DC202" s="63">
        <v>-90063</v>
      </c>
      <c r="DD202" s="63">
        <v>-7355</v>
      </c>
      <c r="DE202" s="63">
        <v>0</v>
      </c>
      <c r="DF202" s="63">
        <v>-7355</v>
      </c>
      <c r="DG202" s="63">
        <v>-97418</v>
      </c>
      <c r="DH202" s="63">
        <v>0</v>
      </c>
      <c r="DI202" s="63">
        <v>0</v>
      </c>
      <c r="DJ202" s="63">
        <v>0</v>
      </c>
      <c r="DK202" s="63">
        <v>-97418</v>
      </c>
      <c r="DL202" s="63">
        <v>0</v>
      </c>
      <c r="DM202" s="63">
        <v>-97418</v>
      </c>
      <c r="DN202" s="63">
        <v>63022787</v>
      </c>
      <c r="DO202" s="63">
        <v>0</v>
      </c>
      <c r="DP202" s="63">
        <v>63022787</v>
      </c>
      <c r="DQ202" s="63"/>
      <c r="DR202" s="586"/>
    </row>
    <row r="203" spans="1:122" x14ac:dyDescent="0.2">
      <c r="A203" s="90">
        <v>196</v>
      </c>
      <c r="B203" s="129" t="s">
        <v>258</v>
      </c>
      <c r="C203" s="130" t="s">
        <v>742</v>
      </c>
      <c r="D203" s="131" t="s">
        <v>743</v>
      </c>
      <c r="E203" s="132" t="s">
        <v>257</v>
      </c>
      <c r="F203" s="475" t="s">
        <v>808</v>
      </c>
      <c r="G203" s="63">
        <v>229758174</v>
      </c>
      <c r="H203" s="63">
        <v>0</v>
      </c>
      <c r="I203" s="63">
        <v>229758174</v>
      </c>
      <c r="J203" s="608">
        <v>48.4</v>
      </c>
      <c r="K203" s="63">
        <v>111202956</v>
      </c>
      <c r="L203" s="63">
        <v>0</v>
      </c>
      <c r="M203" s="63">
        <v>-2199031</v>
      </c>
      <c r="N203" s="63">
        <v>0</v>
      </c>
      <c r="O203" s="63">
        <v>109003925</v>
      </c>
      <c r="P203" s="63">
        <v>0</v>
      </c>
      <c r="Q203" s="63">
        <v>109003925</v>
      </c>
      <c r="R203" s="63">
        <v>0</v>
      </c>
      <c r="S203" s="63">
        <v>0</v>
      </c>
      <c r="T203" s="63">
        <v>0</v>
      </c>
      <c r="U203" s="63">
        <v>0</v>
      </c>
      <c r="V203" s="63">
        <v>0</v>
      </c>
      <c r="W203" s="63">
        <v>0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0</v>
      </c>
      <c r="AE203" s="63">
        <v>0</v>
      </c>
      <c r="AF203" s="63">
        <v>0</v>
      </c>
      <c r="AG203" s="63">
        <v>0</v>
      </c>
      <c r="AH203" s="63">
        <v>-1216641</v>
      </c>
      <c r="AI203" s="63">
        <v>0</v>
      </c>
      <c r="AJ203" s="63">
        <v>-1216641</v>
      </c>
      <c r="AK203" s="63">
        <v>-66</v>
      </c>
      <c r="AL203" s="63">
        <v>0</v>
      </c>
      <c r="AM203" s="63">
        <v>-66</v>
      </c>
      <c r="AN203" s="63">
        <v>2762488</v>
      </c>
      <c r="AO203" s="63">
        <v>0</v>
      </c>
      <c r="AP203" s="63">
        <v>2762488</v>
      </c>
      <c r="AQ203" s="63">
        <v>1545847</v>
      </c>
      <c r="AR203" s="63">
        <v>0</v>
      </c>
      <c r="AS203" s="63">
        <v>1545847</v>
      </c>
      <c r="AT203" s="63">
        <v>-20634913</v>
      </c>
      <c r="AU203" s="63">
        <v>0</v>
      </c>
      <c r="AV203" s="63">
        <v>-20634913</v>
      </c>
      <c r="AW203" s="63">
        <v>-43770</v>
      </c>
      <c r="AX203" s="63">
        <v>0</v>
      </c>
      <c r="AY203" s="63">
        <v>-43770</v>
      </c>
      <c r="AZ203" s="63">
        <v>0</v>
      </c>
      <c r="BA203" s="63">
        <v>0</v>
      </c>
      <c r="BB203" s="63">
        <v>0</v>
      </c>
      <c r="BC203" s="63">
        <v>-19132836</v>
      </c>
      <c r="BD203" s="63">
        <v>0</v>
      </c>
      <c r="BE203" s="63">
        <v>0</v>
      </c>
      <c r="BF203" s="63">
        <v>0</v>
      </c>
      <c r="BG203" s="63">
        <v>-19132836</v>
      </c>
      <c r="BH203" s="63">
        <v>0</v>
      </c>
      <c r="BI203" s="63">
        <v>-19132836</v>
      </c>
      <c r="BJ203" s="63">
        <v>-20000</v>
      </c>
      <c r="BK203" s="63">
        <v>0</v>
      </c>
      <c r="BL203" s="63">
        <v>-20000</v>
      </c>
      <c r="BM203" s="63">
        <v>-1419536</v>
      </c>
      <c r="BN203" s="63">
        <v>0</v>
      </c>
      <c r="BO203" s="63">
        <v>-1419536</v>
      </c>
      <c r="BP203" s="63">
        <v>-1439536</v>
      </c>
      <c r="BQ203" s="63">
        <v>0</v>
      </c>
      <c r="BR203" s="63">
        <v>0</v>
      </c>
      <c r="BS203" s="63">
        <v>0</v>
      </c>
      <c r="BT203" s="63">
        <v>-1439536</v>
      </c>
      <c r="BU203" s="63">
        <v>0</v>
      </c>
      <c r="BV203" s="63">
        <v>-1439536</v>
      </c>
      <c r="BW203" s="63">
        <v>0</v>
      </c>
      <c r="BX203" s="63">
        <v>0</v>
      </c>
      <c r="BY203" s="63">
        <v>0</v>
      </c>
      <c r="BZ203" s="63">
        <v>-46870</v>
      </c>
      <c r="CA203" s="63">
        <v>0</v>
      </c>
      <c r="CB203" s="63">
        <v>-46870</v>
      </c>
      <c r="CC203" s="63">
        <v>0</v>
      </c>
      <c r="CD203" s="63">
        <v>0</v>
      </c>
      <c r="CE203" s="63">
        <v>0</v>
      </c>
      <c r="CF203" s="63">
        <v>0</v>
      </c>
      <c r="CG203" s="63">
        <v>0</v>
      </c>
      <c r="CH203" s="63">
        <v>0</v>
      </c>
      <c r="CI203" s="63">
        <v>0</v>
      </c>
      <c r="CJ203" s="63">
        <v>0</v>
      </c>
      <c r="CK203" s="63">
        <v>0</v>
      </c>
      <c r="CL203" s="63">
        <v>0</v>
      </c>
      <c r="CM203" s="63">
        <v>0</v>
      </c>
      <c r="CN203" s="63">
        <v>0</v>
      </c>
      <c r="CO203" s="63">
        <v>0</v>
      </c>
      <c r="CP203" s="63">
        <v>0</v>
      </c>
      <c r="CQ203" s="63">
        <v>-46870</v>
      </c>
      <c r="CR203" s="63">
        <v>0</v>
      </c>
      <c r="CS203" s="63">
        <v>0</v>
      </c>
      <c r="CT203" s="63">
        <v>0</v>
      </c>
      <c r="CU203" s="63">
        <v>-46870</v>
      </c>
      <c r="CV203" s="63">
        <v>0</v>
      </c>
      <c r="CW203" s="63">
        <v>-46870</v>
      </c>
      <c r="CX203" s="63">
        <v>-19184</v>
      </c>
      <c r="CY203" s="63">
        <v>0</v>
      </c>
      <c r="CZ203" s="63">
        <v>-19184</v>
      </c>
      <c r="DA203" s="63">
        <v>-49053</v>
      </c>
      <c r="DB203" s="63">
        <v>0</v>
      </c>
      <c r="DC203" s="63">
        <v>-49053</v>
      </c>
      <c r="DD203" s="63">
        <v>-12000</v>
      </c>
      <c r="DE203" s="63">
        <v>0</v>
      </c>
      <c r="DF203" s="63">
        <v>-12000</v>
      </c>
      <c r="DG203" s="63">
        <v>-80237</v>
      </c>
      <c r="DH203" s="63">
        <v>0</v>
      </c>
      <c r="DI203" s="63">
        <v>0</v>
      </c>
      <c r="DJ203" s="63">
        <v>0</v>
      </c>
      <c r="DK203" s="63">
        <v>-80237</v>
      </c>
      <c r="DL203" s="63">
        <v>0</v>
      </c>
      <c r="DM203" s="63">
        <v>-80237</v>
      </c>
      <c r="DN203" s="63">
        <v>88304446</v>
      </c>
      <c r="DO203" s="63">
        <v>0</v>
      </c>
      <c r="DP203" s="63">
        <v>88304446</v>
      </c>
      <c r="DQ203" s="63"/>
      <c r="DR203" s="585"/>
    </row>
    <row r="204" spans="1:122" x14ac:dyDescent="0.2">
      <c r="A204" s="90">
        <v>197</v>
      </c>
      <c r="B204" s="129" t="s">
        <v>260</v>
      </c>
      <c r="C204" s="130" t="s">
        <v>742</v>
      </c>
      <c r="D204" s="131" t="s">
        <v>744</v>
      </c>
      <c r="E204" s="132" t="s">
        <v>259</v>
      </c>
      <c r="F204" s="475" t="s">
        <v>808</v>
      </c>
      <c r="G204" s="63">
        <v>53043416</v>
      </c>
      <c r="H204" s="63">
        <v>0</v>
      </c>
      <c r="I204" s="63">
        <v>53043416</v>
      </c>
      <c r="J204" s="608">
        <v>48.4</v>
      </c>
      <c r="K204" s="63">
        <v>25673013</v>
      </c>
      <c r="L204" s="63">
        <v>0</v>
      </c>
      <c r="M204" s="63">
        <v>-726000</v>
      </c>
      <c r="N204" s="63">
        <v>0</v>
      </c>
      <c r="O204" s="63">
        <v>24947013</v>
      </c>
      <c r="P204" s="63">
        <v>0</v>
      </c>
      <c r="Q204" s="63">
        <v>24947013</v>
      </c>
      <c r="R204" s="63">
        <v>0</v>
      </c>
      <c r="S204" s="63">
        <v>0</v>
      </c>
      <c r="T204" s="63">
        <v>0</v>
      </c>
      <c r="U204" s="63">
        <v>0</v>
      </c>
      <c r="V204" s="63">
        <v>0</v>
      </c>
      <c r="W204" s="63">
        <v>0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0</v>
      </c>
      <c r="AE204" s="63">
        <v>0</v>
      </c>
      <c r="AF204" s="63">
        <v>0</v>
      </c>
      <c r="AG204" s="63">
        <v>0</v>
      </c>
      <c r="AH204" s="63">
        <v>-2832524</v>
      </c>
      <c r="AI204" s="63">
        <v>0</v>
      </c>
      <c r="AJ204" s="63">
        <v>-2832524</v>
      </c>
      <c r="AK204" s="63">
        <v>0</v>
      </c>
      <c r="AL204" s="63">
        <v>0</v>
      </c>
      <c r="AM204" s="63">
        <v>0</v>
      </c>
      <c r="AN204" s="63">
        <v>526788</v>
      </c>
      <c r="AO204" s="63">
        <v>0</v>
      </c>
      <c r="AP204" s="63">
        <v>526788</v>
      </c>
      <c r="AQ204" s="63">
        <v>-2305736</v>
      </c>
      <c r="AR204" s="63">
        <v>0</v>
      </c>
      <c r="AS204" s="63">
        <v>-2305736</v>
      </c>
      <c r="AT204" s="63">
        <v>-1084776</v>
      </c>
      <c r="AU204" s="63">
        <v>0</v>
      </c>
      <c r="AV204" s="63">
        <v>-1084776</v>
      </c>
      <c r="AW204" s="63">
        <v>0</v>
      </c>
      <c r="AX204" s="63">
        <v>0</v>
      </c>
      <c r="AY204" s="63">
        <v>0</v>
      </c>
      <c r="AZ204" s="63">
        <v>-926</v>
      </c>
      <c r="BA204" s="63">
        <v>0</v>
      </c>
      <c r="BB204" s="63">
        <v>-926</v>
      </c>
      <c r="BC204" s="63">
        <v>-3391438</v>
      </c>
      <c r="BD204" s="63">
        <v>0</v>
      </c>
      <c r="BE204" s="63">
        <v>-67829</v>
      </c>
      <c r="BF204" s="63">
        <v>0</v>
      </c>
      <c r="BG204" s="63">
        <v>-3459267</v>
      </c>
      <c r="BH204" s="63">
        <v>0</v>
      </c>
      <c r="BI204" s="63">
        <v>-3459267</v>
      </c>
      <c r="BJ204" s="63">
        <v>0</v>
      </c>
      <c r="BK204" s="63">
        <v>0</v>
      </c>
      <c r="BL204" s="63">
        <v>0</v>
      </c>
      <c r="BM204" s="63">
        <v>-822975</v>
      </c>
      <c r="BN204" s="63">
        <v>0</v>
      </c>
      <c r="BO204" s="63">
        <v>-822975</v>
      </c>
      <c r="BP204" s="63">
        <v>-822975</v>
      </c>
      <c r="BQ204" s="63">
        <v>0</v>
      </c>
      <c r="BR204" s="63">
        <v>-16460</v>
      </c>
      <c r="BS204" s="63">
        <v>0</v>
      </c>
      <c r="BT204" s="63">
        <v>-839435</v>
      </c>
      <c r="BU204" s="63">
        <v>0</v>
      </c>
      <c r="BV204" s="63">
        <v>-839435</v>
      </c>
      <c r="BW204" s="63">
        <v>-126251</v>
      </c>
      <c r="BX204" s="63">
        <v>0</v>
      </c>
      <c r="BY204" s="63">
        <v>-126251</v>
      </c>
      <c r="BZ204" s="63">
        <v>-118295</v>
      </c>
      <c r="CA204" s="63">
        <v>0</v>
      </c>
      <c r="CB204" s="63">
        <v>-118295</v>
      </c>
      <c r="CC204" s="63">
        <v>0</v>
      </c>
      <c r="CD204" s="63">
        <v>0</v>
      </c>
      <c r="CE204" s="63">
        <v>0</v>
      </c>
      <c r="CF204" s="63">
        <v>-926</v>
      </c>
      <c r="CG204" s="63">
        <v>0</v>
      </c>
      <c r="CH204" s="63">
        <v>-926</v>
      </c>
      <c r="CI204" s="63">
        <v>0</v>
      </c>
      <c r="CJ204" s="63">
        <v>0</v>
      </c>
      <c r="CK204" s="63">
        <v>0</v>
      </c>
      <c r="CL204" s="63">
        <v>-10500</v>
      </c>
      <c r="CM204" s="63">
        <v>0</v>
      </c>
      <c r="CN204" s="63">
        <v>-10500</v>
      </c>
      <c r="CO204" s="63">
        <v>0</v>
      </c>
      <c r="CP204" s="63">
        <v>0</v>
      </c>
      <c r="CQ204" s="63">
        <v>-255972</v>
      </c>
      <c r="CR204" s="63">
        <v>0</v>
      </c>
      <c r="CS204" s="63">
        <v>-5119</v>
      </c>
      <c r="CT204" s="63">
        <v>0</v>
      </c>
      <c r="CU204" s="63">
        <v>-261091</v>
      </c>
      <c r="CV204" s="63">
        <v>0</v>
      </c>
      <c r="CW204" s="63">
        <v>-261091</v>
      </c>
      <c r="CX204" s="63">
        <v>0</v>
      </c>
      <c r="CY204" s="63">
        <v>0</v>
      </c>
      <c r="CZ204" s="63">
        <v>0</v>
      </c>
      <c r="DA204" s="63">
        <v>0</v>
      </c>
      <c r="DB204" s="63">
        <v>0</v>
      </c>
      <c r="DC204" s="63">
        <v>0</v>
      </c>
      <c r="DD204" s="63">
        <v>0</v>
      </c>
      <c r="DE204" s="63">
        <v>0</v>
      </c>
      <c r="DF204" s="63">
        <v>0</v>
      </c>
      <c r="DG204" s="63">
        <v>0</v>
      </c>
      <c r="DH204" s="63">
        <v>0</v>
      </c>
      <c r="DI204" s="63">
        <v>0</v>
      </c>
      <c r="DJ204" s="63">
        <v>0</v>
      </c>
      <c r="DK204" s="63">
        <v>0</v>
      </c>
      <c r="DL204" s="63">
        <v>0</v>
      </c>
      <c r="DM204" s="63">
        <v>0</v>
      </c>
      <c r="DN204" s="63">
        <v>20387220</v>
      </c>
      <c r="DO204" s="63">
        <v>0</v>
      </c>
      <c r="DP204" s="63">
        <v>20387220</v>
      </c>
      <c r="DQ204" s="63"/>
      <c r="DR204" s="585"/>
    </row>
    <row r="205" spans="1:122" x14ac:dyDescent="0.2">
      <c r="A205" s="90">
        <v>198</v>
      </c>
      <c r="B205" s="129" t="s">
        <v>261</v>
      </c>
      <c r="C205" s="130" t="s">
        <v>501</v>
      </c>
      <c r="D205" s="131" t="s">
        <v>746</v>
      </c>
      <c r="E205" s="132" t="s">
        <v>512</v>
      </c>
      <c r="F205" s="475" t="s">
        <v>808</v>
      </c>
      <c r="G205" s="63">
        <v>231415332</v>
      </c>
      <c r="H205" s="63">
        <v>0</v>
      </c>
      <c r="I205" s="63">
        <v>231415332</v>
      </c>
      <c r="J205" s="608">
        <v>48.4</v>
      </c>
      <c r="K205" s="63">
        <v>112005021</v>
      </c>
      <c r="L205" s="63">
        <v>0</v>
      </c>
      <c r="M205" s="63">
        <v>1619000</v>
      </c>
      <c r="N205" s="63">
        <v>0</v>
      </c>
      <c r="O205" s="63">
        <v>113624021</v>
      </c>
      <c r="P205" s="63">
        <v>0</v>
      </c>
      <c r="Q205" s="63">
        <v>113624021</v>
      </c>
      <c r="R205" s="63">
        <v>0</v>
      </c>
      <c r="S205" s="63">
        <v>0</v>
      </c>
      <c r="T205" s="63">
        <v>0</v>
      </c>
      <c r="U205" s="63">
        <v>0</v>
      </c>
      <c r="V205" s="63">
        <v>0</v>
      </c>
      <c r="W205" s="63">
        <v>0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0</v>
      </c>
      <c r="AE205" s="63">
        <v>0</v>
      </c>
      <c r="AF205" s="63">
        <v>0</v>
      </c>
      <c r="AG205" s="63">
        <v>0</v>
      </c>
      <c r="AH205" s="63">
        <v>-3166067</v>
      </c>
      <c r="AI205" s="63">
        <v>0</v>
      </c>
      <c r="AJ205" s="63">
        <v>-3166067</v>
      </c>
      <c r="AK205" s="63">
        <v>-4256</v>
      </c>
      <c r="AL205" s="63">
        <v>0</v>
      </c>
      <c r="AM205" s="63">
        <v>-4256</v>
      </c>
      <c r="AN205" s="63">
        <v>2649238</v>
      </c>
      <c r="AO205" s="63">
        <v>0</v>
      </c>
      <c r="AP205" s="63">
        <v>2649238</v>
      </c>
      <c r="AQ205" s="63">
        <v>-516829</v>
      </c>
      <c r="AR205" s="63">
        <v>0</v>
      </c>
      <c r="AS205" s="63">
        <v>-516829</v>
      </c>
      <c r="AT205" s="63">
        <v>-6318545</v>
      </c>
      <c r="AU205" s="63">
        <v>0</v>
      </c>
      <c r="AV205" s="63">
        <v>-6318545</v>
      </c>
      <c r="AW205" s="63">
        <v>-42205</v>
      </c>
      <c r="AX205" s="63">
        <v>0</v>
      </c>
      <c r="AY205" s="63">
        <v>-42205</v>
      </c>
      <c r="AZ205" s="63">
        <v>-13121</v>
      </c>
      <c r="BA205" s="63">
        <v>0</v>
      </c>
      <c r="BB205" s="63">
        <v>-13121</v>
      </c>
      <c r="BC205" s="63">
        <v>-6890700</v>
      </c>
      <c r="BD205" s="63">
        <v>0</v>
      </c>
      <c r="BE205" s="63">
        <v>0</v>
      </c>
      <c r="BF205" s="63">
        <v>0</v>
      </c>
      <c r="BG205" s="63">
        <v>-6890700</v>
      </c>
      <c r="BH205" s="63">
        <v>0</v>
      </c>
      <c r="BI205" s="63">
        <v>-6890700</v>
      </c>
      <c r="BJ205" s="63">
        <v>-69000</v>
      </c>
      <c r="BK205" s="63">
        <v>0</v>
      </c>
      <c r="BL205" s="63">
        <v>-69000</v>
      </c>
      <c r="BM205" s="63">
        <v>-1864029</v>
      </c>
      <c r="BN205" s="63">
        <v>0</v>
      </c>
      <c r="BO205" s="63">
        <v>-1864029</v>
      </c>
      <c r="BP205" s="63">
        <v>-1933029</v>
      </c>
      <c r="BQ205" s="63">
        <v>0</v>
      </c>
      <c r="BR205" s="63">
        <v>-1463000</v>
      </c>
      <c r="BS205" s="63">
        <v>0</v>
      </c>
      <c r="BT205" s="63">
        <v>-3396029</v>
      </c>
      <c r="BU205" s="63">
        <v>0</v>
      </c>
      <c r="BV205" s="63">
        <v>-3396029</v>
      </c>
      <c r="BW205" s="63">
        <v>-339916</v>
      </c>
      <c r="BX205" s="63">
        <v>0</v>
      </c>
      <c r="BY205" s="63">
        <v>-339916</v>
      </c>
      <c r="BZ205" s="63">
        <v>-65727</v>
      </c>
      <c r="CA205" s="63">
        <v>0</v>
      </c>
      <c r="CB205" s="63">
        <v>-65727</v>
      </c>
      <c r="CC205" s="63">
        <v>0</v>
      </c>
      <c r="CD205" s="63">
        <v>0</v>
      </c>
      <c r="CE205" s="63">
        <v>0</v>
      </c>
      <c r="CF205" s="63">
        <v>0</v>
      </c>
      <c r="CG205" s="63">
        <v>0</v>
      </c>
      <c r="CH205" s="63">
        <v>0</v>
      </c>
      <c r="CI205" s="63">
        <v>0</v>
      </c>
      <c r="CJ205" s="63">
        <v>0</v>
      </c>
      <c r="CK205" s="63">
        <v>0</v>
      </c>
      <c r="CL205" s="63">
        <v>0</v>
      </c>
      <c r="CM205" s="63">
        <v>0</v>
      </c>
      <c r="CN205" s="63">
        <v>0</v>
      </c>
      <c r="CO205" s="63">
        <v>0</v>
      </c>
      <c r="CP205" s="63">
        <v>0</v>
      </c>
      <c r="CQ205" s="63">
        <v>-405643</v>
      </c>
      <c r="CR205" s="63">
        <v>0</v>
      </c>
      <c r="CS205" s="63">
        <v>-36000</v>
      </c>
      <c r="CT205" s="63">
        <v>0</v>
      </c>
      <c r="CU205" s="63">
        <v>-441643</v>
      </c>
      <c r="CV205" s="63">
        <v>0</v>
      </c>
      <c r="CW205" s="63">
        <v>-441643</v>
      </c>
      <c r="CX205" s="63">
        <v>0</v>
      </c>
      <c r="CY205" s="63">
        <v>0</v>
      </c>
      <c r="CZ205" s="63">
        <v>0</v>
      </c>
      <c r="DA205" s="63">
        <v>-23016</v>
      </c>
      <c r="DB205" s="63">
        <v>0</v>
      </c>
      <c r="DC205" s="63">
        <v>-23016</v>
      </c>
      <c r="DD205" s="63">
        <v>0</v>
      </c>
      <c r="DE205" s="63">
        <v>0</v>
      </c>
      <c r="DF205" s="63">
        <v>0</v>
      </c>
      <c r="DG205" s="63">
        <v>-23016</v>
      </c>
      <c r="DH205" s="63">
        <v>0</v>
      </c>
      <c r="DI205" s="63">
        <v>0</v>
      </c>
      <c r="DJ205" s="63">
        <v>0</v>
      </c>
      <c r="DK205" s="63">
        <v>-23016</v>
      </c>
      <c r="DL205" s="63">
        <v>0</v>
      </c>
      <c r="DM205" s="63">
        <v>-23016</v>
      </c>
      <c r="DN205" s="63">
        <v>102872633</v>
      </c>
      <c r="DO205" s="63">
        <v>0</v>
      </c>
      <c r="DP205" s="63">
        <v>102872633</v>
      </c>
      <c r="DQ205" s="63"/>
      <c r="DR205" s="585"/>
    </row>
    <row r="206" spans="1:122" x14ac:dyDescent="0.2">
      <c r="A206" s="90">
        <v>199</v>
      </c>
      <c r="B206" s="129" t="s">
        <v>262</v>
      </c>
      <c r="C206" s="130" t="s">
        <v>501</v>
      </c>
      <c r="D206" s="131" t="s">
        <v>751</v>
      </c>
      <c r="E206" s="132" t="s">
        <v>522</v>
      </c>
      <c r="F206" s="475" t="s">
        <v>808</v>
      </c>
      <c r="G206" s="63">
        <v>227610603</v>
      </c>
      <c r="H206" s="63">
        <v>0</v>
      </c>
      <c r="I206" s="63">
        <v>227610603</v>
      </c>
      <c r="J206" s="608">
        <v>48.4</v>
      </c>
      <c r="K206" s="63">
        <v>110163532</v>
      </c>
      <c r="L206" s="63">
        <v>0</v>
      </c>
      <c r="M206" s="63">
        <v>850000</v>
      </c>
      <c r="N206" s="63">
        <v>0</v>
      </c>
      <c r="O206" s="63">
        <v>111013532</v>
      </c>
      <c r="P206" s="63">
        <v>0</v>
      </c>
      <c r="Q206" s="63">
        <v>111013532</v>
      </c>
      <c r="R206" s="63">
        <v>0</v>
      </c>
      <c r="S206" s="63">
        <v>0</v>
      </c>
      <c r="T206" s="63">
        <v>0</v>
      </c>
      <c r="U206" s="63">
        <v>0</v>
      </c>
      <c r="V206" s="63">
        <v>0</v>
      </c>
      <c r="W206" s="63">
        <v>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0</v>
      </c>
      <c r="AE206" s="63">
        <v>0</v>
      </c>
      <c r="AF206" s="63">
        <v>0</v>
      </c>
      <c r="AG206" s="63">
        <v>0</v>
      </c>
      <c r="AH206" s="63">
        <v>-4617932</v>
      </c>
      <c r="AI206" s="63">
        <v>0</v>
      </c>
      <c r="AJ206" s="63">
        <v>-4617932</v>
      </c>
      <c r="AK206" s="63">
        <v>-19826</v>
      </c>
      <c r="AL206" s="63">
        <v>0</v>
      </c>
      <c r="AM206" s="63">
        <v>-19826</v>
      </c>
      <c r="AN206" s="63">
        <v>2537306</v>
      </c>
      <c r="AO206" s="63">
        <v>0</v>
      </c>
      <c r="AP206" s="63">
        <v>2537306</v>
      </c>
      <c r="AQ206" s="63">
        <v>-2080626</v>
      </c>
      <c r="AR206" s="63">
        <v>0</v>
      </c>
      <c r="AS206" s="63">
        <v>-2080626</v>
      </c>
      <c r="AT206" s="63">
        <v>-10151122</v>
      </c>
      <c r="AU206" s="63">
        <v>0</v>
      </c>
      <c r="AV206" s="63">
        <v>-10151122</v>
      </c>
      <c r="AW206" s="63">
        <v>-10195</v>
      </c>
      <c r="AX206" s="63">
        <v>0</v>
      </c>
      <c r="AY206" s="63">
        <v>-10195</v>
      </c>
      <c r="AZ206" s="63">
        <v>0</v>
      </c>
      <c r="BA206" s="63">
        <v>0</v>
      </c>
      <c r="BB206" s="63">
        <v>0</v>
      </c>
      <c r="BC206" s="63">
        <v>-12241943</v>
      </c>
      <c r="BD206" s="63">
        <v>0</v>
      </c>
      <c r="BE206" s="63">
        <v>0</v>
      </c>
      <c r="BF206" s="63">
        <v>0</v>
      </c>
      <c r="BG206" s="63">
        <v>-12241943</v>
      </c>
      <c r="BH206" s="63">
        <v>0</v>
      </c>
      <c r="BI206" s="63">
        <v>-12241943</v>
      </c>
      <c r="BJ206" s="63">
        <v>-1102149</v>
      </c>
      <c r="BK206" s="63">
        <v>0</v>
      </c>
      <c r="BL206" s="63">
        <v>-1102149</v>
      </c>
      <c r="BM206" s="63">
        <v>-2207828</v>
      </c>
      <c r="BN206" s="63">
        <v>0</v>
      </c>
      <c r="BO206" s="63">
        <v>-2207828</v>
      </c>
      <c r="BP206" s="63">
        <v>-3309977</v>
      </c>
      <c r="BQ206" s="63">
        <v>0</v>
      </c>
      <c r="BR206" s="63">
        <v>1045491</v>
      </c>
      <c r="BS206" s="63">
        <v>0</v>
      </c>
      <c r="BT206" s="63">
        <v>-2264486</v>
      </c>
      <c r="BU206" s="63">
        <v>0</v>
      </c>
      <c r="BV206" s="63">
        <v>-2264486</v>
      </c>
      <c r="BW206" s="63">
        <v>-55364</v>
      </c>
      <c r="BX206" s="63">
        <v>0</v>
      </c>
      <c r="BY206" s="63">
        <v>-55364</v>
      </c>
      <c r="BZ206" s="63">
        <v>-39391</v>
      </c>
      <c r="CA206" s="63">
        <v>0</v>
      </c>
      <c r="CB206" s="63">
        <v>-39391</v>
      </c>
      <c r="CC206" s="63">
        <v>0</v>
      </c>
      <c r="CD206" s="63">
        <v>0</v>
      </c>
      <c r="CE206" s="63">
        <v>0</v>
      </c>
      <c r="CF206" s="63">
        <v>0</v>
      </c>
      <c r="CG206" s="63">
        <v>0</v>
      </c>
      <c r="CH206" s="63">
        <v>0</v>
      </c>
      <c r="CI206" s="63">
        <v>0</v>
      </c>
      <c r="CJ206" s="63">
        <v>0</v>
      </c>
      <c r="CK206" s="63">
        <v>0</v>
      </c>
      <c r="CL206" s="63">
        <v>-31569</v>
      </c>
      <c r="CM206" s="63">
        <v>0</v>
      </c>
      <c r="CN206" s="63">
        <v>-31569</v>
      </c>
      <c r="CO206" s="63">
        <v>0</v>
      </c>
      <c r="CP206" s="63">
        <v>0</v>
      </c>
      <c r="CQ206" s="63">
        <v>-126324</v>
      </c>
      <c r="CR206" s="63">
        <v>0</v>
      </c>
      <c r="CS206" s="63">
        <v>0</v>
      </c>
      <c r="CT206" s="63">
        <v>0</v>
      </c>
      <c r="CU206" s="63">
        <v>-126324</v>
      </c>
      <c r="CV206" s="63">
        <v>0</v>
      </c>
      <c r="CW206" s="63">
        <v>-126324</v>
      </c>
      <c r="CX206" s="63">
        <v>-120570</v>
      </c>
      <c r="CY206" s="63">
        <v>0</v>
      </c>
      <c r="CZ206" s="63">
        <v>-120570</v>
      </c>
      <c r="DA206" s="63">
        <v>-199044</v>
      </c>
      <c r="DB206" s="63">
        <v>0</v>
      </c>
      <c r="DC206" s="63">
        <v>-199044</v>
      </c>
      <c r="DD206" s="63">
        <v>-11912</v>
      </c>
      <c r="DE206" s="63">
        <v>0</v>
      </c>
      <c r="DF206" s="63">
        <v>-11912</v>
      </c>
      <c r="DG206" s="63">
        <v>-331526</v>
      </c>
      <c r="DH206" s="63">
        <v>0</v>
      </c>
      <c r="DI206" s="63">
        <v>0</v>
      </c>
      <c r="DJ206" s="63">
        <v>0</v>
      </c>
      <c r="DK206" s="63">
        <v>-331526</v>
      </c>
      <c r="DL206" s="63">
        <v>0</v>
      </c>
      <c r="DM206" s="63">
        <v>-331526</v>
      </c>
      <c r="DN206" s="63">
        <v>96049253</v>
      </c>
      <c r="DO206" s="63">
        <v>0</v>
      </c>
      <c r="DP206" s="63">
        <v>96049253</v>
      </c>
      <c r="DQ206" s="63"/>
      <c r="DR206" s="585"/>
    </row>
    <row r="207" spans="1:122" x14ac:dyDescent="0.2">
      <c r="A207" s="90">
        <v>200</v>
      </c>
      <c r="B207" s="129" t="s">
        <v>263</v>
      </c>
      <c r="C207" s="130" t="s">
        <v>501</v>
      </c>
      <c r="D207" s="131" t="s">
        <v>751</v>
      </c>
      <c r="E207" s="132" t="s">
        <v>524</v>
      </c>
      <c r="F207" s="475" t="s">
        <v>808</v>
      </c>
      <c r="G207" s="63">
        <v>152238094</v>
      </c>
      <c r="H207" s="63">
        <v>0</v>
      </c>
      <c r="I207" s="63">
        <v>152238094</v>
      </c>
      <c r="J207" s="608">
        <v>48.4</v>
      </c>
      <c r="K207" s="63">
        <v>73683237</v>
      </c>
      <c r="L207" s="63">
        <v>0</v>
      </c>
      <c r="M207" s="63">
        <v>-3640465</v>
      </c>
      <c r="N207" s="63">
        <v>0</v>
      </c>
      <c r="O207" s="63">
        <v>70042772</v>
      </c>
      <c r="P207" s="63">
        <v>0</v>
      </c>
      <c r="Q207" s="63">
        <v>70042772</v>
      </c>
      <c r="R207" s="63">
        <v>0</v>
      </c>
      <c r="S207" s="63">
        <v>0</v>
      </c>
      <c r="T207" s="63">
        <v>0</v>
      </c>
      <c r="U207" s="63">
        <v>0</v>
      </c>
      <c r="V207" s="63">
        <v>0</v>
      </c>
      <c r="W207" s="63">
        <v>0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63">
        <v>0</v>
      </c>
      <c r="AF207" s="63">
        <v>0</v>
      </c>
      <c r="AG207" s="63">
        <v>0</v>
      </c>
      <c r="AH207" s="63">
        <v>-3105110</v>
      </c>
      <c r="AI207" s="63">
        <v>0</v>
      </c>
      <c r="AJ207" s="63">
        <v>-3105110</v>
      </c>
      <c r="AK207" s="63">
        <v>-4207</v>
      </c>
      <c r="AL207" s="63">
        <v>0</v>
      </c>
      <c r="AM207" s="63">
        <v>-4207</v>
      </c>
      <c r="AN207" s="63">
        <v>1724857</v>
      </c>
      <c r="AO207" s="63">
        <v>0</v>
      </c>
      <c r="AP207" s="63">
        <v>1724857</v>
      </c>
      <c r="AQ207" s="63">
        <v>-1380253</v>
      </c>
      <c r="AR207" s="63">
        <v>0</v>
      </c>
      <c r="AS207" s="63">
        <v>-1380253</v>
      </c>
      <c r="AT207" s="63">
        <v>-5644394</v>
      </c>
      <c r="AU207" s="63">
        <v>0</v>
      </c>
      <c r="AV207" s="63">
        <v>-5644394</v>
      </c>
      <c r="AW207" s="63">
        <v>-37335</v>
      </c>
      <c r="AX207" s="63">
        <v>0</v>
      </c>
      <c r="AY207" s="63">
        <v>-37335</v>
      </c>
      <c r="AZ207" s="63">
        <v>0</v>
      </c>
      <c r="BA207" s="63">
        <v>0</v>
      </c>
      <c r="BB207" s="63">
        <v>0</v>
      </c>
      <c r="BC207" s="63">
        <v>-7061982</v>
      </c>
      <c r="BD207" s="63">
        <v>0</v>
      </c>
      <c r="BE207" s="63">
        <v>0</v>
      </c>
      <c r="BF207" s="63">
        <v>0</v>
      </c>
      <c r="BG207" s="63">
        <v>-7061982</v>
      </c>
      <c r="BH207" s="63">
        <v>0</v>
      </c>
      <c r="BI207" s="63">
        <v>-7061982</v>
      </c>
      <c r="BJ207" s="63">
        <v>0</v>
      </c>
      <c r="BK207" s="63">
        <v>0</v>
      </c>
      <c r="BL207" s="63">
        <v>0</v>
      </c>
      <c r="BM207" s="63">
        <v>-943997</v>
      </c>
      <c r="BN207" s="63">
        <v>0</v>
      </c>
      <c r="BO207" s="63">
        <v>-943997</v>
      </c>
      <c r="BP207" s="63">
        <v>-943997</v>
      </c>
      <c r="BQ207" s="63">
        <v>0</v>
      </c>
      <c r="BR207" s="63">
        <v>0</v>
      </c>
      <c r="BS207" s="63">
        <v>0</v>
      </c>
      <c r="BT207" s="63">
        <v>-943997</v>
      </c>
      <c r="BU207" s="63">
        <v>0</v>
      </c>
      <c r="BV207" s="63">
        <v>-943997</v>
      </c>
      <c r="BW207" s="63">
        <v>-182727</v>
      </c>
      <c r="BX207" s="63">
        <v>0</v>
      </c>
      <c r="BY207" s="63">
        <v>-182727</v>
      </c>
      <c r="BZ207" s="63">
        <v>-36132</v>
      </c>
      <c r="CA207" s="63">
        <v>0</v>
      </c>
      <c r="CB207" s="63">
        <v>-36132</v>
      </c>
      <c r="CC207" s="63">
        <v>-2833</v>
      </c>
      <c r="CD207" s="63">
        <v>0</v>
      </c>
      <c r="CE207" s="63">
        <v>-2833</v>
      </c>
      <c r="CF207" s="63">
        <v>0</v>
      </c>
      <c r="CG207" s="63">
        <v>0</v>
      </c>
      <c r="CH207" s="63">
        <v>0</v>
      </c>
      <c r="CI207" s="63">
        <v>0</v>
      </c>
      <c r="CJ207" s="63">
        <v>0</v>
      </c>
      <c r="CK207" s="63">
        <v>0</v>
      </c>
      <c r="CL207" s="63">
        <v>0</v>
      </c>
      <c r="CM207" s="63">
        <v>0</v>
      </c>
      <c r="CN207" s="63">
        <v>0</v>
      </c>
      <c r="CO207" s="63">
        <v>0</v>
      </c>
      <c r="CP207" s="63">
        <v>0</v>
      </c>
      <c r="CQ207" s="63">
        <v>-221692</v>
      </c>
      <c r="CR207" s="63">
        <v>0</v>
      </c>
      <c r="CS207" s="63">
        <v>0</v>
      </c>
      <c r="CT207" s="63">
        <v>0</v>
      </c>
      <c r="CU207" s="63">
        <v>-221692</v>
      </c>
      <c r="CV207" s="63">
        <v>0</v>
      </c>
      <c r="CW207" s="63">
        <v>-221692</v>
      </c>
      <c r="CX207" s="63">
        <v>0</v>
      </c>
      <c r="CY207" s="63">
        <v>0</v>
      </c>
      <c r="CZ207" s="63">
        <v>0</v>
      </c>
      <c r="DA207" s="63">
        <v>-9663</v>
      </c>
      <c r="DB207" s="63">
        <v>0</v>
      </c>
      <c r="DC207" s="63">
        <v>-9663</v>
      </c>
      <c r="DD207" s="63">
        <v>-10520</v>
      </c>
      <c r="DE207" s="63">
        <v>0</v>
      </c>
      <c r="DF207" s="63">
        <v>-10520</v>
      </c>
      <c r="DG207" s="63">
        <v>-20183</v>
      </c>
      <c r="DH207" s="63">
        <v>0</v>
      </c>
      <c r="DI207" s="63">
        <v>0</v>
      </c>
      <c r="DJ207" s="63">
        <v>0</v>
      </c>
      <c r="DK207" s="63">
        <v>-20183</v>
      </c>
      <c r="DL207" s="63">
        <v>0</v>
      </c>
      <c r="DM207" s="63">
        <v>-20183</v>
      </c>
      <c r="DN207" s="63">
        <v>61794918</v>
      </c>
      <c r="DO207" s="63">
        <v>0</v>
      </c>
      <c r="DP207" s="63">
        <v>61794918</v>
      </c>
      <c r="DQ207" s="63"/>
      <c r="DR207" s="585"/>
    </row>
    <row r="208" spans="1:122" x14ac:dyDescent="0.2">
      <c r="A208" s="90">
        <v>201</v>
      </c>
      <c r="B208" s="129" t="s">
        <v>264</v>
      </c>
      <c r="C208" s="130" t="s">
        <v>501</v>
      </c>
      <c r="D208" s="131" t="s">
        <v>743</v>
      </c>
      <c r="E208" s="132" t="s">
        <v>530</v>
      </c>
      <c r="F208" s="475" t="s">
        <v>808</v>
      </c>
      <c r="G208" s="63">
        <v>200481497</v>
      </c>
      <c r="H208" s="63">
        <v>0</v>
      </c>
      <c r="I208" s="63">
        <v>200481497</v>
      </c>
      <c r="J208" s="608">
        <v>48.4</v>
      </c>
      <c r="K208" s="63">
        <v>97033045</v>
      </c>
      <c r="L208" s="63">
        <v>0</v>
      </c>
      <c r="M208" s="63">
        <v>0</v>
      </c>
      <c r="N208" s="63">
        <v>0</v>
      </c>
      <c r="O208" s="63">
        <v>97033045</v>
      </c>
      <c r="P208" s="63">
        <v>0</v>
      </c>
      <c r="Q208" s="63">
        <v>97033045</v>
      </c>
      <c r="R208" s="63">
        <v>0</v>
      </c>
      <c r="S208" s="63">
        <v>0</v>
      </c>
      <c r="T208" s="63">
        <v>0</v>
      </c>
      <c r="U208" s="63">
        <v>0</v>
      </c>
      <c r="V208" s="63">
        <v>0</v>
      </c>
      <c r="W208" s="63">
        <v>0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0</v>
      </c>
      <c r="AE208" s="63">
        <v>0</v>
      </c>
      <c r="AF208" s="63">
        <v>0</v>
      </c>
      <c r="AG208" s="63">
        <v>0</v>
      </c>
      <c r="AH208" s="63">
        <v>-3786048</v>
      </c>
      <c r="AI208" s="63">
        <v>0</v>
      </c>
      <c r="AJ208" s="63">
        <v>-3786048</v>
      </c>
      <c r="AK208" s="63">
        <v>0</v>
      </c>
      <c r="AL208" s="63">
        <v>0</v>
      </c>
      <c r="AM208" s="63">
        <v>0</v>
      </c>
      <c r="AN208" s="63">
        <v>2318400</v>
      </c>
      <c r="AO208" s="63">
        <v>0</v>
      </c>
      <c r="AP208" s="63">
        <v>2318400</v>
      </c>
      <c r="AQ208" s="63">
        <v>-1467648</v>
      </c>
      <c r="AR208" s="63">
        <v>0</v>
      </c>
      <c r="AS208" s="63">
        <v>-1467648</v>
      </c>
      <c r="AT208" s="63">
        <v>-7512200</v>
      </c>
      <c r="AU208" s="63">
        <v>0</v>
      </c>
      <c r="AV208" s="63">
        <v>-7512200</v>
      </c>
      <c r="AW208" s="63">
        <v>-35078</v>
      </c>
      <c r="AX208" s="63">
        <v>0</v>
      </c>
      <c r="AY208" s="63">
        <v>-35078</v>
      </c>
      <c r="AZ208" s="63">
        <v>0</v>
      </c>
      <c r="BA208" s="63">
        <v>0</v>
      </c>
      <c r="BB208" s="63">
        <v>0</v>
      </c>
      <c r="BC208" s="63">
        <v>-9014926</v>
      </c>
      <c r="BD208" s="63">
        <v>0</v>
      </c>
      <c r="BE208" s="63">
        <v>0</v>
      </c>
      <c r="BF208" s="63">
        <v>0</v>
      </c>
      <c r="BG208" s="63">
        <v>-9014926</v>
      </c>
      <c r="BH208" s="63">
        <v>0</v>
      </c>
      <c r="BI208" s="63">
        <v>-9014926</v>
      </c>
      <c r="BJ208" s="63">
        <v>-80000</v>
      </c>
      <c r="BK208" s="63">
        <v>0</v>
      </c>
      <c r="BL208" s="63">
        <v>-80000</v>
      </c>
      <c r="BM208" s="63">
        <v>-1668800</v>
      </c>
      <c r="BN208" s="63">
        <v>0</v>
      </c>
      <c r="BO208" s="63">
        <v>-1668800</v>
      </c>
      <c r="BP208" s="63">
        <v>-1748800</v>
      </c>
      <c r="BQ208" s="63">
        <v>0</v>
      </c>
      <c r="BR208" s="63">
        <v>-700000</v>
      </c>
      <c r="BS208" s="63">
        <v>0</v>
      </c>
      <c r="BT208" s="63">
        <v>-2448800</v>
      </c>
      <c r="BU208" s="63">
        <v>0</v>
      </c>
      <c r="BV208" s="63">
        <v>-2448800</v>
      </c>
      <c r="BW208" s="63">
        <v>-212383</v>
      </c>
      <c r="BX208" s="63">
        <v>0</v>
      </c>
      <c r="BY208" s="63">
        <v>-212383</v>
      </c>
      <c r="BZ208" s="63">
        <v>-12000</v>
      </c>
      <c r="CA208" s="63">
        <v>0</v>
      </c>
      <c r="CB208" s="63">
        <v>-12000</v>
      </c>
      <c r="CC208" s="63">
        <v>-917</v>
      </c>
      <c r="CD208" s="63">
        <v>0</v>
      </c>
      <c r="CE208" s="63">
        <v>-917</v>
      </c>
      <c r="CF208" s="63">
        <v>0</v>
      </c>
      <c r="CG208" s="63">
        <v>0</v>
      </c>
      <c r="CH208" s="63">
        <v>0</v>
      </c>
      <c r="CI208" s="63">
        <v>0</v>
      </c>
      <c r="CJ208" s="63">
        <v>0</v>
      </c>
      <c r="CK208" s="63">
        <v>0</v>
      </c>
      <c r="CL208" s="63">
        <v>0</v>
      </c>
      <c r="CM208" s="63">
        <v>0</v>
      </c>
      <c r="CN208" s="63">
        <v>0</v>
      </c>
      <c r="CO208" s="63">
        <v>0</v>
      </c>
      <c r="CP208" s="63">
        <v>0</v>
      </c>
      <c r="CQ208" s="63">
        <v>-225300</v>
      </c>
      <c r="CR208" s="63">
        <v>0</v>
      </c>
      <c r="CS208" s="63">
        <v>0</v>
      </c>
      <c r="CT208" s="63">
        <v>0</v>
      </c>
      <c r="CU208" s="63">
        <v>-225300</v>
      </c>
      <c r="CV208" s="63">
        <v>0</v>
      </c>
      <c r="CW208" s="63">
        <v>-225300</v>
      </c>
      <c r="CX208" s="63">
        <v>0</v>
      </c>
      <c r="CY208" s="63">
        <v>0</v>
      </c>
      <c r="CZ208" s="63">
        <v>0</v>
      </c>
      <c r="DA208" s="63">
        <v>-37000</v>
      </c>
      <c r="DB208" s="63">
        <v>0</v>
      </c>
      <c r="DC208" s="63">
        <v>-37000</v>
      </c>
      <c r="DD208" s="63">
        <v>0</v>
      </c>
      <c r="DE208" s="63">
        <v>0</v>
      </c>
      <c r="DF208" s="63">
        <v>0</v>
      </c>
      <c r="DG208" s="63">
        <v>-37000</v>
      </c>
      <c r="DH208" s="63">
        <v>0</v>
      </c>
      <c r="DI208" s="63">
        <v>0</v>
      </c>
      <c r="DJ208" s="63">
        <v>0</v>
      </c>
      <c r="DK208" s="63">
        <v>-37000</v>
      </c>
      <c r="DL208" s="63">
        <v>0</v>
      </c>
      <c r="DM208" s="63">
        <v>-37000</v>
      </c>
      <c r="DN208" s="63">
        <v>85307019</v>
      </c>
      <c r="DO208" s="63">
        <v>0</v>
      </c>
      <c r="DP208" s="63">
        <v>85307019</v>
      </c>
      <c r="DQ208" s="63"/>
      <c r="DR208" s="585"/>
    </row>
    <row r="209" spans="1:122" x14ac:dyDescent="0.2">
      <c r="A209" s="90">
        <v>202</v>
      </c>
      <c r="B209" s="129" t="s">
        <v>266</v>
      </c>
      <c r="C209" s="130" t="s">
        <v>742</v>
      </c>
      <c r="D209" s="131" t="s">
        <v>744</v>
      </c>
      <c r="E209" s="132" t="s">
        <v>265</v>
      </c>
      <c r="F209" s="475" t="s">
        <v>808</v>
      </c>
      <c r="G209" s="63">
        <v>170129583</v>
      </c>
      <c r="H209" s="63">
        <v>0</v>
      </c>
      <c r="I209" s="63">
        <v>170129583</v>
      </c>
      <c r="J209" s="608">
        <v>48.4</v>
      </c>
      <c r="K209" s="63">
        <v>82342718</v>
      </c>
      <c r="L209" s="63">
        <v>0</v>
      </c>
      <c r="M209" s="63">
        <v>0</v>
      </c>
      <c r="N209" s="63">
        <v>0</v>
      </c>
      <c r="O209" s="63">
        <v>82342718</v>
      </c>
      <c r="P209" s="63">
        <v>0</v>
      </c>
      <c r="Q209" s="63">
        <v>82342718</v>
      </c>
      <c r="R209" s="63">
        <v>0</v>
      </c>
      <c r="S209" s="63">
        <v>0</v>
      </c>
      <c r="T209" s="63">
        <v>0</v>
      </c>
      <c r="U209" s="63">
        <v>0</v>
      </c>
      <c r="V209" s="63">
        <v>0</v>
      </c>
      <c r="W209" s="63">
        <v>0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0</v>
      </c>
      <c r="AE209" s="63">
        <v>0</v>
      </c>
      <c r="AF209" s="63">
        <v>0</v>
      </c>
      <c r="AG209" s="63">
        <v>0</v>
      </c>
      <c r="AH209" s="63">
        <v>-3475836</v>
      </c>
      <c r="AI209" s="63">
        <v>0</v>
      </c>
      <c r="AJ209" s="63">
        <v>-3475836</v>
      </c>
      <c r="AK209" s="63">
        <v>-15776</v>
      </c>
      <c r="AL209" s="63">
        <v>0</v>
      </c>
      <c r="AM209" s="63">
        <v>-15776</v>
      </c>
      <c r="AN209" s="63">
        <v>1951907</v>
      </c>
      <c r="AO209" s="63">
        <v>0</v>
      </c>
      <c r="AP209" s="63">
        <v>1951907</v>
      </c>
      <c r="AQ209" s="63">
        <v>-1523929</v>
      </c>
      <c r="AR209" s="63">
        <v>0</v>
      </c>
      <c r="AS209" s="63">
        <v>-1523929</v>
      </c>
      <c r="AT209" s="63">
        <v>-4734602</v>
      </c>
      <c r="AU209" s="63">
        <v>0</v>
      </c>
      <c r="AV209" s="63">
        <v>-4734602</v>
      </c>
      <c r="AW209" s="63">
        <v>-107702</v>
      </c>
      <c r="AX209" s="63">
        <v>0</v>
      </c>
      <c r="AY209" s="63">
        <v>-107702</v>
      </c>
      <c r="AZ209" s="63">
        <v>-1218</v>
      </c>
      <c r="BA209" s="63">
        <v>0</v>
      </c>
      <c r="BB209" s="63">
        <v>-1218</v>
      </c>
      <c r="BC209" s="63">
        <v>-6367451</v>
      </c>
      <c r="BD209" s="63">
        <v>0</v>
      </c>
      <c r="BE209" s="63">
        <v>-755000</v>
      </c>
      <c r="BF209" s="63">
        <v>0</v>
      </c>
      <c r="BG209" s="63">
        <v>-7122451</v>
      </c>
      <c r="BH209" s="63">
        <v>0</v>
      </c>
      <c r="BI209" s="63">
        <v>-7122451</v>
      </c>
      <c r="BJ209" s="63">
        <v>0</v>
      </c>
      <c r="BK209" s="63">
        <v>0</v>
      </c>
      <c r="BL209" s="63">
        <v>0</v>
      </c>
      <c r="BM209" s="63">
        <v>-1452971</v>
      </c>
      <c r="BN209" s="63">
        <v>0</v>
      </c>
      <c r="BO209" s="63">
        <v>-1452971</v>
      </c>
      <c r="BP209" s="63">
        <v>-1452971</v>
      </c>
      <c r="BQ209" s="63">
        <v>0</v>
      </c>
      <c r="BR209" s="63">
        <v>0</v>
      </c>
      <c r="BS209" s="63">
        <v>0</v>
      </c>
      <c r="BT209" s="63">
        <v>-1452971</v>
      </c>
      <c r="BU209" s="63">
        <v>0</v>
      </c>
      <c r="BV209" s="63">
        <v>-1452971</v>
      </c>
      <c r="BW209" s="63">
        <v>-51667</v>
      </c>
      <c r="BX209" s="63">
        <v>0</v>
      </c>
      <c r="BY209" s="63">
        <v>-51667</v>
      </c>
      <c r="BZ209" s="63">
        <v>-21677</v>
      </c>
      <c r="CA209" s="63">
        <v>0</v>
      </c>
      <c r="CB209" s="63">
        <v>-21677</v>
      </c>
      <c r="CC209" s="63">
        <v>-5477</v>
      </c>
      <c r="CD209" s="63">
        <v>0</v>
      </c>
      <c r="CE209" s="63">
        <v>-5477</v>
      </c>
      <c r="CF209" s="63">
        <v>0</v>
      </c>
      <c r="CG209" s="63">
        <v>0</v>
      </c>
      <c r="CH209" s="63">
        <v>0</v>
      </c>
      <c r="CI209" s="63">
        <v>0</v>
      </c>
      <c r="CJ209" s="63">
        <v>0</v>
      </c>
      <c r="CK209" s="63">
        <v>0</v>
      </c>
      <c r="CL209" s="63">
        <v>0</v>
      </c>
      <c r="CM209" s="63">
        <v>0</v>
      </c>
      <c r="CN209" s="63">
        <v>0</v>
      </c>
      <c r="CO209" s="63">
        <v>0</v>
      </c>
      <c r="CP209" s="63">
        <v>0</v>
      </c>
      <c r="CQ209" s="63">
        <v>-78821</v>
      </c>
      <c r="CR209" s="63">
        <v>0</v>
      </c>
      <c r="CS209" s="63">
        <v>0</v>
      </c>
      <c r="CT209" s="63">
        <v>0</v>
      </c>
      <c r="CU209" s="63">
        <v>-78821</v>
      </c>
      <c r="CV209" s="63">
        <v>0</v>
      </c>
      <c r="CW209" s="63">
        <v>-78821</v>
      </c>
      <c r="CX209" s="63">
        <v>-15357</v>
      </c>
      <c r="CY209" s="63">
        <v>0</v>
      </c>
      <c r="CZ209" s="63">
        <v>-15357</v>
      </c>
      <c r="DA209" s="63">
        <v>-198544</v>
      </c>
      <c r="DB209" s="63">
        <v>0</v>
      </c>
      <c r="DC209" s="63">
        <v>-198544</v>
      </c>
      <c r="DD209" s="63">
        <v>-8580</v>
      </c>
      <c r="DE209" s="63">
        <v>0</v>
      </c>
      <c r="DF209" s="63">
        <v>-8580</v>
      </c>
      <c r="DG209" s="63">
        <v>-222481</v>
      </c>
      <c r="DH209" s="63">
        <v>0</v>
      </c>
      <c r="DI209" s="63">
        <v>0</v>
      </c>
      <c r="DJ209" s="63">
        <v>0</v>
      </c>
      <c r="DK209" s="63">
        <v>-222481</v>
      </c>
      <c r="DL209" s="63">
        <v>0</v>
      </c>
      <c r="DM209" s="63">
        <v>-222481</v>
      </c>
      <c r="DN209" s="63">
        <v>73465994</v>
      </c>
      <c r="DO209" s="63">
        <v>0</v>
      </c>
      <c r="DP209" s="63">
        <v>73465994</v>
      </c>
      <c r="DQ209" s="63"/>
      <c r="DR209" s="585"/>
    </row>
    <row r="210" spans="1:122" x14ac:dyDescent="0.2">
      <c r="A210" s="90">
        <v>203</v>
      </c>
      <c r="B210" s="129" t="s">
        <v>268</v>
      </c>
      <c r="C210" s="130" t="s">
        <v>742</v>
      </c>
      <c r="D210" s="131" t="s">
        <v>751</v>
      </c>
      <c r="E210" s="132" t="s">
        <v>267</v>
      </c>
      <c r="F210" s="475" t="s">
        <v>808</v>
      </c>
      <c r="G210" s="63">
        <v>42604576</v>
      </c>
      <c r="H210" s="63">
        <v>0</v>
      </c>
      <c r="I210" s="63">
        <v>42604576</v>
      </c>
      <c r="J210" s="608">
        <v>48.4</v>
      </c>
      <c r="K210" s="63">
        <v>20620615</v>
      </c>
      <c r="L210" s="63">
        <v>0</v>
      </c>
      <c r="M210" s="63">
        <v>0</v>
      </c>
      <c r="N210" s="63">
        <v>0</v>
      </c>
      <c r="O210" s="63">
        <v>20620615</v>
      </c>
      <c r="P210" s="63">
        <v>0</v>
      </c>
      <c r="Q210" s="63">
        <v>20620615</v>
      </c>
      <c r="R210" s="63">
        <v>0</v>
      </c>
      <c r="S210" s="63">
        <v>0</v>
      </c>
      <c r="T210" s="63">
        <v>0</v>
      </c>
      <c r="U210" s="63">
        <v>0</v>
      </c>
      <c r="V210" s="63">
        <v>0</v>
      </c>
      <c r="W210" s="63">
        <v>0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0</v>
      </c>
      <c r="AE210" s="63">
        <v>0</v>
      </c>
      <c r="AF210" s="63">
        <v>0</v>
      </c>
      <c r="AG210" s="63">
        <v>0</v>
      </c>
      <c r="AH210" s="63">
        <v>-1864897</v>
      </c>
      <c r="AI210" s="63">
        <v>0</v>
      </c>
      <c r="AJ210" s="63">
        <v>-1864897</v>
      </c>
      <c r="AK210" s="63">
        <v>0</v>
      </c>
      <c r="AL210" s="63">
        <v>0</v>
      </c>
      <c r="AM210" s="63">
        <v>0</v>
      </c>
      <c r="AN210" s="63">
        <v>438798</v>
      </c>
      <c r="AO210" s="63">
        <v>0</v>
      </c>
      <c r="AP210" s="63">
        <v>438798</v>
      </c>
      <c r="AQ210" s="63">
        <v>-1426099</v>
      </c>
      <c r="AR210" s="63">
        <v>0</v>
      </c>
      <c r="AS210" s="63">
        <v>-1426099</v>
      </c>
      <c r="AT210" s="63">
        <v>-918249</v>
      </c>
      <c r="AU210" s="63">
        <v>0</v>
      </c>
      <c r="AV210" s="63">
        <v>-918249</v>
      </c>
      <c r="AW210" s="63">
        <v>-46221</v>
      </c>
      <c r="AX210" s="63">
        <v>0</v>
      </c>
      <c r="AY210" s="63">
        <v>-46221</v>
      </c>
      <c r="AZ210" s="63">
        <v>-9095</v>
      </c>
      <c r="BA210" s="63">
        <v>0</v>
      </c>
      <c r="BB210" s="63">
        <v>-9095</v>
      </c>
      <c r="BC210" s="63">
        <v>-2399664</v>
      </c>
      <c r="BD210" s="63">
        <v>0</v>
      </c>
      <c r="BE210" s="63">
        <v>0</v>
      </c>
      <c r="BF210" s="63">
        <v>0</v>
      </c>
      <c r="BG210" s="63">
        <v>-2399664</v>
      </c>
      <c r="BH210" s="63">
        <v>0</v>
      </c>
      <c r="BI210" s="63">
        <v>-2399664</v>
      </c>
      <c r="BJ210" s="63">
        <v>0</v>
      </c>
      <c r="BK210" s="63">
        <v>0</v>
      </c>
      <c r="BL210" s="63">
        <v>0</v>
      </c>
      <c r="BM210" s="63">
        <v>-593999</v>
      </c>
      <c r="BN210" s="63">
        <v>0</v>
      </c>
      <c r="BO210" s="63">
        <v>-593999</v>
      </c>
      <c r="BP210" s="63">
        <v>-593999</v>
      </c>
      <c r="BQ210" s="63">
        <v>0</v>
      </c>
      <c r="BR210" s="63">
        <v>0</v>
      </c>
      <c r="BS210" s="63">
        <v>0</v>
      </c>
      <c r="BT210" s="63">
        <v>-593999</v>
      </c>
      <c r="BU210" s="63">
        <v>0</v>
      </c>
      <c r="BV210" s="63">
        <v>-593999</v>
      </c>
      <c r="BW210" s="63">
        <v>-16793</v>
      </c>
      <c r="BX210" s="63">
        <v>0</v>
      </c>
      <c r="BY210" s="63">
        <v>-16793</v>
      </c>
      <c r="BZ210" s="63">
        <v>-6382</v>
      </c>
      <c r="CA210" s="63">
        <v>0</v>
      </c>
      <c r="CB210" s="63">
        <v>-6382</v>
      </c>
      <c r="CC210" s="63">
        <v>-1700</v>
      </c>
      <c r="CD210" s="63">
        <v>0</v>
      </c>
      <c r="CE210" s="63">
        <v>-1700</v>
      </c>
      <c r="CF210" s="63">
        <v>-4162</v>
      </c>
      <c r="CG210" s="63">
        <v>0</v>
      </c>
      <c r="CH210" s="63">
        <v>-4162</v>
      </c>
      <c r="CI210" s="63">
        <v>0</v>
      </c>
      <c r="CJ210" s="63">
        <v>0</v>
      </c>
      <c r="CK210" s="63">
        <v>0</v>
      </c>
      <c r="CL210" s="63">
        <v>0</v>
      </c>
      <c r="CM210" s="63">
        <v>0</v>
      </c>
      <c r="CN210" s="63">
        <v>0</v>
      </c>
      <c r="CO210" s="63">
        <v>0</v>
      </c>
      <c r="CP210" s="63">
        <v>0</v>
      </c>
      <c r="CQ210" s="63">
        <v>-29037</v>
      </c>
      <c r="CR210" s="63">
        <v>0</v>
      </c>
      <c r="CS210" s="63">
        <v>0</v>
      </c>
      <c r="CT210" s="63">
        <v>0</v>
      </c>
      <c r="CU210" s="63">
        <v>-29037</v>
      </c>
      <c r="CV210" s="63">
        <v>0</v>
      </c>
      <c r="CW210" s="63">
        <v>-29037</v>
      </c>
      <c r="CX210" s="63">
        <v>-14533</v>
      </c>
      <c r="CY210" s="63">
        <v>0</v>
      </c>
      <c r="CZ210" s="63">
        <v>-14533</v>
      </c>
      <c r="DA210" s="63">
        <v>-2965</v>
      </c>
      <c r="DB210" s="63">
        <v>0</v>
      </c>
      <c r="DC210" s="63">
        <v>-2965</v>
      </c>
      <c r="DD210" s="63">
        <v>-1528</v>
      </c>
      <c r="DE210" s="63">
        <v>0</v>
      </c>
      <c r="DF210" s="63">
        <v>-1528</v>
      </c>
      <c r="DG210" s="63">
        <v>-19026</v>
      </c>
      <c r="DH210" s="63">
        <v>0</v>
      </c>
      <c r="DI210" s="63">
        <v>0</v>
      </c>
      <c r="DJ210" s="63">
        <v>0</v>
      </c>
      <c r="DK210" s="63">
        <v>-19026</v>
      </c>
      <c r="DL210" s="63">
        <v>0</v>
      </c>
      <c r="DM210" s="63">
        <v>-19026</v>
      </c>
      <c r="DN210" s="63">
        <v>17578889</v>
      </c>
      <c r="DO210" s="63">
        <v>0</v>
      </c>
      <c r="DP210" s="63">
        <v>17578889</v>
      </c>
      <c r="DQ210" s="63"/>
      <c r="DR210" s="585"/>
    </row>
    <row r="211" spans="1:122" x14ac:dyDescent="0.2">
      <c r="A211" s="90">
        <v>204</v>
      </c>
      <c r="B211" s="129" t="s">
        <v>269</v>
      </c>
      <c r="C211" s="130" t="s">
        <v>501</v>
      </c>
      <c r="D211" s="131" t="s">
        <v>743</v>
      </c>
      <c r="E211" s="132" t="s">
        <v>507</v>
      </c>
      <c r="F211" s="475" t="s">
        <v>808</v>
      </c>
      <c r="G211" s="63">
        <v>249594945</v>
      </c>
      <c r="H211" s="63">
        <v>0</v>
      </c>
      <c r="I211" s="63">
        <v>249594945</v>
      </c>
      <c r="J211" s="608">
        <v>48.4</v>
      </c>
      <c r="K211" s="63">
        <v>120803953</v>
      </c>
      <c r="L211" s="63">
        <v>0</v>
      </c>
      <c r="M211" s="63">
        <v>-1000000</v>
      </c>
      <c r="N211" s="63">
        <v>0</v>
      </c>
      <c r="O211" s="63">
        <v>119803953</v>
      </c>
      <c r="P211" s="63">
        <v>0</v>
      </c>
      <c r="Q211" s="63">
        <v>119803953</v>
      </c>
      <c r="R211" s="63">
        <v>0</v>
      </c>
      <c r="S211" s="63">
        <v>0</v>
      </c>
      <c r="T211" s="63">
        <v>0</v>
      </c>
      <c r="U211" s="63">
        <v>0</v>
      </c>
      <c r="V211" s="63">
        <v>0</v>
      </c>
      <c r="W211" s="63">
        <v>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63">
        <v>0</v>
      </c>
      <c r="AF211" s="63">
        <v>0</v>
      </c>
      <c r="AG211" s="63">
        <v>0</v>
      </c>
      <c r="AH211" s="63">
        <v>-1919125</v>
      </c>
      <c r="AI211" s="63">
        <v>0</v>
      </c>
      <c r="AJ211" s="63">
        <v>-1919125</v>
      </c>
      <c r="AK211" s="63">
        <v>-2399</v>
      </c>
      <c r="AL211" s="63">
        <v>0</v>
      </c>
      <c r="AM211" s="63">
        <v>-2399</v>
      </c>
      <c r="AN211" s="63">
        <v>3010305</v>
      </c>
      <c r="AO211" s="63">
        <v>0</v>
      </c>
      <c r="AP211" s="63">
        <v>3010305</v>
      </c>
      <c r="AQ211" s="63">
        <v>1091180</v>
      </c>
      <c r="AR211" s="63">
        <v>0</v>
      </c>
      <c r="AS211" s="63">
        <v>1091180</v>
      </c>
      <c r="AT211" s="63">
        <v>-4017633</v>
      </c>
      <c r="AU211" s="63">
        <v>0</v>
      </c>
      <c r="AV211" s="63">
        <v>-4017633</v>
      </c>
      <c r="AW211" s="63">
        <v>-6839</v>
      </c>
      <c r="AX211" s="63">
        <v>0</v>
      </c>
      <c r="AY211" s="63">
        <v>-6839</v>
      </c>
      <c r="AZ211" s="63">
        <v>0</v>
      </c>
      <c r="BA211" s="63">
        <v>0</v>
      </c>
      <c r="BB211" s="63">
        <v>0</v>
      </c>
      <c r="BC211" s="63">
        <v>-2933292</v>
      </c>
      <c r="BD211" s="63">
        <v>0</v>
      </c>
      <c r="BE211" s="63">
        <v>0</v>
      </c>
      <c r="BF211" s="63">
        <v>0</v>
      </c>
      <c r="BG211" s="63">
        <v>-2933292</v>
      </c>
      <c r="BH211" s="63">
        <v>0</v>
      </c>
      <c r="BI211" s="63">
        <v>-2933292</v>
      </c>
      <c r="BJ211" s="63">
        <v>-34714</v>
      </c>
      <c r="BK211" s="63">
        <v>0</v>
      </c>
      <c r="BL211" s="63">
        <v>-34714</v>
      </c>
      <c r="BM211" s="63">
        <v>-2959618</v>
      </c>
      <c r="BN211" s="63">
        <v>0</v>
      </c>
      <c r="BO211" s="63">
        <v>-2959618</v>
      </c>
      <c r="BP211" s="63">
        <v>-2994332</v>
      </c>
      <c r="BQ211" s="63">
        <v>0</v>
      </c>
      <c r="BR211" s="63">
        <v>0</v>
      </c>
      <c r="BS211" s="63">
        <v>0</v>
      </c>
      <c r="BT211" s="63">
        <v>-2994332</v>
      </c>
      <c r="BU211" s="63">
        <v>0</v>
      </c>
      <c r="BV211" s="63">
        <v>-2994332</v>
      </c>
      <c r="BW211" s="63">
        <v>-51350</v>
      </c>
      <c r="BX211" s="63">
        <v>0</v>
      </c>
      <c r="BY211" s="63">
        <v>-51350</v>
      </c>
      <c r="BZ211" s="63">
        <v>0</v>
      </c>
      <c r="CA211" s="63">
        <v>0</v>
      </c>
      <c r="CB211" s="63">
        <v>0</v>
      </c>
      <c r="CC211" s="63">
        <v>0</v>
      </c>
      <c r="CD211" s="63">
        <v>0</v>
      </c>
      <c r="CE211" s="63">
        <v>0</v>
      </c>
      <c r="CF211" s="63">
        <v>0</v>
      </c>
      <c r="CG211" s="63">
        <v>0</v>
      </c>
      <c r="CH211" s="63">
        <v>0</v>
      </c>
      <c r="CI211" s="63">
        <v>0</v>
      </c>
      <c r="CJ211" s="63">
        <v>0</v>
      </c>
      <c r="CK211" s="63">
        <v>0</v>
      </c>
      <c r="CL211" s="63">
        <v>0</v>
      </c>
      <c r="CM211" s="63">
        <v>0</v>
      </c>
      <c r="CN211" s="63">
        <v>0</v>
      </c>
      <c r="CO211" s="63">
        <v>0</v>
      </c>
      <c r="CP211" s="63">
        <v>0</v>
      </c>
      <c r="CQ211" s="63">
        <v>-51350</v>
      </c>
      <c r="CR211" s="63">
        <v>0</v>
      </c>
      <c r="CS211" s="63">
        <v>0</v>
      </c>
      <c r="CT211" s="63">
        <v>0</v>
      </c>
      <c r="CU211" s="63">
        <v>-51350</v>
      </c>
      <c r="CV211" s="63">
        <v>0</v>
      </c>
      <c r="CW211" s="63">
        <v>-51350</v>
      </c>
      <c r="CX211" s="63">
        <v>0</v>
      </c>
      <c r="CY211" s="63">
        <v>0</v>
      </c>
      <c r="CZ211" s="63">
        <v>0</v>
      </c>
      <c r="DA211" s="63">
        <v>-88590</v>
      </c>
      <c r="DB211" s="63">
        <v>0</v>
      </c>
      <c r="DC211" s="63">
        <v>-88590</v>
      </c>
      <c r="DD211" s="63">
        <v>-27090</v>
      </c>
      <c r="DE211" s="63">
        <v>0</v>
      </c>
      <c r="DF211" s="63">
        <v>-27090</v>
      </c>
      <c r="DG211" s="63">
        <v>-115680</v>
      </c>
      <c r="DH211" s="63">
        <v>0</v>
      </c>
      <c r="DI211" s="63">
        <v>0</v>
      </c>
      <c r="DJ211" s="63">
        <v>0</v>
      </c>
      <c r="DK211" s="63">
        <v>-115680</v>
      </c>
      <c r="DL211" s="63">
        <v>0</v>
      </c>
      <c r="DM211" s="63">
        <v>-115680</v>
      </c>
      <c r="DN211" s="63">
        <v>113709299</v>
      </c>
      <c r="DO211" s="63">
        <v>0</v>
      </c>
      <c r="DP211" s="63">
        <v>113709299</v>
      </c>
      <c r="DQ211" s="63"/>
      <c r="DR211" s="585"/>
    </row>
    <row r="212" spans="1:122" x14ac:dyDescent="0.2">
      <c r="A212" s="90">
        <v>205</v>
      </c>
      <c r="B212" s="129" t="s">
        <v>271</v>
      </c>
      <c r="C212" s="130" t="s">
        <v>747</v>
      </c>
      <c r="D212" s="131" t="s">
        <v>748</v>
      </c>
      <c r="E212" s="132" t="s">
        <v>270</v>
      </c>
      <c r="F212" s="475" t="s">
        <v>808</v>
      </c>
      <c r="G212" s="63">
        <v>137216674</v>
      </c>
      <c r="H212" s="63">
        <v>0</v>
      </c>
      <c r="I212" s="63">
        <v>137216674</v>
      </c>
      <c r="J212" s="608">
        <v>48.4</v>
      </c>
      <c r="K212" s="63">
        <v>66412870</v>
      </c>
      <c r="L212" s="63">
        <v>0</v>
      </c>
      <c r="M212" s="63">
        <v>0</v>
      </c>
      <c r="N212" s="63">
        <v>0</v>
      </c>
      <c r="O212" s="63">
        <v>66412870</v>
      </c>
      <c r="P212" s="63">
        <v>0</v>
      </c>
      <c r="Q212" s="63">
        <v>66412870</v>
      </c>
      <c r="R212" s="63">
        <v>0</v>
      </c>
      <c r="S212" s="63">
        <v>0</v>
      </c>
      <c r="T212" s="63">
        <v>0</v>
      </c>
      <c r="U212" s="63">
        <v>0</v>
      </c>
      <c r="V212" s="63">
        <v>0</v>
      </c>
      <c r="W212" s="63">
        <v>0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63">
        <v>0</v>
      </c>
      <c r="AF212" s="63">
        <v>0</v>
      </c>
      <c r="AG212" s="63">
        <v>0</v>
      </c>
      <c r="AH212" s="63">
        <v>-3970033</v>
      </c>
      <c r="AI212" s="63">
        <v>0</v>
      </c>
      <c r="AJ212" s="63">
        <v>-3970033</v>
      </c>
      <c r="AK212" s="63">
        <v>-14993</v>
      </c>
      <c r="AL212" s="63">
        <v>0</v>
      </c>
      <c r="AM212" s="63">
        <v>-14993</v>
      </c>
      <c r="AN212" s="63">
        <v>1290072</v>
      </c>
      <c r="AO212" s="63">
        <v>0</v>
      </c>
      <c r="AP212" s="63">
        <v>1290072</v>
      </c>
      <c r="AQ212" s="63">
        <v>-2679961</v>
      </c>
      <c r="AR212" s="63">
        <v>0</v>
      </c>
      <c r="AS212" s="63">
        <v>-2679961</v>
      </c>
      <c r="AT212" s="63">
        <v>-4588662</v>
      </c>
      <c r="AU212" s="63">
        <v>0</v>
      </c>
      <c r="AV212" s="63">
        <v>-4588662</v>
      </c>
      <c r="AW212" s="63">
        <v>-119906</v>
      </c>
      <c r="AX212" s="63">
        <v>0</v>
      </c>
      <c r="AY212" s="63">
        <v>-119906</v>
      </c>
      <c r="AZ212" s="63">
        <v>0</v>
      </c>
      <c r="BA212" s="63">
        <v>0</v>
      </c>
      <c r="BB212" s="63">
        <v>0</v>
      </c>
      <c r="BC212" s="63">
        <v>-7388529</v>
      </c>
      <c r="BD212" s="63">
        <v>0</v>
      </c>
      <c r="BE212" s="63">
        <v>0</v>
      </c>
      <c r="BF212" s="63">
        <v>0</v>
      </c>
      <c r="BG212" s="63">
        <v>-7388529</v>
      </c>
      <c r="BH212" s="63">
        <v>0</v>
      </c>
      <c r="BI212" s="63">
        <v>-7388529</v>
      </c>
      <c r="BJ212" s="63">
        <v>0</v>
      </c>
      <c r="BK212" s="63">
        <v>0</v>
      </c>
      <c r="BL212" s="63">
        <v>0</v>
      </c>
      <c r="BM212" s="63">
        <v>-1166483</v>
      </c>
      <c r="BN212" s="63">
        <v>0</v>
      </c>
      <c r="BO212" s="63">
        <v>-1166483</v>
      </c>
      <c r="BP212" s="63">
        <v>-1166483</v>
      </c>
      <c r="BQ212" s="63">
        <v>0</v>
      </c>
      <c r="BR212" s="63">
        <v>0</v>
      </c>
      <c r="BS212" s="63">
        <v>0</v>
      </c>
      <c r="BT212" s="63">
        <v>-1166483</v>
      </c>
      <c r="BU212" s="63">
        <v>0</v>
      </c>
      <c r="BV212" s="63">
        <v>-1166483</v>
      </c>
      <c r="BW212" s="63">
        <v>-122607</v>
      </c>
      <c r="BX212" s="63">
        <v>0</v>
      </c>
      <c r="BY212" s="63">
        <v>-122607</v>
      </c>
      <c r="BZ212" s="63">
        <v>-15488</v>
      </c>
      <c r="CA212" s="63">
        <v>0</v>
      </c>
      <c r="CB212" s="63">
        <v>-15488</v>
      </c>
      <c r="CC212" s="63">
        <v>0</v>
      </c>
      <c r="CD212" s="63">
        <v>0</v>
      </c>
      <c r="CE212" s="63">
        <v>0</v>
      </c>
      <c r="CF212" s="63">
        <v>0</v>
      </c>
      <c r="CG212" s="63">
        <v>0</v>
      </c>
      <c r="CH212" s="63">
        <v>0</v>
      </c>
      <c r="CI212" s="63">
        <v>0</v>
      </c>
      <c r="CJ212" s="63">
        <v>0</v>
      </c>
      <c r="CK212" s="63">
        <v>0</v>
      </c>
      <c r="CL212" s="63">
        <v>0</v>
      </c>
      <c r="CM212" s="63">
        <v>0</v>
      </c>
      <c r="CN212" s="63">
        <v>0</v>
      </c>
      <c r="CO212" s="63">
        <v>0</v>
      </c>
      <c r="CP212" s="63">
        <v>0</v>
      </c>
      <c r="CQ212" s="63">
        <v>-138095</v>
      </c>
      <c r="CR212" s="63">
        <v>0</v>
      </c>
      <c r="CS212" s="63">
        <v>0</v>
      </c>
      <c r="CT212" s="63">
        <v>0</v>
      </c>
      <c r="CU212" s="63">
        <v>-138095</v>
      </c>
      <c r="CV212" s="63">
        <v>0</v>
      </c>
      <c r="CW212" s="63">
        <v>-138095</v>
      </c>
      <c r="CX212" s="63">
        <v>-10288</v>
      </c>
      <c r="CY212" s="63">
        <v>0</v>
      </c>
      <c r="CZ212" s="63">
        <v>-10288</v>
      </c>
      <c r="DA212" s="63">
        <v>-36917</v>
      </c>
      <c r="DB212" s="63">
        <v>0</v>
      </c>
      <c r="DC212" s="63">
        <v>-36917</v>
      </c>
      <c r="DD212" s="63">
        <v>0</v>
      </c>
      <c r="DE212" s="63">
        <v>0</v>
      </c>
      <c r="DF212" s="63">
        <v>0</v>
      </c>
      <c r="DG212" s="63">
        <v>-47205</v>
      </c>
      <c r="DH212" s="63">
        <v>0</v>
      </c>
      <c r="DI212" s="63">
        <v>0</v>
      </c>
      <c r="DJ212" s="63">
        <v>0</v>
      </c>
      <c r="DK212" s="63">
        <v>-47205</v>
      </c>
      <c r="DL212" s="63">
        <v>0</v>
      </c>
      <c r="DM212" s="63">
        <v>-47205</v>
      </c>
      <c r="DN212" s="63">
        <v>57672558</v>
      </c>
      <c r="DO212" s="63">
        <v>0</v>
      </c>
      <c r="DP212" s="63">
        <v>57672558</v>
      </c>
      <c r="DQ212" s="63"/>
      <c r="DR212" s="585"/>
    </row>
    <row r="213" spans="1:122" x14ac:dyDescent="0.2">
      <c r="A213" s="90">
        <v>206</v>
      </c>
      <c r="B213" s="129" t="s">
        <v>272</v>
      </c>
      <c r="C213" s="130" t="s">
        <v>501</v>
      </c>
      <c r="D213" s="131" t="s">
        <v>755</v>
      </c>
      <c r="E213" s="132" t="s">
        <v>518</v>
      </c>
      <c r="F213" s="475" t="s">
        <v>808</v>
      </c>
      <c r="G213" s="63">
        <v>115516974</v>
      </c>
      <c r="H213" s="63">
        <v>54500</v>
      </c>
      <c r="I213" s="63">
        <v>115571474</v>
      </c>
      <c r="J213" s="608">
        <v>48.4</v>
      </c>
      <c r="K213" s="63">
        <v>55910215</v>
      </c>
      <c r="L213" s="63">
        <v>26378</v>
      </c>
      <c r="M213" s="63">
        <v>-2120603</v>
      </c>
      <c r="N213" s="63">
        <v>0</v>
      </c>
      <c r="O213" s="63">
        <v>53789612</v>
      </c>
      <c r="P213" s="63">
        <v>26378</v>
      </c>
      <c r="Q213" s="63">
        <v>53815990</v>
      </c>
      <c r="R213" s="63">
        <v>0</v>
      </c>
      <c r="S213" s="63">
        <v>0</v>
      </c>
      <c r="T213" s="63">
        <v>0</v>
      </c>
      <c r="U213" s="63">
        <v>0</v>
      </c>
      <c r="V213" s="63">
        <v>0</v>
      </c>
      <c r="W213" s="63">
        <v>0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63">
        <v>0</v>
      </c>
      <c r="AF213" s="63">
        <v>0</v>
      </c>
      <c r="AG213" s="63">
        <v>0</v>
      </c>
      <c r="AH213" s="63">
        <v>-2665587</v>
      </c>
      <c r="AI213" s="63">
        <v>0</v>
      </c>
      <c r="AJ213" s="63">
        <v>-2665587</v>
      </c>
      <c r="AK213" s="63">
        <v>0</v>
      </c>
      <c r="AL213" s="63">
        <v>0</v>
      </c>
      <c r="AM213" s="63">
        <v>0</v>
      </c>
      <c r="AN213" s="63">
        <v>1331418</v>
      </c>
      <c r="AO213" s="63">
        <v>494</v>
      </c>
      <c r="AP213" s="63">
        <v>1331912</v>
      </c>
      <c r="AQ213" s="63">
        <v>-1334169</v>
      </c>
      <c r="AR213" s="63">
        <v>494</v>
      </c>
      <c r="AS213" s="63">
        <v>-1333675</v>
      </c>
      <c r="AT213" s="63">
        <v>-2610211</v>
      </c>
      <c r="AU213" s="63">
        <v>-26872</v>
      </c>
      <c r="AV213" s="63">
        <v>-2637083</v>
      </c>
      <c r="AW213" s="63">
        <v>-65864</v>
      </c>
      <c r="AX213" s="63">
        <v>0</v>
      </c>
      <c r="AY213" s="63">
        <v>-65864</v>
      </c>
      <c r="AZ213" s="63">
        <v>-1690</v>
      </c>
      <c r="BA213" s="63">
        <v>0</v>
      </c>
      <c r="BB213" s="63">
        <v>-1690</v>
      </c>
      <c r="BC213" s="63">
        <v>-4011934</v>
      </c>
      <c r="BD213" s="63">
        <v>-26378</v>
      </c>
      <c r="BE213" s="63">
        <v>0</v>
      </c>
      <c r="BF213" s="63">
        <v>0</v>
      </c>
      <c r="BG213" s="63">
        <v>-4011934</v>
      </c>
      <c r="BH213" s="63">
        <v>-26378</v>
      </c>
      <c r="BI213" s="63">
        <v>-4038312</v>
      </c>
      <c r="BJ213" s="63">
        <v>0</v>
      </c>
      <c r="BK213" s="63">
        <v>0</v>
      </c>
      <c r="BL213" s="63">
        <v>0</v>
      </c>
      <c r="BM213" s="63">
        <v>-739065</v>
      </c>
      <c r="BN213" s="63">
        <v>0</v>
      </c>
      <c r="BO213" s="63">
        <v>-739065</v>
      </c>
      <c r="BP213" s="63">
        <v>-739065</v>
      </c>
      <c r="BQ213" s="63">
        <v>0</v>
      </c>
      <c r="BR213" s="63">
        <v>0</v>
      </c>
      <c r="BS213" s="63">
        <v>0</v>
      </c>
      <c r="BT213" s="63">
        <v>-739065</v>
      </c>
      <c r="BU213" s="63">
        <v>0</v>
      </c>
      <c r="BV213" s="63">
        <v>-739065</v>
      </c>
      <c r="BW213" s="63">
        <v>-32543</v>
      </c>
      <c r="BX213" s="63">
        <v>0</v>
      </c>
      <c r="BY213" s="63">
        <v>-32543</v>
      </c>
      <c r="BZ213" s="63">
        <v>-299646</v>
      </c>
      <c r="CA213" s="63">
        <v>0</v>
      </c>
      <c r="CB213" s="63">
        <v>-299646</v>
      </c>
      <c r="CC213" s="63">
        <v>0</v>
      </c>
      <c r="CD213" s="63">
        <v>0</v>
      </c>
      <c r="CE213" s="63">
        <v>0</v>
      </c>
      <c r="CF213" s="63">
        <v>0</v>
      </c>
      <c r="CG213" s="63">
        <v>0</v>
      </c>
      <c r="CH213" s="63">
        <v>0</v>
      </c>
      <c r="CI213" s="63">
        <v>0</v>
      </c>
      <c r="CJ213" s="63">
        <v>0</v>
      </c>
      <c r="CK213" s="63">
        <v>0</v>
      </c>
      <c r="CL213" s="63">
        <v>0</v>
      </c>
      <c r="CM213" s="63">
        <v>0</v>
      </c>
      <c r="CN213" s="63">
        <v>0</v>
      </c>
      <c r="CO213" s="63">
        <v>0</v>
      </c>
      <c r="CP213" s="63">
        <v>0</v>
      </c>
      <c r="CQ213" s="63">
        <v>-332189</v>
      </c>
      <c r="CR213" s="63">
        <v>0</v>
      </c>
      <c r="CS213" s="63">
        <v>0</v>
      </c>
      <c r="CT213" s="63">
        <v>0</v>
      </c>
      <c r="CU213" s="63">
        <v>-332189</v>
      </c>
      <c r="CV213" s="63">
        <v>0</v>
      </c>
      <c r="CW213" s="63">
        <v>-332189</v>
      </c>
      <c r="CX213" s="63">
        <v>0</v>
      </c>
      <c r="CY213" s="63">
        <v>0</v>
      </c>
      <c r="CZ213" s="63">
        <v>0</v>
      </c>
      <c r="DA213" s="63">
        <v>-3297</v>
      </c>
      <c r="DB213" s="63">
        <v>0</v>
      </c>
      <c r="DC213" s="63">
        <v>-3297</v>
      </c>
      <c r="DD213" s="63">
        <v>0</v>
      </c>
      <c r="DE213" s="63">
        <v>0</v>
      </c>
      <c r="DF213" s="63">
        <v>0</v>
      </c>
      <c r="DG213" s="63">
        <v>-3297</v>
      </c>
      <c r="DH213" s="63">
        <v>0</v>
      </c>
      <c r="DI213" s="63">
        <v>0</v>
      </c>
      <c r="DJ213" s="63">
        <v>0</v>
      </c>
      <c r="DK213" s="63">
        <v>-3297</v>
      </c>
      <c r="DL213" s="63">
        <v>0</v>
      </c>
      <c r="DM213" s="63">
        <v>-3297</v>
      </c>
      <c r="DN213" s="63">
        <v>48703127</v>
      </c>
      <c r="DO213" s="63">
        <v>0</v>
      </c>
      <c r="DP213" s="63">
        <v>48703127</v>
      </c>
      <c r="DQ213" s="63"/>
      <c r="DR213" s="585" t="s">
        <v>768</v>
      </c>
    </row>
    <row r="214" spans="1:122" x14ac:dyDescent="0.2">
      <c r="A214" s="90">
        <v>207</v>
      </c>
      <c r="B214" s="129" t="s">
        <v>274</v>
      </c>
      <c r="C214" s="130" t="s">
        <v>742</v>
      </c>
      <c r="D214" s="131" t="s">
        <v>752</v>
      </c>
      <c r="E214" s="132" t="s">
        <v>273</v>
      </c>
      <c r="F214" s="475" t="s">
        <v>808</v>
      </c>
      <c r="G214" s="63">
        <v>84247968</v>
      </c>
      <c r="H214" s="63">
        <v>0</v>
      </c>
      <c r="I214" s="63">
        <v>84247968</v>
      </c>
      <c r="J214" s="608">
        <v>48.4</v>
      </c>
      <c r="K214" s="63">
        <v>40776017</v>
      </c>
      <c r="L214" s="63">
        <v>0</v>
      </c>
      <c r="M214" s="63">
        <v>-3243</v>
      </c>
      <c r="N214" s="63">
        <v>0</v>
      </c>
      <c r="O214" s="63">
        <v>40772774</v>
      </c>
      <c r="P214" s="63">
        <v>0</v>
      </c>
      <c r="Q214" s="63">
        <v>40772774</v>
      </c>
      <c r="R214" s="63">
        <v>0</v>
      </c>
      <c r="S214" s="63">
        <v>0</v>
      </c>
      <c r="T214" s="63">
        <v>0</v>
      </c>
      <c r="U214" s="63">
        <v>0</v>
      </c>
      <c r="V214" s="63">
        <v>0</v>
      </c>
      <c r="W214" s="63">
        <v>0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0</v>
      </c>
      <c r="AE214" s="63">
        <v>0</v>
      </c>
      <c r="AF214" s="63">
        <v>0</v>
      </c>
      <c r="AG214" s="63">
        <v>0</v>
      </c>
      <c r="AH214" s="63">
        <v>-1436784.39</v>
      </c>
      <c r="AI214" s="63">
        <v>0</v>
      </c>
      <c r="AJ214" s="63">
        <v>-1436784.39</v>
      </c>
      <c r="AK214" s="63">
        <v>0</v>
      </c>
      <c r="AL214" s="63">
        <v>0</v>
      </c>
      <c r="AM214" s="63">
        <v>0</v>
      </c>
      <c r="AN214" s="63">
        <v>975219.08</v>
      </c>
      <c r="AO214" s="63">
        <v>0</v>
      </c>
      <c r="AP214" s="63">
        <v>975219.08</v>
      </c>
      <c r="AQ214" s="63">
        <v>-461565.30999999994</v>
      </c>
      <c r="AR214" s="63">
        <v>0</v>
      </c>
      <c r="AS214" s="63">
        <v>-461565.30999999994</v>
      </c>
      <c r="AT214" s="63">
        <v>-1211837.0900000001</v>
      </c>
      <c r="AU214" s="63">
        <v>0</v>
      </c>
      <c r="AV214" s="63">
        <v>-1211837.0900000001</v>
      </c>
      <c r="AW214" s="63">
        <v>-13776.84</v>
      </c>
      <c r="AX214" s="63">
        <v>0</v>
      </c>
      <c r="AY214" s="63">
        <v>-13776.84</v>
      </c>
      <c r="AZ214" s="63">
        <v>-1416.45</v>
      </c>
      <c r="BA214" s="63">
        <v>0</v>
      </c>
      <c r="BB214" s="63">
        <v>-1416.45</v>
      </c>
      <c r="BC214" s="63">
        <v>-1688595.69</v>
      </c>
      <c r="BD214" s="63">
        <v>0</v>
      </c>
      <c r="BE214" s="63">
        <v>0</v>
      </c>
      <c r="BF214" s="63">
        <v>0</v>
      </c>
      <c r="BG214" s="63">
        <v>-1688595.69</v>
      </c>
      <c r="BH214" s="63">
        <v>0</v>
      </c>
      <c r="BI214" s="63">
        <v>-1688595.69</v>
      </c>
      <c r="BJ214" s="63">
        <v>0</v>
      </c>
      <c r="BK214" s="63">
        <v>0</v>
      </c>
      <c r="BL214" s="63">
        <v>0</v>
      </c>
      <c r="BM214" s="63">
        <v>-521747.27</v>
      </c>
      <c r="BN214" s="63">
        <v>0</v>
      </c>
      <c r="BO214" s="63">
        <v>-521747.27</v>
      </c>
      <c r="BP214" s="63">
        <v>-521747.27</v>
      </c>
      <c r="BQ214" s="63">
        <v>0</v>
      </c>
      <c r="BR214" s="63">
        <v>0</v>
      </c>
      <c r="BS214" s="63">
        <v>0</v>
      </c>
      <c r="BT214" s="63">
        <v>-521747.27</v>
      </c>
      <c r="BU214" s="63">
        <v>0</v>
      </c>
      <c r="BV214" s="63">
        <v>-521747.27</v>
      </c>
      <c r="BW214" s="63">
        <v>-27635.69</v>
      </c>
      <c r="BX214" s="63">
        <v>0</v>
      </c>
      <c r="BY214" s="63">
        <v>-27635.69</v>
      </c>
      <c r="BZ214" s="63">
        <v>-51170.92</v>
      </c>
      <c r="CA214" s="63">
        <v>0</v>
      </c>
      <c r="CB214" s="63">
        <v>-51170.92</v>
      </c>
      <c r="CC214" s="63">
        <v>0</v>
      </c>
      <c r="CD214" s="63">
        <v>0</v>
      </c>
      <c r="CE214" s="63">
        <v>0</v>
      </c>
      <c r="CF214" s="63">
        <v>0</v>
      </c>
      <c r="CG214" s="63">
        <v>0</v>
      </c>
      <c r="CH214" s="63">
        <v>0</v>
      </c>
      <c r="CI214" s="63">
        <v>0</v>
      </c>
      <c r="CJ214" s="63">
        <v>0</v>
      </c>
      <c r="CK214" s="63">
        <v>0</v>
      </c>
      <c r="CL214" s="63">
        <v>0</v>
      </c>
      <c r="CM214" s="63">
        <v>0</v>
      </c>
      <c r="CN214" s="63">
        <v>0</v>
      </c>
      <c r="CO214" s="63">
        <v>0</v>
      </c>
      <c r="CP214" s="63">
        <v>0</v>
      </c>
      <c r="CQ214" s="63">
        <v>-78806.61</v>
      </c>
      <c r="CR214" s="63">
        <v>0</v>
      </c>
      <c r="CS214" s="63">
        <v>0</v>
      </c>
      <c r="CT214" s="63">
        <v>0</v>
      </c>
      <c r="CU214" s="63">
        <v>-78806.61</v>
      </c>
      <c r="CV214" s="63">
        <v>0</v>
      </c>
      <c r="CW214" s="63">
        <v>-78806.61</v>
      </c>
      <c r="CX214" s="63">
        <v>0</v>
      </c>
      <c r="CY214" s="63">
        <v>0</v>
      </c>
      <c r="CZ214" s="63">
        <v>0</v>
      </c>
      <c r="DA214" s="63">
        <v>-4114</v>
      </c>
      <c r="DB214" s="63">
        <v>0</v>
      </c>
      <c r="DC214" s="63">
        <v>-4114</v>
      </c>
      <c r="DD214" s="63">
        <v>0</v>
      </c>
      <c r="DE214" s="63">
        <v>0</v>
      </c>
      <c r="DF214" s="63">
        <v>0</v>
      </c>
      <c r="DG214" s="63">
        <v>-4114</v>
      </c>
      <c r="DH214" s="63">
        <v>0</v>
      </c>
      <c r="DI214" s="63">
        <v>0</v>
      </c>
      <c r="DJ214" s="63">
        <v>0</v>
      </c>
      <c r="DK214" s="63">
        <v>-4114</v>
      </c>
      <c r="DL214" s="63">
        <v>0</v>
      </c>
      <c r="DM214" s="63">
        <v>-4114</v>
      </c>
      <c r="DN214" s="63">
        <v>38479510.43</v>
      </c>
      <c r="DO214" s="63">
        <v>0</v>
      </c>
      <c r="DP214" s="63">
        <v>38479510.43</v>
      </c>
      <c r="DQ214" s="63"/>
      <c r="DR214" s="585"/>
    </row>
    <row r="215" spans="1:122" x14ac:dyDescent="0.2">
      <c r="A215" s="90">
        <v>208</v>
      </c>
      <c r="B215" s="129" t="s">
        <v>275</v>
      </c>
      <c r="C215" s="130" t="s">
        <v>742</v>
      </c>
      <c r="D215" s="131" t="s">
        <v>743</v>
      </c>
      <c r="E215" s="132" t="s">
        <v>549</v>
      </c>
      <c r="F215" s="475" t="s">
        <v>808</v>
      </c>
      <c r="G215" s="63">
        <v>118610091</v>
      </c>
      <c r="H215" s="63">
        <v>0</v>
      </c>
      <c r="I215" s="63">
        <v>118610091</v>
      </c>
      <c r="J215" s="608">
        <v>48.4</v>
      </c>
      <c r="K215" s="63">
        <v>57407284</v>
      </c>
      <c r="L215" s="63">
        <v>0</v>
      </c>
      <c r="M215" s="63">
        <v>-1500000</v>
      </c>
      <c r="N215" s="63">
        <v>0</v>
      </c>
      <c r="O215" s="63">
        <v>55907284</v>
      </c>
      <c r="P215" s="63">
        <v>0</v>
      </c>
      <c r="Q215" s="63">
        <v>55907284</v>
      </c>
      <c r="R215" s="63">
        <v>0</v>
      </c>
      <c r="S215" s="63">
        <v>0</v>
      </c>
      <c r="T215" s="63">
        <v>0</v>
      </c>
      <c r="U215" s="63">
        <v>0</v>
      </c>
      <c r="V215" s="63">
        <v>0</v>
      </c>
      <c r="W215" s="63">
        <v>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63">
        <v>0</v>
      </c>
      <c r="AF215" s="63">
        <v>0</v>
      </c>
      <c r="AG215" s="63">
        <v>0</v>
      </c>
      <c r="AH215" s="63">
        <v>-1995885</v>
      </c>
      <c r="AI215" s="63">
        <v>0</v>
      </c>
      <c r="AJ215" s="63">
        <v>-1995885</v>
      </c>
      <c r="AK215" s="63">
        <v>0</v>
      </c>
      <c r="AL215" s="63">
        <v>0</v>
      </c>
      <c r="AM215" s="63">
        <v>0</v>
      </c>
      <c r="AN215" s="63">
        <v>1358979</v>
      </c>
      <c r="AO215" s="63">
        <v>0</v>
      </c>
      <c r="AP215" s="63">
        <v>1358979</v>
      </c>
      <c r="AQ215" s="63">
        <v>-636906</v>
      </c>
      <c r="AR215" s="63">
        <v>0</v>
      </c>
      <c r="AS215" s="63">
        <v>-636906</v>
      </c>
      <c r="AT215" s="63">
        <v>-3259331</v>
      </c>
      <c r="AU215" s="63">
        <v>0</v>
      </c>
      <c r="AV215" s="63">
        <v>-3259331</v>
      </c>
      <c r="AW215" s="63">
        <v>-60912</v>
      </c>
      <c r="AX215" s="63">
        <v>0</v>
      </c>
      <c r="AY215" s="63">
        <v>-60912</v>
      </c>
      <c r="AZ215" s="63">
        <v>0</v>
      </c>
      <c r="BA215" s="63">
        <v>0</v>
      </c>
      <c r="BB215" s="63">
        <v>0</v>
      </c>
      <c r="BC215" s="63">
        <v>-3957149</v>
      </c>
      <c r="BD215" s="63">
        <v>0</v>
      </c>
      <c r="BE215" s="63">
        <v>50000</v>
      </c>
      <c r="BF215" s="63">
        <v>0</v>
      </c>
      <c r="BG215" s="63">
        <v>-3907149</v>
      </c>
      <c r="BH215" s="63">
        <v>0</v>
      </c>
      <c r="BI215" s="63">
        <v>-3907149</v>
      </c>
      <c r="BJ215" s="63">
        <v>-35000</v>
      </c>
      <c r="BK215" s="63">
        <v>0</v>
      </c>
      <c r="BL215" s="63">
        <v>-35000</v>
      </c>
      <c r="BM215" s="63">
        <v>-918702</v>
      </c>
      <c r="BN215" s="63">
        <v>0</v>
      </c>
      <c r="BO215" s="63">
        <v>-918702</v>
      </c>
      <c r="BP215" s="63">
        <v>-953702</v>
      </c>
      <c r="BQ215" s="63">
        <v>0</v>
      </c>
      <c r="BR215" s="63">
        <v>-800000</v>
      </c>
      <c r="BS215" s="63">
        <v>0</v>
      </c>
      <c r="BT215" s="63">
        <v>-1753702</v>
      </c>
      <c r="BU215" s="63">
        <v>0</v>
      </c>
      <c r="BV215" s="63">
        <v>-1753702</v>
      </c>
      <c r="BW215" s="63">
        <v>-65000</v>
      </c>
      <c r="BX215" s="63">
        <v>0</v>
      </c>
      <c r="BY215" s="63">
        <v>-65000</v>
      </c>
      <c r="BZ215" s="63">
        <v>-30000</v>
      </c>
      <c r="CA215" s="63">
        <v>0</v>
      </c>
      <c r="CB215" s="63">
        <v>-30000</v>
      </c>
      <c r="CC215" s="63">
        <v>-2500</v>
      </c>
      <c r="CD215" s="63">
        <v>0</v>
      </c>
      <c r="CE215" s="63">
        <v>-2500</v>
      </c>
      <c r="CF215" s="63">
        <v>-3000</v>
      </c>
      <c r="CG215" s="63">
        <v>0</v>
      </c>
      <c r="CH215" s="63">
        <v>-3000</v>
      </c>
      <c r="CI215" s="63">
        <v>0</v>
      </c>
      <c r="CJ215" s="63">
        <v>0</v>
      </c>
      <c r="CK215" s="63">
        <v>0</v>
      </c>
      <c r="CL215" s="63">
        <v>0</v>
      </c>
      <c r="CM215" s="63">
        <v>0</v>
      </c>
      <c r="CN215" s="63">
        <v>0</v>
      </c>
      <c r="CO215" s="63">
        <v>0</v>
      </c>
      <c r="CP215" s="63">
        <v>0</v>
      </c>
      <c r="CQ215" s="63">
        <v>-100500</v>
      </c>
      <c r="CR215" s="63">
        <v>0</v>
      </c>
      <c r="CS215" s="63">
        <v>-5000</v>
      </c>
      <c r="CT215" s="63">
        <v>0</v>
      </c>
      <c r="CU215" s="63">
        <v>-105500</v>
      </c>
      <c r="CV215" s="63">
        <v>0</v>
      </c>
      <c r="CW215" s="63">
        <v>-105500</v>
      </c>
      <c r="CX215" s="63">
        <v>-2000</v>
      </c>
      <c r="CY215" s="63">
        <v>0</v>
      </c>
      <c r="CZ215" s="63">
        <v>-2000</v>
      </c>
      <c r="DA215" s="63">
        <v>-5000</v>
      </c>
      <c r="DB215" s="63">
        <v>0</v>
      </c>
      <c r="DC215" s="63">
        <v>-5000</v>
      </c>
      <c r="DD215" s="63">
        <v>-15000</v>
      </c>
      <c r="DE215" s="63">
        <v>0</v>
      </c>
      <c r="DF215" s="63">
        <v>-15000</v>
      </c>
      <c r="DG215" s="63">
        <v>-22000</v>
      </c>
      <c r="DH215" s="63">
        <v>0</v>
      </c>
      <c r="DI215" s="63">
        <v>-5000</v>
      </c>
      <c r="DJ215" s="63">
        <v>0</v>
      </c>
      <c r="DK215" s="63">
        <v>-27000</v>
      </c>
      <c r="DL215" s="63">
        <v>0</v>
      </c>
      <c r="DM215" s="63">
        <v>-27000</v>
      </c>
      <c r="DN215" s="63">
        <v>50113933</v>
      </c>
      <c r="DO215" s="63">
        <v>0</v>
      </c>
      <c r="DP215" s="63">
        <v>50113933</v>
      </c>
      <c r="DQ215" s="63"/>
      <c r="DR215" s="585"/>
    </row>
    <row r="216" spans="1:122" x14ac:dyDescent="0.2">
      <c r="A216" s="90">
        <v>209</v>
      </c>
      <c r="B216" s="129" t="s">
        <v>277</v>
      </c>
      <c r="C216" s="130" t="s">
        <v>742</v>
      </c>
      <c r="D216" s="131" t="s">
        <v>744</v>
      </c>
      <c r="E216" s="132" t="s">
        <v>276</v>
      </c>
      <c r="F216" s="475" t="s">
        <v>808</v>
      </c>
      <c r="G216" s="63">
        <v>34236569</v>
      </c>
      <c r="H216" s="63">
        <v>3830000</v>
      </c>
      <c r="I216" s="63">
        <v>38066569</v>
      </c>
      <c r="J216" s="608">
        <v>48.4</v>
      </c>
      <c r="K216" s="63">
        <v>16570499</v>
      </c>
      <c r="L216" s="63">
        <v>1853720</v>
      </c>
      <c r="M216" s="63">
        <v>250000</v>
      </c>
      <c r="N216" s="63">
        <v>0</v>
      </c>
      <c r="O216" s="63">
        <v>16820499</v>
      </c>
      <c r="P216" s="63">
        <v>1853720</v>
      </c>
      <c r="Q216" s="63">
        <v>18674219</v>
      </c>
      <c r="R216" s="63">
        <v>0</v>
      </c>
      <c r="S216" s="63">
        <v>0</v>
      </c>
      <c r="T216" s="63">
        <v>0</v>
      </c>
      <c r="U216" s="63">
        <v>0</v>
      </c>
      <c r="V216" s="63">
        <v>0</v>
      </c>
      <c r="W216" s="63">
        <v>0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0</v>
      </c>
      <c r="AE216" s="63">
        <v>0</v>
      </c>
      <c r="AF216" s="63">
        <v>0</v>
      </c>
      <c r="AG216" s="63">
        <v>0</v>
      </c>
      <c r="AH216" s="63">
        <v>-2048888</v>
      </c>
      <c r="AI216" s="63">
        <v>0</v>
      </c>
      <c r="AJ216" s="63">
        <v>-2048888</v>
      </c>
      <c r="AK216" s="63">
        <v>-11116</v>
      </c>
      <c r="AL216" s="63">
        <v>0</v>
      </c>
      <c r="AM216" s="63">
        <v>-11116</v>
      </c>
      <c r="AN216" s="63">
        <v>318092</v>
      </c>
      <c r="AO216" s="63">
        <v>49790</v>
      </c>
      <c r="AP216" s="63">
        <v>367882</v>
      </c>
      <c r="AQ216" s="63">
        <v>-1730796</v>
      </c>
      <c r="AR216" s="63">
        <v>49790</v>
      </c>
      <c r="AS216" s="63">
        <v>-1681006</v>
      </c>
      <c r="AT216" s="63">
        <v>-1111258</v>
      </c>
      <c r="AU216" s="63">
        <v>0</v>
      </c>
      <c r="AV216" s="63">
        <v>-1111258</v>
      </c>
      <c r="AW216" s="63">
        <v>-42230</v>
      </c>
      <c r="AX216" s="63">
        <v>0</v>
      </c>
      <c r="AY216" s="63">
        <v>-42230</v>
      </c>
      <c r="AZ216" s="63">
        <v>-28884</v>
      </c>
      <c r="BA216" s="63">
        <v>0</v>
      </c>
      <c r="BB216" s="63">
        <v>-28884</v>
      </c>
      <c r="BC216" s="63">
        <v>-2913168</v>
      </c>
      <c r="BD216" s="63">
        <v>49790</v>
      </c>
      <c r="BE216" s="63">
        <v>0</v>
      </c>
      <c r="BF216" s="63">
        <v>0</v>
      </c>
      <c r="BG216" s="63">
        <v>-2913168</v>
      </c>
      <c r="BH216" s="63">
        <v>49790</v>
      </c>
      <c r="BI216" s="63">
        <v>-2863378</v>
      </c>
      <c r="BJ216" s="63">
        <v>-5959</v>
      </c>
      <c r="BK216" s="63">
        <v>0</v>
      </c>
      <c r="BL216" s="63">
        <v>-5959</v>
      </c>
      <c r="BM216" s="63">
        <v>-328204</v>
      </c>
      <c r="BN216" s="63">
        <v>0</v>
      </c>
      <c r="BO216" s="63">
        <v>-328204</v>
      </c>
      <c r="BP216" s="63">
        <v>-334163</v>
      </c>
      <c r="BQ216" s="63">
        <v>0</v>
      </c>
      <c r="BR216" s="63">
        <v>0</v>
      </c>
      <c r="BS216" s="63">
        <v>0</v>
      </c>
      <c r="BT216" s="63">
        <v>-334163</v>
      </c>
      <c r="BU216" s="63">
        <v>0</v>
      </c>
      <c r="BV216" s="63">
        <v>-334163</v>
      </c>
      <c r="BW216" s="63">
        <v>-34165</v>
      </c>
      <c r="BX216" s="63">
        <v>0</v>
      </c>
      <c r="BY216" s="63">
        <v>-34165</v>
      </c>
      <c r="BZ216" s="63">
        <v>-10419</v>
      </c>
      <c r="CA216" s="63">
        <v>0</v>
      </c>
      <c r="CB216" s="63">
        <v>-10419</v>
      </c>
      <c r="CC216" s="63">
        <v>0</v>
      </c>
      <c r="CD216" s="63">
        <v>0</v>
      </c>
      <c r="CE216" s="63">
        <v>0</v>
      </c>
      <c r="CF216" s="63">
        <v>-5627</v>
      </c>
      <c r="CG216" s="63">
        <v>0</v>
      </c>
      <c r="CH216" s="63">
        <v>-5627</v>
      </c>
      <c r="CI216" s="63">
        <v>-1633</v>
      </c>
      <c r="CJ216" s="63">
        <v>0</v>
      </c>
      <c r="CK216" s="63">
        <v>-1633</v>
      </c>
      <c r="CL216" s="63">
        <v>0</v>
      </c>
      <c r="CM216" s="63">
        <v>0</v>
      </c>
      <c r="CN216" s="63">
        <v>0</v>
      </c>
      <c r="CO216" s="63">
        <v>0</v>
      </c>
      <c r="CP216" s="63">
        <v>0</v>
      </c>
      <c r="CQ216" s="63">
        <v>-51844</v>
      </c>
      <c r="CR216" s="63">
        <v>0</v>
      </c>
      <c r="CS216" s="63">
        <v>0</v>
      </c>
      <c r="CT216" s="63">
        <v>0</v>
      </c>
      <c r="CU216" s="63">
        <v>-51844</v>
      </c>
      <c r="CV216" s="63">
        <v>0</v>
      </c>
      <c r="CW216" s="63">
        <v>-51844</v>
      </c>
      <c r="CX216" s="63">
        <v>-4905</v>
      </c>
      <c r="CY216" s="63">
        <v>0</v>
      </c>
      <c r="CZ216" s="63">
        <v>-4905</v>
      </c>
      <c r="DA216" s="63">
        <v>-27616</v>
      </c>
      <c r="DB216" s="63">
        <v>0</v>
      </c>
      <c r="DC216" s="63">
        <v>-27616</v>
      </c>
      <c r="DD216" s="63">
        <v>-28424</v>
      </c>
      <c r="DE216" s="63">
        <v>0</v>
      </c>
      <c r="DF216" s="63">
        <v>-28424</v>
      </c>
      <c r="DG216" s="63">
        <v>-60945</v>
      </c>
      <c r="DH216" s="63">
        <v>0</v>
      </c>
      <c r="DI216" s="63">
        <v>0</v>
      </c>
      <c r="DJ216" s="63">
        <v>0</v>
      </c>
      <c r="DK216" s="63">
        <v>-60945</v>
      </c>
      <c r="DL216" s="63">
        <v>0</v>
      </c>
      <c r="DM216" s="63">
        <v>-60945</v>
      </c>
      <c r="DN216" s="63">
        <v>13460379</v>
      </c>
      <c r="DO216" s="63">
        <v>1903510</v>
      </c>
      <c r="DP216" s="63">
        <v>15363889</v>
      </c>
      <c r="DQ216" s="63"/>
      <c r="DR216" s="585" t="s">
        <v>768</v>
      </c>
    </row>
    <row r="217" spans="1:122" x14ac:dyDescent="0.2">
      <c r="A217" s="90">
        <v>210</v>
      </c>
      <c r="B217" s="129" t="s">
        <v>279</v>
      </c>
      <c r="C217" s="130" t="s">
        <v>747</v>
      </c>
      <c r="D217" s="131" t="s">
        <v>748</v>
      </c>
      <c r="E217" s="132" t="s">
        <v>278</v>
      </c>
      <c r="F217" s="475" t="s">
        <v>808</v>
      </c>
      <c r="G217" s="63">
        <v>204411184</v>
      </c>
      <c r="H217" s="63">
        <v>0</v>
      </c>
      <c r="I217" s="63">
        <v>204411184</v>
      </c>
      <c r="J217" s="608">
        <v>48.4</v>
      </c>
      <c r="K217" s="63">
        <v>98935013</v>
      </c>
      <c r="L217" s="63">
        <v>0</v>
      </c>
      <c r="M217" s="63">
        <v>-955000</v>
      </c>
      <c r="N217" s="63">
        <v>0</v>
      </c>
      <c r="O217" s="63">
        <v>97980013</v>
      </c>
      <c r="P217" s="63">
        <v>0</v>
      </c>
      <c r="Q217" s="63">
        <v>97980013</v>
      </c>
      <c r="R217" s="63">
        <v>0</v>
      </c>
      <c r="S217" s="63">
        <v>0</v>
      </c>
      <c r="T217" s="63">
        <v>0</v>
      </c>
      <c r="U217" s="63">
        <v>0</v>
      </c>
      <c r="V217" s="63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63">
        <v>0</v>
      </c>
      <c r="AF217" s="63">
        <v>0</v>
      </c>
      <c r="AG217" s="63">
        <v>0</v>
      </c>
      <c r="AH217" s="63">
        <v>-2295741</v>
      </c>
      <c r="AI217" s="63">
        <v>0</v>
      </c>
      <c r="AJ217" s="63">
        <v>-2295741</v>
      </c>
      <c r="AK217" s="63">
        <v>0</v>
      </c>
      <c r="AL217" s="63">
        <v>0</v>
      </c>
      <c r="AM217" s="63">
        <v>0</v>
      </c>
      <c r="AN217" s="63">
        <v>2149195</v>
      </c>
      <c r="AO217" s="63">
        <v>0</v>
      </c>
      <c r="AP217" s="63">
        <v>2149195</v>
      </c>
      <c r="AQ217" s="63">
        <v>-146546</v>
      </c>
      <c r="AR217" s="63">
        <v>0</v>
      </c>
      <c r="AS217" s="63">
        <v>-146546</v>
      </c>
      <c r="AT217" s="63">
        <v>-9074152</v>
      </c>
      <c r="AU217" s="63">
        <v>0</v>
      </c>
      <c r="AV217" s="63">
        <v>-9074152</v>
      </c>
      <c r="AW217" s="63">
        <v>-53282</v>
      </c>
      <c r="AX217" s="63">
        <v>0</v>
      </c>
      <c r="AY217" s="63">
        <v>-53282</v>
      </c>
      <c r="AZ217" s="63">
        <v>0</v>
      </c>
      <c r="BA217" s="63">
        <v>0</v>
      </c>
      <c r="BB217" s="63">
        <v>0</v>
      </c>
      <c r="BC217" s="63">
        <v>-9273980</v>
      </c>
      <c r="BD217" s="63">
        <v>0</v>
      </c>
      <c r="BE217" s="63">
        <v>0</v>
      </c>
      <c r="BF217" s="63">
        <v>0</v>
      </c>
      <c r="BG217" s="63">
        <v>-9273980</v>
      </c>
      <c r="BH217" s="63">
        <v>0</v>
      </c>
      <c r="BI217" s="63">
        <v>-9273980</v>
      </c>
      <c r="BJ217" s="63">
        <v>0</v>
      </c>
      <c r="BK217" s="63">
        <v>0</v>
      </c>
      <c r="BL217" s="63">
        <v>0</v>
      </c>
      <c r="BM217" s="63">
        <v>-1514820</v>
      </c>
      <c r="BN217" s="63">
        <v>0</v>
      </c>
      <c r="BO217" s="63">
        <v>-1514820</v>
      </c>
      <c r="BP217" s="63">
        <v>-1514820</v>
      </c>
      <c r="BQ217" s="63">
        <v>0</v>
      </c>
      <c r="BR217" s="63">
        <v>0</v>
      </c>
      <c r="BS217" s="63">
        <v>0</v>
      </c>
      <c r="BT217" s="63">
        <v>-1514820</v>
      </c>
      <c r="BU217" s="63">
        <v>0</v>
      </c>
      <c r="BV217" s="63">
        <v>-1514820</v>
      </c>
      <c r="BW217" s="63">
        <v>-250148</v>
      </c>
      <c r="BX217" s="63">
        <v>0</v>
      </c>
      <c r="BY217" s="63">
        <v>-250148</v>
      </c>
      <c r="BZ217" s="63">
        <v>-158901</v>
      </c>
      <c r="CA217" s="63">
        <v>0</v>
      </c>
      <c r="CB217" s="63">
        <v>-158901</v>
      </c>
      <c r="CC217" s="63">
        <v>-4051</v>
      </c>
      <c r="CD217" s="63">
        <v>0</v>
      </c>
      <c r="CE217" s="63">
        <v>-4051</v>
      </c>
      <c r="CF217" s="63">
        <v>0</v>
      </c>
      <c r="CG217" s="63">
        <v>0</v>
      </c>
      <c r="CH217" s="63">
        <v>0</v>
      </c>
      <c r="CI217" s="63">
        <v>0</v>
      </c>
      <c r="CJ217" s="63">
        <v>0</v>
      </c>
      <c r="CK217" s="63">
        <v>0</v>
      </c>
      <c r="CL217" s="63">
        <v>0</v>
      </c>
      <c r="CM217" s="63">
        <v>0</v>
      </c>
      <c r="CN217" s="63">
        <v>0</v>
      </c>
      <c r="CO217" s="63">
        <v>0</v>
      </c>
      <c r="CP217" s="63">
        <v>0</v>
      </c>
      <c r="CQ217" s="63">
        <v>-413100</v>
      </c>
      <c r="CR217" s="63">
        <v>0</v>
      </c>
      <c r="CS217" s="63">
        <v>0</v>
      </c>
      <c r="CT217" s="63">
        <v>0</v>
      </c>
      <c r="CU217" s="63">
        <v>-413100</v>
      </c>
      <c r="CV217" s="63">
        <v>0</v>
      </c>
      <c r="CW217" s="63">
        <v>-413100</v>
      </c>
      <c r="CX217" s="63">
        <v>0</v>
      </c>
      <c r="CY217" s="63">
        <v>0</v>
      </c>
      <c r="CZ217" s="63">
        <v>0</v>
      </c>
      <c r="DA217" s="63">
        <v>-75734</v>
      </c>
      <c r="DB217" s="63">
        <v>0</v>
      </c>
      <c r="DC217" s="63">
        <v>-75734</v>
      </c>
      <c r="DD217" s="63">
        <v>-6009</v>
      </c>
      <c r="DE217" s="63">
        <v>0</v>
      </c>
      <c r="DF217" s="63">
        <v>-6009</v>
      </c>
      <c r="DG217" s="63">
        <v>-81743</v>
      </c>
      <c r="DH217" s="63">
        <v>0</v>
      </c>
      <c r="DI217" s="63">
        <v>0</v>
      </c>
      <c r="DJ217" s="63">
        <v>0</v>
      </c>
      <c r="DK217" s="63">
        <v>-81743</v>
      </c>
      <c r="DL217" s="63">
        <v>0</v>
      </c>
      <c r="DM217" s="63">
        <v>-81743</v>
      </c>
      <c r="DN217" s="63">
        <v>86696370</v>
      </c>
      <c r="DO217" s="63">
        <v>0</v>
      </c>
      <c r="DP217" s="63">
        <v>86696370</v>
      </c>
      <c r="DQ217" s="63"/>
      <c r="DR217" s="585"/>
    </row>
    <row r="218" spans="1:122" x14ac:dyDescent="0.2">
      <c r="A218" s="90">
        <v>211</v>
      </c>
      <c r="B218" s="129" t="s">
        <v>281</v>
      </c>
      <c r="C218" s="130" t="s">
        <v>742</v>
      </c>
      <c r="D218" s="131" t="s">
        <v>750</v>
      </c>
      <c r="E218" s="132" t="s">
        <v>280</v>
      </c>
      <c r="F218" s="475" t="s">
        <v>808</v>
      </c>
      <c r="G218" s="63">
        <v>33005385</v>
      </c>
      <c r="H218" s="63">
        <v>0</v>
      </c>
      <c r="I218" s="63">
        <v>33005385</v>
      </c>
      <c r="J218" s="608">
        <v>48.4</v>
      </c>
      <c r="K218" s="63">
        <v>15974606</v>
      </c>
      <c r="L218" s="63">
        <v>0</v>
      </c>
      <c r="M218" s="63">
        <v>753000</v>
      </c>
      <c r="N218" s="63">
        <v>0</v>
      </c>
      <c r="O218" s="63">
        <v>16727606</v>
      </c>
      <c r="P218" s="63">
        <v>0</v>
      </c>
      <c r="Q218" s="63">
        <v>16727606</v>
      </c>
      <c r="R218" s="63">
        <v>0</v>
      </c>
      <c r="S218" s="63">
        <v>0</v>
      </c>
      <c r="T218" s="63">
        <v>0</v>
      </c>
      <c r="U218" s="63">
        <v>0</v>
      </c>
      <c r="V218" s="63">
        <v>0</v>
      </c>
      <c r="W218" s="63">
        <v>0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0</v>
      </c>
      <c r="AE218" s="63">
        <v>0</v>
      </c>
      <c r="AF218" s="63">
        <v>0</v>
      </c>
      <c r="AG218" s="63">
        <v>0</v>
      </c>
      <c r="AH218" s="63">
        <v>-1906809</v>
      </c>
      <c r="AI218" s="63">
        <v>0</v>
      </c>
      <c r="AJ218" s="63">
        <v>-1906809</v>
      </c>
      <c r="AK218" s="63">
        <v>0</v>
      </c>
      <c r="AL218" s="63">
        <v>0</v>
      </c>
      <c r="AM218" s="63">
        <v>0</v>
      </c>
      <c r="AN218" s="63">
        <v>305060</v>
      </c>
      <c r="AO218" s="63">
        <v>0</v>
      </c>
      <c r="AP218" s="63">
        <v>305060</v>
      </c>
      <c r="AQ218" s="63">
        <v>-1601749</v>
      </c>
      <c r="AR218" s="63">
        <v>0</v>
      </c>
      <c r="AS218" s="63">
        <v>-1601749</v>
      </c>
      <c r="AT218" s="63">
        <v>-587000</v>
      </c>
      <c r="AU218" s="63">
        <v>0</v>
      </c>
      <c r="AV218" s="63">
        <v>-587000</v>
      </c>
      <c r="AW218" s="63">
        <v>-50428</v>
      </c>
      <c r="AX218" s="63">
        <v>0</v>
      </c>
      <c r="AY218" s="63">
        <v>-50428</v>
      </c>
      <c r="AZ218" s="63">
        <v>-44728</v>
      </c>
      <c r="BA218" s="63">
        <v>0</v>
      </c>
      <c r="BB218" s="63">
        <v>-44728</v>
      </c>
      <c r="BC218" s="63">
        <v>-2283905</v>
      </c>
      <c r="BD218" s="63">
        <v>0</v>
      </c>
      <c r="BE218" s="63">
        <v>-20000</v>
      </c>
      <c r="BF218" s="63">
        <v>0</v>
      </c>
      <c r="BG218" s="63">
        <v>-2303905</v>
      </c>
      <c r="BH218" s="63">
        <v>0</v>
      </c>
      <c r="BI218" s="63">
        <v>-2303905</v>
      </c>
      <c r="BJ218" s="63">
        <v>0</v>
      </c>
      <c r="BK218" s="63">
        <v>0</v>
      </c>
      <c r="BL218" s="63">
        <v>0</v>
      </c>
      <c r="BM218" s="63">
        <v>-192281</v>
      </c>
      <c r="BN218" s="63">
        <v>0</v>
      </c>
      <c r="BO218" s="63">
        <v>-192281</v>
      </c>
      <c r="BP218" s="63">
        <v>-192281</v>
      </c>
      <c r="BQ218" s="63">
        <v>0</v>
      </c>
      <c r="BR218" s="63">
        <v>0</v>
      </c>
      <c r="BS218" s="63">
        <v>0</v>
      </c>
      <c r="BT218" s="63">
        <v>-192281</v>
      </c>
      <c r="BU218" s="63">
        <v>0</v>
      </c>
      <c r="BV218" s="63">
        <v>-192281</v>
      </c>
      <c r="BW218" s="63">
        <v>-61052</v>
      </c>
      <c r="BX218" s="63">
        <v>0</v>
      </c>
      <c r="BY218" s="63">
        <v>-61052</v>
      </c>
      <c r="BZ218" s="63">
        <v>-7197</v>
      </c>
      <c r="CA218" s="63">
        <v>0</v>
      </c>
      <c r="CB218" s="63">
        <v>-7197</v>
      </c>
      <c r="CC218" s="63">
        <v>-3065</v>
      </c>
      <c r="CD218" s="63">
        <v>0</v>
      </c>
      <c r="CE218" s="63">
        <v>-3065</v>
      </c>
      <c r="CF218" s="63">
        <v>-22756</v>
      </c>
      <c r="CG218" s="63">
        <v>0</v>
      </c>
      <c r="CH218" s="63">
        <v>-22756</v>
      </c>
      <c r="CI218" s="63">
        <v>0</v>
      </c>
      <c r="CJ218" s="63">
        <v>0</v>
      </c>
      <c r="CK218" s="63">
        <v>0</v>
      </c>
      <c r="CL218" s="63">
        <v>0</v>
      </c>
      <c r="CM218" s="63">
        <v>0</v>
      </c>
      <c r="CN218" s="63">
        <v>0</v>
      </c>
      <c r="CO218" s="63">
        <v>0</v>
      </c>
      <c r="CP218" s="63">
        <v>0</v>
      </c>
      <c r="CQ218" s="63">
        <v>-94070</v>
      </c>
      <c r="CR218" s="63">
        <v>0</v>
      </c>
      <c r="CS218" s="63">
        <v>0</v>
      </c>
      <c r="CT218" s="63">
        <v>0</v>
      </c>
      <c r="CU218" s="63">
        <v>-94070</v>
      </c>
      <c r="CV218" s="63">
        <v>0</v>
      </c>
      <c r="CW218" s="63">
        <v>-94070</v>
      </c>
      <c r="CX218" s="63">
        <v>-6461</v>
      </c>
      <c r="CY218" s="63">
        <v>0</v>
      </c>
      <c r="CZ218" s="63">
        <v>-6461</v>
      </c>
      <c r="DA218" s="63">
        <v>0</v>
      </c>
      <c r="DB218" s="63">
        <v>0</v>
      </c>
      <c r="DC218" s="63">
        <v>0</v>
      </c>
      <c r="DD218" s="63">
        <v>0</v>
      </c>
      <c r="DE218" s="63">
        <v>0</v>
      </c>
      <c r="DF218" s="63">
        <v>0</v>
      </c>
      <c r="DG218" s="63">
        <v>-6461</v>
      </c>
      <c r="DH218" s="63">
        <v>0</v>
      </c>
      <c r="DI218" s="63">
        <v>0</v>
      </c>
      <c r="DJ218" s="63">
        <v>0</v>
      </c>
      <c r="DK218" s="63">
        <v>-6461</v>
      </c>
      <c r="DL218" s="63">
        <v>0</v>
      </c>
      <c r="DM218" s="63">
        <v>-6461</v>
      </c>
      <c r="DN218" s="63">
        <v>14130889</v>
      </c>
      <c r="DO218" s="63">
        <v>0</v>
      </c>
      <c r="DP218" s="63">
        <v>14130889</v>
      </c>
      <c r="DQ218" s="63"/>
      <c r="DR218" s="585"/>
    </row>
    <row r="219" spans="1:122" x14ac:dyDescent="0.2">
      <c r="A219" s="90">
        <v>212</v>
      </c>
      <c r="B219" s="129" t="s">
        <v>283</v>
      </c>
      <c r="C219" s="130" t="s">
        <v>749</v>
      </c>
      <c r="D219" s="131" t="s">
        <v>744</v>
      </c>
      <c r="E219" s="132" t="s">
        <v>282</v>
      </c>
      <c r="F219" s="475" t="s">
        <v>808</v>
      </c>
      <c r="G219" s="63">
        <v>166297593</v>
      </c>
      <c r="H219" s="63">
        <v>0</v>
      </c>
      <c r="I219" s="63">
        <v>166297593</v>
      </c>
      <c r="J219" s="608">
        <v>48.4</v>
      </c>
      <c r="K219" s="63">
        <v>80488035</v>
      </c>
      <c r="L219" s="63">
        <v>0</v>
      </c>
      <c r="M219" s="63">
        <v>-1581794</v>
      </c>
      <c r="N219" s="63">
        <v>0</v>
      </c>
      <c r="O219" s="63">
        <v>78906241</v>
      </c>
      <c r="P219" s="63">
        <v>0</v>
      </c>
      <c r="Q219" s="63">
        <v>78906241</v>
      </c>
      <c r="R219" s="63">
        <v>0</v>
      </c>
      <c r="S219" s="63">
        <v>0</v>
      </c>
      <c r="T219" s="63">
        <v>0</v>
      </c>
      <c r="U219" s="63">
        <v>0</v>
      </c>
      <c r="V219" s="63">
        <v>0</v>
      </c>
      <c r="W219" s="63">
        <v>0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63">
        <v>0</v>
      </c>
      <c r="AF219" s="63">
        <v>0</v>
      </c>
      <c r="AG219" s="63">
        <v>0</v>
      </c>
      <c r="AH219" s="63">
        <v>-5362851</v>
      </c>
      <c r="AI219" s="63">
        <v>0</v>
      </c>
      <c r="AJ219" s="63">
        <v>-5362851</v>
      </c>
      <c r="AK219" s="63">
        <v>-27449</v>
      </c>
      <c r="AL219" s="63">
        <v>0</v>
      </c>
      <c r="AM219" s="63">
        <v>-27449</v>
      </c>
      <c r="AN219" s="63">
        <v>1818872</v>
      </c>
      <c r="AO219" s="63">
        <v>0</v>
      </c>
      <c r="AP219" s="63">
        <v>1818872</v>
      </c>
      <c r="AQ219" s="63">
        <v>-3543979</v>
      </c>
      <c r="AR219" s="63">
        <v>0</v>
      </c>
      <c r="AS219" s="63">
        <v>-3543979</v>
      </c>
      <c r="AT219" s="63">
        <v>-3412479</v>
      </c>
      <c r="AU219" s="63">
        <v>0</v>
      </c>
      <c r="AV219" s="63">
        <v>-3412479</v>
      </c>
      <c r="AW219" s="63">
        <v>-96985</v>
      </c>
      <c r="AX219" s="63">
        <v>0</v>
      </c>
      <c r="AY219" s="63">
        <v>-96985</v>
      </c>
      <c r="AZ219" s="63">
        <v>0</v>
      </c>
      <c r="BA219" s="63">
        <v>0</v>
      </c>
      <c r="BB219" s="63">
        <v>0</v>
      </c>
      <c r="BC219" s="63">
        <v>-7053443</v>
      </c>
      <c r="BD219" s="63">
        <v>0</v>
      </c>
      <c r="BE219" s="63">
        <v>-300000</v>
      </c>
      <c r="BF219" s="63">
        <v>0</v>
      </c>
      <c r="BG219" s="63">
        <v>-7353443</v>
      </c>
      <c r="BH219" s="63">
        <v>0</v>
      </c>
      <c r="BI219" s="63">
        <v>-7353443</v>
      </c>
      <c r="BJ219" s="63">
        <v>-2502</v>
      </c>
      <c r="BK219" s="63">
        <v>0</v>
      </c>
      <c r="BL219" s="63">
        <v>-2502</v>
      </c>
      <c r="BM219" s="63">
        <v>-3133294</v>
      </c>
      <c r="BN219" s="63">
        <v>0</v>
      </c>
      <c r="BO219" s="63">
        <v>-3133294</v>
      </c>
      <c r="BP219" s="63">
        <v>-3135796</v>
      </c>
      <c r="BQ219" s="63">
        <v>0</v>
      </c>
      <c r="BR219" s="63">
        <v>-200000</v>
      </c>
      <c r="BS219" s="63">
        <v>0</v>
      </c>
      <c r="BT219" s="63">
        <v>-3335796</v>
      </c>
      <c r="BU219" s="63">
        <v>0</v>
      </c>
      <c r="BV219" s="63">
        <v>-3335796</v>
      </c>
      <c r="BW219" s="63">
        <v>-243638</v>
      </c>
      <c r="BX219" s="63">
        <v>0</v>
      </c>
      <c r="BY219" s="63">
        <v>-243638</v>
      </c>
      <c r="BZ219" s="63">
        <v>-97265</v>
      </c>
      <c r="CA219" s="63">
        <v>0</v>
      </c>
      <c r="CB219" s="63">
        <v>-97265</v>
      </c>
      <c r="CC219" s="63">
        <v>-9261</v>
      </c>
      <c r="CD219" s="63">
        <v>0</v>
      </c>
      <c r="CE219" s="63">
        <v>-9261</v>
      </c>
      <c r="CF219" s="63">
        <v>0</v>
      </c>
      <c r="CG219" s="63">
        <v>0</v>
      </c>
      <c r="CH219" s="63">
        <v>0</v>
      </c>
      <c r="CI219" s="63">
        <v>0</v>
      </c>
      <c r="CJ219" s="63">
        <v>0</v>
      </c>
      <c r="CK219" s="63">
        <v>0</v>
      </c>
      <c r="CL219" s="63">
        <v>-100000</v>
      </c>
      <c r="CM219" s="63">
        <v>0</v>
      </c>
      <c r="CN219" s="63">
        <v>-100000</v>
      </c>
      <c r="CO219" s="63">
        <v>0</v>
      </c>
      <c r="CP219" s="63">
        <v>0</v>
      </c>
      <c r="CQ219" s="63">
        <v>-450164</v>
      </c>
      <c r="CR219" s="63">
        <v>0</v>
      </c>
      <c r="CS219" s="63">
        <v>0</v>
      </c>
      <c r="CT219" s="63">
        <v>0</v>
      </c>
      <c r="CU219" s="63">
        <v>-450164</v>
      </c>
      <c r="CV219" s="63">
        <v>0</v>
      </c>
      <c r="CW219" s="63">
        <v>-450164</v>
      </c>
      <c r="CX219" s="63">
        <v>-5336</v>
      </c>
      <c r="CY219" s="63">
        <v>0</v>
      </c>
      <c r="CZ219" s="63">
        <v>-5336</v>
      </c>
      <c r="DA219" s="63">
        <v>-128994</v>
      </c>
      <c r="DB219" s="63">
        <v>0</v>
      </c>
      <c r="DC219" s="63">
        <v>-128994</v>
      </c>
      <c r="DD219" s="63">
        <v>-17162</v>
      </c>
      <c r="DE219" s="63">
        <v>0</v>
      </c>
      <c r="DF219" s="63">
        <v>-17162</v>
      </c>
      <c r="DG219" s="63">
        <v>-151492</v>
      </c>
      <c r="DH219" s="63">
        <v>0</v>
      </c>
      <c r="DI219" s="63">
        <v>0</v>
      </c>
      <c r="DJ219" s="63">
        <v>0</v>
      </c>
      <c r="DK219" s="63">
        <v>-151492</v>
      </c>
      <c r="DL219" s="63">
        <v>0</v>
      </c>
      <c r="DM219" s="63">
        <v>-151492</v>
      </c>
      <c r="DN219" s="63">
        <v>67615346</v>
      </c>
      <c r="DO219" s="63">
        <v>0</v>
      </c>
      <c r="DP219" s="63">
        <v>67615346</v>
      </c>
      <c r="DQ219" s="63"/>
      <c r="DR219" s="585"/>
    </row>
    <row r="220" spans="1:122" x14ac:dyDescent="0.2">
      <c r="A220" s="90">
        <v>213</v>
      </c>
      <c r="B220" s="129" t="s">
        <v>285</v>
      </c>
      <c r="C220" s="130" t="s">
        <v>742</v>
      </c>
      <c r="D220" s="131" t="s">
        <v>746</v>
      </c>
      <c r="E220" s="132" t="s">
        <v>284</v>
      </c>
      <c r="F220" s="475" t="s">
        <v>808</v>
      </c>
      <c r="G220" s="63">
        <v>40813025</v>
      </c>
      <c r="H220" s="63">
        <v>0</v>
      </c>
      <c r="I220" s="63">
        <v>40813025</v>
      </c>
      <c r="J220" s="608">
        <v>48.4</v>
      </c>
      <c r="K220" s="63">
        <v>19753504</v>
      </c>
      <c r="L220" s="63">
        <v>0</v>
      </c>
      <c r="M220" s="63">
        <v>-100000</v>
      </c>
      <c r="N220" s="63">
        <v>0</v>
      </c>
      <c r="O220" s="63">
        <v>19653504</v>
      </c>
      <c r="P220" s="63">
        <v>0</v>
      </c>
      <c r="Q220" s="63">
        <v>19653504</v>
      </c>
      <c r="R220" s="63">
        <v>0</v>
      </c>
      <c r="S220" s="63">
        <v>0</v>
      </c>
      <c r="T220" s="63">
        <v>0</v>
      </c>
      <c r="U220" s="63">
        <v>0</v>
      </c>
      <c r="V220" s="63">
        <v>0</v>
      </c>
      <c r="W220" s="63">
        <v>0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0</v>
      </c>
      <c r="AE220" s="63">
        <v>0</v>
      </c>
      <c r="AF220" s="63">
        <v>0</v>
      </c>
      <c r="AG220" s="63">
        <v>0</v>
      </c>
      <c r="AH220" s="63">
        <v>-1733610</v>
      </c>
      <c r="AI220" s="63">
        <v>0</v>
      </c>
      <c r="AJ220" s="63">
        <v>-1733610</v>
      </c>
      <c r="AK220" s="63">
        <v>0</v>
      </c>
      <c r="AL220" s="63">
        <v>0</v>
      </c>
      <c r="AM220" s="63">
        <v>0</v>
      </c>
      <c r="AN220" s="63">
        <v>393066</v>
      </c>
      <c r="AO220" s="63">
        <v>0</v>
      </c>
      <c r="AP220" s="63">
        <v>393066</v>
      </c>
      <c r="AQ220" s="63">
        <v>-1340544</v>
      </c>
      <c r="AR220" s="63">
        <v>0</v>
      </c>
      <c r="AS220" s="63">
        <v>-1340544</v>
      </c>
      <c r="AT220" s="63">
        <v>-1285297</v>
      </c>
      <c r="AU220" s="63">
        <v>0</v>
      </c>
      <c r="AV220" s="63">
        <v>-1285297</v>
      </c>
      <c r="AW220" s="63">
        <v>-13627</v>
      </c>
      <c r="AX220" s="63">
        <v>0</v>
      </c>
      <c r="AY220" s="63">
        <v>-13627</v>
      </c>
      <c r="AZ220" s="63">
        <v>-267</v>
      </c>
      <c r="BA220" s="63">
        <v>0</v>
      </c>
      <c r="BB220" s="63">
        <v>-267</v>
      </c>
      <c r="BC220" s="63">
        <v>-2639735</v>
      </c>
      <c r="BD220" s="63">
        <v>0</v>
      </c>
      <c r="BE220" s="63">
        <v>-100000</v>
      </c>
      <c r="BF220" s="63">
        <v>0</v>
      </c>
      <c r="BG220" s="63">
        <v>-2739735</v>
      </c>
      <c r="BH220" s="63">
        <v>0</v>
      </c>
      <c r="BI220" s="63">
        <v>-2739735</v>
      </c>
      <c r="BJ220" s="63">
        <v>0</v>
      </c>
      <c r="BK220" s="63">
        <v>0</v>
      </c>
      <c r="BL220" s="63">
        <v>0</v>
      </c>
      <c r="BM220" s="63">
        <v>-475569</v>
      </c>
      <c r="BN220" s="63">
        <v>0</v>
      </c>
      <c r="BO220" s="63">
        <v>-475569</v>
      </c>
      <c r="BP220" s="63">
        <v>-475569</v>
      </c>
      <c r="BQ220" s="63">
        <v>0</v>
      </c>
      <c r="BR220" s="63">
        <v>0</v>
      </c>
      <c r="BS220" s="63">
        <v>0</v>
      </c>
      <c r="BT220" s="63">
        <v>-475569</v>
      </c>
      <c r="BU220" s="63">
        <v>0</v>
      </c>
      <c r="BV220" s="63">
        <v>-475569</v>
      </c>
      <c r="BW220" s="63">
        <v>-12342</v>
      </c>
      <c r="BX220" s="63">
        <v>0</v>
      </c>
      <c r="BY220" s="63">
        <v>-12342</v>
      </c>
      <c r="BZ220" s="63">
        <v>0</v>
      </c>
      <c r="CA220" s="63">
        <v>0</v>
      </c>
      <c r="CB220" s="63">
        <v>0</v>
      </c>
      <c r="CC220" s="63">
        <v>-173</v>
      </c>
      <c r="CD220" s="63">
        <v>0</v>
      </c>
      <c r="CE220" s="63">
        <v>-173</v>
      </c>
      <c r="CF220" s="63">
        <v>0</v>
      </c>
      <c r="CG220" s="63">
        <v>0</v>
      </c>
      <c r="CH220" s="63">
        <v>0</v>
      </c>
      <c r="CI220" s="63">
        <v>0</v>
      </c>
      <c r="CJ220" s="63">
        <v>0</v>
      </c>
      <c r="CK220" s="63">
        <v>0</v>
      </c>
      <c r="CL220" s="63">
        <v>0</v>
      </c>
      <c r="CM220" s="63">
        <v>0</v>
      </c>
      <c r="CN220" s="63">
        <v>0</v>
      </c>
      <c r="CO220" s="63">
        <v>0</v>
      </c>
      <c r="CP220" s="63">
        <v>0</v>
      </c>
      <c r="CQ220" s="63">
        <v>-12515</v>
      </c>
      <c r="CR220" s="63">
        <v>0</v>
      </c>
      <c r="CS220" s="63">
        <v>0</v>
      </c>
      <c r="CT220" s="63">
        <v>0</v>
      </c>
      <c r="CU220" s="63">
        <v>-12515</v>
      </c>
      <c r="CV220" s="63">
        <v>0</v>
      </c>
      <c r="CW220" s="63">
        <v>-12515</v>
      </c>
      <c r="CX220" s="63">
        <v>0</v>
      </c>
      <c r="CY220" s="63">
        <v>0</v>
      </c>
      <c r="CZ220" s="63">
        <v>0</v>
      </c>
      <c r="DA220" s="63">
        <v>0</v>
      </c>
      <c r="DB220" s="63">
        <v>0</v>
      </c>
      <c r="DC220" s="63">
        <v>0</v>
      </c>
      <c r="DD220" s="63">
        <v>-6981</v>
      </c>
      <c r="DE220" s="63">
        <v>0</v>
      </c>
      <c r="DF220" s="63">
        <v>-6981</v>
      </c>
      <c r="DG220" s="63">
        <v>-6981</v>
      </c>
      <c r="DH220" s="63">
        <v>0</v>
      </c>
      <c r="DI220" s="63">
        <v>0</v>
      </c>
      <c r="DJ220" s="63">
        <v>0</v>
      </c>
      <c r="DK220" s="63">
        <v>-6981</v>
      </c>
      <c r="DL220" s="63">
        <v>0</v>
      </c>
      <c r="DM220" s="63">
        <v>-6981</v>
      </c>
      <c r="DN220" s="63">
        <v>16418704</v>
      </c>
      <c r="DO220" s="63">
        <v>0</v>
      </c>
      <c r="DP220" s="63">
        <v>16418704</v>
      </c>
      <c r="DQ220" s="63"/>
      <c r="DR220" s="585"/>
    </row>
    <row r="221" spans="1:122" x14ac:dyDescent="0.2">
      <c r="A221" s="90">
        <v>214</v>
      </c>
      <c r="B221" s="129" t="s">
        <v>287</v>
      </c>
      <c r="C221" s="130" t="s">
        <v>742</v>
      </c>
      <c r="D221" s="131" t="s">
        <v>744</v>
      </c>
      <c r="E221" s="132" t="s">
        <v>286</v>
      </c>
      <c r="F221" s="475" t="s">
        <v>808</v>
      </c>
      <c r="G221" s="63">
        <v>36506022</v>
      </c>
      <c r="H221" s="63">
        <v>0</v>
      </c>
      <c r="I221" s="63">
        <v>36506022</v>
      </c>
      <c r="J221" s="608">
        <v>48.4</v>
      </c>
      <c r="K221" s="63">
        <v>17668915</v>
      </c>
      <c r="L221" s="63">
        <v>0</v>
      </c>
      <c r="M221" s="63">
        <v>0</v>
      </c>
      <c r="N221" s="63">
        <v>0</v>
      </c>
      <c r="O221" s="63">
        <v>17668915</v>
      </c>
      <c r="P221" s="63">
        <v>0</v>
      </c>
      <c r="Q221" s="63">
        <v>17668915</v>
      </c>
      <c r="R221" s="63">
        <v>0</v>
      </c>
      <c r="S221" s="63">
        <v>0</v>
      </c>
      <c r="T221" s="63">
        <v>0</v>
      </c>
      <c r="U221" s="63">
        <v>0</v>
      </c>
      <c r="V221" s="63">
        <v>0</v>
      </c>
      <c r="W221" s="63">
        <v>0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63">
        <v>0</v>
      </c>
      <c r="AF221" s="63">
        <v>0</v>
      </c>
      <c r="AG221" s="63">
        <v>0</v>
      </c>
      <c r="AH221" s="63">
        <v>-2068377</v>
      </c>
      <c r="AI221" s="63">
        <v>0</v>
      </c>
      <c r="AJ221" s="63">
        <v>-2068377</v>
      </c>
      <c r="AK221" s="63">
        <v>-4000</v>
      </c>
      <c r="AL221" s="63">
        <v>0</v>
      </c>
      <c r="AM221" s="63">
        <v>-4000</v>
      </c>
      <c r="AN221" s="63">
        <v>355177</v>
      </c>
      <c r="AO221" s="63">
        <v>0</v>
      </c>
      <c r="AP221" s="63">
        <v>355177</v>
      </c>
      <c r="AQ221" s="63">
        <v>-1713200</v>
      </c>
      <c r="AR221" s="63">
        <v>0</v>
      </c>
      <c r="AS221" s="63">
        <v>-1713200</v>
      </c>
      <c r="AT221" s="63">
        <v>-497064</v>
      </c>
      <c r="AU221" s="63">
        <v>0</v>
      </c>
      <c r="AV221" s="63">
        <v>-497064</v>
      </c>
      <c r="AW221" s="63">
        <v>-47102</v>
      </c>
      <c r="AX221" s="63">
        <v>0</v>
      </c>
      <c r="AY221" s="63">
        <v>-47102</v>
      </c>
      <c r="AZ221" s="63">
        <v>0</v>
      </c>
      <c r="BA221" s="63">
        <v>0</v>
      </c>
      <c r="BB221" s="63">
        <v>0</v>
      </c>
      <c r="BC221" s="63">
        <v>-2257366</v>
      </c>
      <c r="BD221" s="63">
        <v>0</v>
      </c>
      <c r="BE221" s="63">
        <v>0</v>
      </c>
      <c r="BF221" s="63">
        <v>0</v>
      </c>
      <c r="BG221" s="63">
        <v>-2257366</v>
      </c>
      <c r="BH221" s="63">
        <v>0</v>
      </c>
      <c r="BI221" s="63">
        <v>-2257366</v>
      </c>
      <c r="BJ221" s="63">
        <v>0</v>
      </c>
      <c r="BK221" s="63">
        <v>0</v>
      </c>
      <c r="BL221" s="63">
        <v>0</v>
      </c>
      <c r="BM221" s="63">
        <v>-542160</v>
      </c>
      <c r="BN221" s="63">
        <v>0</v>
      </c>
      <c r="BO221" s="63">
        <v>-542160</v>
      </c>
      <c r="BP221" s="63">
        <v>-542160</v>
      </c>
      <c r="BQ221" s="63">
        <v>0</v>
      </c>
      <c r="BR221" s="63">
        <v>-65000</v>
      </c>
      <c r="BS221" s="63">
        <v>0</v>
      </c>
      <c r="BT221" s="63">
        <v>-607160</v>
      </c>
      <c r="BU221" s="63">
        <v>0</v>
      </c>
      <c r="BV221" s="63">
        <v>-607160</v>
      </c>
      <c r="BW221" s="63">
        <v>-48652</v>
      </c>
      <c r="BX221" s="63">
        <v>0</v>
      </c>
      <c r="BY221" s="63">
        <v>-48652</v>
      </c>
      <c r="BZ221" s="63">
        <v>-28324</v>
      </c>
      <c r="CA221" s="63">
        <v>0</v>
      </c>
      <c r="CB221" s="63">
        <v>-28324</v>
      </c>
      <c r="CC221" s="63">
        <v>-2804</v>
      </c>
      <c r="CD221" s="63">
        <v>0</v>
      </c>
      <c r="CE221" s="63">
        <v>-2804</v>
      </c>
      <c r="CF221" s="63">
        <v>0</v>
      </c>
      <c r="CG221" s="63">
        <v>0</v>
      </c>
      <c r="CH221" s="63">
        <v>0</v>
      </c>
      <c r="CI221" s="63">
        <v>0</v>
      </c>
      <c r="CJ221" s="63">
        <v>0</v>
      </c>
      <c r="CK221" s="63">
        <v>0</v>
      </c>
      <c r="CL221" s="63">
        <v>0</v>
      </c>
      <c r="CM221" s="63">
        <v>0</v>
      </c>
      <c r="CN221" s="63">
        <v>0</v>
      </c>
      <c r="CO221" s="63">
        <v>0</v>
      </c>
      <c r="CP221" s="63">
        <v>0</v>
      </c>
      <c r="CQ221" s="63">
        <v>-79780</v>
      </c>
      <c r="CR221" s="63">
        <v>0</v>
      </c>
      <c r="CS221" s="63">
        <v>-4000</v>
      </c>
      <c r="CT221" s="63">
        <v>0</v>
      </c>
      <c r="CU221" s="63">
        <v>-83780</v>
      </c>
      <c r="CV221" s="63">
        <v>0</v>
      </c>
      <c r="CW221" s="63">
        <v>-83780</v>
      </c>
      <c r="CX221" s="63">
        <v>0</v>
      </c>
      <c r="CY221" s="63">
        <v>0</v>
      </c>
      <c r="CZ221" s="63">
        <v>0</v>
      </c>
      <c r="DA221" s="63">
        <v>-3000</v>
      </c>
      <c r="DB221" s="63">
        <v>0</v>
      </c>
      <c r="DC221" s="63">
        <v>-3000</v>
      </c>
      <c r="DD221" s="63">
        <v>-4700</v>
      </c>
      <c r="DE221" s="63">
        <v>0</v>
      </c>
      <c r="DF221" s="63">
        <v>-4700</v>
      </c>
      <c r="DG221" s="63">
        <v>-7700</v>
      </c>
      <c r="DH221" s="63">
        <v>0</v>
      </c>
      <c r="DI221" s="63">
        <v>0</v>
      </c>
      <c r="DJ221" s="63">
        <v>0</v>
      </c>
      <c r="DK221" s="63">
        <v>-7700</v>
      </c>
      <c r="DL221" s="63">
        <v>0</v>
      </c>
      <c r="DM221" s="63">
        <v>-7700</v>
      </c>
      <c r="DN221" s="63">
        <v>14712909</v>
      </c>
      <c r="DO221" s="63">
        <v>0</v>
      </c>
      <c r="DP221" s="63">
        <v>14712909</v>
      </c>
      <c r="DQ221" s="63"/>
      <c r="DR221" s="585"/>
    </row>
    <row r="222" spans="1:122" x14ac:dyDescent="0.2">
      <c r="A222" s="90">
        <v>215</v>
      </c>
      <c r="B222" s="129" t="s">
        <v>289</v>
      </c>
      <c r="C222" s="130" t="s">
        <v>742</v>
      </c>
      <c r="D222" s="131" t="s">
        <v>743</v>
      </c>
      <c r="E222" s="132" t="s">
        <v>288</v>
      </c>
      <c r="F222" s="475" t="s">
        <v>808</v>
      </c>
      <c r="G222" s="63">
        <v>48194778</v>
      </c>
      <c r="H222" s="63">
        <v>0</v>
      </c>
      <c r="I222" s="63">
        <v>48194778</v>
      </c>
      <c r="J222" s="608">
        <v>48.4</v>
      </c>
      <c r="K222" s="63">
        <v>23326273</v>
      </c>
      <c r="L222" s="63">
        <v>0</v>
      </c>
      <c r="M222" s="63">
        <v>0</v>
      </c>
      <c r="N222" s="63">
        <v>0</v>
      </c>
      <c r="O222" s="63">
        <v>23326273</v>
      </c>
      <c r="P222" s="63">
        <v>0</v>
      </c>
      <c r="Q222" s="63">
        <v>23326273</v>
      </c>
      <c r="R222" s="63">
        <v>0</v>
      </c>
      <c r="S222" s="63">
        <v>0</v>
      </c>
      <c r="T222" s="63">
        <v>0</v>
      </c>
      <c r="U222" s="63">
        <v>0</v>
      </c>
      <c r="V222" s="63">
        <v>0</v>
      </c>
      <c r="W222" s="63">
        <v>0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0</v>
      </c>
      <c r="AE222" s="63">
        <v>0</v>
      </c>
      <c r="AF222" s="63">
        <v>0</v>
      </c>
      <c r="AG222" s="63">
        <v>0</v>
      </c>
      <c r="AH222" s="63">
        <v>-2968585</v>
      </c>
      <c r="AI222" s="63">
        <v>0</v>
      </c>
      <c r="AJ222" s="63">
        <v>-2968585</v>
      </c>
      <c r="AK222" s="63">
        <v>0</v>
      </c>
      <c r="AL222" s="63">
        <v>0</v>
      </c>
      <c r="AM222" s="63">
        <v>0</v>
      </c>
      <c r="AN222" s="63">
        <v>430744</v>
      </c>
      <c r="AO222" s="63">
        <v>0</v>
      </c>
      <c r="AP222" s="63">
        <v>430744</v>
      </c>
      <c r="AQ222" s="63">
        <v>-2537841</v>
      </c>
      <c r="AR222" s="63">
        <v>0</v>
      </c>
      <c r="AS222" s="63">
        <v>-2537841</v>
      </c>
      <c r="AT222" s="63">
        <v>-2239039</v>
      </c>
      <c r="AU222" s="63">
        <v>0</v>
      </c>
      <c r="AV222" s="63">
        <v>-2239039</v>
      </c>
      <c r="AW222" s="63">
        <v>-69325</v>
      </c>
      <c r="AX222" s="63">
        <v>0</v>
      </c>
      <c r="AY222" s="63">
        <v>-69325</v>
      </c>
      <c r="AZ222" s="63">
        <v>-32988</v>
      </c>
      <c r="BA222" s="63">
        <v>0</v>
      </c>
      <c r="BB222" s="63">
        <v>-32988</v>
      </c>
      <c r="BC222" s="63">
        <v>-4879193</v>
      </c>
      <c r="BD222" s="63">
        <v>0</v>
      </c>
      <c r="BE222" s="63">
        <v>0</v>
      </c>
      <c r="BF222" s="63">
        <v>0</v>
      </c>
      <c r="BG222" s="63">
        <v>-4879193</v>
      </c>
      <c r="BH222" s="63">
        <v>0</v>
      </c>
      <c r="BI222" s="63">
        <v>-4879193</v>
      </c>
      <c r="BJ222" s="63">
        <v>0</v>
      </c>
      <c r="BK222" s="63">
        <v>0</v>
      </c>
      <c r="BL222" s="63">
        <v>0</v>
      </c>
      <c r="BM222" s="63">
        <v>-252707</v>
      </c>
      <c r="BN222" s="63">
        <v>0</v>
      </c>
      <c r="BO222" s="63">
        <v>-252707</v>
      </c>
      <c r="BP222" s="63">
        <v>-252707</v>
      </c>
      <c r="BQ222" s="63">
        <v>0</v>
      </c>
      <c r="BR222" s="63">
        <v>0</v>
      </c>
      <c r="BS222" s="63">
        <v>0</v>
      </c>
      <c r="BT222" s="63">
        <v>-252707</v>
      </c>
      <c r="BU222" s="63">
        <v>0</v>
      </c>
      <c r="BV222" s="63">
        <v>-252707</v>
      </c>
      <c r="BW222" s="63">
        <v>-51797</v>
      </c>
      <c r="BX222" s="63">
        <v>0</v>
      </c>
      <c r="BY222" s="63">
        <v>-51797</v>
      </c>
      <c r="BZ222" s="63">
        <v>0</v>
      </c>
      <c r="CA222" s="63">
        <v>0</v>
      </c>
      <c r="CB222" s="63">
        <v>0</v>
      </c>
      <c r="CC222" s="63">
        <v>-5617</v>
      </c>
      <c r="CD222" s="63">
        <v>0</v>
      </c>
      <c r="CE222" s="63">
        <v>-5617</v>
      </c>
      <c r="CF222" s="63">
        <v>-7418</v>
      </c>
      <c r="CG222" s="63">
        <v>0</v>
      </c>
      <c r="CH222" s="63">
        <v>-7418</v>
      </c>
      <c r="CI222" s="63">
        <v>0</v>
      </c>
      <c r="CJ222" s="63">
        <v>0</v>
      </c>
      <c r="CK222" s="63">
        <v>0</v>
      </c>
      <c r="CL222" s="63">
        <v>0</v>
      </c>
      <c r="CM222" s="63">
        <v>0</v>
      </c>
      <c r="CN222" s="63">
        <v>0</v>
      </c>
      <c r="CO222" s="63">
        <v>0</v>
      </c>
      <c r="CP222" s="63">
        <v>0</v>
      </c>
      <c r="CQ222" s="63">
        <v>-64832</v>
      </c>
      <c r="CR222" s="63">
        <v>0</v>
      </c>
      <c r="CS222" s="63">
        <v>0</v>
      </c>
      <c r="CT222" s="63">
        <v>0</v>
      </c>
      <c r="CU222" s="63">
        <v>-64832</v>
      </c>
      <c r="CV222" s="63">
        <v>0</v>
      </c>
      <c r="CW222" s="63">
        <v>-64832</v>
      </c>
      <c r="CX222" s="63">
        <v>0</v>
      </c>
      <c r="CY222" s="63">
        <v>0</v>
      </c>
      <c r="CZ222" s="63">
        <v>0</v>
      </c>
      <c r="DA222" s="63">
        <v>-8200</v>
      </c>
      <c r="DB222" s="63">
        <v>0</v>
      </c>
      <c r="DC222" s="63">
        <v>-8200</v>
      </c>
      <c r="DD222" s="63">
        <v>-13547</v>
      </c>
      <c r="DE222" s="63">
        <v>0</v>
      </c>
      <c r="DF222" s="63">
        <v>-13547</v>
      </c>
      <c r="DG222" s="63">
        <v>-21747</v>
      </c>
      <c r="DH222" s="63">
        <v>0</v>
      </c>
      <c r="DI222" s="63">
        <v>0</v>
      </c>
      <c r="DJ222" s="63">
        <v>0</v>
      </c>
      <c r="DK222" s="63">
        <v>-21747</v>
      </c>
      <c r="DL222" s="63">
        <v>0</v>
      </c>
      <c r="DM222" s="63">
        <v>-21747</v>
      </c>
      <c r="DN222" s="63">
        <v>18107794</v>
      </c>
      <c r="DO222" s="63">
        <v>0</v>
      </c>
      <c r="DP222" s="63">
        <v>18107794</v>
      </c>
      <c r="DQ222" s="63"/>
      <c r="DR222" s="585"/>
    </row>
    <row r="223" spans="1:122" x14ac:dyDescent="0.2">
      <c r="A223" s="90">
        <v>216</v>
      </c>
      <c r="B223" s="129" t="s">
        <v>291</v>
      </c>
      <c r="C223" s="130" t="s">
        <v>749</v>
      </c>
      <c r="D223" s="131" t="s">
        <v>750</v>
      </c>
      <c r="E223" s="132" t="s">
        <v>290</v>
      </c>
      <c r="F223" s="475" t="s">
        <v>808</v>
      </c>
      <c r="G223" s="63">
        <v>186918183</v>
      </c>
      <c r="H223" s="63">
        <v>1333425</v>
      </c>
      <c r="I223" s="63">
        <v>188251608</v>
      </c>
      <c r="J223" s="608">
        <v>48.4</v>
      </c>
      <c r="K223" s="63">
        <v>90468401</v>
      </c>
      <c r="L223" s="63">
        <v>645378</v>
      </c>
      <c r="M223" s="63">
        <v>-160034</v>
      </c>
      <c r="N223" s="63">
        <v>0</v>
      </c>
      <c r="O223" s="63">
        <v>90308367</v>
      </c>
      <c r="P223" s="63">
        <v>645378</v>
      </c>
      <c r="Q223" s="63">
        <v>90953745</v>
      </c>
      <c r="R223" s="63">
        <v>0</v>
      </c>
      <c r="S223" s="63">
        <v>0</v>
      </c>
      <c r="T223" s="63">
        <v>0</v>
      </c>
      <c r="U223" s="63">
        <v>0</v>
      </c>
      <c r="V223" s="63">
        <v>0</v>
      </c>
      <c r="W223" s="63">
        <v>0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0</v>
      </c>
      <c r="AE223" s="63">
        <v>0</v>
      </c>
      <c r="AF223" s="63">
        <v>0</v>
      </c>
      <c r="AG223" s="63">
        <v>0</v>
      </c>
      <c r="AH223" s="63">
        <v>-5278332</v>
      </c>
      <c r="AI223" s="63">
        <v>-8930</v>
      </c>
      <c r="AJ223" s="63">
        <v>-5287262</v>
      </c>
      <c r="AK223" s="63">
        <v>-15210</v>
      </c>
      <c r="AL223" s="63">
        <v>0</v>
      </c>
      <c r="AM223" s="63">
        <v>-15210</v>
      </c>
      <c r="AN223" s="63">
        <v>2098721</v>
      </c>
      <c r="AO223" s="63">
        <v>0</v>
      </c>
      <c r="AP223" s="63">
        <v>2098721</v>
      </c>
      <c r="AQ223" s="63">
        <v>-3179611</v>
      </c>
      <c r="AR223" s="63">
        <v>-8930</v>
      </c>
      <c r="AS223" s="63">
        <v>-3188541</v>
      </c>
      <c r="AT223" s="63">
        <v>-4406291</v>
      </c>
      <c r="AU223" s="63">
        <v>-110358</v>
      </c>
      <c r="AV223" s="63">
        <v>-4516649</v>
      </c>
      <c r="AW223" s="63">
        <v>-14555</v>
      </c>
      <c r="AX223" s="63">
        <v>0</v>
      </c>
      <c r="AY223" s="63">
        <v>-14555</v>
      </c>
      <c r="AZ223" s="63">
        <v>-13469</v>
      </c>
      <c r="BA223" s="63">
        <v>0</v>
      </c>
      <c r="BB223" s="63">
        <v>-13469</v>
      </c>
      <c r="BC223" s="63">
        <v>-7613926</v>
      </c>
      <c r="BD223" s="63">
        <v>-119288</v>
      </c>
      <c r="BE223" s="63">
        <v>-500000</v>
      </c>
      <c r="BF223" s="63">
        <v>0</v>
      </c>
      <c r="BG223" s="63">
        <v>-8113926</v>
      </c>
      <c r="BH223" s="63">
        <v>-119288</v>
      </c>
      <c r="BI223" s="63">
        <v>-8233214</v>
      </c>
      <c r="BJ223" s="63">
        <v>-66346</v>
      </c>
      <c r="BK223" s="63">
        <v>0</v>
      </c>
      <c r="BL223" s="63">
        <v>-66346</v>
      </c>
      <c r="BM223" s="63">
        <v>-2124652</v>
      </c>
      <c r="BN223" s="63">
        <v>0</v>
      </c>
      <c r="BO223" s="63">
        <v>-2124652</v>
      </c>
      <c r="BP223" s="63">
        <v>-2190998</v>
      </c>
      <c r="BQ223" s="63">
        <v>0</v>
      </c>
      <c r="BR223" s="63">
        <v>0</v>
      </c>
      <c r="BS223" s="63">
        <v>0</v>
      </c>
      <c r="BT223" s="63">
        <v>-2190998</v>
      </c>
      <c r="BU223" s="63">
        <v>0</v>
      </c>
      <c r="BV223" s="63">
        <v>-2190998</v>
      </c>
      <c r="BW223" s="63">
        <v>-92428</v>
      </c>
      <c r="BX223" s="63">
        <v>0</v>
      </c>
      <c r="BY223" s="63">
        <v>-92428</v>
      </c>
      <c r="BZ223" s="63">
        <v>-641029</v>
      </c>
      <c r="CA223" s="63">
        <v>0</v>
      </c>
      <c r="CB223" s="63">
        <v>-641029</v>
      </c>
      <c r="CC223" s="63">
        <v>-3639</v>
      </c>
      <c r="CD223" s="63">
        <v>0</v>
      </c>
      <c r="CE223" s="63">
        <v>-3639</v>
      </c>
      <c r="CF223" s="63">
        <v>0</v>
      </c>
      <c r="CG223" s="63">
        <v>0</v>
      </c>
      <c r="CH223" s="63">
        <v>0</v>
      </c>
      <c r="CI223" s="63">
        <v>0</v>
      </c>
      <c r="CJ223" s="63">
        <v>0</v>
      </c>
      <c r="CK223" s="63">
        <v>0</v>
      </c>
      <c r="CL223" s="63">
        <v>-12140</v>
      </c>
      <c r="CM223" s="63">
        <v>-356453</v>
      </c>
      <c r="CN223" s="63">
        <v>-368593</v>
      </c>
      <c r="CO223" s="63">
        <v>-356453</v>
      </c>
      <c r="CP223" s="63">
        <v>0</v>
      </c>
      <c r="CQ223" s="63">
        <v>-749236</v>
      </c>
      <c r="CR223" s="63">
        <v>-356453</v>
      </c>
      <c r="CS223" s="63">
        <v>0</v>
      </c>
      <c r="CT223" s="63">
        <v>0</v>
      </c>
      <c r="CU223" s="63">
        <v>-749236</v>
      </c>
      <c r="CV223" s="63">
        <v>-356453</v>
      </c>
      <c r="CW223" s="63">
        <v>-1105689</v>
      </c>
      <c r="CX223" s="63">
        <v>-18950</v>
      </c>
      <c r="CY223" s="63">
        <v>0</v>
      </c>
      <c r="CZ223" s="63">
        <v>-18950</v>
      </c>
      <c r="DA223" s="63">
        <v>-167972</v>
      </c>
      <c r="DB223" s="63">
        <v>0</v>
      </c>
      <c r="DC223" s="63">
        <v>-167972</v>
      </c>
      <c r="DD223" s="63">
        <v>-5874</v>
      </c>
      <c r="DE223" s="63">
        <v>0</v>
      </c>
      <c r="DF223" s="63">
        <v>-5874</v>
      </c>
      <c r="DG223" s="63">
        <v>-192796</v>
      </c>
      <c r="DH223" s="63">
        <v>0</v>
      </c>
      <c r="DI223" s="63">
        <v>0</v>
      </c>
      <c r="DJ223" s="63">
        <v>0</v>
      </c>
      <c r="DK223" s="63">
        <v>-192796</v>
      </c>
      <c r="DL223" s="63">
        <v>0</v>
      </c>
      <c r="DM223" s="63">
        <v>-192796</v>
      </c>
      <c r="DN223" s="63">
        <v>79061411</v>
      </c>
      <c r="DO223" s="63">
        <v>169637</v>
      </c>
      <c r="DP223" s="63">
        <v>79231048</v>
      </c>
      <c r="DQ223" s="63"/>
      <c r="DR223" s="585" t="s">
        <v>768</v>
      </c>
    </row>
    <row r="224" spans="1:122" x14ac:dyDescent="0.2">
      <c r="A224" s="90">
        <v>217</v>
      </c>
      <c r="B224" s="129" t="s">
        <v>293</v>
      </c>
      <c r="C224" s="130" t="s">
        <v>742</v>
      </c>
      <c r="D224" s="131" t="s">
        <v>752</v>
      </c>
      <c r="E224" s="132" t="s">
        <v>292</v>
      </c>
      <c r="F224" s="475" t="s">
        <v>808</v>
      </c>
      <c r="G224" s="63">
        <v>109933954</v>
      </c>
      <c r="H224" s="63">
        <v>0</v>
      </c>
      <c r="I224" s="63">
        <v>109933954</v>
      </c>
      <c r="J224" s="608">
        <v>48.4</v>
      </c>
      <c r="K224" s="63">
        <v>53208034</v>
      </c>
      <c r="L224" s="63">
        <v>0</v>
      </c>
      <c r="M224" s="63">
        <v>1966502</v>
      </c>
      <c r="N224" s="63">
        <v>0</v>
      </c>
      <c r="O224" s="63">
        <v>55174536</v>
      </c>
      <c r="P224" s="63">
        <v>0</v>
      </c>
      <c r="Q224" s="63">
        <v>55174536</v>
      </c>
      <c r="R224" s="63">
        <v>0</v>
      </c>
      <c r="S224" s="63">
        <v>0</v>
      </c>
      <c r="T224" s="63">
        <v>0</v>
      </c>
      <c r="U224" s="63">
        <v>0</v>
      </c>
      <c r="V224" s="63">
        <v>0</v>
      </c>
      <c r="W224" s="63">
        <v>0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0</v>
      </c>
      <c r="AE224" s="63">
        <v>0</v>
      </c>
      <c r="AF224" s="63">
        <v>0</v>
      </c>
      <c r="AG224" s="63">
        <v>0</v>
      </c>
      <c r="AH224" s="63">
        <v>-1885539</v>
      </c>
      <c r="AI224" s="63">
        <v>0</v>
      </c>
      <c r="AJ224" s="63">
        <v>-1885539</v>
      </c>
      <c r="AK224" s="63">
        <v>0</v>
      </c>
      <c r="AL224" s="63">
        <v>0</v>
      </c>
      <c r="AM224" s="63">
        <v>0</v>
      </c>
      <c r="AN224" s="63">
        <v>1280824</v>
      </c>
      <c r="AO224" s="63">
        <v>0</v>
      </c>
      <c r="AP224" s="63">
        <v>1280824</v>
      </c>
      <c r="AQ224" s="63">
        <v>-604715</v>
      </c>
      <c r="AR224" s="63">
        <v>0</v>
      </c>
      <c r="AS224" s="63">
        <v>-604715</v>
      </c>
      <c r="AT224" s="63">
        <v>-2789533</v>
      </c>
      <c r="AU224" s="63">
        <v>0</v>
      </c>
      <c r="AV224" s="63">
        <v>-2789533</v>
      </c>
      <c r="AW224" s="63">
        <v>-75882</v>
      </c>
      <c r="AX224" s="63">
        <v>0</v>
      </c>
      <c r="AY224" s="63">
        <v>-75882</v>
      </c>
      <c r="AZ224" s="63">
        <v>-12541</v>
      </c>
      <c r="BA224" s="63">
        <v>0</v>
      </c>
      <c r="BB224" s="63">
        <v>-12541</v>
      </c>
      <c r="BC224" s="63">
        <v>-3482671</v>
      </c>
      <c r="BD224" s="63">
        <v>0</v>
      </c>
      <c r="BE224" s="63">
        <v>52819</v>
      </c>
      <c r="BF224" s="63">
        <v>0</v>
      </c>
      <c r="BG224" s="63">
        <v>-3429852</v>
      </c>
      <c r="BH224" s="63">
        <v>0</v>
      </c>
      <c r="BI224" s="63">
        <v>-3429852</v>
      </c>
      <c r="BJ224" s="63">
        <v>-200000</v>
      </c>
      <c r="BK224" s="63">
        <v>0</v>
      </c>
      <c r="BL224" s="63">
        <v>-200000</v>
      </c>
      <c r="BM224" s="63">
        <v>-2265725</v>
      </c>
      <c r="BN224" s="63">
        <v>0</v>
      </c>
      <c r="BO224" s="63">
        <v>-2265725</v>
      </c>
      <c r="BP224" s="63">
        <v>-2465725</v>
      </c>
      <c r="BQ224" s="63">
        <v>0</v>
      </c>
      <c r="BR224" s="63">
        <v>0</v>
      </c>
      <c r="BS224" s="63">
        <v>0</v>
      </c>
      <c r="BT224" s="63">
        <v>-2465725</v>
      </c>
      <c r="BU224" s="63">
        <v>0</v>
      </c>
      <c r="BV224" s="63">
        <v>-2465725</v>
      </c>
      <c r="BW224" s="63">
        <v>-94973</v>
      </c>
      <c r="BX224" s="63">
        <v>0</v>
      </c>
      <c r="BY224" s="63">
        <v>-94973</v>
      </c>
      <c r="BZ224" s="63">
        <v>-24871</v>
      </c>
      <c r="CA224" s="63">
        <v>0</v>
      </c>
      <c r="CB224" s="63">
        <v>-24871</v>
      </c>
      <c r="CC224" s="63">
        <v>0</v>
      </c>
      <c r="CD224" s="63">
        <v>0</v>
      </c>
      <c r="CE224" s="63">
        <v>0</v>
      </c>
      <c r="CF224" s="63">
        <v>0</v>
      </c>
      <c r="CG224" s="63">
        <v>0</v>
      </c>
      <c r="CH224" s="63">
        <v>0</v>
      </c>
      <c r="CI224" s="63">
        <v>0</v>
      </c>
      <c r="CJ224" s="63">
        <v>0</v>
      </c>
      <c r="CK224" s="63">
        <v>0</v>
      </c>
      <c r="CL224" s="63">
        <v>0</v>
      </c>
      <c r="CM224" s="63">
        <v>0</v>
      </c>
      <c r="CN224" s="63">
        <v>0</v>
      </c>
      <c r="CO224" s="63">
        <v>0</v>
      </c>
      <c r="CP224" s="63">
        <v>0</v>
      </c>
      <c r="CQ224" s="63">
        <v>-119844</v>
      </c>
      <c r="CR224" s="63">
        <v>0</v>
      </c>
      <c r="CS224" s="63">
        <v>0</v>
      </c>
      <c r="CT224" s="63">
        <v>0</v>
      </c>
      <c r="CU224" s="63">
        <v>-119844</v>
      </c>
      <c r="CV224" s="63">
        <v>0</v>
      </c>
      <c r="CW224" s="63">
        <v>-119844</v>
      </c>
      <c r="CX224" s="63">
        <v>-248997</v>
      </c>
      <c r="CY224" s="63">
        <v>0</v>
      </c>
      <c r="CZ224" s="63">
        <v>-248997</v>
      </c>
      <c r="DA224" s="63">
        <v>-4054</v>
      </c>
      <c r="DB224" s="63">
        <v>0</v>
      </c>
      <c r="DC224" s="63">
        <v>-4054</v>
      </c>
      <c r="DD224" s="63">
        <v>0</v>
      </c>
      <c r="DE224" s="63">
        <v>0</v>
      </c>
      <c r="DF224" s="63">
        <v>0</v>
      </c>
      <c r="DG224" s="63">
        <v>-253051</v>
      </c>
      <c r="DH224" s="63">
        <v>0</v>
      </c>
      <c r="DI224" s="63">
        <v>0</v>
      </c>
      <c r="DJ224" s="63">
        <v>0</v>
      </c>
      <c r="DK224" s="63">
        <v>-253051</v>
      </c>
      <c r="DL224" s="63">
        <v>0</v>
      </c>
      <c r="DM224" s="63">
        <v>-253051</v>
      </c>
      <c r="DN224" s="63">
        <v>48906064</v>
      </c>
      <c r="DO224" s="63">
        <v>0</v>
      </c>
      <c r="DP224" s="63">
        <v>48906064</v>
      </c>
      <c r="DQ224" s="63"/>
      <c r="DR224" s="585"/>
    </row>
    <row r="225" spans="1:122" x14ac:dyDescent="0.2">
      <c r="A225" s="90">
        <v>218</v>
      </c>
      <c r="B225" s="129" t="s">
        <v>295</v>
      </c>
      <c r="C225" s="130" t="s">
        <v>742</v>
      </c>
      <c r="D225" s="131" t="s">
        <v>743</v>
      </c>
      <c r="E225" s="132" t="s">
        <v>294</v>
      </c>
      <c r="F225" s="475" t="s">
        <v>808</v>
      </c>
      <c r="G225" s="63">
        <v>104971745</v>
      </c>
      <c r="H225" s="63">
        <v>0</v>
      </c>
      <c r="I225" s="63">
        <v>104971745</v>
      </c>
      <c r="J225" s="608">
        <v>48.4</v>
      </c>
      <c r="K225" s="63">
        <v>50806325</v>
      </c>
      <c r="L225" s="63">
        <v>0</v>
      </c>
      <c r="M225" s="63">
        <v>0</v>
      </c>
      <c r="N225" s="63">
        <v>0</v>
      </c>
      <c r="O225" s="63">
        <v>50806325</v>
      </c>
      <c r="P225" s="63">
        <v>0</v>
      </c>
      <c r="Q225" s="63">
        <v>50806325</v>
      </c>
      <c r="R225" s="63">
        <v>0</v>
      </c>
      <c r="S225" s="63">
        <v>0</v>
      </c>
      <c r="T225" s="63">
        <v>0</v>
      </c>
      <c r="U225" s="63">
        <v>0</v>
      </c>
      <c r="V225" s="63">
        <v>0</v>
      </c>
      <c r="W225" s="63">
        <v>0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63">
        <v>0</v>
      </c>
      <c r="AF225" s="63">
        <v>0</v>
      </c>
      <c r="AG225" s="63">
        <v>0</v>
      </c>
      <c r="AH225" s="63">
        <v>-1286837</v>
      </c>
      <c r="AI225" s="63">
        <v>0</v>
      </c>
      <c r="AJ225" s="63">
        <v>-1286837</v>
      </c>
      <c r="AK225" s="63">
        <v>0</v>
      </c>
      <c r="AL225" s="63">
        <v>0</v>
      </c>
      <c r="AM225" s="63">
        <v>0</v>
      </c>
      <c r="AN225" s="63">
        <v>1250065</v>
      </c>
      <c r="AO225" s="63">
        <v>0</v>
      </c>
      <c r="AP225" s="63">
        <v>1250065</v>
      </c>
      <c r="AQ225" s="63">
        <v>-36772</v>
      </c>
      <c r="AR225" s="63">
        <v>0</v>
      </c>
      <c r="AS225" s="63">
        <v>-36772</v>
      </c>
      <c r="AT225" s="63">
        <v>-3111838</v>
      </c>
      <c r="AU225" s="63">
        <v>0</v>
      </c>
      <c r="AV225" s="63">
        <v>-3111838</v>
      </c>
      <c r="AW225" s="63">
        <v>-37943</v>
      </c>
      <c r="AX225" s="63">
        <v>0</v>
      </c>
      <c r="AY225" s="63">
        <v>-37943</v>
      </c>
      <c r="AZ225" s="63">
        <v>-1694</v>
      </c>
      <c r="BA225" s="63">
        <v>0</v>
      </c>
      <c r="BB225" s="63">
        <v>-1694</v>
      </c>
      <c r="BC225" s="63">
        <v>-3188247</v>
      </c>
      <c r="BD225" s="63">
        <v>0</v>
      </c>
      <c r="BE225" s="63">
        <v>0</v>
      </c>
      <c r="BF225" s="63">
        <v>0</v>
      </c>
      <c r="BG225" s="63">
        <v>-3188247</v>
      </c>
      <c r="BH225" s="63">
        <v>0</v>
      </c>
      <c r="BI225" s="63">
        <v>-3188247</v>
      </c>
      <c r="BJ225" s="63">
        <v>-5000</v>
      </c>
      <c r="BK225" s="63">
        <v>0</v>
      </c>
      <c r="BL225" s="63">
        <v>-5000</v>
      </c>
      <c r="BM225" s="63">
        <v>-1352913</v>
      </c>
      <c r="BN225" s="63">
        <v>0</v>
      </c>
      <c r="BO225" s="63">
        <v>-1352913</v>
      </c>
      <c r="BP225" s="63">
        <v>-1357913</v>
      </c>
      <c r="BQ225" s="63">
        <v>0</v>
      </c>
      <c r="BR225" s="63">
        <v>0</v>
      </c>
      <c r="BS225" s="63">
        <v>0</v>
      </c>
      <c r="BT225" s="63">
        <v>-1357913</v>
      </c>
      <c r="BU225" s="63">
        <v>0</v>
      </c>
      <c r="BV225" s="63">
        <v>-1357913</v>
      </c>
      <c r="BW225" s="63">
        <v>-20506</v>
      </c>
      <c r="BX225" s="63">
        <v>0</v>
      </c>
      <c r="BY225" s="63">
        <v>-20506</v>
      </c>
      <c r="BZ225" s="63">
        <v>-3497</v>
      </c>
      <c r="CA225" s="63">
        <v>0</v>
      </c>
      <c r="CB225" s="63">
        <v>-3497</v>
      </c>
      <c r="CC225" s="63">
        <v>0</v>
      </c>
      <c r="CD225" s="63">
        <v>0</v>
      </c>
      <c r="CE225" s="63">
        <v>0</v>
      </c>
      <c r="CF225" s="63">
        <v>-2668</v>
      </c>
      <c r="CG225" s="63">
        <v>0</v>
      </c>
      <c r="CH225" s="63">
        <v>-2668</v>
      </c>
      <c r="CI225" s="63">
        <v>0</v>
      </c>
      <c r="CJ225" s="63">
        <v>0</v>
      </c>
      <c r="CK225" s="63">
        <v>0</v>
      </c>
      <c r="CL225" s="63">
        <v>0</v>
      </c>
      <c r="CM225" s="63">
        <v>0</v>
      </c>
      <c r="CN225" s="63">
        <v>0</v>
      </c>
      <c r="CO225" s="63">
        <v>0</v>
      </c>
      <c r="CP225" s="63">
        <v>0</v>
      </c>
      <c r="CQ225" s="63">
        <v>-26671</v>
      </c>
      <c r="CR225" s="63">
        <v>0</v>
      </c>
      <c r="CS225" s="63">
        <v>0</v>
      </c>
      <c r="CT225" s="63">
        <v>0</v>
      </c>
      <c r="CU225" s="63">
        <v>-26671</v>
      </c>
      <c r="CV225" s="63">
        <v>0</v>
      </c>
      <c r="CW225" s="63">
        <v>-26671</v>
      </c>
      <c r="CX225" s="63">
        <v>0</v>
      </c>
      <c r="CY225" s="63">
        <v>0</v>
      </c>
      <c r="CZ225" s="63">
        <v>0</v>
      </c>
      <c r="DA225" s="63">
        <v>0</v>
      </c>
      <c r="DB225" s="63">
        <v>0</v>
      </c>
      <c r="DC225" s="63">
        <v>0</v>
      </c>
      <c r="DD225" s="63">
        <v>0</v>
      </c>
      <c r="DE225" s="63">
        <v>0</v>
      </c>
      <c r="DF225" s="63">
        <v>0</v>
      </c>
      <c r="DG225" s="63">
        <v>0</v>
      </c>
      <c r="DH225" s="63">
        <v>0</v>
      </c>
      <c r="DI225" s="63">
        <v>0</v>
      </c>
      <c r="DJ225" s="63">
        <v>0</v>
      </c>
      <c r="DK225" s="63">
        <v>0</v>
      </c>
      <c r="DL225" s="63">
        <v>0</v>
      </c>
      <c r="DM225" s="63">
        <v>0</v>
      </c>
      <c r="DN225" s="63">
        <v>46233494</v>
      </c>
      <c r="DO225" s="63">
        <v>0</v>
      </c>
      <c r="DP225" s="63">
        <v>46233494</v>
      </c>
      <c r="DQ225" s="63"/>
      <c r="DR225" s="585"/>
    </row>
    <row r="226" spans="1:122" x14ac:dyDescent="0.2">
      <c r="A226" s="90">
        <v>219</v>
      </c>
      <c r="B226" s="129" t="s">
        <v>297</v>
      </c>
      <c r="C226" s="130" t="s">
        <v>742</v>
      </c>
      <c r="D226" s="131" t="s">
        <v>745</v>
      </c>
      <c r="E226" s="132" t="s">
        <v>296</v>
      </c>
      <c r="F226" s="475" t="s">
        <v>808</v>
      </c>
      <c r="G226" s="63">
        <v>69593967</v>
      </c>
      <c r="H226" s="63">
        <v>0</v>
      </c>
      <c r="I226" s="63">
        <v>69593967</v>
      </c>
      <c r="J226" s="608">
        <v>48.4</v>
      </c>
      <c r="K226" s="63">
        <v>33683480</v>
      </c>
      <c r="L226" s="63">
        <v>0</v>
      </c>
      <c r="M226" s="63">
        <v>168417</v>
      </c>
      <c r="N226" s="63">
        <v>0</v>
      </c>
      <c r="O226" s="63">
        <v>33851897</v>
      </c>
      <c r="P226" s="63">
        <v>0</v>
      </c>
      <c r="Q226" s="63">
        <v>33851897</v>
      </c>
      <c r="R226" s="63">
        <v>0</v>
      </c>
      <c r="S226" s="63">
        <v>0</v>
      </c>
      <c r="T226" s="63">
        <v>0</v>
      </c>
      <c r="U226" s="63">
        <v>0</v>
      </c>
      <c r="V226" s="63">
        <v>0</v>
      </c>
      <c r="W226" s="63">
        <v>0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0</v>
      </c>
      <c r="AE226" s="63">
        <v>0</v>
      </c>
      <c r="AF226" s="63">
        <v>0</v>
      </c>
      <c r="AG226" s="63">
        <v>0</v>
      </c>
      <c r="AH226" s="63">
        <v>-1980469</v>
      </c>
      <c r="AI226" s="63">
        <v>0</v>
      </c>
      <c r="AJ226" s="63">
        <v>-1980469</v>
      </c>
      <c r="AK226" s="63">
        <v>-12463</v>
      </c>
      <c r="AL226" s="63">
        <v>0</v>
      </c>
      <c r="AM226" s="63">
        <v>-12463</v>
      </c>
      <c r="AN226" s="63">
        <v>764363</v>
      </c>
      <c r="AO226" s="63">
        <v>0</v>
      </c>
      <c r="AP226" s="63">
        <v>764363</v>
      </c>
      <c r="AQ226" s="63">
        <v>-1216106</v>
      </c>
      <c r="AR226" s="63">
        <v>0</v>
      </c>
      <c r="AS226" s="63">
        <v>-1216106</v>
      </c>
      <c r="AT226" s="63">
        <v>-2743766</v>
      </c>
      <c r="AU226" s="63">
        <v>0</v>
      </c>
      <c r="AV226" s="63">
        <v>-2743766</v>
      </c>
      <c r="AW226" s="63">
        <v>-89647</v>
      </c>
      <c r="AX226" s="63">
        <v>0</v>
      </c>
      <c r="AY226" s="63">
        <v>-89647</v>
      </c>
      <c r="AZ226" s="63">
        <v>-5918</v>
      </c>
      <c r="BA226" s="63">
        <v>0</v>
      </c>
      <c r="BB226" s="63">
        <v>-5918</v>
      </c>
      <c r="BC226" s="63">
        <v>-4055437</v>
      </c>
      <c r="BD226" s="63">
        <v>0</v>
      </c>
      <c r="BE226" s="63">
        <v>-293228</v>
      </c>
      <c r="BF226" s="63">
        <v>0</v>
      </c>
      <c r="BG226" s="63">
        <v>-4348665</v>
      </c>
      <c r="BH226" s="63">
        <v>0</v>
      </c>
      <c r="BI226" s="63">
        <v>-4348665</v>
      </c>
      <c r="BJ226" s="63">
        <v>0</v>
      </c>
      <c r="BK226" s="63">
        <v>0</v>
      </c>
      <c r="BL226" s="63">
        <v>0</v>
      </c>
      <c r="BM226" s="63">
        <v>-230476</v>
      </c>
      <c r="BN226" s="63">
        <v>0</v>
      </c>
      <c r="BO226" s="63">
        <v>-230476</v>
      </c>
      <c r="BP226" s="63">
        <v>-230476</v>
      </c>
      <c r="BQ226" s="63">
        <v>0</v>
      </c>
      <c r="BR226" s="63">
        <v>0</v>
      </c>
      <c r="BS226" s="63">
        <v>0</v>
      </c>
      <c r="BT226" s="63">
        <v>-230476</v>
      </c>
      <c r="BU226" s="63">
        <v>0</v>
      </c>
      <c r="BV226" s="63">
        <v>-230476</v>
      </c>
      <c r="BW226" s="63">
        <v>-20569</v>
      </c>
      <c r="BX226" s="63">
        <v>0</v>
      </c>
      <c r="BY226" s="63">
        <v>-20569</v>
      </c>
      <c r="BZ226" s="63">
        <v>-314238</v>
      </c>
      <c r="CA226" s="63">
        <v>0</v>
      </c>
      <c r="CB226" s="63">
        <v>-314238</v>
      </c>
      <c r="CC226" s="63">
        <v>0</v>
      </c>
      <c r="CD226" s="63">
        <v>0</v>
      </c>
      <c r="CE226" s="63">
        <v>0</v>
      </c>
      <c r="CF226" s="63">
        <v>-447</v>
      </c>
      <c r="CG226" s="63">
        <v>0</v>
      </c>
      <c r="CH226" s="63">
        <v>-447</v>
      </c>
      <c r="CI226" s="63">
        <v>-882</v>
      </c>
      <c r="CJ226" s="63">
        <v>0</v>
      </c>
      <c r="CK226" s="63">
        <v>-882</v>
      </c>
      <c r="CL226" s="63">
        <v>0</v>
      </c>
      <c r="CM226" s="63">
        <v>0</v>
      </c>
      <c r="CN226" s="63">
        <v>0</v>
      </c>
      <c r="CO226" s="63">
        <v>0</v>
      </c>
      <c r="CP226" s="63">
        <v>0</v>
      </c>
      <c r="CQ226" s="63">
        <v>-336136</v>
      </c>
      <c r="CR226" s="63">
        <v>0</v>
      </c>
      <c r="CS226" s="63">
        <v>0</v>
      </c>
      <c r="CT226" s="63">
        <v>0</v>
      </c>
      <c r="CU226" s="63">
        <v>-336136</v>
      </c>
      <c r="CV226" s="63">
        <v>0</v>
      </c>
      <c r="CW226" s="63">
        <v>-336136</v>
      </c>
      <c r="CX226" s="63">
        <v>-10000</v>
      </c>
      <c r="CY226" s="63">
        <v>0</v>
      </c>
      <c r="CZ226" s="63">
        <v>-10000</v>
      </c>
      <c r="DA226" s="63">
        <v>-10000</v>
      </c>
      <c r="DB226" s="63">
        <v>0</v>
      </c>
      <c r="DC226" s="63">
        <v>-10000</v>
      </c>
      <c r="DD226" s="63">
        <v>-2692</v>
      </c>
      <c r="DE226" s="63">
        <v>0</v>
      </c>
      <c r="DF226" s="63">
        <v>-2692</v>
      </c>
      <c r="DG226" s="63">
        <v>-22692</v>
      </c>
      <c r="DH226" s="63">
        <v>0</v>
      </c>
      <c r="DI226" s="63">
        <v>0</v>
      </c>
      <c r="DJ226" s="63">
        <v>0</v>
      </c>
      <c r="DK226" s="63">
        <v>-22692</v>
      </c>
      <c r="DL226" s="63">
        <v>0</v>
      </c>
      <c r="DM226" s="63">
        <v>-22692</v>
      </c>
      <c r="DN226" s="63">
        <v>28913928</v>
      </c>
      <c r="DO226" s="63">
        <v>0</v>
      </c>
      <c r="DP226" s="63">
        <v>28913928</v>
      </c>
      <c r="DQ226" s="63"/>
      <c r="DR226" s="585"/>
    </row>
    <row r="227" spans="1:122" x14ac:dyDescent="0.2">
      <c r="A227" s="90">
        <v>220</v>
      </c>
      <c r="B227" s="129" t="s">
        <v>299</v>
      </c>
      <c r="C227" s="130" t="s">
        <v>742</v>
      </c>
      <c r="D227" s="131" t="s">
        <v>743</v>
      </c>
      <c r="E227" s="132" t="s">
        <v>298</v>
      </c>
      <c r="F227" s="475" t="s">
        <v>808</v>
      </c>
      <c r="G227" s="63">
        <v>108463375</v>
      </c>
      <c r="H227" s="63">
        <v>0</v>
      </c>
      <c r="I227" s="63">
        <v>108463375</v>
      </c>
      <c r="J227" s="608">
        <v>48.4</v>
      </c>
      <c r="K227" s="63">
        <v>52496274</v>
      </c>
      <c r="L227" s="63">
        <v>0</v>
      </c>
      <c r="M227" s="63">
        <v>652000</v>
      </c>
      <c r="N227" s="63">
        <v>0</v>
      </c>
      <c r="O227" s="63">
        <v>53148274</v>
      </c>
      <c r="P227" s="63">
        <v>0</v>
      </c>
      <c r="Q227" s="63">
        <v>53148274</v>
      </c>
      <c r="R227" s="63">
        <v>0</v>
      </c>
      <c r="S227" s="63">
        <v>0</v>
      </c>
      <c r="T227" s="63">
        <v>0</v>
      </c>
      <c r="U227" s="63">
        <v>0</v>
      </c>
      <c r="V227" s="63">
        <v>0</v>
      </c>
      <c r="W227" s="63">
        <v>0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63">
        <v>0</v>
      </c>
      <c r="AF227" s="63">
        <v>0</v>
      </c>
      <c r="AG227" s="63">
        <v>0</v>
      </c>
      <c r="AH227" s="63">
        <v>-1256033</v>
      </c>
      <c r="AI227" s="63">
        <v>0</v>
      </c>
      <c r="AJ227" s="63">
        <v>-1256033</v>
      </c>
      <c r="AK227" s="63">
        <v>-4162</v>
      </c>
      <c r="AL227" s="63">
        <v>0</v>
      </c>
      <c r="AM227" s="63">
        <v>-4162</v>
      </c>
      <c r="AN227" s="63">
        <v>1289464</v>
      </c>
      <c r="AO227" s="63">
        <v>0</v>
      </c>
      <c r="AP227" s="63">
        <v>1289464</v>
      </c>
      <c r="AQ227" s="63">
        <v>33431</v>
      </c>
      <c r="AR227" s="63">
        <v>0</v>
      </c>
      <c r="AS227" s="63">
        <v>33431</v>
      </c>
      <c r="AT227" s="63">
        <v>-1620031</v>
      </c>
      <c r="AU227" s="63">
        <v>0</v>
      </c>
      <c r="AV227" s="63">
        <v>-1620031</v>
      </c>
      <c r="AW227" s="63">
        <v>-15785</v>
      </c>
      <c r="AX227" s="63">
        <v>0</v>
      </c>
      <c r="AY227" s="63">
        <v>-15785</v>
      </c>
      <c r="AZ227" s="63">
        <v>0</v>
      </c>
      <c r="BA227" s="63">
        <v>0</v>
      </c>
      <c r="BB227" s="63">
        <v>0</v>
      </c>
      <c r="BC227" s="63">
        <v>-1602385</v>
      </c>
      <c r="BD227" s="63">
        <v>0</v>
      </c>
      <c r="BE227" s="63">
        <v>0</v>
      </c>
      <c r="BF227" s="63">
        <v>0</v>
      </c>
      <c r="BG227" s="63">
        <v>-1602385</v>
      </c>
      <c r="BH227" s="63">
        <v>0</v>
      </c>
      <c r="BI227" s="63">
        <v>-1602385</v>
      </c>
      <c r="BJ227" s="63">
        <v>-257282</v>
      </c>
      <c r="BK227" s="63">
        <v>0</v>
      </c>
      <c r="BL227" s="63">
        <v>-257282</v>
      </c>
      <c r="BM227" s="63">
        <v>-1540176</v>
      </c>
      <c r="BN227" s="63">
        <v>0</v>
      </c>
      <c r="BO227" s="63">
        <v>-1540176</v>
      </c>
      <c r="BP227" s="63">
        <v>-1797458</v>
      </c>
      <c r="BQ227" s="63">
        <v>0</v>
      </c>
      <c r="BR227" s="63">
        <v>0</v>
      </c>
      <c r="BS227" s="63">
        <v>0</v>
      </c>
      <c r="BT227" s="63">
        <v>-1797458</v>
      </c>
      <c r="BU227" s="63">
        <v>0</v>
      </c>
      <c r="BV227" s="63">
        <v>-1797458</v>
      </c>
      <c r="BW227" s="63">
        <v>-65848</v>
      </c>
      <c r="BX227" s="63">
        <v>0</v>
      </c>
      <c r="BY227" s="63">
        <v>-65848</v>
      </c>
      <c r="BZ227" s="63">
        <v>-313662</v>
      </c>
      <c r="CA227" s="63">
        <v>0</v>
      </c>
      <c r="CB227" s="63">
        <v>-313662</v>
      </c>
      <c r="CC227" s="63">
        <v>-3946</v>
      </c>
      <c r="CD227" s="63">
        <v>0</v>
      </c>
      <c r="CE227" s="63">
        <v>-3946</v>
      </c>
      <c r="CF227" s="63">
        <v>0</v>
      </c>
      <c r="CG227" s="63">
        <v>0</v>
      </c>
      <c r="CH227" s="63">
        <v>0</v>
      </c>
      <c r="CI227" s="63">
        <v>0</v>
      </c>
      <c r="CJ227" s="63">
        <v>0</v>
      </c>
      <c r="CK227" s="63">
        <v>0</v>
      </c>
      <c r="CL227" s="63">
        <v>0</v>
      </c>
      <c r="CM227" s="63">
        <v>0</v>
      </c>
      <c r="CN227" s="63">
        <v>0</v>
      </c>
      <c r="CO227" s="63">
        <v>0</v>
      </c>
      <c r="CP227" s="63">
        <v>0</v>
      </c>
      <c r="CQ227" s="63">
        <v>-383456</v>
      </c>
      <c r="CR227" s="63">
        <v>0</v>
      </c>
      <c r="CS227" s="63">
        <v>0</v>
      </c>
      <c r="CT227" s="63">
        <v>0</v>
      </c>
      <c r="CU227" s="63">
        <v>-383456</v>
      </c>
      <c r="CV227" s="63">
        <v>0</v>
      </c>
      <c r="CW227" s="63">
        <v>-383456</v>
      </c>
      <c r="CX227" s="63">
        <v>0</v>
      </c>
      <c r="CY227" s="63">
        <v>0</v>
      </c>
      <c r="CZ227" s="63">
        <v>0</v>
      </c>
      <c r="DA227" s="63">
        <v>-56410</v>
      </c>
      <c r="DB227" s="63">
        <v>0</v>
      </c>
      <c r="DC227" s="63">
        <v>-56410</v>
      </c>
      <c r="DD227" s="63">
        <v>-2418</v>
      </c>
      <c r="DE227" s="63">
        <v>0</v>
      </c>
      <c r="DF227" s="63">
        <v>-2418</v>
      </c>
      <c r="DG227" s="63">
        <v>-58828</v>
      </c>
      <c r="DH227" s="63">
        <v>0</v>
      </c>
      <c r="DI227" s="63">
        <v>0</v>
      </c>
      <c r="DJ227" s="63">
        <v>0</v>
      </c>
      <c r="DK227" s="63">
        <v>-58828</v>
      </c>
      <c r="DL227" s="63">
        <v>0</v>
      </c>
      <c r="DM227" s="63">
        <v>-58828</v>
      </c>
      <c r="DN227" s="63">
        <v>49306147</v>
      </c>
      <c r="DO227" s="63">
        <v>0</v>
      </c>
      <c r="DP227" s="63">
        <v>49306147</v>
      </c>
      <c r="DQ227" s="63"/>
      <c r="DR227" s="585"/>
    </row>
    <row r="228" spans="1:122" x14ac:dyDescent="0.2">
      <c r="A228" s="90">
        <v>221</v>
      </c>
      <c r="B228" s="129" t="s">
        <v>300</v>
      </c>
      <c r="C228" s="130" t="s">
        <v>501</v>
      </c>
      <c r="D228" s="131" t="s">
        <v>745</v>
      </c>
      <c r="E228" s="132" t="s">
        <v>541</v>
      </c>
      <c r="F228" s="475" t="s">
        <v>808</v>
      </c>
      <c r="G228" s="63">
        <v>27252467</v>
      </c>
      <c r="H228" s="63">
        <v>0</v>
      </c>
      <c r="I228" s="63">
        <v>27252467</v>
      </c>
      <c r="J228" s="608">
        <v>48.4</v>
      </c>
      <c r="K228" s="63">
        <v>13190194</v>
      </c>
      <c r="L228" s="63">
        <v>0</v>
      </c>
      <c r="M228" s="63">
        <v>0</v>
      </c>
      <c r="N228" s="63">
        <v>0</v>
      </c>
      <c r="O228" s="63">
        <v>13190194</v>
      </c>
      <c r="P228" s="63">
        <v>0</v>
      </c>
      <c r="Q228" s="63">
        <v>13190194</v>
      </c>
      <c r="R228" s="63">
        <v>0</v>
      </c>
      <c r="S228" s="63">
        <v>0</v>
      </c>
      <c r="T228" s="63">
        <v>0</v>
      </c>
      <c r="U228" s="63">
        <v>0</v>
      </c>
      <c r="V228" s="63">
        <v>0</v>
      </c>
      <c r="W228" s="63">
        <v>0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0</v>
      </c>
      <c r="AE228" s="63">
        <v>0</v>
      </c>
      <c r="AF228" s="63">
        <v>0</v>
      </c>
      <c r="AG228" s="63">
        <v>0</v>
      </c>
      <c r="AH228" s="63">
        <v>-1036711</v>
      </c>
      <c r="AI228" s="63">
        <v>0</v>
      </c>
      <c r="AJ228" s="63">
        <v>-1036711</v>
      </c>
      <c r="AK228" s="63">
        <v>0</v>
      </c>
      <c r="AL228" s="63">
        <v>0</v>
      </c>
      <c r="AM228" s="63">
        <v>0</v>
      </c>
      <c r="AN228" s="63">
        <v>274780</v>
      </c>
      <c r="AO228" s="63">
        <v>0</v>
      </c>
      <c r="AP228" s="63">
        <v>274780</v>
      </c>
      <c r="AQ228" s="63">
        <v>-761931</v>
      </c>
      <c r="AR228" s="63">
        <v>0</v>
      </c>
      <c r="AS228" s="63">
        <v>-761931</v>
      </c>
      <c r="AT228" s="63">
        <v>-1272704</v>
      </c>
      <c r="AU228" s="63">
        <v>0</v>
      </c>
      <c r="AV228" s="63">
        <v>-1272704</v>
      </c>
      <c r="AW228" s="63">
        <v>-22445</v>
      </c>
      <c r="AX228" s="63">
        <v>0</v>
      </c>
      <c r="AY228" s="63">
        <v>-22445</v>
      </c>
      <c r="AZ228" s="63">
        <v>-11501</v>
      </c>
      <c r="BA228" s="63">
        <v>0</v>
      </c>
      <c r="BB228" s="63">
        <v>-11501</v>
      </c>
      <c r="BC228" s="63">
        <v>-2068581</v>
      </c>
      <c r="BD228" s="63">
        <v>0</v>
      </c>
      <c r="BE228" s="63">
        <v>0</v>
      </c>
      <c r="BF228" s="63">
        <v>0</v>
      </c>
      <c r="BG228" s="63">
        <v>-2068581</v>
      </c>
      <c r="BH228" s="63">
        <v>0</v>
      </c>
      <c r="BI228" s="63">
        <v>-2068581</v>
      </c>
      <c r="BJ228" s="63">
        <v>-40000</v>
      </c>
      <c r="BK228" s="63">
        <v>0</v>
      </c>
      <c r="BL228" s="63">
        <v>-40000</v>
      </c>
      <c r="BM228" s="63">
        <v>-149736</v>
      </c>
      <c r="BN228" s="63">
        <v>0</v>
      </c>
      <c r="BO228" s="63">
        <v>-149736</v>
      </c>
      <c r="BP228" s="63">
        <v>-189736</v>
      </c>
      <c r="BQ228" s="63">
        <v>0</v>
      </c>
      <c r="BR228" s="63">
        <v>0</v>
      </c>
      <c r="BS228" s="63">
        <v>0</v>
      </c>
      <c r="BT228" s="63">
        <v>-189736</v>
      </c>
      <c r="BU228" s="63">
        <v>0</v>
      </c>
      <c r="BV228" s="63">
        <v>-189736</v>
      </c>
      <c r="BW228" s="63">
        <v>-40947</v>
      </c>
      <c r="BX228" s="63">
        <v>0</v>
      </c>
      <c r="BY228" s="63">
        <v>-40947</v>
      </c>
      <c r="BZ228" s="63">
        <v>-41740</v>
      </c>
      <c r="CA228" s="63">
        <v>0</v>
      </c>
      <c r="CB228" s="63">
        <v>-41740</v>
      </c>
      <c r="CC228" s="63">
        <v>-1640</v>
      </c>
      <c r="CD228" s="63">
        <v>0</v>
      </c>
      <c r="CE228" s="63">
        <v>-1640</v>
      </c>
      <c r="CF228" s="63">
        <v>-11501</v>
      </c>
      <c r="CG228" s="63">
        <v>0</v>
      </c>
      <c r="CH228" s="63">
        <v>-11501</v>
      </c>
      <c r="CI228" s="63">
        <v>-1573</v>
      </c>
      <c r="CJ228" s="63">
        <v>0</v>
      </c>
      <c r="CK228" s="63">
        <v>-1573</v>
      </c>
      <c r="CL228" s="63">
        <v>0</v>
      </c>
      <c r="CM228" s="63">
        <v>0</v>
      </c>
      <c r="CN228" s="63">
        <v>0</v>
      </c>
      <c r="CO228" s="63">
        <v>0</v>
      </c>
      <c r="CP228" s="63">
        <v>0</v>
      </c>
      <c r="CQ228" s="63">
        <v>-97401</v>
      </c>
      <c r="CR228" s="63">
        <v>0</v>
      </c>
      <c r="CS228" s="63">
        <v>0</v>
      </c>
      <c r="CT228" s="63">
        <v>0</v>
      </c>
      <c r="CU228" s="63">
        <v>-97401</v>
      </c>
      <c r="CV228" s="63">
        <v>0</v>
      </c>
      <c r="CW228" s="63">
        <v>-97401</v>
      </c>
      <c r="CX228" s="63">
        <v>0</v>
      </c>
      <c r="CY228" s="63">
        <v>0</v>
      </c>
      <c r="CZ228" s="63">
        <v>0</v>
      </c>
      <c r="DA228" s="63">
        <v>-7401</v>
      </c>
      <c r="DB228" s="63">
        <v>0</v>
      </c>
      <c r="DC228" s="63">
        <v>-7401</v>
      </c>
      <c r="DD228" s="63">
        <v>0</v>
      </c>
      <c r="DE228" s="63">
        <v>0</v>
      </c>
      <c r="DF228" s="63">
        <v>0</v>
      </c>
      <c r="DG228" s="63">
        <v>-7401</v>
      </c>
      <c r="DH228" s="63">
        <v>0</v>
      </c>
      <c r="DI228" s="63">
        <v>0</v>
      </c>
      <c r="DJ228" s="63">
        <v>0</v>
      </c>
      <c r="DK228" s="63">
        <v>-7401</v>
      </c>
      <c r="DL228" s="63">
        <v>0</v>
      </c>
      <c r="DM228" s="63">
        <v>-7401</v>
      </c>
      <c r="DN228" s="63">
        <v>10827075</v>
      </c>
      <c r="DO228" s="63">
        <v>0</v>
      </c>
      <c r="DP228" s="63">
        <v>10827075</v>
      </c>
      <c r="DQ228" s="63"/>
      <c r="DR228" s="585"/>
    </row>
    <row r="229" spans="1:122" x14ac:dyDescent="0.2">
      <c r="A229" s="90">
        <v>222</v>
      </c>
      <c r="B229" s="129" t="s">
        <v>302</v>
      </c>
      <c r="C229" s="130" t="s">
        <v>742</v>
      </c>
      <c r="D229" s="131" t="s">
        <v>750</v>
      </c>
      <c r="E229" s="132" t="s">
        <v>301</v>
      </c>
      <c r="F229" s="475" t="s">
        <v>808</v>
      </c>
      <c r="G229" s="63">
        <v>43056254</v>
      </c>
      <c r="H229" s="63">
        <v>0</v>
      </c>
      <c r="I229" s="63">
        <v>43056254</v>
      </c>
      <c r="J229" s="608">
        <v>48.4</v>
      </c>
      <c r="K229" s="63">
        <v>20839227</v>
      </c>
      <c r="L229" s="63">
        <v>0</v>
      </c>
      <c r="M229" s="63">
        <v>42000</v>
      </c>
      <c r="N229" s="63">
        <v>0</v>
      </c>
      <c r="O229" s="63">
        <v>20881227</v>
      </c>
      <c r="P229" s="63">
        <v>0</v>
      </c>
      <c r="Q229" s="63">
        <v>20881227</v>
      </c>
      <c r="R229" s="63">
        <v>0</v>
      </c>
      <c r="S229" s="63">
        <v>0</v>
      </c>
      <c r="T229" s="63">
        <v>0</v>
      </c>
      <c r="U229" s="63">
        <v>0</v>
      </c>
      <c r="V229" s="63">
        <v>0</v>
      </c>
      <c r="W229" s="63">
        <v>0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0</v>
      </c>
      <c r="AE229" s="63">
        <v>0</v>
      </c>
      <c r="AF229" s="63">
        <v>0</v>
      </c>
      <c r="AG229" s="63">
        <v>0</v>
      </c>
      <c r="AH229" s="63">
        <v>-2220000</v>
      </c>
      <c r="AI229" s="63">
        <v>0</v>
      </c>
      <c r="AJ229" s="63">
        <v>-2220000</v>
      </c>
      <c r="AK229" s="63">
        <v>-12000</v>
      </c>
      <c r="AL229" s="63">
        <v>0</v>
      </c>
      <c r="AM229" s="63">
        <v>-12000</v>
      </c>
      <c r="AN229" s="63">
        <v>407500</v>
      </c>
      <c r="AO229" s="63">
        <v>0</v>
      </c>
      <c r="AP229" s="63">
        <v>407500</v>
      </c>
      <c r="AQ229" s="63">
        <v>-1812500</v>
      </c>
      <c r="AR229" s="63">
        <v>0</v>
      </c>
      <c r="AS229" s="63">
        <v>-1812500</v>
      </c>
      <c r="AT229" s="63">
        <v>-879000</v>
      </c>
      <c r="AU229" s="63">
        <v>0</v>
      </c>
      <c r="AV229" s="63">
        <v>-879000</v>
      </c>
      <c r="AW229" s="63">
        <v>-30000</v>
      </c>
      <c r="AX229" s="63">
        <v>0</v>
      </c>
      <c r="AY229" s="63">
        <v>-30000</v>
      </c>
      <c r="AZ229" s="63">
        <v>-51000</v>
      </c>
      <c r="BA229" s="63">
        <v>0</v>
      </c>
      <c r="BB229" s="63">
        <v>-51000</v>
      </c>
      <c r="BC229" s="63">
        <v>-2772500</v>
      </c>
      <c r="BD229" s="63">
        <v>0</v>
      </c>
      <c r="BE229" s="63">
        <v>0</v>
      </c>
      <c r="BF229" s="63">
        <v>0</v>
      </c>
      <c r="BG229" s="63">
        <v>-2772500</v>
      </c>
      <c r="BH229" s="63">
        <v>0</v>
      </c>
      <c r="BI229" s="63">
        <v>-2772500</v>
      </c>
      <c r="BJ229" s="63">
        <v>0</v>
      </c>
      <c r="BK229" s="63">
        <v>0</v>
      </c>
      <c r="BL229" s="63">
        <v>0</v>
      </c>
      <c r="BM229" s="63">
        <v>-410000</v>
      </c>
      <c r="BN229" s="63">
        <v>0</v>
      </c>
      <c r="BO229" s="63">
        <v>-410000</v>
      </c>
      <c r="BP229" s="63">
        <v>-410000</v>
      </c>
      <c r="BQ229" s="63">
        <v>0</v>
      </c>
      <c r="BR229" s="63">
        <v>0</v>
      </c>
      <c r="BS229" s="63">
        <v>0</v>
      </c>
      <c r="BT229" s="63">
        <v>-410000</v>
      </c>
      <c r="BU229" s="63">
        <v>0</v>
      </c>
      <c r="BV229" s="63">
        <v>-410000</v>
      </c>
      <c r="BW229" s="63">
        <v>-82000</v>
      </c>
      <c r="BX229" s="63">
        <v>0</v>
      </c>
      <c r="BY229" s="63">
        <v>-82000</v>
      </c>
      <c r="BZ229" s="63">
        <v>-63000</v>
      </c>
      <c r="CA229" s="63">
        <v>0</v>
      </c>
      <c r="CB229" s="63">
        <v>-63000</v>
      </c>
      <c r="CC229" s="63">
        <v>-2500</v>
      </c>
      <c r="CD229" s="63">
        <v>0</v>
      </c>
      <c r="CE229" s="63">
        <v>-2500</v>
      </c>
      <c r="CF229" s="63">
        <v>-5800</v>
      </c>
      <c r="CG229" s="63">
        <v>0</v>
      </c>
      <c r="CH229" s="63">
        <v>-5800</v>
      </c>
      <c r="CI229" s="63">
        <v>-3100</v>
      </c>
      <c r="CJ229" s="63">
        <v>0</v>
      </c>
      <c r="CK229" s="63">
        <v>-3100</v>
      </c>
      <c r="CL229" s="63">
        <v>0</v>
      </c>
      <c r="CM229" s="63">
        <v>0</v>
      </c>
      <c r="CN229" s="63">
        <v>0</v>
      </c>
      <c r="CO229" s="63">
        <v>0</v>
      </c>
      <c r="CP229" s="63">
        <v>0</v>
      </c>
      <c r="CQ229" s="63">
        <v>-156400</v>
      </c>
      <c r="CR229" s="63">
        <v>0</v>
      </c>
      <c r="CS229" s="63">
        <v>0</v>
      </c>
      <c r="CT229" s="63">
        <v>0</v>
      </c>
      <c r="CU229" s="63">
        <v>-156400</v>
      </c>
      <c r="CV229" s="63">
        <v>0</v>
      </c>
      <c r="CW229" s="63">
        <v>-156400</v>
      </c>
      <c r="CX229" s="63">
        <v>0</v>
      </c>
      <c r="CY229" s="63">
        <v>0</v>
      </c>
      <c r="CZ229" s="63">
        <v>0</v>
      </c>
      <c r="DA229" s="63">
        <v>-12000</v>
      </c>
      <c r="DB229" s="63">
        <v>0</v>
      </c>
      <c r="DC229" s="63">
        <v>-12000</v>
      </c>
      <c r="DD229" s="63">
        <v>0</v>
      </c>
      <c r="DE229" s="63">
        <v>0</v>
      </c>
      <c r="DF229" s="63">
        <v>0</v>
      </c>
      <c r="DG229" s="63">
        <v>-12000</v>
      </c>
      <c r="DH229" s="63">
        <v>0</v>
      </c>
      <c r="DI229" s="63">
        <v>0</v>
      </c>
      <c r="DJ229" s="63">
        <v>0</v>
      </c>
      <c r="DK229" s="63">
        <v>-12000</v>
      </c>
      <c r="DL229" s="63">
        <v>0</v>
      </c>
      <c r="DM229" s="63">
        <v>-12000</v>
      </c>
      <c r="DN229" s="63">
        <v>17530327</v>
      </c>
      <c r="DO229" s="63">
        <v>0</v>
      </c>
      <c r="DP229" s="63">
        <v>17530327</v>
      </c>
      <c r="DQ229" s="63"/>
      <c r="DR229" s="585"/>
    </row>
    <row r="230" spans="1:122" x14ac:dyDescent="0.2">
      <c r="A230" s="90">
        <v>223</v>
      </c>
      <c r="B230" s="129" t="s">
        <v>304</v>
      </c>
      <c r="C230" s="130" t="s">
        <v>749</v>
      </c>
      <c r="D230" s="131" t="s">
        <v>744</v>
      </c>
      <c r="E230" s="132" t="s">
        <v>303</v>
      </c>
      <c r="F230" s="475" t="s">
        <v>808</v>
      </c>
      <c r="G230" s="63">
        <v>245437707</v>
      </c>
      <c r="H230" s="63">
        <v>0</v>
      </c>
      <c r="I230" s="63">
        <v>245437707</v>
      </c>
      <c r="J230" s="608">
        <v>48.4</v>
      </c>
      <c r="K230" s="63">
        <v>118791850</v>
      </c>
      <c r="L230" s="63">
        <v>0</v>
      </c>
      <c r="M230" s="63">
        <v>1437000</v>
      </c>
      <c r="N230" s="63">
        <v>0</v>
      </c>
      <c r="O230" s="63">
        <v>120228850</v>
      </c>
      <c r="P230" s="63">
        <v>0</v>
      </c>
      <c r="Q230" s="63">
        <v>120228850</v>
      </c>
      <c r="R230" s="63">
        <v>0</v>
      </c>
      <c r="S230" s="63">
        <v>0</v>
      </c>
      <c r="T230" s="63">
        <v>0</v>
      </c>
      <c r="U230" s="63">
        <v>0</v>
      </c>
      <c r="V230" s="63">
        <v>0</v>
      </c>
      <c r="W230" s="63">
        <v>0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0</v>
      </c>
      <c r="AE230" s="63">
        <v>0</v>
      </c>
      <c r="AF230" s="63">
        <v>0</v>
      </c>
      <c r="AG230" s="63">
        <v>0</v>
      </c>
      <c r="AH230" s="63">
        <v>-4663556</v>
      </c>
      <c r="AI230" s="63">
        <v>0</v>
      </c>
      <c r="AJ230" s="63">
        <v>-4663556</v>
      </c>
      <c r="AK230" s="63">
        <v>0</v>
      </c>
      <c r="AL230" s="63">
        <v>0</v>
      </c>
      <c r="AM230" s="63">
        <v>0</v>
      </c>
      <c r="AN230" s="63">
        <v>2793757</v>
      </c>
      <c r="AO230" s="63">
        <v>0</v>
      </c>
      <c r="AP230" s="63">
        <v>2793757</v>
      </c>
      <c r="AQ230" s="63">
        <v>-1869799</v>
      </c>
      <c r="AR230" s="63">
        <v>0</v>
      </c>
      <c r="AS230" s="63">
        <v>-1869799</v>
      </c>
      <c r="AT230" s="63">
        <v>-6778440</v>
      </c>
      <c r="AU230" s="63">
        <v>0</v>
      </c>
      <c r="AV230" s="63">
        <v>-6778440</v>
      </c>
      <c r="AW230" s="63">
        <v>-117346</v>
      </c>
      <c r="AX230" s="63">
        <v>0</v>
      </c>
      <c r="AY230" s="63">
        <v>-117346</v>
      </c>
      <c r="AZ230" s="63">
        <v>0</v>
      </c>
      <c r="BA230" s="63">
        <v>0</v>
      </c>
      <c r="BB230" s="63">
        <v>0</v>
      </c>
      <c r="BC230" s="63">
        <v>-8765585</v>
      </c>
      <c r="BD230" s="63">
        <v>0</v>
      </c>
      <c r="BE230" s="63">
        <v>0</v>
      </c>
      <c r="BF230" s="63">
        <v>0</v>
      </c>
      <c r="BG230" s="63">
        <v>-8765585</v>
      </c>
      <c r="BH230" s="63">
        <v>0</v>
      </c>
      <c r="BI230" s="63">
        <v>-8765585</v>
      </c>
      <c r="BJ230" s="63">
        <v>0</v>
      </c>
      <c r="BK230" s="63">
        <v>0</v>
      </c>
      <c r="BL230" s="63">
        <v>0</v>
      </c>
      <c r="BM230" s="63">
        <v>-5600000</v>
      </c>
      <c r="BN230" s="63">
        <v>0</v>
      </c>
      <c r="BO230" s="63">
        <v>-5600000</v>
      </c>
      <c r="BP230" s="63">
        <v>-5600000</v>
      </c>
      <c r="BQ230" s="63">
        <v>0</v>
      </c>
      <c r="BR230" s="63">
        <v>0</v>
      </c>
      <c r="BS230" s="63">
        <v>0</v>
      </c>
      <c r="BT230" s="63">
        <v>-5600000</v>
      </c>
      <c r="BU230" s="63">
        <v>0</v>
      </c>
      <c r="BV230" s="63">
        <v>-5600000</v>
      </c>
      <c r="BW230" s="63">
        <v>-126000</v>
      </c>
      <c r="BX230" s="63">
        <v>0</v>
      </c>
      <c r="BY230" s="63">
        <v>-126000</v>
      </c>
      <c r="BZ230" s="63">
        <v>-176000</v>
      </c>
      <c r="CA230" s="63">
        <v>0</v>
      </c>
      <c r="CB230" s="63">
        <v>-176000</v>
      </c>
      <c r="CC230" s="63">
        <v>-2000</v>
      </c>
      <c r="CD230" s="63">
        <v>0</v>
      </c>
      <c r="CE230" s="63">
        <v>-2000</v>
      </c>
      <c r="CF230" s="63">
        <v>0</v>
      </c>
      <c r="CG230" s="63">
        <v>0</v>
      </c>
      <c r="CH230" s="63">
        <v>0</v>
      </c>
      <c r="CI230" s="63">
        <v>0</v>
      </c>
      <c r="CJ230" s="63">
        <v>0</v>
      </c>
      <c r="CK230" s="63">
        <v>0</v>
      </c>
      <c r="CL230" s="63">
        <v>0</v>
      </c>
      <c r="CM230" s="63">
        <v>0</v>
      </c>
      <c r="CN230" s="63">
        <v>0</v>
      </c>
      <c r="CO230" s="63">
        <v>0</v>
      </c>
      <c r="CP230" s="63">
        <v>0</v>
      </c>
      <c r="CQ230" s="63">
        <v>-304000</v>
      </c>
      <c r="CR230" s="63">
        <v>0</v>
      </c>
      <c r="CS230" s="63">
        <v>0</v>
      </c>
      <c r="CT230" s="63">
        <v>0</v>
      </c>
      <c r="CU230" s="63">
        <v>-304000</v>
      </c>
      <c r="CV230" s="63">
        <v>0</v>
      </c>
      <c r="CW230" s="63">
        <v>-304000</v>
      </c>
      <c r="CX230" s="63">
        <v>0</v>
      </c>
      <c r="CY230" s="63">
        <v>0</v>
      </c>
      <c r="CZ230" s="63">
        <v>0</v>
      </c>
      <c r="DA230" s="63">
        <v>0</v>
      </c>
      <c r="DB230" s="63">
        <v>0</v>
      </c>
      <c r="DC230" s="63">
        <v>0</v>
      </c>
      <c r="DD230" s="63">
        <v>0</v>
      </c>
      <c r="DE230" s="63">
        <v>0</v>
      </c>
      <c r="DF230" s="63">
        <v>0</v>
      </c>
      <c r="DG230" s="63">
        <v>0</v>
      </c>
      <c r="DH230" s="63">
        <v>0</v>
      </c>
      <c r="DI230" s="63">
        <v>0</v>
      </c>
      <c r="DJ230" s="63">
        <v>0</v>
      </c>
      <c r="DK230" s="63">
        <v>0</v>
      </c>
      <c r="DL230" s="63">
        <v>0</v>
      </c>
      <c r="DM230" s="63">
        <v>0</v>
      </c>
      <c r="DN230" s="63">
        <v>105559265</v>
      </c>
      <c r="DO230" s="63">
        <v>0</v>
      </c>
      <c r="DP230" s="63">
        <v>105559265</v>
      </c>
      <c r="DQ230" s="63"/>
      <c r="DR230" s="585"/>
    </row>
    <row r="231" spans="1:122" x14ac:dyDescent="0.2">
      <c r="A231" s="90">
        <v>224</v>
      </c>
      <c r="B231" s="129" t="s">
        <v>306</v>
      </c>
      <c r="C231" s="130" t="s">
        <v>749</v>
      </c>
      <c r="D231" s="131" t="s">
        <v>752</v>
      </c>
      <c r="E231" s="132" t="s">
        <v>305</v>
      </c>
      <c r="F231" s="475" t="s">
        <v>808</v>
      </c>
      <c r="G231" s="63">
        <v>255595514</v>
      </c>
      <c r="H231" s="63">
        <v>0</v>
      </c>
      <c r="I231" s="63">
        <v>255595514</v>
      </c>
      <c r="J231" s="608">
        <v>48.4</v>
      </c>
      <c r="K231" s="63">
        <v>123708229</v>
      </c>
      <c r="L231" s="63">
        <v>0</v>
      </c>
      <c r="M231" s="63">
        <v>898762</v>
      </c>
      <c r="N231" s="63">
        <v>0</v>
      </c>
      <c r="O231" s="63">
        <v>124606991</v>
      </c>
      <c r="P231" s="63">
        <v>0</v>
      </c>
      <c r="Q231" s="63">
        <v>124606991</v>
      </c>
      <c r="R231" s="63">
        <v>0</v>
      </c>
      <c r="S231" s="63">
        <v>0</v>
      </c>
      <c r="T231" s="63">
        <v>0</v>
      </c>
      <c r="U231" s="63">
        <v>0</v>
      </c>
      <c r="V231" s="63">
        <v>0</v>
      </c>
      <c r="W231" s="63">
        <v>0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63">
        <v>0</v>
      </c>
      <c r="AF231" s="63">
        <v>0</v>
      </c>
      <c r="AG231" s="63">
        <v>0</v>
      </c>
      <c r="AH231" s="63">
        <v>-8132207</v>
      </c>
      <c r="AI231" s="63">
        <v>0</v>
      </c>
      <c r="AJ231" s="63">
        <v>-8132207</v>
      </c>
      <c r="AK231" s="63">
        <v>-20978</v>
      </c>
      <c r="AL231" s="63">
        <v>0</v>
      </c>
      <c r="AM231" s="63">
        <v>-20978</v>
      </c>
      <c r="AN231" s="63">
        <v>2776179</v>
      </c>
      <c r="AO231" s="63">
        <v>0</v>
      </c>
      <c r="AP231" s="63">
        <v>2776179</v>
      </c>
      <c r="AQ231" s="63">
        <v>-5356028</v>
      </c>
      <c r="AR231" s="63">
        <v>0</v>
      </c>
      <c r="AS231" s="63">
        <v>-5356028</v>
      </c>
      <c r="AT231" s="63">
        <v>-5728525</v>
      </c>
      <c r="AU231" s="63">
        <v>0</v>
      </c>
      <c r="AV231" s="63">
        <v>-5728525</v>
      </c>
      <c r="AW231" s="63">
        <v>-98426</v>
      </c>
      <c r="AX231" s="63">
        <v>0</v>
      </c>
      <c r="AY231" s="63">
        <v>-98426</v>
      </c>
      <c r="AZ231" s="63">
        <v>0</v>
      </c>
      <c r="BA231" s="63">
        <v>0</v>
      </c>
      <c r="BB231" s="63">
        <v>0</v>
      </c>
      <c r="BC231" s="63">
        <v>-11182979</v>
      </c>
      <c r="BD231" s="63">
        <v>0</v>
      </c>
      <c r="BE231" s="63">
        <v>0</v>
      </c>
      <c r="BF231" s="63">
        <v>0</v>
      </c>
      <c r="BG231" s="63">
        <v>-11182979</v>
      </c>
      <c r="BH231" s="63">
        <v>0</v>
      </c>
      <c r="BI231" s="63">
        <v>-11182979</v>
      </c>
      <c r="BJ231" s="63">
        <v>-150000</v>
      </c>
      <c r="BK231" s="63">
        <v>0</v>
      </c>
      <c r="BL231" s="63">
        <v>-150000</v>
      </c>
      <c r="BM231" s="63">
        <v>-3923722</v>
      </c>
      <c r="BN231" s="63">
        <v>0</v>
      </c>
      <c r="BO231" s="63">
        <v>-3923722</v>
      </c>
      <c r="BP231" s="63">
        <v>-4073722</v>
      </c>
      <c r="BQ231" s="63">
        <v>0</v>
      </c>
      <c r="BR231" s="63">
        <v>0</v>
      </c>
      <c r="BS231" s="63">
        <v>0</v>
      </c>
      <c r="BT231" s="63">
        <v>-4073722</v>
      </c>
      <c r="BU231" s="63">
        <v>0</v>
      </c>
      <c r="BV231" s="63">
        <v>-4073722</v>
      </c>
      <c r="BW231" s="63">
        <v>-443376</v>
      </c>
      <c r="BX231" s="63">
        <v>0</v>
      </c>
      <c r="BY231" s="63">
        <v>-443376</v>
      </c>
      <c r="BZ231" s="63">
        <v>-355668</v>
      </c>
      <c r="CA231" s="63">
        <v>0</v>
      </c>
      <c r="CB231" s="63">
        <v>-355668</v>
      </c>
      <c r="CC231" s="63">
        <v>-2828</v>
      </c>
      <c r="CD231" s="63">
        <v>0</v>
      </c>
      <c r="CE231" s="63">
        <v>-2828</v>
      </c>
      <c r="CF231" s="63">
        <v>0</v>
      </c>
      <c r="CG231" s="63">
        <v>0</v>
      </c>
      <c r="CH231" s="63">
        <v>0</v>
      </c>
      <c r="CI231" s="63">
        <v>0</v>
      </c>
      <c r="CJ231" s="63">
        <v>0</v>
      </c>
      <c r="CK231" s="63">
        <v>0</v>
      </c>
      <c r="CL231" s="63">
        <v>0</v>
      </c>
      <c r="CM231" s="63">
        <v>0</v>
      </c>
      <c r="CN231" s="63">
        <v>0</v>
      </c>
      <c r="CO231" s="63">
        <v>0</v>
      </c>
      <c r="CP231" s="63">
        <v>0</v>
      </c>
      <c r="CQ231" s="63">
        <v>-801872</v>
      </c>
      <c r="CR231" s="63">
        <v>0</v>
      </c>
      <c r="CS231" s="63">
        <v>0</v>
      </c>
      <c r="CT231" s="63">
        <v>0</v>
      </c>
      <c r="CU231" s="63">
        <v>-801872</v>
      </c>
      <c r="CV231" s="63">
        <v>0</v>
      </c>
      <c r="CW231" s="63">
        <v>-801872</v>
      </c>
      <c r="CX231" s="63">
        <v>-19904</v>
      </c>
      <c r="CY231" s="63">
        <v>0</v>
      </c>
      <c r="CZ231" s="63">
        <v>-19904</v>
      </c>
      <c r="DA231" s="63">
        <v>-118121</v>
      </c>
      <c r="DB231" s="63">
        <v>0</v>
      </c>
      <c r="DC231" s="63">
        <v>-118121</v>
      </c>
      <c r="DD231" s="63">
        <v>-11600</v>
      </c>
      <c r="DE231" s="63">
        <v>0</v>
      </c>
      <c r="DF231" s="63">
        <v>-11600</v>
      </c>
      <c r="DG231" s="63">
        <v>-149625</v>
      </c>
      <c r="DH231" s="63">
        <v>0</v>
      </c>
      <c r="DI231" s="63">
        <v>0</v>
      </c>
      <c r="DJ231" s="63">
        <v>0</v>
      </c>
      <c r="DK231" s="63">
        <v>-149625</v>
      </c>
      <c r="DL231" s="63">
        <v>0</v>
      </c>
      <c r="DM231" s="63">
        <v>-149625</v>
      </c>
      <c r="DN231" s="63">
        <v>108398793</v>
      </c>
      <c r="DO231" s="63">
        <v>0</v>
      </c>
      <c r="DP231" s="63">
        <v>108398793</v>
      </c>
      <c r="DQ231" s="63"/>
      <c r="DR231" s="585"/>
    </row>
    <row r="232" spans="1:122" x14ac:dyDescent="0.2">
      <c r="A232" s="90">
        <v>225</v>
      </c>
      <c r="B232" s="129" t="s">
        <v>308</v>
      </c>
      <c r="C232" s="130" t="s">
        <v>742</v>
      </c>
      <c r="D232" s="131" t="s">
        <v>750</v>
      </c>
      <c r="E232" s="132" t="s">
        <v>307</v>
      </c>
      <c r="F232" s="475" t="s">
        <v>808</v>
      </c>
      <c r="G232" s="63">
        <v>88467335</v>
      </c>
      <c r="H232" s="63">
        <v>0</v>
      </c>
      <c r="I232" s="63">
        <v>88467335</v>
      </c>
      <c r="J232" s="608">
        <v>48.4</v>
      </c>
      <c r="K232" s="63">
        <v>42818190</v>
      </c>
      <c r="L232" s="63">
        <v>0</v>
      </c>
      <c r="M232" s="63">
        <v>0</v>
      </c>
      <c r="N232" s="63">
        <v>0</v>
      </c>
      <c r="O232" s="63">
        <v>42818190</v>
      </c>
      <c r="P232" s="63">
        <v>0</v>
      </c>
      <c r="Q232" s="63">
        <v>42818190</v>
      </c>
      <c r="R232" s="63">
        <v>0</v>
      </c>
      <c r="S232" s="63">
        <v>0</v>
      </c>
      <c r="T232" s="63">
        <v>0</v>
      </c>
      <c r="U232" s="63">
        <v>0</v>
      </c>
      <c r="V232" s="63">
        <v>0</v>
      </c>
      <c r="W232" s="63">
        <v>0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0</v>
      </c>
      <c r="AE232" s="63">
        <v>0</v>
      </c>
      <c r="AF232" s="63">
        <v>0</v>
      </c>
      <c r="AG232" s="63">
        <v>0</v>
      </c>
      <c r="AH232" s="63">
        <v>-5752082</v>
      </c>
      <c r="AI232" s="63">
        <v>0</v>
      </c>
      <c r="AJ232" s="63">
        <v>-5752082</v>
      </c>
      <c r="AK232" s="63">
        <v>-22000</v>
      </c>
      <c r="AL232" s="63">
        <v>0</v>
      </c>
      <c r="AM232" s="63">
        <v>-22000</v>
      </c>
      <c r="AN232" s="63">
        <v>833979</v>
      </c>
      <c r="AO232" s="63">
        <v>0</v>
      </c>
      <c r="AP232" s="63">
        <v>833979</v>
      </c>
      <c r="AQ232" s="63">
        <v>-4918103</v>
      </c>
      <c r="AR232" s="63">
        <v>0</v>
      </c>
      <c r="AS232" s="63">
        <v>-4918103</v>
      </c>
      <c r="AT232" s="63">
        <v>-1679025</v>
      </c>
      <c r="AU232" s="63">
        <v>0</v>
      </c>
      <c r="AV232" s="63">
        <v>-1679025</v>
      </c>
      <c r="AW232" s="63">
        <v>-152915</v>
      </c>
      <c r="AX232" s="63">
        <v>0</v>
      </c>
      <c r="AY232" s="63">
        <v>-152915</v>
      </c>
      <c r="AZ232" s="63">
        <v>-27857</v>
      </c>
      <c r="BA232" s="63">
        <v>0</v>
      </c>
      <c r="BB232" s="63">
        <v>-27857</v>
      </c>
      <c r="BC232" s="63">
        <v>-6777900</v>
      </c>
      <c r="BD232" s="63">
        <v>0</v>
      </c>
      <c r="BE232" s="63">
        <v>-198400</v>
      </c>
      <c r="BF232" s="63">
        <v>0</v>
      </c>
      <c r="BG232" s="63">
        <v>-6976300</v>
      </c>
      <c r="BH232" s="63">
        <v>0</v>
      </c>
      <c r="BI232" s="63">
        <v>-6976300</v>
      </c>
      <c r="BJ232" s="63">
        <v>0</v>
      </c>
      <c r="BK232" s="63">
        <v>0</v>
      </c>
      <c r="BL232" s="63">
        <v>0</v>
      </c>
      <c r="BM232" s="63">
        <v>-409452</v>
      </c>
      <c r="BN232" s="63">
        <v>0</v>
      </c>
      <c r="BO232" s="63">
        <v>-409452</v>
      </c>
      <c r="BP232" s="63">
        <v>-409452</v>
      </c>
      <c r="BQ232" s="63">
        <v>0</v>
      </c>
      <c r="BR232" s="63">
        <v>-66000</v>
      </c>
      <c r="BS232" s="63">
        <v>0</v>
      </c>
      <c r="BT232" s="63">
        <v>-475452</v>
      </c>
      <c r="BU232" s="63">
        <v>0</v>
      </c>
      <c r="BV232" s="63">
        <v>-475452</v>
      </c>
      <c r="BW232" s="63">
        <v>-143730</v>
      </c>
      <c r="BX232" s="63">
        <v>0</v>
      </c>
      <c r="BY232" s="63">
        <v>-143730</v>
      </c>
      <c r="BZ232" s="63">
        <v>-71393</v>
      </c>
      <c r="CA232" s="63">
        <v>0</v>
      </c>
      <c r="CB232" s="63">
        <v>-71393</v>
      </c>
      <c r="CC232" s="63">
        <v>0</v>
      </c>
      <c r="CD232" s="63">
        <v>0</v>
      </c>
      <c r="CE232" s="63">
        <v>0</v>
      </c>
      <c r="CF232" s="63">
        <v>-1500</v>
      </c>
      <c r="CG232" s="63">
        <v>0</v>
      </c>
      <c r="CH232" s="63">
        <v>-1500</v>
      </c>
      <c r="CI232" s="63">
        <v>0</v>
      </c>
      <c r="CJ232" s="63">
        <v>0</v>
      </c>
      <c r="CK232" s="63">
        <v>0</v>
      </c>
      <c r="CL232" s="63">
        <v>0</v>
      </c>
      <c r="CM232" s="63">
        <v>0</v>
      </c>
      <c r="CN232" s="63">
        <v>0</v>
      </c>
      <c r="CO232" s="63">
        <v>0</v>
      </c>
      <c r="CP232" s="63">
        <v>0</v>
      </c>
      <c r="CQ232" s="63">
        <v>-216623</v>
      </c>
      <c r="CR232" s="63">
        <v>0</v>
      </c>
      <c r="CS232" s="63">
        <v>0</v>
      </c>
      <c r="CT232" s="63">
        <v>0</v>
      </c>
      <c r="CU232" s="63">
        <v>-216623</v>
      </c>
      <c r="CV232" s="63">
        <v>0</v>
      </c>
      <c r="CW232" s="63">
        <v>-216623</v>
      </c>
      <c r="CX232" s="63">
        <v>-30000</v>
      </c>
      <c r="CY232" s="63">
        <v>0</v>
      </c>
      <c r="CZ232" s="63">
        <v>-30000</v>
      </c>
      <c r="DA232" s="63">
        <v>-30000</v>
      </c>
      <c r="DB232" s="63">
        <v>0</v>
      </c>
      <c r="DC232" s="63">
        <v>-30000</v>
      </c>
      <c r="DD232" s="63">
        <v>-25500</v>
      </c>
      <c r="DE232" s="63">
        <v>0</v>
      </c>
      <c r="DF232" s="63">
        <v>-25500</v>
      </c>
      <c r="DG232" s="63">
        <v>-85500</v>
      </c>
      <c r="DH232" s="63">
        <v>0</v>
      </c>
      <c r="DI232" s="63">
        <v>0</v>
      </c>
      <c r="DJ232" s="63">
        <v>0</v>
      </c>
      <c r="DK232" s="63">
        <v>-85500</v>
      </c>
      <c r="DL232" s="63">
        <v>0</v>
      </c>
      <c r="DM232" s="63">
        <v>-85500</v>
      </c>
      <c r="DN232" s="63">
        <v>35064315</v>
      </c>
      <c r="DO232" s="63">
        <v>0</v>
      </c>
      <c r="DP232" s="63">
        <v>35064315</v>
      </c>
      <c r="DQ232" s="63"/>
      <c r="DR232" s="585"/>
    </row>
    <row r="233" spans="1:122" x14ac:dyDescent="0.2">
      <c r="A233" s="90">
        <v>226</v>
      </c>
      <c r="B233" s="129" t="s">
        <v>310</v>
      </c>
      <c r="C233" s="130" t="s">
        <v>742</v>
      </c>
      <c r="D233" s="131" t="s">
        <v>751</v>
      </c>
      <c r="E233" s="132" t="s">
        <v>309</v>
      </c>
      <c r="F233" s="475" t="s">
        <v>808</v>
      </c>
      <c r="G233" s="63">
        <v>94146357</v>
      </c>
      <c r="H233" s="63">
        <v>0</v>
      </c>
      <c r="I233" s="63">
        <v>94146357</v>
      </c>
      <c r="J233" s="608">
        <v>48.4</v>
      </c>
      <c r="K233" s="63">
        <v>45566837</v>
      </c>
      <c r="L233" s="63">
        <v>0</v>
      </c>
      <c r="M233" s="63">
        <v>455668</v>
      </c>
      <c r="N233" s="63">
        <v>0</v>
      </c>
      <c r="O233" s="63">
        <v>46022505</v>
      </c>
      <c r="P233" s="63">
        <v>0</v>
      </c>
      <c r="Q233" s="63">
        <v>46022505</v>
      </c>
      <c r="R233" s="63">
        <v>0</v>
      </c>
      <c r="S233" s="63">
        <v>0</v>
      </c>
      <c r="T233" s="63">
        <v>0</v>
      </c>
      <c r="U233" s="63">
        <v>0</v>
      </c>
      <c r="V233" s="63">
        <v>0</v>
      </c>
      <c r="W233" s="63">
        <v>0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0</v>
      </c>
      <c r="AE233" s="63">
        <v>0</v>
      </c>
      <c r="AF233" s="63">
        <v>0</v>
      </c>
      <c r="AG233" s="63">
        <v>0</v>
      </c>
      <c r="AH233" s="63">
        <v>-2867316</v>
      </c>
      <c r="AI233" s="63">
        <v>0</v>
      </c>
      <c r="AJ233" s="63">
        <v>-2867316</v>
      </c>
      <c r="AK233" s="63">
        <v>-12178</v>
      </c>
      <c r="AL233" s="63">
        <v>0</v>
      </c>
      <c r="AM233" s="63">
        <v>-12178</v>
      </c>
      <c r="AN233" s="63">
        <v>1023153</v>
      </c>
      <c r="AO233" s="63">
        <v>0</v>
      </c>
      <c r="AP233" s="63">
        <v>1023153</v>
      </c>
      <c r="AQ233" s="63">
        <v>-1844163</v>
      </c>
      <c r="AR233" s="63">
        <v>0</v>
      </c>
      <c r="AS233" s="63">
        <v>-1844163</v>
      </c>
      <c r="AT233" s="63">
        <v>-2433996</v>
      </c>
      <c r="AU233" s="63">
        <v>0</v>
      </c>
      <c r="AV233" s="63">
        <v>-2433996</v>
      </c>
      <c r="AW233" s="63">
        <v>-32066</v>
      </c>
      <c r="AX233" s="63">
        <v>0</v>
      </c>
      <c r="AY233" s="63">
        <v>-32066</v>
      </c>
      <c r="AZ233" s="63">
        <v>-70094</v>
      </c>
      <c r="BA233" s="63">
        <v>0</v>
      </c>
      <c r="BB233" s="63">
        <v>-70094</v>
      </c>
      <c r="BC233" s="63">
        <v>-4380319</v>
      </c>
      <c r="BD233" s="63">
        <v>0</v>
      </c>
      <c r="BE233" s="63">
        <v>-130366</v>
      </c>
      <c r="BF233" s="63">
        <v>0</v>
      </c>
      <c r="BG233" s="63">
        <v>-4510685</v>
      </c>
      <c r="BH233" s="63">
        <v>0</v>
      </c>
      <c r="BI233" s="63">
        <v>-4510685</v>
      </c>
      <c r="BJ233" s="63">
        <v>0</v>
      </c>
      <c r="BK233" s="63">
        <v>0</v>
      </c>
      <c r="BL233" s="63">
        <v>0</v>
      </c>
      <c r="BM233" s="63">
        <v>-1250006</v>
      </c>
      <c r="BN233" s="63">
        <v>0</v>
      </c>
      <c r="BO233" s="63">
        <v>-1250006</v>
      </c>
      <c r="BP233" s="63">
        <v>-1250006</v>
      </c>
      <c r="BQ233" s="63">
        <v>0</v>
      </c>
      <c r="BR233" s="63">
        <v>-125001</v>
      </c>
      <c r="BS233" s="63">
        <v>0</v>
      </c>
      <c r="BT233" s="63">
        <v>-1375007</v>
      </c>
      <c r="BU233" s="63">
        <v>0</v>
      </c>
      <c r="BV233" s="63">
        <v>-1375007</v>
      </c>
      <c r="BW233" s="63">
        <v>-74792</v>
      </c>
      <c r="BX233" s="63">
        <v>0</v>
      </c>
      <c r="BY233" s="63">
        <v>-74792</v>
      </c>
      <c r="BZ233" s="63">
        <v>-25412</v>
      </c>
      <c r="CA233" s="63">
        <v>0</v>
      </c>
      <c r="CB233" s="63">
        <v>-25412</v>
      </c>
      <c r="CC233" s="63">
        <v>0</v>
      </c>
      <c r="CD233" s="63">
        <v>0</v>
      </c>
      <c r="CE233" s="63">
        <v>0</v>
      </c>
      <c r="CF233" s="63">
        <v>-28322</v>
      </c>
      <c r="CG233" s="63">
        <v>0</v>
      </c>
      <c r="CH233" s="63">
        <v>-28322</v>
      </c>
      <c r="CI233" s="63">
        <v>-368</v>
      </c>
      <c r="CJ233" s="63">
        <v>0</v>
      </c>
      <c r="CK233" s="63">
        <v>-368</v>
      </c>
      <c r="CL233" s="63">
        <v>0</v>
      </c>
      <c r="CM233" s="63">
        <v>0</v>
      </c>
      <c r="CN233" s="63">
        <v>0</v>
      </c>
      <c r="CO233" s="63">
        <v>0</v>
      </c>
      <c r="CP233" s="63">
        <v>0</v>
      </c>
      <c r="CQ233" s="63">
        <v>-128894</v>
      </c>
      <c r="CR233" s="63">
        <v>0</v>
      </c>
      <c r="CS233" s="63">
        <v>0</v>
      </c>
      <c r="CT233" s="63">
        <v>0</v>
      </c>
      <c r="CU233" s="63">
        <v>-128894</v>
      </c>
      <c r="CV233" s="63">
        <v>0</v>
      </c>
      <c r="CW233" s="63">
        <v>-128894</v>
      </c>
      <c r="CX233" s="63">
        <v>0</v>
      </c>
      <c r="CY233" s="63">
        <v>0</v>
      </c>
      <c r="CZ233" s="63">
        <v>0</v>
      </c>
      <c r="DA233" s="63">
        <v>-6877</v>
      </c>
      <c r="DB233" s="63">
        <v>0</v>
      </c>
      <c r="DC233" s="63">
        <v>-6877</v>
      </c>
      <c r="DD233" s="63">
        <v>-25424</v>
      </c>
      <c r="DE233" s="63">
        <v>0</v>
      </c>
      <c r="DF233" s="63">
        <v>-25424</v>
      </c>
      <c r="DG233" s="63">
        <v>-32301</v>
      </c>
      <c r="DH233" s="63">
        <v>0</v>
      </c>
      <c r="DI233" s="63">
        <v>0</v>
      </c>
      <c r="DJ233" s="63">
        <v>0</v>
      </c>
      <c r="DK233" s="63">
        <v>-32301</v>
      </c>
      <c r="DL233" s="63">
        <v>0</v>
      </c>
      <c r="DM233" s="63">
        <v>-32301</v>
      </c>
      <c r="DN233" s="63">
        <v>39975618</v>
      </c>
      <c r="DO233" s="63">
        <v>0</v>
      </c>
      <c r="DP233" s="63">
        <v>39975618</v>
      </c>
      <c r="DQ233" s="63"/>
      <c r="DR233" s="585"/>
    </row>
    <row r="234" spans="1:122" x14ac:dyDescent="0.2">
      <c r="A234" s="90">
        <v>227</v>
      </c>
      <c r="B234" s="129" t="s">
        <v>312</v>
      </c>
      <c r="C234" s="130" t="s">
        <v>749</v>
      </c>
      <c r="D234" s="131" t="s">
        <v>744</v>
      </c>
      <c r="E234" s="132" t="s">
        <v>311</v>
      </c>
      <c r="F234" s="475" t="s">
        <v>808</v>
      </c>
      <c r="G234" s="63">
        <v>179102043</v>
      </c>
      <c r="H234" s="63">
        <v>0</v>
      </c>
      <c r="I234" s="63">
        <v>179102043</v>
      </c>
      <c r="J234" s="608">
        <v>48.4</v>
      </c>
      <c r="K234" s="63">
        <v>86685389</v>
      </c>
      <c r="L234" s="63">
        <v>0</v>
      </c>
      <c r="M234" s="63">
        <v>-1000000</v>
      </c>
      <c r="N234" s="63">
        <v>0</v>
      </c>
      <c r="O234" s="63">
        <v>85685389</v>
      </c>
      <c r="P234" s="63">
        <v>0</v>
      </c>
      <c r="Q234" s="63">
        <v>85685389</v>
      </c>
      <c r="R234" s="63">
        <v>0</v>
      </c>
      <c r="S234" s="63">
        <v>0</v>
      </c>
      <c r="T234" s="63">
        <v>0</v>
      </c>
      <c r="U234" s="63">
        <v>0</v>
      </c>
      <c r="V234" s="63">
        <v>0</v>
      </c>
      <c r="W234" s="63">
        <v>0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63">
        <v>0</v>
      </c>
      <c r="AF234" s="63">
        <v>0</v>
      </c>
      <c r="AG234" s="63">
        <v>0</v>
      </c>
      <c r="AH234" s="63">
        <v>-5897909</v>
      </c>
      <c r="AI234" s="63">
        <v>0</v>
      </c>
      <c r="AJ234" s="63">
        <v>-5897909</v>
      </c>
      <c r="AK234" s="63">
        <v>0</v>
      </c>
      <c r="AL234" s="63">
        <v>0</v>
      </c>
      <c r="AM234" s="63">
        <v>0</v>
      </c>
      <c r="AN234" s="63">
        <v>1936699</v>
      </c>
      <c r="AO234" s="63">
        <v>0</v>
      </c>
      <c r="AP234" s="63">
        <v>1936699</v>
      </c>
      <c r="AQ234" s="63">
        <v>-3961210</v>
      </c>
      <c r="AR234" s="63">
        <v>0</v>
      </c>
      <c r="AS234" s="63">
        <v>-3961210</v>
      </c>
      <c r="AT234" s="63">
        <v>-4427630</v>
      </c>
      <c r="AU234" s="63">
        <v>0</v>
      </c>
      <c r="AV234" s="63">
        <v>-4427630</v>
      </c>
      <c r="AW234" s="63">
        <v>-30983</v>
      </c>
      <c r="AX234" s="63">
        <v>0</v>
      </c>
      <c r="AY234" s="63">
        <v>-30983</v>
      </c>
      <c r="AZ234" s="63">
        <v>-1815</v>
      </c>
      <c r="BA234" s="63">
        <v>0</v>
      </c>
      <c r="BB234" s="63">
        <v>-1815</v>
      </c>
      <c r="BC234" s="63">
        <v>-8421638</v>
      </c>
      <c r="BD234" s="63">
        <v>0</v>
      </c>
      <c r="BE234" s="63">
        <v>-360000</v>
      </c>
      <c r="BF234" s="63">
        <v>0</v>
      </c>
      <c r="BG234" s="63">
        <v>-8781638</v>
      </c>
      <c r="BH234" s="63">
        <v>0</v>
      </c>
      <c r="BI234" s="63">
        <v>-8781638</v>
      </c>
      <c r="BJ234" s="63">
        <v>0</v>
      </c>
      <c r="BK234" s="63">
        <v>0</v>
      </c>
      <c r="BL234" s="63">
        <v>0</v>
      </c>
      <c r="BM234" s="63">
        <v>-2513439</v>
      </c>
      <c r="BN234" s="63">
        <v>0</v>
      </c>
      <c r="BO234" s="63">
        <v>-2513439</v>
      </c>
      <c r="BP234" s="63">
        <v>-2513439</v>
      </c>
      <c r="BQ234" s="63">
        <v>0</v>
      </c>
      <c r="BR234" s="63">
        <v>-865000</v>
      </c>
      <c r="BS234" s="63">
        <v>0</v>
      </c>
      <c r="BT234" s="63">
        <v>-3378439</v>
      </c>
      <c r="BU234" s="63">
        <v>0</v>
      </c>
      <c r="BV234" s="63">
        <v>-3378439</v>
      </c>
      <c r="BW234" s="63">
        <v>-228630</v>
      </c>
      <c r="BX234" s="63">
        <v>0</v>
      </c>
      <c r="BY234" s="63">
        <v>-228630</v>
      </c>
      <c r="BZ234" s="63">
        <v>-87000</v>
      </c>
      <c r="CA234" s="63">
        <v>0</v>
      </c>
      <c r="CB234" s="63">
        <v>-87000</v>
      </c>
      <c r="CC234" s="63">
        <v>0</v>
      </c>
      <c r="CD234" s="63">
        <v>0</v>
      </c>
      <c r="CE234" s="63">
        <v>0</v>
      </c>
      <c r="CF234" s="63">
        <v>0</v>
      </c>
      <c r="CG234" s="63">
        <v>0</v>
      </c>
      <c r="CH234" s="63">
        <v>0</v>
      </c>
      <c r="CI234" s="63">
        <v>0</v>
      </c>
      <c r="CJ234" s="63">
        <v>0</v>
      </c>
      <c r="CK234" s="63">
        <v>0</v>
      </c>
      <c r="CL234" s="63">
        <v>-6653</v>
      </c>
      <c r="CM234" s="63">
        <v>0</v>
      </c>
      <c r="CN234" s="63">
        <v>-6653</v>
      </c>
      <c r="CO234" s="63">
        <v>0</v>
      </c>
      <c r="CP234" s="63">
        <v>0</v>
      </c>
      <c r="CQ234" s="63">
        <v>-322283</v>
      </c>
      <c r="CR234" s="63">
        <v>0</v>
      </c>
      <c r="CS234" s="63">
        <v>0</v>
      </c>
      <c r="CT234" s="63">
        <v>0</v>
      </c>
      <c r="CU234" s="63">
        <v>-322283</v>
      </c>
      <c r="CV234" s="63">
        <v>0</v>
      </c>
      <c r="CW234" s="63">
        <v>-322283</v>
      </c>
      <c r="CX234" s="63">
        <v>-94000</v>
      </c>
      <c r="CY234" s="63">
        <v>0</v>
      </c>
      <c r="CZ234" s="63">
        <v>-94000</v>
      </c>
      <c r="DA234" s="63">
        <v>-60000</v>
      </c>
      <c r="DB234" s="63">
        <v>0</v>
      </c>
      <c r="DC234" s="63">
        <v>-60000</v>
      </c>
      <c r="DD234" s="63">
        <v>-6435</v>
      </c>
      <c r="DE234" s="63">
        <v>0</v>
      </c>
      <c r="DF234" s="63">
        <v>-6435</v>
      </c>
      <c r="DG234" s="63">
        <v>-160435</v>
      </c>
      <c r="DH234" s="63">
        <v>0</v>
      </c>
      <c r="DI234" s="63">
        <v>0</v>
      </c>
      <c r="DJ234" s="63">
        <v>0</v>
      </c>
      <c r="DK234" s="63">
        <v>-160435</v>
      </c>
      <c r="DL234" s="63">
        <v>0</v>
      </c>
      <c r="DM234" s="63">
        <v>-160435</v>
      </c>
      <c r="DN234" s="63">
        <v>73042594</v>
      </c>
      <c r="DO234" s="63">
        <v>0</v>
      </c>
      <c r="DP234" s="63">
        <v>73042594</v>
      </c>
      <c r="DQ234" s="63"/>
      <c r="DR234" s="585"/>
    </row>
    <row r="235" spans="1:122" x14ac:dyDescent="0.2">
      <c r="A235" s="90">
        <v>228</v>
      </c>
      <c r="B235" s="129" t="s">
        <v>314</v>
      </c>
      <c r="C235" s="130" t="s">
        <v>742</v>
      </c>
      <c r="D235" s="131" t="s">
        <v>750</v>
      </c>
      <c r="E235" s="132" t="s">
        <v>313</v>
      </c>
      <c r="F235" s="475" t="s">
        <v>808</v>
      </c>
      <c r="G235" s="63">
        <v>101222152</v>
      </c>
      <c r="H235" s="63">
        <v>0</v>
      </c>
      <c r="I235" s="63">
        <v>101222152</v>
      </c>
      <c r="J235" s="608">
        <v>48.4</v>
      </c>
      <c r="K235" s="63">
        <v>48991522</v>
      </c>
      <c r="L235" s="63">
        <v>0</v>
      </c>
      <c r="M235" s="63">
        <v>-4599538</v>
      </c>
      <c r="N235" s="63">
        <v>0</v>
      </c>
      <c r="O235" s="63">
        <v>44391984</v>
      </c>
      <c r="P235" s="63">
        <v>0</v>
      </c>
      <c r="Q235" s="63">
        <v>44391984</v>
      </c>
      <c r="R235" s="63">
        <v>0</v>
      </c>
      <c r="S235" s="63">
        <v>0</v>
      </c>
      <c r="T235" s="63">
        <v>0</v>
      </c>
      <c r="U235" s="63">
        <v>0</v>
      </c>
      <c r="V235" s="63">
        <v>0</v>
      </c>
      <c r="W235" s="63">
        <v>0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0</v>
      </c>
      <c r="AE235" s="63">
        <v>0</v>
      </c>
      <c r="AF235" s="63">
        <v>0</v>
      </c>
      <c r="AG235" s="63">
        <v>0</v>
      </c>
      <c r="AH235" s="63">
        <v>-1691418</v>
      </c>
      <c r="AI235" s="63">
        <v>0</v>
      </c>
      <c r="AJ235" s="63">
        <v>-1691418</v>
      </c>
      <c r="AK235" s="63">
        <v>-8288</v>
      </c>
      <c r="AL235" s="63">
        <v>0</v>
      </c>
      <c r="AM235" s="63">
        <v>-8288</v>
      </c>
      <c r="AN235" s="63">
        <v>999937</v>
      </c>
      <c r="AO235" s="63">
        <v>0</v>
      </c>
      <c r="AP235" s="63">
        <v>999937</v>
      </c>
      <c r="AQ235" s="63">
        <v>-691481</v>
      </c>
      <c r="AR235" s="63">
        <v>0</v>
      </c>
      <c r="AS235" s="63">
        <v>-691481</v>
      </c>
      <c r="AT235" s="63">
        <v>-1050447</v>
      </c>
      <c r="AU235" s="63">
        <v>0</v>
      </c>
      <c r="AV235" s="63">
        <v>-1050447</v>
      </c>
      <c r="AW235" s="63">
        <v>-55018</v>
      </c>
      <c r="AX235" s="63">
        <v>0</v>
      </c>
      <c r="AY235" s="63">
        <v>-55018</v>
      </c>
      <c r="AZ235" s="63">
        <v>-19479</v>
      </c>
      <c r="BA235" s="63">
        <v>0</v>
      </c>
      <c r="BB235" s="63">
        <v>-19479</v>
      </c>
      <c r="BC235" s="63">
        <v>-1816425</v>
      </c>
      <c r="BD235" s="63">
        <v>0</v>
      </c>
      <c r="BE235" s="63">
        <v>0</v>
      </c>
      <c r="BF235" s="63">
        <v>0</v>
      </c>
      <c r="BG235" s="63">
        <v>-1816425</v>
      </c>
      <c r="BH235" s="63">
        <v>0</v>
      </c>
      <c r="BI235" s="63">
        <v>-1816425</v>
      </c>
      <c r="BJ235" s="63">
        <v>-20039</v>
      </c>
      <c r="BK235" s="63">
        <v>0</v>
      </c>
      <c r="BL235" s="63">
        <v>-20039</v>
      </c>
      <c r="BM235" s="63">
        <v>-628681</v>
      </c>
      <c r="BN235" s="63">
        <v>0</v>
      </c>
      <c r="BO235" s="63">
        <v>-628681</v>
      </c>
      <c r="BP235" s="63">
        <v>-648720</v>
      </c>
      <c r="BQ235" s="63">
        <v>0</v>
      </c>
      <c r="BR235" s="63">
        <v>0</v>
      </c>
      <c r="BS235" s="63">
        <v>0</v>
      </c>
      <c r="BT235" s="63">
        <v>-648720</v>
      </c>
      <c r="BU235" s="63">
        <v>0</v>
      </c>
      <c r="BV235" s="63">
        <v>-648720</v>
      </c>
      <c r="BW235" s="63">
        <v>-66058</v>
      </c>
      <c r="BX235" s="63">
        <v>0</v>
      </c>
      <c r="BY235" s="63">
        <v>-66058</v>
      </c>
      <c r="BZ235" s="63">
        <v>-14752</v>
      </c>
      <c r="CA235" s="63">
        <v>0</v>
      </c>
      <c r="CB235" s="63">
        <v>-14752</v>
      </c>
      <c r="CC235" s="63">
        <v>-1389</v>
      </c>
      <c r="CD235" s="63">
        <v>0</v>
      </c>
      <c r="CE235" s="63">
        <v>-1389</v>
      </c>
      <c r="CF235" s="63">
        <v>-12284</v>
      </c>
      <c r="CG235" s="63">
        <v>0</v>
      </c>
      <c r="CH235" s="63">
        <v>-12284</v>
      </c>
      <c r="CI235" s="63">
        <v>-2868</v>
      </c>
      <c r="CJ235" s="63">
        <v>0</v>
      </c>
      <c r="CK235" s="63">
        <v>-2868</v>
      </c>
      <c r="CL235" s="63">
        <v>0</v>
      </c>
      <c r="CM235" s="63">
        <v>0</v>
      </c>
      <c r="CN235" s="63">
        <v>0</v>
      </c>
      <c r="CO235" s="63">
        <v>0</v>
      </c>
      <c r="CP235" s="63">
        <v>0</v>
      </c>
      <c r="CQ235" s="63">
        <v>-97351</v>
      </c>
      <c r="CR235" s="63">
        <v>0</v>
      </c>
      <c r="CS235" s="63">
        <v>0</v>
      </c>
      <c r="CT235" s="63">
        <v>0</v>
      </c>
      <c r="CU235" s="63">
        <v>-97351</v>
      </c>
      <c r="CV235" s="63">
        <v>0</v>
      </c>
      <c r="CW235" s="63">
        <v>-97351</v>
      </c>
      <c r="CX235" s="63">
        <v>-5074</v>
      </c>
      <c r="CY235" s="63">
        <v>0</v>
      </c>
      <c r="CZ235" s="63">
        <v>-5074</v>
      </c>
      <c r="DA235" s="63">
        <v>-14240</v>
      </c>
      <c r="DB235" s="63">
        <v>0</v>
      </c>
      <c r="DC235" s="63">
        <v>-14240</v>
      </c>
      <c r="DD235" s="63">
        <v>0</v>
      </c>
      <c r="DE235" s="63">
        <v>0</v>
      </c>
      <c r="DF235" s="63">
        <v>0</v>
      </c>
      <c r="DG235" s="63">
        <v>-19314</v>
      </c>
      <c r="DH235" s="63">
        <v>0</v>
      </c>
      <c r="DI235" s="63">
        <v>0</v>
      </c>
      <c r="DJ235" s="63">
        <v>0</v>
      </c>
      <c r="DK235" s="63">
        <v>-19314</v>
      </c>
      <c r="DL235" s="63">
        <v>0</v>
      </c>
      <c r="DM235" s="63">
        <v>-19314</v>
      </c>
      <c r="DN235" s="63">
        <v>41810174</v>
      </c>
      <c r="DO235" s="63">
        <v>0</v>
      </c>
      <c r="DP235" s="63">
        <v>41810174</v>
      </c>
      <c r="DQ235" s="63"/>
      <c r="DR235" s="585"/>
    </row>
    <row r="236" spans="1:122" x14ac:dyDescent="0.2">
      <c r="A236" s="90">
        <v>229</v>
      </c>
      <c r="B236" s="129" t="s">
        <v>316</v>
      </c>
      <c r="C236" s="130" t="s">
        <v>742</v>
      </c>
      <c r="D236" s="131" t="s">
        <v>743</v>
      </c>
      <c r="E236" s="132" t="s">
        <v>315</v>
      </c>
      <c r="F236" s="475" t="s">
        <v>808</v>
      </c>
      <c r="G236" s="63">
        <v>89165084</v>
      </c>
      <c r="H236" s="63">
        <v>0</v>
      </c>
      <c r="I236" s="63">
        <v>89165084</v>
      </c>
      <c r="J236" s="608">
        <v>48.4</v>
      </c>
      <c r="K236" s="63">
        <v>43155901</v>
      </c>
      <c r="L236" s="63">
        <v>0</v>
      </c>
      <c r="M236" s="63">
        <v>0</v>
      </c>
      <c r="N236" s="63">
        <v>0</v>
      </c>
      <c r="O236" s="63">
        <v>43155901</v>
      </c>
      <c r="P236" s="63">
        <v>0</v>
      </c>
      <c r="Q236" s="63">
        <v>43155901</v>
      </c>
      <c r="R236" s="63">
        <v>0</v>
      </c>
      <c r="S236" s="63">
        <v>0</v>
      </c>
      <c r="T236" s="63">
        <v>0</v>
      </c>
      <c r="U236" s="63">
        <v>0</v>
      </c>
      <c r="V236" s="63">
        <v>0</v>
      </c>
      <c r="W236" s="63">
        <v>0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63">
        <v>0</v>
      </c>
      <c r="AF236" s="63">
        <v>0</v>
      </c>
      <c r="AG236" s="63">
        <v>0</v>
      </c>
      <c r="AH236" s="63">
        <v>-2271466</v>
      </c>
      <c r="AI236" s="63">
        <v>0</v>
      </c>
      <c r="AJ236" s="63">
        <v>-2271466</v>
      </c>
      <c r="AK236" s="63">
        <v>-7446</v>
      </c>
      <c r="AL236" s="63">
        <v>0</v>
      </c>
      <c r="AM236" s="63">
        <v>-7446</v>
      </c>
      <c r="AN236" s="63">
        <v>946778</v>
      </c>
      <c r="AO236" s="63">
        <v>0</v>
      </c>
      <c r="AP236" s="63">
        <v>946778</v>
      </c>
      <c r="AQ236" s="63">
        <v>-1324688</v>
      </c>
      <c r="AR236" s="63">
        <v>0</v>
      </c>
      <c r="AS236" s="63">
        <v>-1324688</v>
      </c>
      <c r="AT236" s="63">
        <v>-2596747</v>
      </c>
      <c r="AU236" s="63">
        <v>0</v>
      </c>
      <c r="AV236" s="63">
        <v>-2596747</v>
      </c>
      <c r="AW236" s="63">
        <v>-89315</v>
      </c>
      <c r="AX236" s="63">
        <v>0</v>
      </c>
      <c r="AY236" s="63">
        <v>-89315</v>
      </c>
      <c r="AZ236" s="63">
        <v>-13475</v>
      </c>
      <c r="BA236" s="63">
        <v>0</v>
      </c>
      <c r="BB236" s="63">
        <v>-13475</v>
      </c>
      <c r="BC236" s="63">
        <v>-4024225</v>
      </c>
      <c r="BD236" s="63">
        <v>0</v>
      </c>
      <c r="BE236" s="63">
        <v>0</v>
      </c>
      <c r="BF236" s="63">
        <v>0</v>
      </c>
      <c r="BG236" s="63">
        <v>-4024225</v>
      </c>
      <c r="BH236" s="63">
        <v>0</v>
      </c>
      <c r="BI236" s="63">
        <v>-4024225</v>
      </c>
      <c r="BJ236" s="63">
        <v>0</v>
      </c>
      <c r="BK236" s="63">
        <v>0</v>
      </c>
      <c r="BL236" s="63">
        <v>0</v>
      </c>
      <c r="BM236" s="63">
        <v>-1488078</v>
      </c>
      <c r="BN236" s="63">
        <v>0</v>
      </c>
      <c r="BO236" s="63">
        <v>-1488078</v>
      </c>
      <c r="BP236" s="63">
        <v>-1488078</v>
      </c>
      <c r="BQ236" s="63">
        <v>0</v>
      </c>
      <c r="BR236" s="63">
        <v>0</v>
      </c>
      <c r="BS236" s="63">
        <v>0</v>
      </c>
      <c r="BT236" s="63">
        <v>-1488078</v>
      </c>
      <c r="BU236" s="63">
        <v>0</v>
      </c>
      <c r="BV236" s="63">
        <v>-1488078</v>
      </c>
      <c r="BW236" s="63">
        <v>-128378</v>
      </c>
      <c r="BX236" s="63">
        <v>0</v>
      </c>
      <c r="BY236" s="63">
        <v>-128378</v>
      </c>
      <c r="BZ236" s="63">
        <v>-37874</v>
      </c>
      <c r="CA236" s="63">
        <v>0</v>
      </c>
      <c r="CB236" s="63">
        <v>-37874</v>
      </c>
      <c r="CC236" s="63">
        <v>0</v>
      </c>
      <c r="CD236" s="63">
        <v>0</v>
      </c>
      <c r="CE236" s="63">
        <v>0</v>
      </c>
      <c r="CF236" s="63">
        <v>-708</v>
      </c>
      <c r="CG236" s="63">
        <v>0</v>
      </c>
      <c r="CH236" s="63">
        <v>-708</v>
      </c>
      <c r="CI236" s="63">
        <v>-6147</v>
      </c>
      <c r="CJ236" s="63">
        <v>0</v>
      </c>
      <c r="CK236" s="63">
        <v>-6147</v>
      </c>
      <c r="CL236" s="63">
        <v>-10261</v>
      </c>
      <c r="CM236" s="63">
        <v>0</v>
      </c>
      <c r="CN236" s="63">
        <v>-10261</v>
      </c>
      <c r="CO236" s="63">
        <v>0</v>
      </c>
      <c r="CP236" s="63">
        <v>0</v>
      </c>
      <c r="CQ236" s="63">
        <v>-183368</v>
      </c>
      <c r="CR236" s="63">
        <v>0</v>
      </c>
      <c r="CS236" s="63">
        <v>0</v>
      </c>
      <c r="CT236" s="63">
        <v>0</v>
      </c>
      <c r="CU236" s="63">
        <v>-183368</v>
      </c>
      <c r="CV236" s="63">
        <v>0</v>
      </c>
      <c r="CW236" s="63">
        <v>-183368</v>
      </c>
      <c r="CX236" s="63">
        <v>0</v>
      </c>
      <c r="CY236" s="63">
        <v>0</v>
      </c>
      <c r="CZ236" s="63">
        <v>0</v>
      </c>
      <c r="DA236" s="63">
        <v>0</v>
      </c>
      <c r="DB236" s="63">
        <v>0</v>
      </c>
      <c r="DC236" s="63">
        <v>0</v>
      </c>
      <c r="DD236" s="63">
        <v>-2049</v>
      </c>
      <c r="DE236" s="63">
        <v>0</v>
      </c>
      <c r="DF236" s="63">
        <v>-2049</v>
      </c>
      <c r="DG236" s="63">
        <v>-2049</v>
      </c>
      <c r="DH236" s="63">
        <v>0</v>
      </c>
      <c r="DI236" s="63">
        <v>0</v>
      </c>
      <c r="DJ236" s="63">
        <v>0</v>
      </c>
      <c r="DK236" s="63">
        <v>-2049</v>
      </c>
      <c r="DL236" s="63">
        <v>0</v>
      </c>
      <c r="DM236" s="63">
        <v>-2049</v>
      </c>
      <c r="DN236" s="63">
        <v>37458181</v>
      </c>
      <c r="DO236" s="63">
        <v>0</v>
      </c>
      <c r="DP236" s="63">
        <v>37458181</v>
      </c>
      <c r="DQ236" s="63"/>
      <c r="DR236" s="585"/>
    </row>
    <row r="237" spans="1:122" x14ac:dyDescent="0.2">
      <c r="A237" s="90">
        <v>230</v>
      </c>
      <c r="B237" s="129" t="s">
        <v>318</v>
      </c>
      <c r="C237" s="130" t="s">
        <v>749</v>
      </c>
      <c r="D237" s="131" t="s">
        <v>750</v>
      </c>
      <c r="E237" s="132" t="s">
        <v>317</v>
      </c>
      <c r="F237" s="475" t="s">
        <v>808</v>
      </c>
      <c r="G237" s="63">
        <v>526539375</v>
      </c>
      <c r="H237" s="63">
        <v>8359280</v>
      </c>
      <c r="I237" s="63">
        <v>534898655</v>
      </c>
      <c r="J237" s="608">
        <v>48.4</v>
      </c>
      <c r="K237" s="63">
        <v>254845058</v>
      </c>
      <c r="L237" s="63">
        <v>4045892</v>
      </c>
      <c r="M237" s="63">
        <v>614032</v>
      </c>
      <c r="N237" s="63">
        <v>930000</v>
      </c>
      <c r="O237" s="63">
        <v>255459090</v>
      </c>
      <c r="P237" s="63">
        <v>4975892</v>
      </c>
      <c r="Q237" s="63">
        <v>260434982</v>
      </c>
      <c r="R237" s="63">
        <v>0</v>
      </c>
      <c r="S237" s="63">
        <v>0</v>
      </c>
      <c r="T237" s="63">
        <v>0</v>
      </c>
      <c r="U237" s="63">
        <v>0</v>
      </c>
      <c r="V237" s="63">
        <v>0</v>
      </c>
      <c r="W237" s="63">
        <v>0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0</v>
      </c>
      <c r="AE237" s="63">
        <v>0</v>
      </c>
      <c r="AF237" s="63">
        <v>0</v>
      </c>
      <c r="AG237" s="63">
        <v>0</v>
      </c>
      <c r="AH237" s="63">
        <v>-11581833</v>
      </c>
      <c r="AI237" s="63">
        <v>-31149</v>
      </c>
      <c r="AJ237" s="63">
        <v>-11612982</v>
      </c>
      <c r="AK237" s="63">
        <v>-54719</v>
      </c>
      <c r="AL237" s="63">
        <v>0</v>
      </c>
      <c r="AM237" s="63">
        <v>-54719</v>
      </c>
      <c r="AN237" s="63">
        <v>6142195</v>
      </c>
      <c r="AO237" s="63">
        <v>97513</v>
      </c>
      <c r="AP237" s="63">
        <v>6239708</v>
      </c>
      <c r="AQ237" s="63">
        <v>-5439638</v>
      </c>
      <c r="AR237" s="63">
        <v>66364</v>
      </c>
      <c r="AS237" s="63">
        <v>-5373274</v>
      </c>
      <c r="AT237" s="63">
        <v>-20152734</v>
      </c>
      <c r="AU237" s="63">
        <v>-39760</v>
      </c>
      <c r="AV237" s="63">
        <v>-20192494</v>
      </c>
      <c r="AW237" s="63">
        <v>-20622</v>
      </c>
      <c r="AX237" s="63">
        <v>0</v>
      </c>
      <c r="AY237" s="63">
        <v>-20622</v>
      </c>
      <c r="AZ237" s="63">
        <v>0</v>
      </c>
      <c r="BA237" s="63">
        <v>0</v>
      </c>
      <c r="BB237" s="63">
        <v>0</v>
      </c>
      <c r="BC237" s="63">
        <v>-25612994</v>
      </c>
      <c r="BD237" s="63">
        <v>26604</v>
      </c>
      <c r="BE237" s="63">
        <v>-1359750</v>
      </c>
      <c r="BF237" s="63">
        <v>1999</v>
      </c>
      <c r="BG237" s="63">
        <v>-26972744</v>
      </c>
      <c r="BH237" s="63">
        <v>28603</v>
      </c>
      <c r="BI237" s="63">
        <v>-26944141</v>
      </c>
      <c r="BJ237" s="63">
        <v>-290800</v>
      </c>
      <c r="BK237" s="63">
        <v>-5435</v>
      </c>
      <c r="BL237" s="63">
        <v>-296235</v>
      </c>
      <c r="BM237" s="63">
        <v>-7400518</v>
      </c>
      <c r="BN237" s="63">
        <v>-367550</v>
      </c>
      <c r="BO237" s="63">
        <v>-7768068</v>
      </c>
      <c r="BP237" s="63">
        <v>-7691318</v>
      </c>
      <c r="BQ237" s="63">
        <v>-372985</v>
      </c>
      <c r="BR237" s="63">
        <v>-173076</v>
      </c>
      <c r="BS237" s="63">
        <v>0</v>
      </c>
      <c r="BT237" s="63">
        <v>-7864394</v>
      </c>
      <c r="BU237" s="63">
        <v>-372985</v>
      </c>
      <c r="BV237" s="63">
        <v>-8237379</v>
      </c>
      <c r="BW237" s="63">
        <v>-6685</v>
      </c>
      <c r="BX237" s="63">
        <v>0</v>
      </c>
      <c r="BY237" s="63">
        <v>-6685</v>
      </c>
      <c r="BZ237" s="63">
        <v>-298003</v>
      </c>
      <c r="CA237" s="63">
        <v>0</v>
      </c>
      <c r="CB237" s="63">
        <v>-298003</v>
      </c>
      <c r="CC237" s="63">
        <v>0</v>
      </c>
      <c r="CD237" s="63">
        <v>0</v>
      </c>
      <c r="CE237" s="63">
        <v>0</v>
      </c>
      <c r="CF237" s="63">
        <v>0</v>
      </c>
      <c r="CG237" s="63">
        <v>0</v>
      </c>
      <c r="CH237" s="63">
        <v>0</v>
      </c>
      <c r="CI237" s="63">
        <v>0</v>
      </c>
      <c r="CJ237" s="63">
        <v>0</v>
      </c>
      <c r="CK237" s="63">
        <v>0</v>
      </c>
      <c r="CL237" s="63">
        <v>0</v>
      </c>
      <c r="CM237" s="63">
        <v>-56076</v>
      </c>
      <c r="CN237" s="63">
        <v>-56076</v>
      </c>
      <c r="CO237" s="63">
        <v>-56076</v>
      </c>
      <c r="CP237" s="63">
        <v>0</v>
      </c>
      <c r="CQ237" s="63">
        <v>-304688</v>
      </c>
      <c r="CR237" s="63">
        <v>-56076</v>
      </c>
      <c r="CS237" s="63">
        <v>-1427857</v>
      </c>
      <c r="CT237" s="63">
        <v>-27501</v>
      </c>
      <c r="CU237" s="63">
        <v>-1732545</v>
      </c>
      <c r="CV237" s="63">
        <v>-83577</v>
      </c>
      <c r="CW237" s="63">
        <v>-1816122</v>
      </c>
      <c r="CX237" s="63">
        <v>0</v>
      </c>
      <c r="CY237" s="63">
        <v>0</v>
      </c>
      <c r="CZ237" s="63">
        <v>0</v>
      </c>
      <c r="DA237" s="63">
        <v>-67632</v>
      </c>
      <c r="DB237" s="63">
        <v>-4784</v>
      </c>
      <c r="DC237" s="63">
        <v>-72416</v>
      </c>
      <c r="DD237" s="63">
        <v>0</v>
      </c>
      <c r="DE237" s="63">
        <v>0</v>
      </c>
      <c r="DF237" s="63">
        <v>0</v>
      </c>
      <c r="DG237" s="63">
        <v>-67632</v>
      </c>
      <c r="DH237" s="63">
        <v>-4784</v>
      </c>
      <c r="DI237" s="63">
        <v>0</v>
      </c>
      <c r="DJ237" s="63">
        <v>0</v>
      </c>
      <c r="DK237" s="63">
        <v>-67632</v>
      </c>
      <c r="DL237" s="63">
        <v>-4784</v>
      </c>
      <c r="DM237" s="63">
        <v>-72416</v>
      </c>
      <c r="DN237" s="63">
        <v>218821775</v>
      </c>
      <c r="DO237" s="63">
        <v>4543149</v>
      </c>
      <c r="DP237" s="63">
        <v>223364924</v>
      </c>
      <c r="DQ237" s="63"/>
      <c r="DR237" s="585" t="s">
        <v>768</v>
      </c>
    </row>
    <row r="238" spans="1:122" x14ac:dyDescent="0.2">
      <c r="A238" s="90">
        <v>231</v>
      </c>
      <c r="B238" s="129" t="s">
        <v>320</v>
      </c>
      <c r="C238" s="130" t="s">
        <v>742</v>
      </c>
      <c r="D238" s="131" t="s">
        <v>743</v>
      </c>
      <c r="E238" s="132" t="s">
        <v>319</v>
      </c>
      <c r="F238" s="475" t="s">
        <v>808</v>
      </c>
      <c r="G238" s="63">
        <v>74024128</v>
      </c>
      <c r="H238" s="63">
        <v>0</v>
      </c>
      <c r="I238" s="63">
        <v>74024128</v>
      </c>
      <c r="J238" s="608">
        <v>48.4</v>
      </c>
      <c r="K238" s="63">
        <v>35827678</v>
      </c>
      <c r="L238" s="63">
        <v>0</v>
      </c>
      <c r="M238" s="63">
        <v>-358277</v>
      </c>
      <c r="N238" s="63">
        <v>0</v>
      </c>
      <c r="O238" s="63">
        <v>35469401</v>
      </c>
      <c r="P238" s="63">
        <v>0</v>
      </c>
      <c r="Q238" s="63">
        <v>35469401</v>
      </c>
      <c r="R238" s="63">
        <v>0</v>
      </c>
      <c r="S238" s="63">
        <v>0</v>
      </c>
      <c r="T238" s="63">
        <v>0</v>
      </c>
      <c r="U238" s="63">
        <v>0</v>
      </c>
      <c r="V238" s="63">
        <v>0</v>
      </c>
      <c r="W238" s="63">
        <v>0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63">
        <v>0</v>
      </c>
      <c r="AF238" s="63">
        <v>0</v>
      </c>
      <c r="AG238" s="63">
        <v>0</v>
      </c>
      <c r="AH238" s="63">
        <v>-2776736</v>
      </c>
      <c r="AI238" s="63">
        <v>0</v>
      </c>
      <c r="AJ238" s="63">
        <v>-2776736</v>
      </c>
      <c r="AK238" s="63">
        <v>-41651</v>
      </c>
      <c r="AL238" s="63">
        <v>0</v>
      </c>
      <c r="AM238" s="63">
        <v>-41651</v>
      </c>
      <c r="AN238" s="63">
        <v>781805</v>
      </c>
      <c r="AO238" s="63">
        <v>0</v>
      </c>
      <c r="AP238" s="63">
        <v>781805</v>
      </c>
      <c r="AQ238" s="63">
        <v>-1994931</v>
      </c>
      <c r="AR238" s="63">
        <v>0</v>
      </c>
      <c r="AS238" s="63">
        <v>-1994931</v>
      </c>
      <c r="AT238" s="63">
        <v>-2514170</v>
      </c>
      <c r="AU238" s="63">
        <v>0</v>
      </c>
      <c r="AV238" s="63">
        <v>-2514170</v>
      </c>
      <c r="AW238" s="63">
        <v>-96378</v>
      </c>
      <c r="AX238" s="63">
        <v>0</v>
      </c>
      <c r="AY238" s="63">
        <v>-96378</v>
      </c>
      <c r="AZ238" s="63">
        <v>-23458</v>
      </c>
      <c r="BA238" s="63">
        <v>0</v>
      </c>
      <c r="BB238" s="63">
        <v>-23458</v>
      </c>
      <c r="BC238" s="63">
        <v>-4628937</v>
      </c>
      <c r="BD238" s="63">
        <v>0</v>
      </c>
      <c r="BE238" s="63">
        <v>-124981</v>
      </c>
      <c r="BF238" s="63">
        <v>0</v>
      </c>
      <c r="BG238" s="63">
        <v>-4753918</v>
      </c>
      <c r="BH238" s="63">
        <v>0</v>
      </c>
      <c r="BI238" s="63">
        <v>-4753918</v>
      </c>
      <c r="BJ238" s="63">
        <v>-289484</v>
      </c>
      <c r="BK238" s="63">
        <v>0</v>
      </c>
      <c r="BL238" s="63">
        <v>-289484</v>
      </c>
      <c r="BM238" s="63">
        <v>-1006389</v>
      </c>
      <c r="BN238" s="63">
        <v>0</v>
      </c>
      <c r="BO238" s="63">
        <v>-1006389</v>
      </c>
      <c r="BP238" s="63">
        <v>-1295873</v>
      </c>
      <c r="BQ238" s="63">
        <v>0</v>
      </c>
      <c r="BR238" s="63">
        <v>-123108</v>
      </c>
      <c r="BS238" s="63">
        <v>0</v>
      </c>
      <c r="BT238" s="63">
        <v>-1418981</v>
      </c>
      <c r="BU238" s="63">
        <v>0</v>
      </c>
      <c r="BV238" s="63">
        <v>-1418981</v>
      </c>
      <c r="BW238" s="63">
        <v>-56722</v>
      </c>
      <c r="BX238" s="63">
        <v>0</v>
      </c>
      <c r="BY238" s="63">
        <v>-56722</v>
      </c>
      <c r="BZ238" s="63">
        <v>-2080</v>
      </c>
      <c r="CA238" s="63">
        <v>0</v>
      </c>
      <c r="CB238" s="63">
        <v>-2080</v>
      </c>
      <c r="CC238" s="63">
        <v>-1295</v>
      </c>
      <c r="CD238" s="63">
        <v>0</v>
      </c>
      <c r="CE238" s="63">
        <v>-1295</v>
      </c>
      <c r="CF238" s="63">
        <v>-322</v>
      </c>
      <c r="CG238" s="63">
        <v>0</v>
      </c>
      <c r="CH238" s="63">
        <v>-322</v>
      </c>
      <c r="CI238" s="63">
        <v>-22</v>
      </c>
      <c r="CJ238" s="63">
        <v>0</v>
      </c>
      <c r="CK238" s="63">
        <v>-22</v>
      </c>
      <c r="CL238" s="63">
        <v>-153000</v>
      </c>
      <c r="CM238" s="63">
        <v>0</v>
      </c>
      <c r="CN238" s="63">
        <v>-153000</v>
      </c>
      <c r="CO238" s="63">
        <v>0</v>
      </c>
      <c r="CP238" s="63">
        <v>0</v>
      </c>
      <c r="CQ238" s="63">
        <v>-213441</v>
      </c>
      <c r="CR238" s="63">
        <v>0</v>
      </c>
      <c r="CS238" s="63">
        <v>-13297</v>
      </c>
      <c r="CT238" s="63">
        <v>0</v>
      </c>
      <c r="CU238" s="63">
        <v>-226738</v>
      </c>
      <c r="CV238" s="63">
        <v>0</v>
      </c>
      <c r="CW238" s="63">
        <v>-226738</v>
      </c>
      <c r="CX238" s="63">
        <v>-500</v>
      </c>
      <c r="CY238" s="63">
        <v>0</v>
      </c>
      <c r="CZ238" s="63">
        <v>-500</v>
      </c>
      <c r="DA238" s="63">
        <v>-42359</v>
      </c>
      <c r="DB238" s="63">
        <v>0</v>
      </c>
      <c r="DC238" s="63">
        <v>-42359</v>
      </c>
      <c r="DD238" s="63">
        <v>-9063</v>
      </c>
      <c r="DE238" s="63">
        <v>0</v>
      </c>
      <c r="DF238" s="63">
        <v>-9063</v>
      </c>
      <c r="DG238" s="63">
        <v>-51922</v>
      </c>
      <c r="DH238" s="63">
        <v>0</v>
      </c>
      <c r="DI238" s="63">
        <v>-4413</v>
      </c>
      <c r="DJ238" s="63">
        <v>0</v>
      </c>
      <c r="DK238" s="63">
        <v>-56335</v>
      </c>
      <c r="DL238" s="63">
        <v>0</v>
      </c>
      <c r="DM238" s="63">
        <v>-56335</v>
      </c>
      <c r="DN238" s="63">
        <v>29013429</v>
      </c>
      <c r="DO238" s="63">
        <v>0</v>
      </c>
      <c r="DP238" s="63">
        <v>29013429</v>
      </c>
      <c r="DQ238" s="63"/>
      <c r="DR238" s="585"/>
    </row>
    <row r="239" spans="1:122" x14ac:dyDescent="0.2">
      <c r="A239" s="90">
        <v>232</v>
      </c>
      <c r="B239" s="129" t="s">
        <v>322</v>
      </c>
      <c r="C239" s="130" t="s">
        <v>501</v>
      </c>
      <c r="D239" s="131" t="s">
        <v>752</v>
      </c>
      <c r="E239" s="132" t="s">
        <v>321</v>
      </c>
      <c r="F239" s="475" t="s">
        <v>808</v>
      </c>
      <c r="G239" s="63">
        <v>201572706</v>
      </c>
      <c r="H239" s="63">
        <v>0</v>
      </c>
      <c r="I239" s="63">
        <v>201572706</v>
      </c>
      <c r="J239" s="608">
        <v>48.4</v>
      </c>
      <c r="K239" s="63">
        <v>97561190</v>
      </c>
      <c r="L239" s="63">
        <v>0</v>
      </c>
      <c r="M239" s="63">
        <v>661358</v>
      </c>
      <c r="N239" s="63">
        <v>0</v>
      </c>
      <c r="O239" s="63">
        <v>98222548</v>
      </c>
      <c r="P239" s="63">
        <v>0</v>
      </c>
      <c r="Q239" s="63">
        <v>98222548</v>
      </c>
      <c r="R239" s="63">
        <v>0</v>
      </c>
      <c r="S239" s="63">
        <v>0</v>
      </c>
      <c r="T239" s="63">
        <v>0</v>
      </c>
      <c r="U239" s="63">
        <v>0</v>
      </c>
      <c r="V239" s="63">
        <v>0</v>
      </c>
      <c r="W239" s="63">
        <v>0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0</v>
      </c>
      <c r="AE239" s="63">
        <v>0</v>
      </c>
      <c r="AF239" s="63">
        <v>0</v>
      </c>
      <c r="AG239" s="63">
        <v>0</v>
      </c>
      <c r="AH239" s="63">
        <v>-8387187</v>
      </c>
      <c r="AI239" s="63">
        <v>0</v>
      </c>
      <c r="AJ239" s="63">
        <v>-8387187</v>
      </c>
      <c r="AK239" s="63">
        <v>-20239</v>
      </c>
      <c r="AL239" s="63">
        <v>0</v>
      </c>
      <c r="AM239" s="63">
        <v>-20239</v>
      </c>
      <c r="AN239" s="63">
        <v>2030931</v>
      </c>
      <c r="AO239" s="63">
        <v>0</v>
      </c>
      <c r="AP239" s="63">
        <v>2030931</v>
      </c>
      <c r="AQ239" s="63">
        <v>-6356256</v>
      </c>
      <c r="AR239" s="63">
        <v>0</v>
      </c>
      <c r="AS239" s="63">
        <v>-6356256</v>
      </c>
      <c r="AT239" s="63">
        <v>-6723028</v>
      </c>
      <c r="AU239" s="63">
        <v>0</v>
      </c>
      <c r="AV239" s="63">
        <v>-6723028</v>
      </c>
      <c r="AW239" s="63">
        <v>-164345</v>
      </c>
      <c r="AX239" s="63">
        <v>0</v>
      </c>
      <c r="AY239" s="63">
        <v>-164345</v>
      </c>
      <c r="AZ239" s="63">
        <v>-98152</v>
      </c>
      <c r="BA239" s="63">
        <v>0</v>
      </c>
      <c r="BB239" s="63">
        <v>-98152</v>
      </c>
      <c r="BC239" s="63">
        <v>-13341781</v>
      </c>
      <c r="BD239" s="63">
        <v>0</v>
      </c>
      <c r="BE239" s="63">
        <v>0</v>
      </c>
      <c r="BF239" s="63">
        <v>0</v>
      </c>
      <c r="BG239" s="63">
        <v>-13341781</v>
      </c>
      <c r="BH239" s="63">
        <v>0</v>
      </c>
      <c r="BI239" s="63">
        <v>-13341781</v>
      </c>
      <c r="BJ239" s="63">
        <v>-100701</v>
      </c>
      <c r="BK239" s="63">
        <v>0</v>
      </c>
      <c r="BL239" s="63">
        <v>-100701</v>
      </c>
      <c r="BM239" s="63">
        <v>-1549092</v>
      </c>
      <c r="BN239" s="63">
        <v>0</v>
      </c>
      <c r="BO239" s="63">
        <v>-1549092</v>
      </c>
      <c r="BP239" s="63">
        <v>-1649793</v>
      </c>
      <c r="BQ239" s="63">
        <v>0</v>
      </c>
      <c r="BR239" s="63">
        <v>0</v>
      </c>
      <c r="BS239" s="63">
        <v>0</v>
      </c>
      <c r="BT239" s="63">
        <v>-1649793</v>
      </c>
      <c r="BU239" s="63">
        <v>0</v>
      </c>
      <c r="BV239" s="63">
        <v>-1649793</v>
      </c>
      <c r="BW239" s="63">
        <v>-550713</v>
      </c>
      <c r="BX239" s="63">
        <v>0</v>
      </c>
      <c r="BY239" s="63">
        <v>-550713</v>
      </c>
      <c r="BZ239" s="63">
        <v>-331276</v>
      </c>
      <c r="CA239" s="63">
        <v>0</v>
      </c>
      <c r="CB239" s="63">
        <v>-331276</v>
      </c>
      <c r="CC239" s="63">
        <v>-29510</v>
      </c>
      <c r="CD239" s="63">
        <v>0</v>
      </c>
      <c r="CE239" s="63">
        <v>-29510</v>
      </c>
      <c r="CF239" s="63">
        <v>-7993</v>
      </c>
      <c r="CG239" s="63">
        <v>0</v>
      </c>
      <c r="CH239" s="63">
        <v>-7993</v>
      </c>
      <c r="CI239" s="63">
        <v>0</v>
      </c>
      <c r="CJ239" s="63">
        <v>0</v>
      </c>
      <c r="CK239" s="63">
        <v>0</v>
      </c>
      <c r="CL239" s="63">
        <v>0</v>
      </c>
      <c r="CM239" s="63">
        <v>0</v>
      </c>
      <c r="CN239" s="63">
        <v>0</v>
      </c>
      <c r="CO239" s="63">
        <v>0</v>
      </c>
      <c r="CP239" s="63">
        <v>0</v>
      </c>
      <c r="CQ239" s="63">
        <v>-919492</v>
      </c>
      <c r="CR239" s="63">
        <v>0</v>
      </c>
      <c r="CS239" s="63">
        <v>0</v>
      </c>
      <c r="CT239" s="63">
        <v>0</v>
      </c>
      <c r="CU239" s="63">
        <v>-919492</v>
      </c>
      <c r="CV239" s="63">
        <v>0</v>
      </c>
      <c r="CW239" s="63">
        <v>-919492</v>
      </c>
      <c r="CX239" s="63">
        <v>-112197</v>
      </c>
      <c r="CY239" s="63">
        <v>0</v>
      </c>
      <c r="CZ239" s="63">
        <v>-112197</v>
      </c>
      <c r="DA239" s="63">
        <v>-57744</v>
      </c>
      <c r="DB239" s="63">
        <v>0</v>
      </c>
      <c r="DC239" s="63">
        <v>-57744</v>
      </c>
      <c r="DD239" s="63">
        <v>-26042</v>
      </c>
      <c r="DE239" s="63">
        <v>0</v>
      </c>
      <c r="DF239" s="63">
        <v>-26042</v>
      </c>
      <c r="DG239" s="63">
        <v>-195983</v>
      </c>
      <c r="DH239" s="63">
        <v>0</v>
      </c>
      <c r="DI239" s="63">
        <v>0</v>
      </c>
      <c r="DJ239" s="63">
        <v>0</v>
      </c>
      <c r="DK239" s="63">
        <v>-195983</v>
      </c>
      <c r="DL239" s="63">
        <v>0</v>
      </c>
      <c r="DM239" s="63">
        <v>-195983</v>
      </c>
      <c r="DN239" s="63">
        <v>82115499</v>
      </c>
      <c r="DO239" s="63">
        <v>0</v>
      </c>
      <c r="DP239" s="63">
        <v>82115499</v>
      </c>
      <c r="DQ239" s="63"/>
      <c r="DR239" s="585"/>
    </row>
    <row r="240" spans="1:122" x14ac:dyDescent="0.2">
      <c r="A240" s="90">
        <v>233</v>
      </c>
      <c r="B240" s="129" t="s">
        <v>323</v>
      </c>
      <c r="C240" s="130" t="s">
        <v>501</v>
      </c>
      <c r="D240" s="131" t="s">
        <v>743</v>
      </c>
      <c r="E240" s="132" t="s">
        <v>508</v>
      </c>
      <c r="F240" s="475" t="s">
        <v>808</v>
      </c>
      <c r="G240" s="63">
        <v>224514835</v>
      </c>
      <c r="H240" s="63">
        <v>0</v>
      </c>
      <c r="I240" s="63">
        <v>224514835</v>
      </c>
      <c r="J240" s="608">
        <v>48.4</v>
      </c>
      <c r="K240" s="63">
        <v>108665180</v>
      </c>
      <c r="L240" s="63">
        <v>0</v>
      </c>
      <c r="M240" s="63">
        <v>2018846</v>
      </c>
      <c r="N240" s="63">
        <v>0</v>
      </c>
      <c r="O240" s="63">
        <v>110684026</v>
      </c>
      <c r="P240" s="63">
        <v>0</v>
      </c>
      <c r="Q240" s="63">
        <v>110684026</v>
      </c>
      <c r="R240" s="63">
        <v>0</v>
      </c>
      <c r="S240" s="63">
        <v>0</v>
      </c>
      <c r="T240" s="63">
        <v>0</v>
      </c>
      <c r="U240" s="63">
        <v>0</v>
      </c>
      <c r="V240" s="63">
        <v>0</v>
      </c>
      <c r="W240" s="63">
        <v>0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63">
        <v>0</v>
      </c>
      <c r="AF240" s="63">
        <v>0</v>
      </c>
      <c r="AG240" s="63">
        <v>0</v>
      </c>
      <c r="AH240" s="63">
        <v>-1359830</v>
      </c>
      <c r="AI240" s="63">
        <v>0</v>
      </c>
      <c r="AJ240" s="63">
        <v>-1359830</v>
      </c>
      <c r="AK240" s="63">
        <v>-7295</v>
      </c>
      <c r="AL240" s="63">
        <v>0</v>
      </c>
      <c r="AM240" s="63">
        <v>-7295</v>
      </c>
      <c r="AN240" s="63">
        <v>2762281</v>
      </c>
      <c r="AO240" s="63">
        <v>0</v>
      </c>
      <c r="AP240" s="63">
        <v>2762281</v>
      </c>
      <c r="AQ240" s="63">
        <v>1402451</v>
      </c>
      <c r="AR240" s="63">
        <v>0</v>
      </c>
      <c r="AS240" s="63">
        <v>1402451</v>
      </c>
      <c r="AT240" s="63">
        <v>-3780033</v>
      </c>
      <c r="AU240" s="63">
        <v>0</v>
      </c>
      <c r="AV240" s="63">
        <v>-3780033</v>
      </c>
      <c r="AW240" s="63">
        <v>0</v>
      </c>
      <c r="AX240" s="63">
        <v>0</v>
      </c>
      <c r="AY240" s="63">
        <v>0</v>
      </c>
      <c r="AZ240" s="63">
        <v>0</v>
      </c>
      <c r="BA240" s="63">
        <v>0</v>
      </c>
      <c r="BB240" s="63">
        <v>0</v>
      </c>
      <c r="BC240" s="63">
        <v>-2377582</v>
      </c>
      <c r="BD240" s="63">
        <v>0</v>
      </c>
      <c r="BE240" s="63">
        <v>-46122</v>
      </c>
      <c r="BF240" s="63">
        <v>0</v>
      </c>
      <c r="BG240" s="63">
        <v>-2423704</v>
      </c>
      <c r="BH240" s="63">
        <v>0</v>
      </c>
      <c r="BI240" s="63">
        <v>-2423704</v>
      </c>
      <c r="BJ240" s="63">
        <v>0</v>
      </c>
      <c r="BK240" s="63">
        <v>0</v>
      </c>
      <c r="BL240" s="63">
        <v>0</v>
      </c>
      <c r="BM240" s="63">
        <v>-3903933</v>
      </c>
      <c r="BN240" s="63">
        <v>0</v>
      </c>
      <c r="BO240" s="63">
        <v>-3903933</v>
      </c>
      <c r="BP240" s="63">
        <v>-3903933</v>
      </c>
      <c r="BQ240" s="63">
        <v>0</v>
      </c>
      <c r="BR240" s="63">
        <v>-978626</v>
      </c>
      <c r="BS240" s="63">
        <v>0</v>
      </c>
      <c r="BT240" s="63">
        <v>-4882559</v>
      </c>
      <c r="BU240" s="63">
        <v>0</v>
      </c>
      <c r="BV240" s="63">
        <v>-4882559</v>
      </c>
      <c r="BW240" s="63">
        <v>-103219</v>
      </c>
      <c r="BX240" s="63">
        <v>0</v>
      </c>
      <c r="BY240" s="63">
        <v>-103219</v>
      </c>
      <c r="BZ240" s="63">
        <v>-115692</v>
      </c>
      <c r="CA240" s="63">
        <v>0</v>
      </c>
      <c r="CB240" s="63">
        <v>-115692</v>
      </c>
      <c r="CC240" s="63">
        <v>0</v>
      </c>
      <c r="CD240" s="63">
        <v>0</v>
      </c>
      <c r="CE240" s="63">
        <v>0</v>
      </c>
      <c r="CF240" s="63">
        <v>0</v>
      </c>
      <c r="CG240" s="63">
        <v>0</v>
      </c>
      <c r="CH240" s="63">
        <v>0</v>
      </c>
      <c r="CI240" s="63">
        <v>0</v>
      </c>
      <c r="CJ240" s="63">
        <v>0</v>
      </c>
      <c r="CK240" s="63">
        <v>0</v>
      </c>
      <c r="CL240" s="63">
        <v>0</v>
      </c>
      <c r="CM240" s="63">
        <v>0</v>
      </c>
      <c r="CN240" s="63">
        <v>0</v>
      </c>
      <c r="CO240" s="63">
        <v>0</v>
      </c>
      <c r="CP240" s="63">
        <v>0</v>
      </c>
      <c r="CQ240" s="63">
        <v>-218911</v>
      </c>
      <c r="CR240" s="63">
        <v>0</v>
      </c>
      <c r="CS240" s="63">
        <v>0</v>
      </c>
      <c r="CT240" s="63">
        <v>0</v>
      </c>
      <c r="CU240" s="63">
        <v>-218911</v>
      </c>
      <c r="CV240" s="63">
        <v>0</v>
      </c>
      <c r="CW240" s="63">
        <v>-218911</v>
      </c>
      <c r="CX240" s="63">
        <v>-81508</v>
      </c>
      <c r="CY240" s="63">
        <v>0</v>
      </c>
      <c r="CZ240" s="63">
        <v>-81508</v>
      </c>
      <c r="DA240" s="63">
        <v>-33413</v>
      </c>
      <c r="DB240" s="63">
        <v>0</v>
      </c>
      <c r="DC240" s="63">
        <v>-33413</v>
      </c>
      <c r="DD240" s="63">
        <v>0</v>
      </c>
      <c r="DE240" s="63">
        <v>0</v>
      </c>
      <c r="DF240" s="63">
        <v>0</v>
      </c>
      <c r="DG240" s="63">
        <v>-114921</v>
      </c>
      <c r="DH240" s="63">
        <v>0</v>
      </c>
      <c r="DI240" s="63">
        <v>-610112</v>
      </c>
      <c r="DJ240" s="63">
        <v>0</v>
      </c>
      <c r="DK240" s="63">
        <v>-725033</v>
      </c>
      <c r="DL240" s="63">
        <v>0</v>
      </c>
      <c r="DM240" s="63">
        <v>-725033</v>
      </c>
      <c r="DN240" s="63">
        <v>102433819</v>
      </c>
      <c r="DO240" s="63">
        <v>0</v>
      </c>
      <c r="DP240" s="63">
        <v>102433819</v>
      </c>
      <c r="DQ240" s="63"/>
      <c r="DR240" s="585"/>
    </row>
    <row r="241" spans="1:122" x14ac:dyDescent="0.2">
      <c r="A241" s="90">
        <v>234</v>
      </c>
      <c r="B241" s="129" t="s">
        <v>325</v>
      </c>
      <c r="C241" s="130" t="s">
        <v>749</v>
      </c>
      <c r="D241" s="131" t="s">
        <v>752</v>
      </c>
      <c r="E241" s="132" t="s">
        <v>324</v>
      </c>
      <c r="F241" s="475" t="s">
        <v>808</v>
      </c>
      <c r="G241" s="63">
        <v>268763681</v>
      </c>
      <c r="H241" s="63">
        <v>0</v>
      </c>
      <c r="I241" s="63">
        <v>268763681</v>
      </c>
      <c r="J241" s="608">
        <v>48.4</v>
      </c>
      <c r="K241" s="63">
        <v>130081622</v>
      </c>
      <c r="L241" s="63">
        <v>0</v>
      </c>
      <c r="M241" s="63">
        <v>2686310</v>
      </c>
      <c r="N241" s="63">
        <v>0</v>
      </c>
      <c r="O241" s="63">
        <v>132767932</v>
      </c>
      <c r="P241" s="63">
        <v>0</v>
      </c>
      <c r="Q241" s="63">
        <v>132767932</v>
      </c>
      <c r="R241" s="63">
        <v>0</v>
      </c>
      <c r="S241" s="63">
        <v>0</v>
      </c>
      <c r="T241" s="63">
        <v>0</v>
      </c>
      <c r="U241" s="63">
        <v>0</v>
      </c>
      <c r="V241" s="63">
        <v>0</v>
      </c>
      <c r="W241" s="63">
        <v>0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63">
        <v>0</v>
      </c>
      <c r="AF241" s="63">
        <v>0</v>
      </c>
      <c r="AG241" s="63">
        <v>0</v>
      </c>
      <c r="AH241" s="63">
        <v>-2294640</v>
      </c>
      <c r="AI241" s="63">
        <v>0</v>
      </c>
      <c r="AJ241" s="63">
        <v>-2294640</v>
      </c>
      <c r="AK241" s="63">
        <v>-2000</v>
      </c>
      <c r="AL241" s="63">
        <v>0</v>
      </c>
      <c r="AM241" s="63">
        <v>-2000</v>
      </c>
      <c r="AN241" s="63">
        <v>3255561</v>
      </c>
      <c r="AO241" s="63">
        <v>0</v>
      </c>
      <c r="AP241" s="63">
        <v>3255561</v>
      </c>
      <c r="AQ241" s="63">
        <v>960921</v>
      </c>
      <c r="AR241" s="63">
        <v>0</v>
      </c>
      <c r="AS241" s="63">
        <v>960921</v>
      </c>
      <c r="AT241" s="63">
        <v>-4893551</v>
      </c>
      <c r="AU241" s="63">
        <v>0</v>
      </c>
      <c r="AV241" s="63">
        <v>-4893551</v>
      </c>
      <c r="AW241" s="63">
        <v>-109082</v>
      </c>
      <c r="AX241" s="63">
        <v>0</v>
      </c>
      <c r="AY241" s="63">
        <v>-109082</v>
      </c>
      <c r="AZ241" s="63">
        <v>-994</v>
      </c>
      <c r="BA241" s="63">
        <v>0</v>
      </c>
      <c r="BB241" s="63">
        <v>-994</v>
      </c>
      <c r="BC241" s="63">
        <v>-4042706</v>
      </c>
      <c r="BD241" s="63">
        <v>0</v>
      </c>
      <c r="BE241" s="63">
        <v>36968</v>
      </c>
      <c r="BF241" s="63">
        <v>0</v>
      </c>
      <c r="BG241" s="63">
        <v>-4005738</v>
      </c>
      <c r="BH241" s="63">
        <v>0</v>
      </c>
      <c r="BI241" s="63">
        <v>-4005738</v>
      </c>
      <c r="BJ241" s="63">
        <v>-311443</v>
      </c>
      <c r="BK241" s="63">
        <v>0</v>
      </c>
      <c r="BL241" s="63">
        <v>-311443</v>
      </c>
      <c r="BM241" s="63">
        <v>-3438917</v>
      </c>
      <c r="BN241" s="63">
        <v>0</v>
      </c>
      <c r="BO241" s="63">
        <v>-3438917</v>
      </c>
      <c r="BP241" s="63">
        <v>-3750360</v>
      </c>
      <c r="BQ241" s="63">
        <v>0</v>
      </c>
      <c r="BR241" s="63">
        <v>-289113</v>
      </c>
      <c r="BS241" s="63">
        <v>0</v>
      </c>
      <c r="BT241" s="63">
        <v>-4039473</v>
      </c>
      <c r="BU241" s="63">
        <v>0</v>
      </c>
      <c r="BV241" s="63">
        <v>-4039473</v>
      </c>
      <c r="BW241" s="63">
        <v>-77561</v>
      </c>
      <c r="BX241" s="63">
        <v>0</v>
      </c>
      <c r="BY241" s="63">
        <v>-77561</v>
      </c>
      <c r="BZ241" s="63">
        <v>-379385</v>
      </c>
      <c r="CA241" s="63">
        <v>0</v>
      </c>
      <c r="CB241" s="63">
        <v>-379385</v>
      </c>
      <c r="CC241" s="63">
        <v>0</v>
      </c>
      <c r="CD241" s="63">
        <v>0</v>
      </c>
      <c r="CE241" s="63">
        <v>0</v>
      </c>
      <c r="CF241" s="63">
        <v>0</v>
      </c>
      <c r="CG241" s="63">
        <v>0</v>
      </c>
      <c r="CH241" s="63">
        <v>0</v>
      </c>
      <c r="CI241" s="63">
        <v>0</v>
      </c>
      <c r="CJ241" s="63">
        <v>0</v>
      </c>
      <c r="CK241" s="63">
        <v>0</v>
      </c>
      <c r="CL241" s="63">
        <v>0</v>
      </c>
      <c r="CM241" s="63">
        <v>0</v>
      </c>
      <c r="CN241" s="63">
        <v>0</v>
      </c>
      <c r="CO241" s="63">
        <v>0</v>
      </c>
      <c r="CP241" s="63">
        <v>0</v>
      </c>
      <c r="CQ241" s="63">
        <v>-456946</v>
      </c>
      <c r="CR241" s="63">
        <v>0</v>
      </c>
      <c r="CS241" s="63">
        <v>0</v>
      </c>
      <c r="CT241" s="63">
        <v>0</v>
      </c>
      <c r="CU241" s="63">
        <v>-456946</v>
      </c>
      <c r="CV241" s="63">
        <v>0</v>
      </c>
      <c r="CW241" s="63">
        <v>-456946</v>
      </c>
      <c r="CX241" s="63">
        <v>-434913</v>
      </c>
      <c r="CY241" s="63">
        <v>0</v>
      </c>
      <c r="CZ241" s="63">
        <v>-434913</v>
      </c>
      <c r="DA241" s="63">
        <v>-25727</v>
      </c>
      <c r="DB241" s="63">
        <v>0</v>
      </c>
      <c r="DC241" s="63">
        <v>-25727</v>
      </c>
      <c r="DD241" s="63">
        <v>-85</v>
      </c>
      <c r="DE241" s="63">
        <v>0</v>
      </c>
      <c r="DF241" s="63">
        <v>-85</v>
      </c>
      <c r="DG241" s="63">
        <v>-460725</v>
      </c>
      <c r="DH241" s="63">
        <v>0</v>
      </c>
      <c r="DI241" s="63">
        <v>-49155</v>
      </c>
      <c r="DJ241" s="63">
        <v>0</v>
      </c>
      <c r="DK241" s="63">
        <v>-509880</v>
      </c>
      <c r="DL241" s="63">
        <v>0</v>
      </c>
      <c r="DM241" s="63">
        <v>-509880</v>
      </c>
      <c r="DN241" s="63">
        <v>123755895</v>
      </c>
      <c r="DO241" s="63">
        <v>0</v>
      </c>
      <c r="DP241" s="63">
        <v>123755895</v>
      </c>
      <c r="DQ241" s="63"/>
      <c r="DR241" s="585"/>
    </row>
    <row r="242" spans="1:122" x14ac:dyDescent="0.2">
      <c r="A242" s="90">
        <v>235</v>
      </c>
      <c r="B242" s="129" t="s">
        <v>327</v>
      </c>
      <c r="C242" s="130" t="s">
        <v>742</v>
      </c>
      <c r="D242" s="131" t="s">
        <v>743</v>
      </c>
      <c r="E242" s="132" t="s">
        <v>326</v>
      </c>
      <c r="F242" s="475" t="s">
        <v>808</v>
      </c>
      <c r="G242" s="63">
        <v>75607086</v>
      </c>
      <c r="H242" s="63">
        <v>0</v>
      </c>
      <c r="I242" s="63">
        <v>75607086</v>
      </c>
      <c r="J242" s="608">
        <v>48.4</v>
      </c>
      <c r="K242" s="63">
        <v>36593830</v>
      </c>
      <c r="L242" s="63">
        <v>0</v>
      </c>
      <c r="M242" s="63">
        <v>414167</v>
      </c>
      <c r="N242" s="63">
        <v>0</v>
      </c>
      <c r="O242" s="63">
        <v>37007997</v>
      </c>
      <c r="P242" s="63">
        <v>0</v>
      </c>
      <c r="Q242" s="63">
        <v>37007997</v>
      </c>
      <c r="R242" s="63">
        <v>0</v>
      </c>
      <c r="S242" s="63">
        <v>0</v>
      </c>
      <c r="T242" s="63">
        <v>0</v>
      </c>
      <c r="U242" s="63">
        <v>0</v>
      </c>
      <c r="V242" s="63">
        <v>0</v>
      </c>
      <c r="W242" s="63">
        <v>0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0</v>
      </c>
      <c r="AE242" s="63">
        <v>0</v>
      </c>
      <c r="AF242" s="63">
        <v>0</v>
      </c>
      <c r="AG242" s="63">
        <v>0</v>
      </c>
      <c r="AH242" s="63">
        <v>-898121</v>
      </c>
      <c r="AI242" s="63">
        <v>0</v>
      </c>
      <c r="AJ242" s="63">
        <v>-898121</v>
      </c>
      <c r="AK242" s="63">
        <v>0</v>
      </c>
      <c r="AL242" s="63">
        <v>0</v>
      </c>
      <c r="AM242" s="63">
        <v>0</v>
      </c>
      <c r="AN242" s="63">
        <v>884411</v>
      </c>
      <c r="AO242" s="63">
        <v>0</v>
      </c>
      <c r="AP242" s="63">
        <v>884411</v>
      </c>
      <c r="AQ242" s="63">
        <v>-13710</v>
      </c>
      <c r="AR242" s="63">
        <v>0</v>
      </c>
      <c r="AS242" s="63">
        <v>-13710</v>
      </c>
      <c r="AT242" s="63">
        <v>-1899454</v>
      </c>
      <c r="AU242" s="63">
        <v>0</v>
      </c>
      <c r="AV242" s="63">
        <v>-1899454</v>
      </c>
      <c r="AW242" s="63">
        <v>-53080</v>
      </c>
      <c r="AX242" s="63">
        <v>0</v>
      </c>
      <c r="AY242" s="63">
        <v>-53080</v>
      </c>
      <c r="AZ242" s="63">
        <v>-1168</v>
      </c>
      <c r="BA242" s="63">
        <v>0</v>
      </c>
      <c r="BB242" s="63">
        <v>-1168</v>
      </c>
      <c r="BC242" s="63">
        <v>-1967412</v>
      </c>
      <c r="BD242" s="63">
        <v>0</v>
      </c>
      <c r="BE242" s="63">
        <v>0</v>
      </c>
      <c r="BF242" s="63">
        <v>0</v>
      </c>
      <c r="BG242" s="63">
        <v>-1967412</v>
      </c>
      <c r="BH242" s="63">
        <v>0</v>
      </c>
      <c r="BI242" s="63">
        <v>-1967412</v>
      </c>
      <c r="BJ242" s="63">
        <v>0</v>
      </c>
      <c r="BK242" s="63">
        <v>0</v>
      </c>
      <c r="BL242" s="63">
        <v>0</v>
      </c>
      <c r="BM242" s="63">
        <v>-1395788</v>
      </c>
      <c r="BN242" s="63">
        <v>0</v>
      </c>
      <c r="BO242" s="63">
        <v>-1395788</v>
      </c>
      <c r="BP242" s="63">
        <v>-1395788</v>
      </c>
      <c r="BQ242" s="63">
        <v>0</v>
      </c>
      <c r="BR242" s="63">
        <v>0</v>
      </c>
      <c r="BS242" s="63">
        <v>0</v>
      </c>
      <c r="BT242" s="63">
        <v>-1395788</v>
      </c>
      <c r="BU242" s="63">
        <v>0</v>
      </c>
      <c r="BV242" s="63">
        <v>-1395788</v>
      </c>
      <c r="BW242" s="63">
        <v>-20127</v>
      </c>
      <c r="BX242" s="63">
        <v>0</v>
      </c>
      <c r="BY242" s="63">
        <v>-20127</v>
      </c>
      <c r="BZ242" s="63">
        <v>-27832</v>
      </c>
      <c r="CA242" s="63">
        <v>0</v>
      </c>
      <c r="CB242" s="63">
        <v>-27832</v>
      </c>
      <c r="CC242" s="63">
        <v>-263</v>
      </c>
      <c r="CD242" s="63">
        <v>0</v>
      </c>
      <c r="CE242" s="63">
        <v>-263</v>
      </c>
      <c r="CF242" s="63">
        <v>0</v>
      </c>
      <c r="CG242" s="63">
        <v>0</v>
      </c>
      <c r="CH242" s="63">
        <v>0</v>
      </c>
      <c r="CI242" s="63">
        <v>0</v>
      </c>
      <c r="CJ242" s="63">
        <v>0</v>
      </c>
      <c r="CK242" s="63">
        <v>0</v>
      </c>
      <c r="CL242" s="63">
        <v>0</v>
      </c>
      <c r="CM242" s="63">
        <v>0</v>
      </c>
      <c r="CN242" s="63">
        <v>0</v>
      </c>
      <c r="CO242" s="63">
        <v>0</v>
      </c>
      <c r="CP242" s="63">
        <v>0</v>
      </c>
      <c r="CQ242" s="63">
        <v>-48222</v>
      </c>
      <c r="CR242" s="63">
        <v>0</v>
      </c>
      <c r="CS242" s="63">
        <v>0</v>
      </c>
      <c r="CT242" s="63">
        <v>0</v>
      </c>
      <c r="CU242" s="63">
        <v>-48222</v>
      </c>
      <c r="CV242" s="63">
        <v>0</v>
      </c>
      <c r="CW242" s="63">
        <v>-48222</v>
      </c>
      <c r="CX242" s="63">
        <v>0</v>
      </c>
      <c r="CY242" s="63">
        <v>0</v>
      </c>
      <c r="CZ242" s="63">
        <v>0</v>
      </c>
      <c r="DA242" s="63">
        <v>0</v>
      </c>
      <c r="DB242" s="63">
        <v>0</v>
      </c>
      <c r="DC242" s="63">
        <v>0</v>
      </c>
      <c r="DD242" s="63">
        <v>0</v>
      </c>
      <c r="DE242" s="63">
        <v>0</v>
      </c>
      <c r="DF242" s="63">
        <v>0</v>
      </c>
      <c r="DG242" s="63">
        <v>0</v>
      </c>
      <c r="DH242" s="63">
        <v>0</v>
      </c>
      <c r="DI242" s="63">
        <v>0</v>
      </c>
      <c r="DJ242" s="63">
        <v>0</v>
      </c>
      <c r="DK242" s="63">
        <v>0</v>
      </c>
      <c r="DL242" s="63">
        <v>0</v>
      </c>
      <c r="DM242" s="63">
        <v>0</v>
      </c>
      <c r="DN242" s="63">
        <v>33596575</v>
      </c>
      <c r="DO242" s="63">
        <v>0</v>
      </c>
      <c r="DP242" s="63">
        <v>33596575</v>
      </c>
      <c r="DQ242" s="63"/>
      <c r="DR242" s="585"/>
    </row>
    <row r="243" spans="1:122" x14ac:dyDescent="0.2">
      <c r="A243" s="90">
        <v>236</v>
      </c>
      <c r="B243" s="129" t="s">
        <v>329</v>
      </c>
      <c r="C243" s="130" t="s">
        <v>742</v>
      </c>
      <c r="D243" s="131" t="s">
        <v>746</v>
      </c>
      <c r="E243" s="132" t="s">
        <v>328</v>
      </c>
      <c r="F243" s="475" t="s">
        <v>808</v>
      </c>
      <c r="G243" s="63">
        <v>177662854</v>
      </c>
      <c r="H243" s="63">
        <v>0</v>
      </c>
      <c r="I243" s="63">
        <v>177662854</v>
      </c>
      <c r="J243" s="608">
        <v>48.4</v>
      </c>
      <c r="K243" s="63">
        <v>85988821</v>
      </c>
      <c r="L243" s="63">
        <v>0</v>
      </c>
      <c r="M243" s="63">
        <v>0</v>
      </c>
      <c r="N243" s="63">
        <v>0</v>
      </c>
      <c r="O243" s="63">
        <v>85988821</v>
      </c>
      <c r="P243" s="63">
        <v>0</v>
      </c>
      <c r="Q243" s="63">
        <v>85988821</v>
      </c>
      <c r="R243" s="63">
        <v>0</v>
      </c>
      <c r="S243" s="63">
        <v>0</v>
      </c>
      <c r="T243" s="63">
        <v>0</v>
      </c>
      <c r="U243" s="63">
        <v>0</v>
      </c>
      <c r="V243" s="63">
        <v>0</v>
      </c>
      <c r="W243" s="63">
        <v>0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0</v>
      </c>
      <c r="AE243" s="63">
        <v>0</v>
      </c>
      <c r="AF243" s="63">
        <v>0</v>
      </c>
      <c r="AG243" s="63">
        <v>0</v>
      </c>
      <c r="AH243" s="63">
        <v>-2594998</v>
      </c>
      <c r="AI243" s="63">
        <v>0</v>
      </c>
      <c r="AJ243" s="63">
        <v>-2594998</v>
      </c>
      <c r="AK243" s="63">
        <v>-11338</v>
      </c>
      <c r="AL243" s="63">
        <v>0</v>
      </c>
      <c r="AM243" s="63">
        <v>-11338</v>
      </c>
      <c r="AN243" s="63">
        <v>2063879</v>
      </c>
      <c r="AO243" s="63">
        <v>0</v>
      </c>
      <c r="AP243" s="63">
        <v>2063879</v>
      </c>
      <c r="AQ243" s="63">
        <v>-531119</v>
      </c>
      <c r="AR243" s="63">
        <v>0</v>
      </c>
      <c r="AS243" s="63">
        <v>-531119</v>
      </c>
      <c r="AT243" s="63">
        <v>-9091567</v>
      </c>
      <c r="AU243" s="63">
        <v>0</v>
      </c>
      <c r="AV243" s="63">
        <v>-9091567</v>
      </c>
      <c r="AW243" s="63">
        <v>-39278</v>
      </c>
      <c r="AX243" s="63">
        <v>0</v>
      </c>
      <c r="AY243" s="63">
        <v>-39278</v>
      </c>
      <c r="AZ243" s="63">
        <v>-88018</v>
      </c>
      <c r="BA243" s="63">
        <v>0</v>
      </c>
      <c r="BB243" s="63">
        <v>-88018</v>
      </c>
      <c r="BC243" s="63">
        <v>-9749982</v>
      </c>
      <c r="BD243" s="63">
        <v>0</v>
      </c>
      <c r="BE243" s="63">
        <v>0</v>
      </c>
      <c r="BF243" s="63">
        <v>0</v>
      </c>
      <c r="BG243" s="63">
        <v>-9749982</v>
      </c>
      <c r="BH243" s="63">
        <v>0</v>
      </c>
      <c r="BI243" s="63">
        <v>-9749982</v>
      </c>
      <c r="BJ243" s="63">
        <v>0</v>
      </c>
      <c r="BK243" s="63">
        <v>0</v>
      </c>
      <c r="BL243" s="63">
        <v>0</v>
      </c>
      <c r="BM243" s="63">
        <v>-899961</v>
      </c>
      <c r="BN243" s="63">
        <v>0</v>
      </c>
      <c r="BO243" s="63">
        <v>-899961</v>
      </c>
      <c r="BP243" s="63">
        <v>-899961</v>
      </c>
      <c r="BQ243" s="63">
        <v>0</v>
      </c>
      <c r="BR243" s="63">
        <v>0</v>
      </c>
      <c r="BS243" s="63">
        <v>0</v>
      </c>
      <c r="BT243" s="63">
        <v>-899961</v>
      </c>
      <c r="BU243" s="63">
        <v>0</v>
      </c>
      <c r="BV243" s="63">
        <v>-899961</v>
      </c>
      <c r="BW243" s="63">
        <v>-102583</v>
      </c>
      <c r="BX243" s="63">
        <v>0</v>
      </c>
      <c r="BY243" s="63">
        <v>-102583</v>
      </c>
      <c r="BZ243" s="63">
        <v>-22884</v>
      </c>
      <c r="CA243" s="63">
        <v>0</v>
      </c>
      <c r="CB243" s="63">
        <v>-22884</v>
      </c>
      <c r="CC243" s="63">
        <v>0</v>
      </c>
      <c r="CD243" s="63">
        <v>0</v>
      </c>
      <c r="CE243" s="63">
        <v>0</v>
      </c>
      <c r="CF243" s="63">
        <v>-91285</v>
      </c>
      <c r="CG243" s="63">
        <v>0</v>
      </c>
      <c r="CH243" s="63">
        <v>-91285</v>
      </c>
      <c r="CI243" s="63">
        <v>-53666</v>
      </c>
      <c r="CJ243" s="63">
        <v>0</v>
      </c>
      <c r="CK243" s="63">
        <v>-53666</v>
      </c>
      <c r="CL243" s="63">
        <v>0</v>
      </c>
      <c r="CM243" s="63">
        <v>0</v>
      </c>
      <c r="CN243" s="63">
        <v>0</v>
      </c>
      <c r="CO243" s="63">
        <v>0</v>
      </c>
      <c r="CP243" s="63">
        <v>0</v>
      </c>
      <c r="CQ243" s="63">
        <v>-270418</v>
      </c>
      <c r="CR243" s="63">
        <v>0</v>
      </c>
      <c r="CS243" s="63">
        <v>0</v>
      </c>
      <c r="CT243" s="63">
        <v>0</v>
      </c>
      <c r="CU243" s="63">
        <v>-270418</v>
      </c>
      <c r="CV243" s="63">
        <v>0</v>
      </c>
      <c r="CW243" s="63">
        <v>-270418</v>
      </c>
      <c r="CX243" s="63">
        <v>-25347</v>
      </c>
      <c r="CY243" s="63">
        <v>0</v>
      </c>
      <c r="CZ243" s="63">
        <v>-25347</v>
      </c>
      <c r="DA243" s="63">
        <v>-7907</v>
      </c>
      <c r="DB243" s="63">
        <v>0</v>
      </c>
      <c r="DC243" s="63">
        <v>-7907</v>
      </c>
      <c r="DD243" s="63">
        <v>-21085</v>
      </c>
      <c r="DE243" s="63">
        <v>0</v>
      </c>
      <c r="DF243" s="63">
        <v>-21085</v>
      </c>
      <c r="DG243" s="63">
        <v>-54339</v>
      </c>
      <c r="DH243" s="63">
        <v>0</v>
      </c>
      <c r="DI243" s="63">
        <v>0</v>
      </c>
      <c r="DJ243" s="63">
        <v>0</v>
      </c>
      <c r="DK243" s="63">
        <v>-54339</v>
      </c>
      <c r="DL243" s="63">
        <v>0</v>
      </c>
      <c r="DM243" s="63">
        <v>-54339</v>
      </c>
      <c r="DN243" s="63">
        <v>75014121</v>
      </c>
      <c r="DO243" s="63">
        <v>0</v>
      </c>
      <c r="DP243" s="63">
        <v>75014121</v>
      </c>
      <c r="DQ243" s="63"/>
      <c r="DR243" s="585" t="s">
        <v>768</v>
      </c>
    </row>
    <row r="244" spans="1:122" x14ac:dyDescent="0.2">
      <c r="A244" s="90">
        <v>237</v>
      </c>
      <c r="B244" s="129" t="s">
        <v>331</v>
      </c>
      <c r="C244" s="130" t="s">
        <v>742</v>
      </c>
      <c r="D244" s="131" t="s">
        <v>745</v>
      </c>
      <c r="E244" s="132" t="s">
        <v>330</v>
      </c>
      <c r="F244" s="475" t="s">
        <v>808</v>
      </c>
      <c r="G244" s="63">
        <v>56542703</v>
      </c>
      <c r="H244" s="63">
        <v>0</v>
      </c>
      <c r="I244" s="63">
        <v>56542703</v>
      </c>
      <c r="J244" s="608">
        <v>48.4</v>
      </c>
      <c r="K244" s="63">
        <v>27366668</v>
      </c>
      <c r="L244" s="63">
        <v>0</v>
      </c>
      <c r="M244" s="63">
        <v>75000</v>
      </c>
      <c r="N244" s="63">
        <v>0</v>
      </c>
      <c r="O244" s="63">
        <v>27441668</v>
      </c>
      <c r="P244" s="63">
        <v>0</v>
      </c>
      <c r="Q244" s="63">
        <v>27441668</v>
      </c>
      <c r="R244" s="63">
        <v>0</v>
      </c>
      <c r="S244" s="63">
        <v>0</v>
      </c>
      <c r="T244" s="63">
        <v>0</v>
      </c>
      <c r="U244" s="63">
        <v>0</v>
      </c>
      <c r="V244" s="63">
        <v>0</v>
      </c>
      <c r="W244" s="63">
        <v>0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63">
        <v>0</v>
      </c>
      <c r="AF244" s="63">
        <v>0</v>
      </c>
      <c r="AG244" s="63">
        <v>0</v>
      </c>
      <c r="AH244" s="63">
        <v>-1481932</v>
      </c>
      <c r="AI244" s="63">
        <v>0</v>
      </c>
      <c r="AJ244" s="63">
        <v>-1481932</v>
      </c>
      <c r="AK244" s="63">
        <v>-4820</v>
      </c>
      <c r="AL244" s="63">
        <v>0</v>
      </c>
      <c r="AM244" s="63">
        <v>-4820</v>
      </c>
      <c r="AN244" s="63">
        <v>625134</v>
      </c>
      <c r="AO244" s="63">
        <v>0</v>
      </c>
      <c r="AP244" s="63">
        <v>625134</v>
      </c>
      <c r="AQ244" s="63">
        <v>-856798</v>
      </c>
      <c r="AR244" s="63">
        <v>0</v>
      </c>
      <c r="AS244" s="63">
        <v>-856798</v>
      </c>
      <c r="AT244" s="63">
        <v>-1191146</v>
      </c>
      <c r="AU244" s="63">
        <v>0</v>
      </c>
      <c r="AV244" s="63">
        <v>-1191146</v>
      </c>
      <c r="AW244" s="63">
        <v>-39054</v>
      </c>
      <c r="AX244" s="63">
        <v>0</v>
      </c>
      <c r="AY244" s="63">
        <v>-39054</v>
      </c>
      <c r="AZ244" s="63">
        <v>-21352</v>
      </c>
      <c r="BA244" s="63">
        <v>0</v>
      </c>
      <c r="BB244" s="63">
        <v>-21352</v>
      </c>
      <c r="BC244" s="63">
        <v>-2108350</v>
      </c>
      <c r="BD244" s="63">
        <v>0</v>
      </c>
      <c r="BE244" s="63">
        <v>0</v>
      </c>
      <c r="BF244" s="63">
        <v>0</v>
      </c>
      <c r="BG244" s="63">
        <v>-2108350</v>
      </c>
      <c r="BH244" s="63">
        <v>0</v>
      </c>
      <c r="BI244" s="63">
        <v>-2108350</v>
      </c>
      <c r="BJ244" s="63">
        <v>-250000</v>
      </c>
      <c r="BK244" s="63">
        <v>0</v>
      </c>
      <c r="BL244" s="63">
        <v>-250000</v>
      </c>
      <c r="BM244" s="63">
        <v>-666630</v>
      </c>
      <c r="BN244" s="63">
        <v>0</v>
      </c>
      <c r="BO244" s="63">
        <v>-666630</v>
      </c>
      <c r="BP244" s="63">
        <v>-916630</v>
      </c>
      <c r="BQ244" s="63">
        <v>0</v>
      </c>
      <c r="BR244" s="63">
        <v>-405000</v>
      </c>
      <c r="BS244" s="63">
        <v>0</v>
      </c>
      <c r="BT244" s="63">
        <v>-1321630</v>
      </c>
      <c r="BU244" s="63">
        <v>0</v>
      </c>
      <c r="BV244" s="63">
        <v>-1321630</v>
      </c>
      <c r="BW244" s="63">
        <v>-38997</v>
      </c>
      <c r="BX244" s="63">
        <v>0</v>
      </c>
      <c r="BY244" s="63">
        <v>-38997</v>
      </c>
      <c r="BZ244" s="63">
        <v>-8454</v>
      </c>
      <c r="CA244" s="63">
        <v>0</v>
      </c>
      <c r="CB244" s="63">
        <v>-8454</v>
      </c>
      <c r="CC244" s="63">
        <v>0</v>
      </c>
      <c r="CD244" s="63">
        <v>0</v>
      </c>
      <c r="CE244" s="63">
        <v>0</v>
      </c>
      <c r="CF244" s="63">
        <v>0</v>
      </c>
      <c r="CG244" s="63">
        <v>0</v>
      </c>
      <c r="CH244" s="63">
        <v>0</v>
      </c>
      <c r="CI244" s="63">
        <v>-1558</v>
      </c>
      <c r="CJ244" s="63">
        <v>0</v>
      </c>
      <c r="CK244" s="63">
        <v>-1558</v>
      </c>
      <c r="CL244" s="63">
        <v>0</v>
      </c>
      <c r="CM244" s="63">
        <v>0</v>
      </c>
      <c r="CN244" s="63">
        <v>0</v>
      </c>
      <c r="CO244" s="63">
        <v>0</v>
      </c>
      <c r="CP244" s="63">
        <v>0</v>
      </c>
      <c r="CQ244" s="63">
        <v>-49009</v>
      </c>
      <c r="CR244" s="63">
        <v>0</v>
      </c>
      <c r="CS244" s="63">
        <v>0</v>
      </c>
      <c r="CT244" s="63">
        <v>0</v>
      </c>
      <c r="CU244" s="63">
        <v>-49009</v>
      </c>
      <c r="CV244" s="63">
        <v>0</v>
      </c>
      <c r="CW244" s="63">
        <v>-49009</v>
      </c>
      <c r="CX244" s="63">
        <v>-6000</v>
      </c>
      <c r="CY244" s="63">
        <v>0</v>
      </c>
      <c r="CZ244" s="63">
        <v>-6000</v>
      </c>
      <c r="DA244" s="63">
        <v>-10000</v>
      </c>
      <c r="DB244" s="63">
        <v>0</v>
      </c>
      <c r="DC244" s="63">
        <v>-10000</v>
      </c>
      <c r="DD244" s="63">
        <v>0</v>
      </c>
      <c r="DE244" s="63">
        <v>0</v>
      </c>
      <c r="DF244" s="63">
        <v>0</v>
      </c>
      <c r="DG244" s="63">
        <v>-16000</v>
      </c>
      <c r="DH244" s="63">
        <v>0</v>
      </c>
      <c r="DI244" s="63">
        <v>0</v>
      </c>
      <c r="DJ244" s="63">
        <v>0</v>
      </c>
      <c r="DK244" s="63">
        <v>-16000</v>
      </c>
      <c r="DL244" s="63">
        <v>0</v>
      </c>
      <c r="DM244" s="63">
        <v>-16000</v>
      </c>
      <c r="DN244" s="63">
        <v>23946679</v>
      </c>
      <c r="DO244" s="63">
        <v>0</v>
      </c>
      <c r="DP244" s="63">
        <v>23946679</v>
      </c>
      <c r="DQ244" s="63"/>
      <c r="DR244" s="585"/>
    </row>
    <row r="245" spans="1:122" x14ac:dyDescent="0.2">
      <c r="A245" s="90">
        <v>238</v>
      </c>
      <c r="B245" s="129" t="s">
        <v>332</v>
      </c>
      <c r="C245" s="130" t="s">
        <v>501</v>
      </c>
      <c r="D245" s="131" t="s">
        <v>751</v>
      </c>
      <c r="E245" s="132" t="s">
        <v>502</v>
      </c>
      <c r="F245" s="475" t="s">
        <v>808</v>
      </c>
      <c r="G245" s="63">
        <v>313162622</v>
      </c>
      <c r="H245" s="63">
        <v>10358186</v>
      </c>
      <c r="I245" s="63">
        <v>323520808</v>
      </c>
      <c r="J245" s="608">
        <v>48.4</v>
      </c>
      <c r="K245" s="63">
        <v>151570709</v>
      </c>
      <c r="L245" s="63">
        <v>5013362</v>
      </c>
      <c r="M245" s="63">
        <v>2633881</v>
      </c>
      <c r="N245" s="63">
        <v>440000</v>
      </c>
      <c r="O245" s="63">
        <v>154204590</v>
      </c>
      <c r="P245" s="63">
        <v>5453362</v>
      </c>
      <c r="Q245" s="63">
        <v>159657952</v>
      </c>
      <c r="R245" s="63">
        <v>0</v>
      </c>
      <c r="S245" s="63">
        <v>0</v>
      </c>
      <c r="T245" s="63">
        <v>0</v>
      </c>
      <c r="U245" s="63">
        <v>0</v>
      </c>
      <c r="V245" s="63">
        <v>0</v>
      </c>
      <c r="W245" s="63">
        <v>0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0</v>
      </c>
      <c r="AE245" s="63">
        <v>0</v>
      </c>
      <c r="AF245" s="63">
        <v>0</v>
      </c>
      <c r="AG245" s="63">
        <v>0</v>
      </c>
      <c r="AH245" s="63">
        <v>-3718127</v>
      </c>
      <c r="AI245" s="63">
        <v>-9482</v>
      </c>
      <c r="AJ245" s="63">
        <v>-3727609</v>
      </c>
      <c r="AK245" s="63">
        <v>-19604</v>
      </c>
      <c r="AL245" s="63">
        <v>0</v>
      </c>
      <c r="AM245" s="63">
        <v>-19604</v>
      </c>
      <c r="AN245" s="63">
        <v>3804931</v>
      </c>
      <c r="AO245" s="63">
        <v>131238</v>
      </c>
      <c r="AP245" s="63">
        <v>3936169</v>
      </c>
      <c r="AQ245" s="63">
        <v>86804</v>
      </c>
      <c r="AR245" s="63">
        <v>121756</v>
      </c>
      <c r="AS245" s="63">
        <v>208560</v>
      </c>
      <c r="AT245" s="63">
        <v>-7365999</v>
      </c>
      <c r="AU245" s="63">
        <v>0</v>
      </c>
      <c r="AV245" s="63">
        <v>-7365999</v>
      </c>
      <c r="AW245" s="63">
        <v>-94688</v>
      </c>
      <c r="AX245" s="63">
        <v>0</v>
      </c>
      <c r="AY245" s="63">
        <v>-94688</v>
      </c>
      <c r="AZ245" s="63">
        <v>-30118</v>
      </c>
      <c r="BA245" s="63">
        <v>0</v>
      </c>
      <c r="BB245" s="63">
        <v>-30118</v>
      </c>
      <c r="BC245" s="63">
        <v>-7404001</v>
      </c>
      <c r="BD245" s="63">
        <v>121756</v>
      </c>
      <c r="BE245" s="63">
        <v>0</v>
      </c>
      <c r="BF245" s="63">
        <v>0</v>
      </c>
      <c r="BG245" s="63">
        <v>-7404001</v>
      </c>
      <c r="BH245" s="63">
        <v>121756</v>
      </c>
      <c r="BI245" s="63">
        <v>-7282245</v>
      </c>
      <c r="BJ245" s="63">
        <v>0</v>
      </c>
      <c r="BK245" s="63">
        <v>0</v>
      </c>
      <c r="BL245" s="63">
        <v>0</v>
      </c>
      <c r="BM245" s="63">
        <v>-1217747</v>
      </c>
      <c r="BN245" s="63">
        <v>0</v>
      </c>
      <c r="BO245" s="63">
        <v>-1217747</v>
      </c>
      <c r="BP245" s="63">
        <v>-1217747</v>
      </c>
      <c r="BQ245" s="63">
        <v>0</v>
      </c>
      <c r="BR245" s="63">
        <v>0</v>
      </c>
      <c r="BS245" s="63">
        <v>0</v>
      </c>
      <c r="BT245" s="63">
        <v>-1217747</v>
      </c>
      <c r="BU245" s="63">
        <v>0</v>
      </c>
      <c r="BV245" s="63">
        <v>-1217747</v>
      </c>
      <c r="BW245" s="63">
        <v>-106026</v>
      </c>
      <c r="BX245" s="63">
        <v>0</v>
      </c>
      <c r="BY245" s="63">
        <v>-106026</v>
      </c>
      <c r="BZ245" s="63">
        <v>-54378</v>
      </c>
      <c r="CA245" s="63">
        <v>0</v>
      </c>
      <c r="CB245" s="63">
        <v>-54378</v>
      </c>
      <c r="CC245" s="63">
        <v>0</v>
      </c>
      <c r="CD245" s="63">
        <v>0</v>
      </c>
      <c r="CE245" s="63">
        <v>0</v>
      </c>
      <c r="CF245" s="63">
        <v>-27795</v>
      </c>
      <c r="CG245" s="63">
        <v>0</v>
      </c>
      <c r="CH245" s="63">
        <v>-27795</v>
      </c>
      <c r="CI245" s="63">
        <v>-25265</v>
      </c>
      <c r="CJ245" s="63">
        <v>0</v>
      </c>
      <c r="CK245" s="63">
        <v>-25265</v>
      </c>
      <c r="CL245" s="63">
        <v>0</v>
      </c>
      <c r="CM245" s="63">
        <v>0</v>
      </c>
      <c r="CN245" s="63">
        <v>0</v>
      </c>
      <c r="CO245" s="63">
        <v>0</v>
      </c>
      <c r="CP245" s="63">
        <v>0</v>
      </c>
      <c r="CQ245" s="63">
        <v>-213464</v>
      </c>
      <c r="CR245" s="63">
        <v>0</v>
      </c>
      <c r="CS245" s="63">
        <v>0</v>
      </c>
      <c r="CT245" s="63">
        <v>0</v>
      </c>
      <c r="CU245" s="63">
        <v>-213464</v>
      </c>
      <c r="CV245" s="63">
        <v>0</v>
      </c>
      <c r="CW245" s="63">
        <v>-213464</v>
      </c>
      <c r="CX245" s="63">
        <v>0</v>
      </c>
      <c r="CY245" s="63">
        <v>0</v>
      </c>
      <c r="CZ245" s="63">
        <v>0</v>
      </c>
      <c r="DA245" s="63">
        <v>-4154</v>
      </c>
      <c r="DB245" s="63">
        <v>0</v>
      </c>
      <c r="DC245" s="63">
        <v>-4154</v>
      </c>
      <c r="DD245" s="63">
        <v>-22732</v>
      </c>
      <c r="DE245" s="63">
        <v>0</v>
      </c>
      <c r="DF245" s="63">
        <v>-22732</v>
      </c>
      <c r="DG245" s="63">
        <v>-26886</v>
      </c>
      <c r="DH245" s="63">
        <v>0</v>
      </c>
      <c r="DI245" s="63">
        <v>0</v>
      </c>
      <c r="DJ245" s="63">
        <v>0</v>
      </c>
      <c r="DK245" s="63">
        <v>-26886</v>
      </c>
      <c r="DL245" s="63">
        <v>0</v>
      </c>
      <c r="DM245" s="63">
        <v>-26886</v>
      </c>
      <c r="DN245" s="63">
        <v>145342492</v>
      </c>
      <c r="DO245" s="63">
        <v>5575118</v>
      </c>
      <c r="DP245" s="63">
        <v>150917610</v>
      </c>
      <c r="DQ245" s="63"/>
      <c r="DR245" s="585" t="s">
        <v>768</v>
      </c>
    </row>
    <row r="246" spans="1:122" x14ac:dyDescent="0.2">
      <c r="A246" s="90">
        <v>239</v>
      </c>
      <c r="B246" s="129" t="s">
        <v>334</v>
      </c>
      <c r="C246" s="130" t="s">
        <v>742</v>
      </c>
      <c r="D246" s="131" t="s">
        <v>751</v>
      </c>
      <c r="E246" s="132" t="s">
        <v>333</v>
      </c>
      <c r="F246" s="475" t="s">
        <v>808</v>
      </c>
      <c r="G246" s="63">
        <v>83388764</v>
      </c>
      <c r="H246" s="63">
        <v>0</v>
      </c>
      <c r="I246" s="63">
        <v>83388764</v>
      </c>
      <c r="J246" s="608">
        <v>48.4</v>
      </c>
      <c r="K246" s="63">
        <v>40360162</v>
      </c>
      <c r="L246" s="63">
        <v>0</v>
      </c>
      <c r="M246" s="63">
        <v>0</v>
      </c>
      <c r="N246" s="63">
        <v>0</v>
      </c>
      <c r="O246" s="63">
        <v>40360162</v>
      </c>
      <c r="P246" s="63">
        <v>0</v>
      </c>
      <c r="Q246" s="63">
        <v>40360162</v>
      </c>
      <c r="R246" s="63">
        <v>0</v>
      </c>
      <c r="S246" s="63">
        <v>0</v>
      </c>
      <c r="T246" s="63">
        <v>0</v>
      </c>
      <c r="U246" s="63">
        <v>0</v>
      </c>
      <c r="V246" s="63">
        <v>0</v>
      </c>
      <c r="W246" s="63">
        <v>0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63">
        <v>0</v>
      </c>
      <c r="AF246" s="63">
        <v>0</v>
      </c>
      <c r="AG246" s="63">
        <v>0</v>
      </c>
      <c r="AH246" s="63">
        <v>-4964584</v>
      </c>
      <c r="AI246" s="63">
        <v>0</v>
      </c>
      <c r="AJ246" s="63">
        <v>-4964584</v>
      </c>
      <c r="AK246" s="63">
        <v>0</v>
      </c>
      <c r="AL246" s="63">
        <v>0</v>
      </c>
      <c r="AM246" s="63">
        <v>0</v>
      </c>
      <c r="AN246" s="63">
        <v>798836</v>
      </c>
      <c r="AO246" s="63">
        <v>0</v>
      </c>
      <c r="AP246" s="63">
        <v>798836</v>
      </c>
      <c r="AQ246" s="63">
        <v>-4165748</v>
      </c>
      <c r="AR246" s="63">
        <v>0</v>
      </c>
      <c r="AS246" s="63">
        <v>-4165748</v>
      </c>
      <c r="AT246" s="63">
        <v>-2540578</v>
      </c>
      <c r="AU246" s="63">
        <v>0</v>
      </c>
      <c r="AV246" s="63">
        <v>-2540578</v>
      </c>
      <c r="AW246" s="63">
        <v>-97735</v>
      </c>
      <c r="AX246" s="63">
        <v>0</v>
      </c>
      <c r="AY246" s="63">
        <v>-97735</v>
      </c>
      <c r="AZ246" s="63">
        <v>-52638</v>
      </c>
      <c r="BA246" s="63">
        <v>0</v>
      </c>
      <c r="BB246" s="63">
        <v>-52638</v>
      </c>
      <c r="BC246" s="63">
        <v>-6856699</v>
      </c>
      <c r="BD246" s="63">
        <v>0</v>
      </c>
      <c r="BE246" s="63">
        <v>0</v>
      </c>
      <c r="BF246" s="63">
        <v>0</v>
      </c>
      <c r="BG246" s="63">
        <v>-6856699</v>
      </c>
      <c r="BH246" s="63">
        <v>0</v>
      </c>
      <c r="BI246" s="63">
        <v>-6856699</v>
      </c>
      <c r="BJ246" s="63">
        <v>-100000</v>
      </c>
      <c r="BK246" s="63">
        <v>0</v>
      </c>
      <c r="BL246" s="63">
        <v>-100000</v>
      </c>
      <c r="BM246" s="63">
        <v>-1211456</v>
      </c>
      <c r="BN246" s="63">
        <v>0</v>
      </c>
      <c r="BO246" s="63">
        <v>-1211456</v>
      </c>
      <c r="BP246" s="63">
        <v>-1311456</v>
      </c>
      <c r="BQ246" s="63">
        <v>0</v>
      </c>
      <c r="BR246" s="63">
        <v>0</v>
      </c>
      <c r="BS246" s="63">
        <v>0</v>
      </c>
      <c r="BT246" s="63">
        <v>-1311456</v>
      </c>
      <c r="BU246" s="63">
        <v>0</v>
      </c>
      <c r="BV246" s="63">
        <v>-1311456</v>
      </c>
      <c r="BW246" s="63">
        <v>-217145</v>
      </c>
      <c r="BX246" s="63">
        <v>0</v>
      </c>
      <c r="BY246" s="63">
        <v>-217145</v>
      </c>
      <c r="BZ246" s="63">
        <v>-51326</v>
      </c>
      <c r="CA246" s="63">
        <v>0</v>
      </c>
      <c r="CB246" s="63">
        <v>-51326</v>
      </c>
      <c r="CC246" s="63">
        <v>-11200</v>
      </c>
      <c r="CD246" s="63">
        <v>0</v>
      </c>
      <c r="CE246" s="63">
        <v>-11200</v>
      </c>
      <c r="CF246" s="63">
        <v>-14807</v>
      </c>
      <c r="CG246" s="63">
        <v>0</v>
      </c>
      <c r="CH246" s="63">
        <v>-14807</v>
      </c>
      <c r="CI246" s="63">
        <v>0</v>
      </c>
      <c r="CJ246" s="63">
        <v>0</v>
      </c>
      <c r="CK246" s="63">
        <v>0</v>
      </c>
      <c r="CL246" s="63">
        <v>0</v>
      </c>
      <c r="CM246" s="63">
        <v>0</v>
      </c>
      <c r="CN246" s="63">
        <v>0</v>
      </c>
      <c r="CO246" s="63">
        <v>0</v>
      </c>
      <c r="CP246" s="63">
        <v>0</v>
      </c>
      <c r="CQ246" s="63">
        <v>-294478</v>
      </c>
      <c r="CR246" s="63">
        <v>0</v>
      </c>
      <c r="CS246" s="63">
        <v>0</v>
      </c>
      <c r="CT246" s="63">
        <v>0</v>
      </c>
      <c r="CU246" s="63">
        <v>-294478</v>
      </c>
      <c r="CV246" s="63">
        <v>0</v>
      </c>
      <c r="CW246" s="63">
        <v>-294478</v>
      </c>
      <c r="CX246" s="63">
        <v>-20000</v>
      </c>
      <c r="CY246" s="63">
        <v>0</v>
      </c>
      <c r="CZ246" s="63">
        <v>-20000</v>
      </c>
      <c r="DA246" s="63">
        <v>-7079</v>
      </c>
      <c r="DB246" s="63">
        <v>0</v>
      </c>
      <c r="DC246" s="63">
        <v>-7079</v>
      </c>
      <c r="DD246" s="63">
        <v>-46143</v>
      </c>
      <c r="DE246" s="63">
        <v>0</v>
      </c>
      <c r="DF246" s="63">
        <v>-46143</v>
      </c>
      <c r="DG246" s="63">
        <v>-73222</v>
      </c>
      <c r="DH246" s="63">
        <v>0</v>
      </c>
      <c r="DI246" s="63">
        <v>0</v>
      </c>
      <c r="DJ246" s="63">
        <v>0</v>
      </c>
      <c r="DK246" s="63">
        <v>-73222</v>
      </c>
      <c r="DL246" s="63">
        <v>0</v>
      </c>
      <c r="DM246" s="63">
        <v>-73222</v>
      </c>
      <c r="DN246" s="63">
        <v>31824307</v>
      </c>
      <c r="DO246" s="63">
        <v>0</v>
      </c>
      <c r="DP246" s="63">
        <v>31824307</v>
      </c>
      <c r="DQ246" s="63"/>
      <c r="DR246" s="585"/>
    </row>
    <row r="247" spans="1:122" x14ac:dyDescent="0.2">
      <c r="A247" s="90">
        <v>240</v>
      </c>
      <c r="B247" s="129" t="s">
        <v>336</v>
      </c>
      <c r="C247" s="130" t="s">
        <v>742</v>
      </c>
      <c r="D247" s="131" t="s">
        <v>745</v>
      </c>
      <c r="E247" s="132" t="s">
        <v>335</v>
      </c>
      <c r="F247" s="475" t="s">
        <v>808</v>
      </c>
      <c r="G247" s="63">
        <v>63730319</v>
      </c>
      <c r="H247" s="63">
        <v>0</v>
      </c>
      <c r="I247" s="63">
        <v>63730319</v>
      </c>
      <c r="J247" s="608">
        <v>48.4</v>
      </c>
      <c r="K247" s="63">
        <v>30845474</v>
      </c>
      <c r="L247" s="63">
        <v>0</v>
      </c>
      <c r="M247" s="63">
        <v>0</v>
      </c>
      <c r="N247" s="63">
        <v>0</v>
      </c>
      <c r="O247" s="63">
        <v>30845474</v>
      </c>
      <c r="P247" s="63">
        <v>0</v>
      </c>
      <c r="Q247" s="63">
        <v>30845474</v>
      </c>
      <c r="R247" s="63">
        <v>0</v>
      </c>
      <c r="S247" s="63">
        <v>0</v>
      </c>
      <c r="T247" s="63">
        <v>0</v>
      </c>
      <c r="U247" s="63">
        <v>0</v>
      </c>
      <c r="V247" s="63">
        <v>0</v>
      </c>
      <c r="W247" s="63">
        <v>0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0</v>
      </c>
      <c r="AE247" s="63">
        <v>0</v>
      </c>
      <c r="AF247" s="63">
        <v>0</v>
      </c>
      <c r="AG247" s="63">
        <v>0</v>
      </c>
      <c r="AH247" s="63">
        <v>-1820864</v>
      </c>
      <c r="AI247" s="63">
        <v>0</v>
      </c>
      <c r="AJ247" s="63">
        <v>-1820864</v>
      </c>
      <c r="AK247" s="63">
        <v>0</v>
      </c>
      <c r="AL247" s="63">
        <v>0</v>
      </c>
      <c r="AM247" s="63">
        <v>0</v>
      </c>
      <c r="AN247" s="63">
        <v>698335</v>
      </c>
      <c r="AO247" s="63">
        <v>0</v>
      </c>
      <c r="AP247" s="63">
        <v>698335</v>
      </c>
      <c r="AQ247" s="63">
        <v>-1122529</v>
      </c>
      <c r="AR247" s="63">
        <v>0</v>
      </c>
      <c r="AS247" s="63">
        <v>-1122529</v>
      </c>
      <c r="AT247" s="63">
        <v>-1194037</v>
      </c>
      <c r="AU247" s="63">
        <v>0</v>
      </c>
      <c r="AV247" s="63">
        <v>-1194037</v>
      </c>
      <c r="AW247" s="63">
        <v>-51157</v>
      </c>
      <c r="AX247" s="63">
        <v>0</v>
      </c>
      <c r="AY247" s="63">
        <v>-51157</v>
      </c>
      <c r="AZ247" s="63">
        <v>-38172</v>
      </c>
      <c r="BA247" s="63">
        <v>0</v>
      </c>
      <c r="BB247" s="63">
        <v>-38172</v>
      </c>
      <c r="BC247" s="63">
        <v>-2405895</v>
      </c>
      <c r="BD247" s="63">
        <v>0</v>
      </c>
      <c r="BE247" s="63">
        <v>-763556</v>
      </c>
      <c r="BF247" s="63">
        <v>0</v>
      </c>
      <c r="BG247" s="63">
        <v>-3169451</v>
      </c>
      <c r="BH247" s="63">
        <v>0</v>
      </c>
      <c r="BI247" s="63">
        <v>-3169451</v>
      </c>
      <c r="BJ247" s="63">
        <v>0</v>
      </c>
      <c r="BK247" s="63">
        <v>0</v>
      </c>
      <c r="BL247" s="63">
        <v>0</v>
      </c>
      <c r="BM247" s="63">
        <v>-295421</v>
      </c>
      <c r="BN247" s="63">
        <v>0</v>
      </c>
      <c r="BO247" s="63">
        <v>-295421</v>
      </c>
      <c r="BP247" s="63">
        <v>-295421</v>
      </c>
      <c r="BQ247" s="63">
        <v>0</v>
      </c>
      <c r="BR247" s="63">
        <v>0</v>
      </c>
      <c r="BS247" s="63">
        <v>0</v>
      </c>
      <c r="BT247" s="63">
        <v>-295421</v>
      </c>
      <c r="BU247" s="63">
        <v>0</v>
      </c>
      <c r="BV247" s="63">
        <v>-295421</v>
      </c>
      <c r="BW247" s="63">
        <v>-68113</v>
      </c>
      <c r="BX247" s="63">
        <v>0</v>
      </c>
      <c r="BY247" s="63">
        <v>-68113</v>
      </c>
      <c r="BZ247" s="63">
        <v>-52433</v>
      </c>
      <c r="CA247" s="63">
        <v>0</v>
      </c>
      <c r="CB247" s="63">
        <v>-52433</v>
      </c>
      <c r="CC247" s="63">
        <v>-7220</v>
      </c>
      <c r="CD247" s="63">
        <v>0</v>
      </c>
      <c r="CE247" s="63">
        <v>-7220</v>
      </c>
      <c r="CF247" s="63">
        <v>-36060</v>
      </c>
      <c r="CG247" s="63">
        <v>0</v>
      </c>
      <c r="CH247" s="63">
        <v>-36060</v>
      </c>
      <c r="CI247" s="63">
        <v>0</v>
      </c>
      <c r="CJ247" s="63">
        <v>0</v>
      </c>
      <c r="CK247" s="63">
        <v>0</v>
      </c>
      <c r="CL247" s="63">
        <v>0</v>
      </c>
      <c r="CM247" s="63">
        <v>0</v>
      </c>
      <c r="CN247" s="63">
        <v>0</v>
      </c>
      <c r="CO247" s="63">
        <v>0</v>
      </c>
      <c r="CP247" s="63">
        <v>0</v>
      </c>
      <c r="CQ247" s="63">
        <v>-163826</v>
      </c>
      <c r="CR247" s="63">
        <v>0</v>
      </c>
      <c r="CS247" s="63">
        <v>-61576</v>
      </c>
      <c r="CT247" s="63">
        <v>0</v>
      </c>
      <c r="CU247" s="63">
        <v>-225402</v>
      </c>
      <c r="CV247" s="63">
        <v>0</v>
      </c>
      <c r="CW247" s="63">
        <v>-225402</v>
      </c>
      <c r="CX247" s="63">
        <v>0</v>
      </c>
      <c r="CY247" s="63">
        <v>0</v>
      </c>
      <c r="CZ247" s="63">
        <v>0</v>
      </c>
      <c r="DA247" s="63">
        <v>0</v>
      </c>
      <c r="DB247" s="63">
        <v>0</v>
      </c>
      <c r="DC247" s="63">
        <v>0</v>
      </c>
      <c r="DD247" s="63">
        <v>-6004</v>
      </c>
      <c r="DE247" s="63">
        <v>0</v>
      </c>
      <c r="DF247" s="63">
        <v>-6004</v>
      </c>
      <c r="DG247" s="63">
        <v>-6004</v>
      </c>
      <c r="DH247" s="63">
        <v>0</v>
      </c>
      <c r="DI247" s="63">
        <v>0</v>
      </c>
      <c r="DJ247" s="63">
        <v>0</v>
      </c>
      <c r="DK247" s="63">
        <v>-6004</v>
      </c>
      <c r="DL247" s="63">
        <v>0</v>
      </c>
      <c r="DM247" s="63">
        <v>-6004</v>
      </c>
      <c r="DN247" s="63">
        <v>27149196</v>
      </c>
      <c r="DO247" s="63">
        <v>0</v>
      </c>
      <c r="DP247" s="63">
        <v>27149196</v>
      </c>
      <c r="DQ247" s="63"/>
      <c r="DR247" s="585"/>
    </row>
    <row r="248" spans="1:122" x14ac:dyDescent="0.2">
      <c r="A248" s="90">
        <v>241</v>
      </c>
      <c r="B248" s="129" t="s">
        <v>338</v>
      </c>
      <c r="C248" s="130" t="s">
        <v>742</v>
      </c>
      <c r="D248" s="131" t="s">
        <v>745</v>
      </c>
      <c r="E248" s="132" t="s">
        <v>337</v>
      </c>
      <c r="F248" s="475" t="s">
        <v>808</v>
      </c>
      <c r="G248" s="63">
        <v>101050440</v>
      </c>
      <c r="H248" s="63">
        <v>0</v>
      </c>
      <c r="I248" s="63">
        <v>101050440</v>
      </c>
      <c r="J248" s="608">
        <v>48.4</v>
      </c>
      <c r="K248" s="63">
        <v>48908413</v>
      </c>
      <c r="L248" s="63">
        <v>0</v>
      </c>
      <c r="M248" s="63">
        <v>0</v>
      </c>
      <c r="N248" s="63">
        <v>0</v>
      </c>
      <c r="O248" s="63">
        <v>48908413</v>
      </c>
      <c r="P248" s="63">
        <v>0</v>
      </c>
      <c r="Q248" s="63">
        <v>48908413</v>
      </c>
      <c r="R248" s="63">
        <v>0</v>
      </c>
      <c r="S248" s="63">
        <v>0</v>
      </c>
      <c r="T248" s="63">
        <v>0</v>
      </c>
      <c r="U248" s="63">
        <v>0</v>
      </c>
      <c r="V248" s="63">
        <v>0</v>
      </c>
      <c r="W248" s="63">
        <v>0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63">
        <v>0</v>
      </c>
      <c r="AF248" s="63">
        <v>0</v>
      </c>
      <c r="AG248" s="63">
        <v>0</v>
      </c>
      <c r="AH248" s="63">
        <v>-2886649</v>
      </c>
      <c r="AI248" s="63">
        <v>0</v>
      </c>
      <c r="AJ248" s="63">
        <v>-2886649</v>
      </c>
      <c r="AK248" s="63">
        <v>0</v>
      </c>
      <c r="AL248" s="63">
        <v>0</v>
      </c>
      <c r="AM248" s="63">
        <v>0</v>
      </c>
      <c r="AN248" s="63">
        <v>1074346</v>
      </c>
      <c r="AO248" s="63">
        <v>0</v>
      </c>
      <c r="AP248" s="63">
        <v>1074346</v>
      </c>
      <c r="AQ248" s="63">
        <v>-1812303</v>
      </c>
      <c r="AR248" s="63">
        <v>0</v>
      </c>
      <c r="AS248" s="63">
        <v>-1812303</v>
      </c>
      <c r="AT248" s="63">
        <v>-3356429</v>
      </c>
      <c r="AU248" s="63">
        <v>0</v>
      </c>
      <c r="AV248" s="63">
        <v>-3356429</v>
      </c>
      <c r="AW248" s="63">
        <v>-145360</v>
      </c>
      <c r="AX248" s="63">
        <v>0</v>
      </c>
      <c r="AY248" s="63">
        <v>-145360</v>
      </c>
      <c r="AZ248" s="63">
        <v>-47430</v>
      </c>
      <c r="BA248" s="63">
        <v>0</v>
      </c>
      <c r="BB248" s="63">
        <v>-47430</v>
      </c>
      <c r="BC248" s="63">
        <v>-5361522</v>
      </c>
      <c r="BD248" s="63">
        <v>0</v>
      </c>
      <c r="BE248" s="63">
        <v>0</v>
      </c>
      <c r="BF248" s="63">
        <v>0</v>
      </c>
      <c r="BG248" s="63">
        <v>-5361522</v>
      </c>
      <c r="BH248" s="63">
        <v>0</v>
      </c>
      <c r="BI248" s="63">
        <v>-5361522</v>
      </c>
      <c r="BJ248" s="63">
        <v>-100000</v>
      </c>
      <c r="BK248" s="63">
        <v>0</v>
      </c>
      <c r="BL248" s="63">
        <v>-100000</v>
      </c>
      <c r="BM248" s="63">
        <v>-1200000</v>
      </c>
      <c r="BN248" s="63">
        <v>0</v>
      </c>
      <c r="BO248" s="63">
        <v>-1200000</v>
      </c>
      <c r="BP248" s="63">
        <v>-1300000</v>
      </c>
      <c r="BQ248" s="63">
        <v>0</v>
      </c>
      <c r="BR248" s="63">
        <v>0</v>
      </c>
      <c r="BS248" s="63">
        <v>0</v>
      </c>
      <c r="BT248" s="63">
        <v>-1300000</v>
      </c>
      <c r="BU248" s="63">
        <v>0</v>
      </c>
      <c r="BV248" s="63">
        <v>-1300000</v>
      </c>
      <c r="BW248" s="63">
        <v>-19703</v>
      </c>
      <c r="BX248" s="63">
        <v>0</v>
      </c>
      <c r="BY248" s="63">
        <v>-19703</v>
      </c>
      <c r="BZ248" s="63">
        <v>-3065</v>
      </c>
      <c r="CA248" s="63">
        <v>0</v>
      </c>
      <c r="CB248" s="63">
        <v>-3065</v>
      </c>
      <c r="CC248" s="63">
        <v>0</v>
      </c>
      <c r="CD248" s="63">
        <v>0</v>
      </c>
      <c r="CE248" s="63">
        <v>0</v>
      </c>
      <c r="CF248" s="63">
        <v>-75210</v>
      </c>
      <c r="CG248" s="63">
        <v>0</v>
      </c>
      <c r="CH248" s="63">
        <v>-75210</v>
      </c>
      <c r="CI248" s="63">
        <v>0</v>
      </c>
      <c r="CJ248" s="63">
        <v>0</v>
      </c>
      <c r="CK248" s="63">
        <v>0</v>
      </c>
      <c r="CL248" s="63">
        <v>-100000</v>
      </c>
      <c r="CM248" s="63">
        <v>0</v>
      </c>
      <c r="CN248" s="63">
        <v>-100000</v>
      </c>
      <c r="CO248" s="63">
        <v>0</v>
      </c>
      <c r="CP248" s="63">
        <v>0</v>
      </c>
      <c r="CQ248" s="63">
        <v>-197978</v>
      </c>
      <c r="CR248" s="63">
        <v>0</v>
      </c>
      <c r="CS248" s="63">
        <v>0</v>
      </c>
      <c r="CT248" s="63">
        <v>0</v>
      </c>
      <c r="CU248" s="63">
        <v>-197978</v>
      </c>
      <c r="CV248" s="63">
        <v>0</v>
      </c>
      <c r="CW248" s="63">
        <v>-197978</v>
      </c>
      <c r="CX248" s="63">
        <v>-34790</v>
      </c>
      <c r="CY248" s="63">
        <v>0</v>
      </c>
      <c r="CZ248" s="63">
        <v>-34790</v>
      </c>
      <c r="DA248" s="63">
        <v>-40521</v>
      </c>
      <c r="DB248" s="63">
        <v>0</v>
      </c>
      <c r="DC248" s="63">
        <v>-40521</v>
      </c>
      <c r="DD248" s="63">
        <v>-2845</v>
      </c>
      <c r="DE248" s="63">
        <v>0</v>
      </c>
      <c r="DF248" s="63">
        <v>-2845</v>
      </c>
      <c r="DG248" s="63">
        <v>-78156</v>
      </c>
      <c r="DH248" s="63">
        <v>0</v>
      </c>
      <c r="DI248" s="63">
        <v>0</v>
      </c>
      <c r="DJ248" s="63">
        <v>0</v>
      </c>
      <c r="DK248" s="63">
        <v>-78156</v>
      </c>
      <c r="DL248" s="63">
        <v>0</v>
      </c>
      <c r="DM248" s="63">
        <v>-78156</v>
      </c>
      <c r="DN248" s="63">
        <v>41970757</v>
      </c>
      <c r="DO248" s="63">
        <v>0</v>
      </c>
      <c r="DP248" s="63">
        <v>41970757</v>
      </c>
      <c r="DQ248" s="63"/>
      <c r="DR248" s="585"/>
    </row>
    <row r="249" spans="1:122" x14ac:dyDescent="0.2">
      <c r="A249" s="90">
        <v>242</v>
      </c>
      <c r="B249" s="129" t="s">
        <v>340</v>
      </c>
      <c r="C249" s="130" t="s">
        <v>742</v>
      </c>
      <c r="D249" s="131" t="s">
        <v>744</v>
      </c>
      <c r="E249" s="132" t="s">
        <v>339</v>
      </c>
      <c r="F249" s="475" t="s">
        <v>808</v>
      </c>
      <c r="G249" s="63">
        <v>108034460</v>
      </c>
      <c r="H249" s="63">
        <v>0</v>
      </c>
      <c r="I249" s="63">
        <v>108034460</v>
      </c>
      <c r="J249" s="608">
        <v>48.4</v>
      </c>
      <c r="K249" s="63">
        <v>52288679</v>
      </c>
      <c r="L249" s="63">
        <v>0</v>
      </c>
      <c r="M249" s="63">
        <v>0</v>
      </c>
      <c r="N249" s="63">
        <v>0</v>
      </c>
      <c r="O249" s="63">
        <v>52288679</v>
      </c>
      <c r="P249" s="63">
        <v>0</v>
      </c>
      <c r="Q249" s="63">
        <v>52288679</v>
      </c>
      <c r="R249" s="63">
        <v>0</v>
      </c>
      <c r="S249" s="63">
        <v>0</v>
      </c>
      <c r="T249" s="63">
        <v>0</v>
      </c>
      <c r="U249" s="63">
        <v>0</v>
      </c>
      <c r="V249" s="63">
        <v>0</v>
      </c>
      <c r="W249" s="63">
        <v>0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63">
        <v>0</v>
      </c>
      <c r="AF249" s="63">
        <v>0</v>
      </c>
      <c r="AG249" s="63">
        <v>0</v>
      </c>
      <c r="AH249" s="63">
        <v>-6207916</v>
      </c>
      <c r="AI249" s="63">
        <v>0</v>
      </c>
      <c r="AJ249" s="63">
        <v>-6207916</v>
      </c>
      <c r="AK249" s="63">
        <v>-26915</v>
      </c>
      <c r="AL249" s="63">
        <v>0</v>
      </c>
      <c r="AM249" s="63">
        <v>-26915</v>
      </c>
      <c r="AN249" s="63">
        <v>996524</v>
      </c>
      <c r="AO249" s="63">
        <v>0</v>
      </c>
      <c r="AP249" s="63">
        <v>996524</v>
      </c>
      <c r="AQ249" s="63">
        <v>-5211392</v>
      </c>
      <c r="AR249" s="63">
        <v>0</v>
      </c>
      <c r="AS249" s="63">
        <v>-5211392</v>
      </c>
      <c r="AT249" s="63">
        <v>-2990788</v>
      </c>
      <c r="AU249" s="63">
        <v>0</v>
      </c>
      <c r="AV249" s="63">
        <v>-2990788</v>
      </c>
      <c r="AW249" s="63">
        <v>-121316</v>
      </c>
      <c r="AX249" s="63">
        <v>0</v>
      </c>
      <c r="AY249" s="63">
        <v>-121316</v>
      </c>
      <c r="AZ249" s="63">
        <v>-26714</v>
      </c>
      <c r="BA249" s="63">
        <v>0</v>
      </c>
      <c r="BB249" s="63">
        <v>-26714</v>
      </c>
      <c r="BC249" s="63">
        <v>-8350210</v>
      </c>
      <c r="BD249" s="63">
        <v>0</v>
      </c>
      <c r="BE249" s="63">
        <v>0</v>
      </c>
      <c r="BF249" s="63">
        <v>0</v>
      </c>
      <c r="BG249" s="63">
        <v>-8350210</v>
      </c>
      <c r="BH249" s="63">
        <v>0</v>
      </c>
      <c r="BI249" s="63">
        <v>-8350210</v>
      </c>
      <c r="BJ249" s="63">
        <v>-5500</v>
      </c>
      <c r="BK249" s="63">
        <v>0</v>
      </c>
      <c r="BL249" s="63">
        <v>-5500</v>
      </c>
      <c r="BM249" s="63">
        <v>-759500</v>
      </c>
      <c r="BN249" s="63">
        <v>0</v>
      </c>
      <c r="BO249" s="63">
        <v>-759500</v>
      </c>
      <c r="BP249" s="63">
        <v>-765000</v>
      </c>
      <c r="BQ249" s="63">
        <v>0</v>
      </c>
      <c r="BR249" s="63">
        <v>0</v>
      </c>
      <c r="BS249" s="63">
        <v>0</v>
      </c>
      <c r="BT249" s="63">
        <v>-765000</v>
      </c>
      <c r="BU249" s="63">
        <v>0</v>
      </c>
      <c r="BV249" s="63">
        <v>-765000</v>
      </c>
      <c r="BW249" s="63">
        <v>-72044</v>
      </c>
      <c r="BX249" s="63">
        <v>0</v>
      </c>
      <c r="BY249" s="63">
        <v>-72044</v>
      </c>
      <c r="BZ249" s="63">
        <v>-37728</v>
      </c>
      <c r="CA249" s="63">
        <v>0</v>
      </c>
      <c r="CB249" s="63">
        <v>-37728</v>
      </c>
      <c r="CC249" s="63">
        <v>-11348</v>
      </c>
      <c r="CD249" s="63">
        <v>0</v>
      </c>
      <c r="CE249" s="63">
        <v>-11348</v>
      </c>
      <c r="CF249" s="63">
        <v>-3325</v>
      </c>
      <c r="CG249" s="63">
        <v>0</v>
      </c>
      <c r="CH249" s="63">
        <v>-3325</v>
      </c>
      <c r="CI249" s="63">
        <v>-8915</v>
      </c>
      <c r="CJ249" s="63">
        <v>0</v>
      </c>
      <c r="CK249" s="63">
        <v>-8915</v>
      </c>
      <c r="CL249" s="63">
        <v>0</v>
      </c>
      <c r="CM249" s="63">
        <v>0</v>
      </c>
      <c r="CN249" s="63">
        <v>0</v>
      </c>
      <c r="CO249" s="63">
        <v>0</v>
      </c>
      <c r="CP249" s="63">
        <v>0</v>
      </c>
      <c r="CQ249" s="63">
        <v>-133360</v>
      </c>
      <c r="CR249" s="63">
        <v>0</v>
      </c>
      <c r="CS249" s="63">
        <v>0</v>
      </c>
      <c r="CT249" s="63">
        <v>0</v>
      </c>
      <c r="CU249" s="63">
        <v>-133360</v>
      </c>
      <c r="CV249" s="63">
        <v>0</v>
      </c>
      <c r="CW249" s="63">
        <v>-133360</v>
      </c>
      <c r="CX249" s="63">
        <v>-3122</v>
      </c>
      <c r="CY249" s="63">
        <v>0</v>
      </c>
      <c r="CZ249" s="63">
        <v>-3122</v>
      </c>
      <c r="DA249" s="63">
        <v>-7518</v>
      </c>
      <c r="DB249" s="63">
        <v>0</v>
      </c>
      <c r="DC249" s="63">
        <v>-7518</v>
      </c>
      <c r="DD249" s="63">
        <v>-6430</v>
      </c>
      <c r="DE249" s="63">
        <v>0</v>
      </c>
      <c r="DF249" s="63">
        <v>-6430</v>
      </c>
      <c r="DG249" s="63">
        <v>-17070</v>
      </c>
      <c r="DH249" s="63">
        <v>0</v>
      </c>
      <c r="DI249" s="63">
        <v>-100000</v>
      </c>
      <c r="DJ249" s="63">
        <v>0</v>
      </c>
      <c r="DK249" s="63">
        <v>-117070</v>
      </c>
      <c r="DL249" s="63">
        <v>0</v>
      </c>
      <c r="DM249" s="63">
        <v>-117070</v>
      </c>
      <c r="DN249" s="63">
        <v>42923039</v>
      </c>
      <c r="DO249" s="63">
        <v>0</v>
      </c>
      <c r="DP249" s="63">
        <v>42923039</v>
      </c>
      <c r="DQ249" s="63"/>
      <c r="DR249" s="585"/>
    </row>
    <row r="250" spans="1:122" x14ac:dyDescent="0.2">
      <c r="A250" s="90">
        <v>243</v>
      </c>
      <c r="B250" s="129" t="s">
        <v>342</v>
      </c>
      <c r="C250" s="130" t="s">
        <v>742</v>
      </c>
      <c r="D250" s="131" t="s">
        <v>746</v>
      </c>
      <c r="E250" s="132" t="s">
        <v>341</v>
      </c>
      <c r="F250" s="475" t="s">
        <v>808</v>
      </c>
      <c r="G250" s="63">
        <v>79291606</v>
      </c>
      <c r="H250" s="63">
        <v>901375</v>
      </c>
      <c r="I250" s="63">
        <v>80192981</v>
      </c>
      <c r="J250" s="608">
        <v>48.4</v>
      </c>
      <c r="K250" s="63">
        <v>38377137</v>
      </c>
      <c r="L250" s="63">
        <v>436266</v>
      </c>
      <c r="M250" s="63">
        <v>221831</v>
      </c>
      <c r="N250" s="63">
        <v>35784</v>
      </c>
      <c r="O250" s="63">
        <v>38598968</v>
      </c>
      <c r="P250" s="63">
        <v>472050</v>
      </c>
      <c r="Q250" s="63">
        <v>39071018</v>
      </c>
      <c r="R250" s="63">
        <v>0</v>
      </c>
      <c r="S250" s="63">
        <v>0</v>
      </c>
      <c r="T250" s="63">
        <v>0</v>
      </c>
      <c r="U250" s="63">
        <v>0</v>
      </c>
      <c r="V250" s="63">
        <v>0</v>
      </c>
      <c r="W250" s="63">
        <v>0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0</v>
      </c>
      <c r="AE250" s="63">
        <v>0</v>
      </c>
      <c r="AF250" s="63">
        <v>0</v>
      </c>
      <c r="AG250" s="63">
        <v>0</v>
      </c>
      <c r="AH250" s="63">
        <v>-2745637</v>
      </c>
      <c r="AI250" s="63">
        <v>-7587</v>
      </c>
      <c r="AJ250" s="63">
        <v>-2753224</v>
      </c>
      <c r="AK250" s="63">
        <v>0</v>
      </c>
      <c r="AL250" s="63">
        <v>0</v>
      </c>
      <c r="AM250" s="63">
        <v>0</v>
      </c>
      <c r="AN250" s="63">
        <v>843582.88</v>
      </c>
      <c r="AO250" s="63">
        <v>17201</v>
      </c>
      <c r="AP250" s="63">
        <v>860783.88</v>
      </c>
      <c r="AQ250" s="63">
        <v>-1902054.12</v>
      </c>
      <c r="AR250" s="63">
        <v>9614</v>
      </c>
      <c r="AS250" s="63">
        <v>-1892440.12</v>
      </c>
      <c r="AT250" s="63">
        <v>-3522182</v>
      </c>
      <c r="AU250" s="63">
        <v>-286272</v>
      </c>
      <c r="AV250" s="63">
        <v>-3808454</v>
      </c>
      <c r="AW250" s="63">
        <v>-62508.68</v>
      </c>
      <c r="AX250" s="63">
        <v>0</v>
      </c>
      <c r="AY250" s="63">
        <v>-62508.68</v>
      </c>
      <c r="AZ250" s="63">
        <v>-91875.54</v>
      </c>
      <c r="BA250" s="63">
        <v>0</v>
      </c>
      <c r="BB250" s="63">
        <v>-91875.54</v>
      </c>
      <c r="BC250" s="63">
        <v>-5578620.3399999999</v>
      </c>
      <c r="BD250" s="63">
        <v>-276658</v>
      </c>
      <c r="BE250" s="63">
        <v>-12000</v>
      </c>
      <c r="BF250" s="63">
        <v>0</v>
      </c>
      <c r="BG250" s="63">
        <v>-5590620.3399999999</v>
      </c>
      <c r="BH250" s="63">
        <v>-276658</v>
      </c>
      <c r="BI250" s="63">
        <v>-5867278.3399999999</v>
      </c>
      <c r="BJ250" s="63">
        <v>0</v>
      </c>
      <c r="BK250" s="63">
        <v>0</v>
      </c>
      <c r="BL250" s="63">
        <v>0</v>
      </c>
      <c r="BM250" s="63">
        <v>-570104.55000000005</v>
      </c>
      <c r="BN250" s="63">
        <v>0</v>
      </c>
      <c r="BO250" s="63">
        <v>-570104.55000000005</v>
      </c>
      <c r="BP250" s="63">
        <v>-570104.55000000005</v>
      </c>
      <c r="BQ250" s="63">
        <v>0</v>
      </c>
      <c r="BR250" s="63">
        <v>10000</v>
      </c>
      <c r="BS250" s="63">
        <v>0</v>
      </c>
      <c r="BT250" s="63">
        <v>-560104.55000000005</v>
      </c>
      <c r="BU250" s="63">
        <v>0</v>
      </c>
      <c r="BV250" s="63">
        <v>-560104.55000000005</v>
      </c>
      <c r="BW250" s="63">
        <v>-121752.35</v>
      </c>
      <c r="BX250" s="63">
        <v>0</v>
      </c>
      <c r="BY250" s="63">
        <v>-121752.35</v>
      </c>
      <c r="BZ250" s="63">
        <v>-138979.04</v>
      </c>
      <c r="CA250" s="63">
        <v>0</v>
      </c>
      <c r="CB250" s="63">
        <v>-138979.04</v>
      </c>
      <c r="CC250" s="63">
        <v>-5085.8100000000004</v>
      </c>
      <c r="CD250" s="63">
        <v>0</v>
      </c>
      <c r="CE250" s="63">
        <v>-5085.8100000000004</v>
      </c>
      <c r="CF250" s="63">
        <v>-43029.42</v>
      </c>
      <c r="CG250" s="63">
        <v>0</v>
      </c>
      <c r="CH250" s="63">
        <v>-43029.42</v>
      </c>
      <c r="CI250" s="63">
        <v>-35749.449999999997</v>
      </c>
      <c r="CJ250" s="63">
        <v>0</v>
      </c>
      <c r="CK250" s="63">
        <v>-35749.449999999997</v>
      </c>
      <c r="CL250" s="63">
        <v>0</v>
      </c>
      <c r="CM250" s="63">
        <v>0</v>
      </c>
      <c r="CN250" s="63">
        <v>0</v>
      </c>
      <c r="CO250" s="63">
        <v>0</v>
      </c>
      <c r="CP250" s="63">
        <v>0</v>
      </c>
      <c r="CQ250" s="63">
        <v>-344596.07</v>
      </c>
      <c r="CR250" s="63">
        <v>0</v>
      </c>
      <c r="CS250" s="63">
        <v>0</v>
      </c>
      <c r="CT250" s="63">
        <v>0</v>
      </c>
      <c r="CU250" s="63">
        <v>-344596.07</v>
      </c>
      <c r="CV250" s="63">
        <v>0</v>
      </c>
      <c r="CW250" s="63">
        <v>-344596.07</v>
      </c>
      <c r="CX250" s="63">
        <v>0</v>
      </c>
      <c r="CY250" s="63">
        <v>0</v>
      </c>
      <c r="CZ250" s="63">
        <v>0</v>
      </c>
      <c r="DA250" s="63">
        <v>-7604</v>
      </c>
      <c r="DB250" s="63">
        <v>0</v>
      </c>
      <c r="DC250" s="63">
        <v>-7604</v>
      </c>
      <c r="DD250" s="63">
        <v>-7265</v>
      </c>
      <c r="DE250" s="63">
        <v>0</v>
      </c>
      <c r="DF250" s="63">
        <v>-7265</v>
      </c>
      <c r="DG250" s="63">
        <v>-14869</v>
      </c>
      <c r="DH250" s="63">
        <v>0</v>
      </c>
      <c r="DI250" s="63">
        <v>0</v>
      </c>
      <c r="DJ250" s="63">
        <v>0</v>
      </c>
      <c r="DK250" s="63">
        <v>-14869</v>
      </c>
      <c r="DL250" s="63">
        <v>0</v>
      </c>
      <c r="DM250" s="63">
        <v>-14869</v>
      </c>
      <c r="DN250" s="63">
        <v>32088778.039999999</v>
      </c>
      <c r="DO250" s="63">
        <v>195392</v>
      </c>
      <c r="DP250" s="63">
        <v>32284170.039999999</v>
      </c>
      <c r="DQ250" s="63"/>
      <c r="DR250" s="585" t="s">
        <v>768</v>
      </c>
    </row>
    <row r="251" spans="1:122" ht="12.75" x14ac:dyDescent="0.2">
      <c r="A251" s="90">
        <v>244</v>
      </c>
      <c r="B251" s="129" t="s">
        <v>344</v>
      </c>
      <c r="C251" s="130" t="s">
        <v>742</v>
      </c>
      <c r="D251" s="131" t="s">
        <v>745</v>
      </c>
      <c r="E251" s="132" t="s">
        <v>343</v>
      </c>
      <c r="F251" s="475" t="s">
        <v>808</v>
      </c>
      <c r="G251" s="63">
        <v>54669902</v>
      </c>
      <c r="H251" s="63">
        <v>0</v>
      </c>
      <c r="I251" s="63">
        <v>54669902</v>
      </c>
      <c r="J251" s="608">
        <v>48.4</v>
      </c>
      <c r="K251" s="63">
        <v>26460233</v>
      </c>
      <c r="L251" s="63">
        <v>0</v>
      </c>
      <c r="M251" s="63">
        <v>685000</v>
      </c>
      <c r="N251" s="63">
        <v>0</v>
      </c>
      <c r="O251" s="63">
        <v>27145233</v>
      </c>
      <c r="P251" s="63">
        <v>0</v>
      </c>
      <c r="Q251" s="63">
        <v>27145233</v>
      </c>
      <c r="R251" s="63">
        <v>0</v>
      </c>
      <c r="S251" s="63">
        <v>0</v>
      </c>
      <c r="T251" s="63">
        <v>0</v>
      </c>
      <c r="U251" s="63">
        <v>0</v>
      </c>
      <c r="V251" s="63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0</v>
      </c>
      <c r="AE251" s="63">
        <v>0</v>
      </c>
      <c r="AF251" s="63">
        <v>0</v>
      </c>
      <c r="AG251" s="63">
        <v>0</v>
      </c>
      <c r="AH251" s="63">
        <v>-1889751</v>
      </c>
      <c r="AI251" s="63">
        <v>0</v>
      </c>
      <c r="AJ251" s="63">
        <v>-1889751</v>
      </c>
      <c r="AK251" s="63">
        <v>0</v>
      </c>
      <c r="AL251" s="63">
        <v>0</v>
      </c>
      <c r="AM251" s="63">
        <v>0</v>
      </c>
      <c r="AN251" s="63">
        <v>550432</v>
      </c>
      <c r="AO251" s="63">
        <v>0</v>
      </c>
      <c r="AP251" s="63">
        <v>550432</v>
      </c>
      <c r="AQ251" s="63">
        <v>-1339319</v>
      </c>
      <c r="AR251" s="63">
        <v>0</v>
      </c>
      <c r="AS251" s="63">
        <v>-1339319</v>
      </c>
      <c r="AT251" s="63">
        <v>-1671767</v>
      </c>
      <c r="AU251" s="63">
        <v>0</v>
      </c>
      <c r="AV251" s="63">
        <v>-1671767</v>
      </c>
      <c r="AW251" s="63">
        <v>0</v>
      </c>
      <c r="AX251" s="63">
        <v>0</v>
      </c>
      <c r="AY251" s="63">
        <v>0</v>
      </c>
      <c r="AZ251" s="63">
        <v>-65250</v>
      </c>
      <c r="BA251" s="63">
        <v>0</v>
      </c>
      <c r="BB251" s="63">
        <v>-65250</v>
      </c>
      <c r="BC251" s="63">
        <v>-3076336</v>
      </c>
      <c r="BD251" s="63">
        <v>0</v>
      </c>
      <c r="BE251" s="63">
        <v>0</v>
      </c>
      <c r="BF251" s="63">
        <v>0</v>
      </c>
      <c r="BG251" s="63">
        <v>-3076336</v>
      </c>
      <c r="BH251" s="63">
        <v>0</v>
      </c>
      <c r="BI251" s="63">
        <v>-3076336</v>
      </c>
      <c r="BJ251" s="63">
        <v>0</v>
      </c>
      <c r="BK251" s="63">
        <v>0</v>
      </c>
      <c r="BL251" s="63">
        <v>0</v>
      </c>
      <c r="BM251" s="63">
        <v>-283248</v>
      </c>
      <c r="BN251" s="63">
        <v>0</v>
      </c>
      <c r="BO251" s="63">
        <v>-283248</v>
      </c>
      <c r="BP251" s="63">
        <v>-283248</v>
      </c>
      <c r="BQ251" s="63">
        <v>0</v>
      </c>
      <c r="BR251" s="63">
        <v>-334373</v>
      </c>
      <c r="BS251" s="63">
        <v>0</v>
      </c>
      <c r="BT251" s="63">
        <v>-617621</v>
      </c>
      <c r="BU251" s="63">
        <v>0</v>
      </c>
      <c r="BV251" s="63">
        <v>-617621</v>
      </c>
      <c r="BW251" s="63">
        <v>-137584</v>
      </c>
      <c r="BX251" s="63">
        <v>0</v>
      </c>
      <c r="BY251" s="63">
        <v>-137584</v>
      </c>
      <c r="BZ251" s="63">
        <v>-136599</v>
      </c>
      <c r="CA251" s="63">
        <v>0</v>
      </c>
      <c r="CB251" s="63">
        <v>-136599</v>
      </c>
      <c r="CC251" s="63">
        <v>-1595</v>
      </c>
      <c r="CD251" s="63">
        <v>0</v>
      </c>
      <c r="CE251" s="63">
        <v>-1595</v>
      </c>
      <c r="CF251" s="63">
        <v>-15817</v>
      </c>
      <c r="CG251" s="63">
        <v>0</v>
      </c>
      <c r="CH251" s="63">
        <v>-15817</v>
      </c>
      <c r="CI251" s="63">
        <v>-8180</v>
      </c>
      <c r="CJ251" s="63">
        <v>0</v>
      </c>
      <c r="CK251" s="63">
        <v>-8180</v>
      </c>
      <c r="CL251" s="63">
        <v>0</v>
      </c>
      <c r="CM251" s="63">
        <v>0</v>
      </c>
      <c r="CN251" s="63">
        <v>0</v>
      </c>
      <c r="CO251" s="63">
        <v>0</v>
      </c>
      <c r="CP251" s="63">
        <v>0</v>
      </c>
      <c r="CQ251" s="63">
        <v>-299775</v>
      </c>
      <c r="CR251" s="63">
        <v>0</v>
      </c>
      <c r="CS251" s="63">
        <v>0</v>
      </c>
      <c r="CT251" s="63">
        <v>0</v>
      </c>
      <c r="CU251" s="63">
        <v>-299775</v>
      </c>
      <c r="CV251" s="63">
        <v>0</v>
      </c>
      <c r="CW251" s="63">
        <v>-299775</v>
      </c>
      <c r="CX251" s="63">
        <v>0</v>
      </c>
      <c r="CY251" s="63">
        <v>0</v>
      </c>
      <c r="CZ251" s="63">
        <v>0</v>
      </c>
      <c r="DA251" s="63">
        <v>-629</v>
      </c>
      <c r="DB251" s="63">
        <v>0</v>
      </c>
      <c r="DC251" s="63">
        <v>-629</v>
      </c>
      <c r="DD251" s="63">
        <v>-648</v>
      </c>
      <c r="DE251" s="63">
        <v>0</v>
      </c>
      <c r="DF251" s="63">
        <v>-648</v>
      </c>
      <c r="DG251" s="63">
        <v>-1277</v>
      </c>
      <c r="DH251" s="63">
        <v>0</v>
      </c>
      <c r="DI251" s="63">
        <v>0</v>
      </c>
      <c r="DJ251" s="63">
        <v>0</v>
      </c>
      <c r="DK251" s="63">
        <v>-1277</v>
      </c>
      <c r="DL251" s="63">
        <v>0</v>
      </c>
      <c r="DM251" s="63">
        <v>-1277</v>
      </c>
      <c r="DN251" s="63">
        <v>23150224</v>
      </c>
      <c r="DO251" s="63">
        <v>0</v>
      </c>
      <c r="DP251" s="63">
        <v>23150224</v>
      </c>
      <c r="DQ251" s="63"/>
      <c r="DR251" s="586"/>
    </row>
    <row r="252" spans="1:122" x14ac:dyDescent="0.2">
      <c r="A252" s="90">
        <v>245</v>
      </c>
      <c r="B252" s="129" t="s">
        <v>346</v>
      </c>
      <c r="C252" s="130" t="s">
        <v>742</v>
      </c>
      <c r="D252" s="131" t="s">
        <v>743</v>
      </c>
      <c r="E252" s="132" t="s">
        <v>345</v>
      </c>
      <c r="F252" s="475" t="s">
        <v>808</v>
      </c>
      <c r="G252" s="63">
        <v>105521346</v>
      </c>
      <c r="H252" s="63">
        <v>886500</v>
      </c>
      <c r="I252" s="63">
        <v>106407846</v>
      </c>
      <c r="J252" s="608">
        <v>48.4</v>
      </c>
      <c r="K252" s="63">
        <v>51072331</v>
      </c>
      <c r="L252" s="63">
        <v>429066</v>
      </c>
      <c r="M252" s="63">
        <v>0</v>
      </c>
      <c r="N252" s="63">
        <v>0</v>
      </c>
      <c r="O252" s="63">
        <v>51072331</v>
      </c>
      <c r="P252" s="63">
        <v>429066</v>
      </c>
      <c r="Q252" s="63">
        <v>51501397</v>
      </c>
      <c r="R252" s="63">
        <v>0</v>
      </c>
      <c r="S252" s="63">
        <v>0</v>
      </c>
      <c r="T252" s="63">
        <v>0</v>
      </c>
      <c r="U252" s="63">
        <v>0</v>
      </c>
      <c r="V252" s="63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0</v>
      </c>
      <c r="AE252" s="63">
        <v>0</v>
      </c>
      <c r="AF252" s="63">
        <v>0</v>
      </c>
      <c r="AG252" s="63">
        <v>0</v>
      </c>
      <c r="AH252" s="63">
        <v>-2529820</v>
      </c>
      <c r="AI252" s="63">
        <v>0</v>
      </c>
      <c r="AJ252" s="63">
        <v>-2529820</v>
      </c>
      <c r="AK252" s="63">
        <v>0</v>
      </c>
      <c r="AL252" s="63">
        <v>0</v>
      </c>
      <c r="AM252" s="63">
        <v>0</v>
      </c>
      <c r="AN252" s="63">
        <v>1142324</v>
      </c>
      <c r="AO252" s="63">
        <v>11525</v>
      </c>
      <c r="AP252" s="63">
        <v>1153849</v>
      </c>
      <c r="AQ252" s="63">
        <v>-1387496</v>
      </c>
      <c r="AR252" s="63">
        <v>11525</v>
      </c>
      <c r="AS252" s="63">
        <v>-1375971</v>
      </c>
      <c r="AT252" s="63">
        <v>-4057407</v>
      </c>
      <c r="AU252" s="63">
        <v>0</v>
      </c>
      <c r="AV252" s="63">
        <v>-4057407</v>
      </c>
      <c r="AW252" s="63">
        <v>-82075</v>
      </c>
      <c r="AX252" s="63">
        <v>0</v>
      </c>
      <c r="AY252" s="63">
        <v>-82075</v>
      </c>
      <c r="AZ252" s="63">
        <v>-48532</v>
      </c>
      <c r="BA252" s="63">
        <v>0</v>
      </c>
      <c r="BB252" s="63">
        <v>-48532</v>
      </c>
      <c r="BC252" s="63">
        <v>-5575510</v>
      </c>
      <c r="BD252" s="63">
        <v>11525</v>
      </c>
      <c r="BE252" s="63">
        <v>0</v>
      </c>
      <c r="BF252" s="63">
        <v>0</v>
      </c>
      <c r="BG252" s="63">
        <v>-5575510</v>
      </c>
      <c r="BH252" s="63">
        <v>11525</v>
      </c>
      <c r="BI252" s="63">
        <v>-5563985</v>
      </c>
      <c r="BJ252" s="63">
        <v>0</v>
      </c>
      <c r="BK252" s="63">
        <v>0</v>
      </c>
      <c r="BL252" s="63">
        <v>0</v>
      </c>
      <c r="BM252" s="63">
        <v>-599695</v>
      </c>
      <c r="BN252" s="63">
        <v>0</v>
      </c>
      <c r="BO252" s="63">
        <v>-599695</v>
      </c>
      <c r="BP252" s="63">
        <v>-599695</v>
      </c>
      <c r="BQ252" s="63">
        <v>0</v>
      </c>
      <c r="BR252" s="63">
        <v>0</v>
      </c>
      <c r="BS252" s="63">
        <v>0</v>
      </c>
      <c r="BT252" s="63">
        <v>-599695</v>
      </c>
      <c r="BU252" s="63">
        <v>0</v>
      </c>
      <c r="BV252" s="63">
        <v>-599695</v>
      </c>
      <c r="BW252" s="63">
        <v>-191733</v>
      </c>
      <c r="BX252" s="63">
        <v>0</v>
      </c>
      <c r="BY252" s="63">
        <v>-191733</v>
      </c>
      <c r="BZ252" s="63">
        <v>-17230</v>
      </c>
      <c r="CA252" s="63">
        <v>0</v>
      </c>
      <c r="CB252" s="63">
        <v>-17230</v>
      </c>
      <c r="CC252" s="63">
        <v>-10338</v>
      </c>
      <c r="CD252" s="63">
        <v>0</v>
      </c>
      <c r="CE252" s="63">
        <v>-10338</v>
      </c>
      <c r="CF252" s="63">
        <v>-21980</v>
      </c>
      <c r="CG252" s="63">
        <v>0</v>
      </c>
      <c r="CH252" s="63">
        <v>-21980</v>
      </c>
      <c r="CI252" s="63">
        <v>0</v>
      </c>
      <c r="CJ252" s="63">
        <v>0</v>
      </c>
      <c r="CK252" s="63">
        <v>0</v>
      </c>
      <c r="CL252" s="63">
        <v>0</v>
      </c>
      <c r="CM252" s="63">
        <v>0</v>
      </c>
      <c r="CN252" s="63">
        <v>0</v>
      </c>
      <c r="CO252" s="63">
        <v>0</v>
      </c>
      <c r="CP252" s="63">
        <v>0</v>
      </c>
      <c r="CQ252" s="63">
        <v>-241281</v>
      </c>
      <c r="CR252" s="63">
        <v>0</v>
      </c>
      <c r="CS252" s="63">
        <v>0</v>
      </c>
      <c r="CT252" s="63">
        <v>0</v>
      </c>
      <c r="CU252" s="63">
        <v>-241281</v>
      </c>
      <c r="CV252" s="63">
        <v>0</v>
      </c>
      <c r="CW252" s="63">
        <v>-241281</v>
      </c>
      <c r="CX252" s="63">
        <v>0</v>
      </c>
      <c r="CY252" s="63">
        <v>0</v>
      </c>
      <c r="CZ252" s="63">
        <v>0</v>
      </c>
      <c r="DA252" s="63">
        <v>-4001</v>
      </c>
      <c r="DB252" s="63">
        <v>0</v>
      </c>
      <c r="DC252" s="63">
        <v>-4001</v>
      </c>
      <c r="DD252" s="63">
        <v>0</v>
      </c>
      <c r="DE252" s="63">
        <v>0</v>
      </c>
      <c r="DF252" s="63">
        <v>0</v>
      </c>
      <c r="DG252" s="63">
        <v>-4001</v>
      </c>
      <c r="DH252" s="63">
        <v>0</v>
      </c>
      <c r="DI252" s="63">
        <v>0</v>
      </c>
      <c r="DJ252" s="63">
        <v>0</v>
      </c>
      <c r="DK252" s="63">
        <v>-4001</v>
      </c>
      <c r="DL252" s="63">
        <v>0</v>
      </c>
      <c r="DM252" s="63">
        <v>-4001</v>
      </c>
      <c r="DN252" s="63">
        <v>44651844</v>
      </c>
      <c r="DO252" s="63">
        <v>440591</v>
      </c>
      <c r="DP252" s="63">
        <v>45092435</v>
      </c>
      <c r="DQ252" s="63"/>
      <c r="DR252" s="585" t="s">
        <v>768</v>
      </c>
    </row>
    <row r="253" spans="1:122" x14ac:dyDescent="0.2">
      <c r="A253" s="90">
        <v>246</v>
      </c>
      <c r="B253" s="129" t="s">
        <v>348</v>
      </c>
      <c r="C253" s="130" t="s">
        <v>742</v>
      </c>
      <c r="D253" s="131" t="s">
        <v>744</v>
      </c>
      <c r="E253" s="132" t="s">
        <v>347</v>
      </c>
      <c r="F253" s="475" t="s">
        <v>808</v>
      </c>
      <c r="G253" s="63">
        <v>91014156</v>
      </c>
      <c r="H253" s="63">
        <v>0</v>
      </c>
      <c r="I253" s="63">
        <v>91014156</v>
      </c>
      <c r="J253" s="608">
        <v>48.4</v>
      </c>
      <c r="K253" s="63">
        <v>44050852</v>
      </c>
      <c r="L253" s="63">
        <v>0</v>
      </c>
      <c r="M253" s="63">
        <v>0</v>
      </c>
      <c r="N253" s="63">
        <v>0</v>
      </c>
      <c r="O253" s="63">
        <v>44050852</v>
      </c>
      <c r="P253" s="63">
        <v>0</v>
      </c>
      <c r="Q253" s="63">
        <v>44050852</v>
      </c>
      <c r="R253" s="63">
        <v>0</v>
      </c>
      <c r="S253" s="63">
        <v>0</v>
      </c>
      <c r="T253" s="63">
        <v>0</v>
      </c>
      <c r="U253" s="63">
        <v>0</v>
      </c>
      <c r="V253" s="63">
        <v>0</v>
      </c>
      <c r="W253" s="63">
        <v>0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0</v>
      </c>
      <c r="AE253" s="63">
        <v>0</v>
      </c>
      <c r="AF253" s="63">
        <v>0</v>
      </c>
      <c r="AG253" s="63">
        <v>0</v>
      </c>
      <c r="AH253" s="63">
        <v>-2218943</v>
      </c>
      <c r="AI253" s="63">
        <v>0</v>
      </c>
      <c r="AJ253" s="63">
        <v>-2218943</v>
      </c>
      <c r="AK253" s="63">
        <v>-7491</v>
      </c>
      <c r="AL253" s="63">
        <v>0</v>
      </c>
      <c r="AM253" s="63">
        <v>-7491</v>
      </c>
      <c r="AN253" s="63">
        <v>1021829</v>
      </c>
      <c r="AO253" s="63">
        <v>0</v>
      </c>
      <c r="AP253" s="63">
        <v>1021829</v>
      </c>
      <c r="AQ253" s="63">
        <v>-1197114</v>
      </c>
      <c r="AR253" s="63">
        <v>0</v>
      </c>
      <c r="AS253" s="63">
        <v>-1197114</v>
      </c>
      <c r="AT253" s="63">
        <v>-1709547</v>
      </c>
      <c r="AU253" s="63">
        <v>0</v>
      </c>
      <c r="AV253" s="63">
        <v>-1709547</v>
      </c>
      <c r="AW253" s="63">
        <v>-47900</v>
      </c>
      <c r="AX253" s="63">
        <v>0</v>
      </c>
      <c r="AY253" s="63">
        <v>-47900</v>
      </c>
      <c r="AZ253" s="63">
        <v>-5120</v>
      </c>
      <c r="BA253" s="63">
        <v>0</v>
      </c>
      <c r="BB253" s="63">
        <v>-5120</v>
      </c>
      <c r="BC253" s="63">
        <v>-2959681</v>
      </c>
      <c r="BD253" s="63">
        <v>0</v>
      </c>
      <c r="BE253" s="63">
        <v>0</v>
      </c>
      <c r="BF253" s="63">
        <v>0</v>
      </c>
      <c r="BG253" s="63">
        <v>-2959681</v>
      </c>
      <c r="BH253" s="63">
        <v>0</v>
      </c>
      <c r="BI253" s="63">
        <v>-2959681</v>
      </c>
      <c r="BJ253" s="63">
        <v>-31936</v>
      </c>
      <c r="BK253" s="63">
        <v>0</v>
      </c>
      <c r="BL253" s="63">
        <v>-31936</v>
      </c>
      <c r="BM253" s="63">
        <v>-791721</v>
      </c>
      <c r="BN253" s="63">
        <v>0</v>
      </c>
      <c r="BO253" s="63">
        <v>-791721</v>
      </c>
      <c r="BP253" s="63">
        <v>-823657</v>
      </c>
      <c r="BQ253" s="63">
        <v>0</v>
      </c>
      <c r="BR253" s="63">
        <v>0</v>
      </c>
      <c r="BS253" s="63">
        <v>0</v>
      </c>
      <c r="BT253" s="63">
        <v>-823657</v>
      </c>
      <c r="BU253" s="63">
        <v>0</v>
      </c>
      <c r="BV253" s="63">
        <v>-823657</v>
      </c>
      <c r="BW253" s="63">
        <v>-115241</v>
      </c>
      <c r="BX253" s="63">
        <v>0</v>
      </c>
      <c r="BY253" s="63">
        <v>-115241</v>
      </c>
      <c r="BZ253" s="63">
        <v>-21191</v>
      </c>
      <c r="CA253" s="63">
        <v>0</v>
      </c>
      <c r="CB253" s="63">
        <v>-21191</v>
      </c>
      <c r="CC253" s="63">
        <v>-452</v>
      </c>
      <c r="CD253" s="63">
        <v>0</v>
      </c>
      <c r="CE253" s="63">
        <v>-452</v>
      </c>
      <c r="CF253" s="63">
        <v>-5120</v>
      </c>
      <c r="CG253" s="63">
        <v>0</v>
      </c>
      <c r="CH253" s="63">
        <v>-5120</v>
      </c>
      <c r="CI253" s="63">
        <v>0</v>
      </c>
      <c r="CJ253" s="63">
        <v>0</v>
      </c>
      <c r="CK253" s="63">
        <v>0</v>
      </c>
      <c r="CL253" s="63">
        <v>0</v>
      </c>
      <c r="CM253" s="63">
        <v>0</v>
      </c>
      <c r="CN253" s="63">
        <v>0</v>
      </c>
      <c r="CO253" s="63">
        <v>0</v>
      </c>
      <c r="CP253" s="63">
        <v>0</v>
      </c>
      <c r="CQ253" s="63">
        <v>-142004</v>
      </c>
      <c r="CR253" s="63">
        <v>0</v>
      </c>
      <c r="CS253" s="63">
        <v>0</v>
      </c>
      <c r="CT253" s="63">
        <v>0</v>
      </c>
      <c r="CU253" s="63">
        <v>-142004</v>
      </c>
      <c r="CV253" s="63">
        <v>0</v>
      </c>
      <c r="CW253" s="63">
        <v>-142004</v>
      </c>
      <c r="CX253" s="63">
        <v>0</v>
      </c>
      <c r="CY253" s="63">
        <v>0</v>
      </c>
      <c r="CZ253" s="63">
        <v>0</v>
      </c>
      <c r="DA253" s="63">
        <v>-5803</v>
      </c>
      <c r="DB253" s="63">
        <v>0</v>
      </c>
      <c r="DC253" s="63">
        <v>-5803</v>
      </c>
      <c r="DD253" s="63">
        <v>-3783</v>
      </c>
      <c r="DE253" s="63">
        <v>0</v>
      </c>
      <c r="DF253" s="63">
        <v>-3783</v>
      </c>
      <c r="DG253" s="63">
        <v>-9586</v>
      </c>
      <c r="DH253" s="63">
        <v>0</v>
      </c>
      <c r="DI253" s="63">
        <v>0</v>
      </c>
      <c r="DJ253" s="63">
        <v>0</v>
      </c>
      <c r="DK253" s="63">
        <v>-9586</v>
      </c>
      <c r="DL253" s="63">
        <v>0</v>
      </c>
      <c r="DM253" s="63">
        <v>-9586</v>
      </c>
      <c r="DN253" s="63">
        <v>40115924</v>
      </c>
      <c r="DO253" s="63">
        <v>0</v>
      </c>
      <c r="DP253" s="63">
        <v>40115924</v>
      </c>
      <c r="DQ253" s="63"/>
      <c r="DR253" s="585"/>
    </row>
    <row r="254" spans="1:122" x14ac:dyDescent="0.2">
      <c r="A254" s="90">
        <v>247</v>
      </c>
      <c r="B254" s="129" t="s">
        <v>350</v>
      </c>
      <c r="C254" s="130" t="s">
        <v>742</v>
      </c>
      <c r="D254" s="131" t="s">
        <v>751</v>
      </c>
      <c r="E254" s="132" t="s">
        <v>349</v>
      </c>
      <c r="F254" s="475" t="s">
        <v>808</v>
      </c>
      <c r="G254" s="63">
        <v>111755406</v>
      </c>
      <c r="H254" s="63">
        <v>0</v>
      </c>
      <c r="I254" s="63">
        <v>111755406</v>
      </c>
      <c r="J254" s="608">
        <v>48.4</v>
      </c>
      <c r="K254" s="63">
        <v>54089617</v>
      </c>
      <c r="L254" s="63">
        <v>0</v>
      </c>
      <c r="M254" s="63">
        <v>174627</v>
      </c>
      <c r="N254" s="63">
        <v>0</v>
      </c>
      <c r="O254" s="63">
        <v>54264244</v>
      </c>
      <c r="P254" s="63">
        <v>0</v>
      </c>
      <c r="Q254" s="63">
        <v>54264244</v>
      </c>
      <c r="R254" s="63">
        <v>0</v>
      </c>
      <c r="S254" s="63">
        <v>0</v>
      </c>
      <c r="T254" s="63">
        <v>0</v>
      </c>
      <c r="U254" s="63">
        <v>0</v>
      </c>
      <c r="V254" s="63">
        <v>0</v>
      </c>
      <c r="W254" s="63">
        <v>0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0</v>
      </c>
      <c r="AE254" s="63">
        <v>0</v>
      </c>
      <c r="AF254" s="63">
        <v>0</v>
      </c>
      <c r="AG254" s="63">
        <v>0</v>
      </c>
      <c r="AH254" s="63">
        <v>-3844319</v>
      </c>
      <c r="AI254" s="63">
        <v>0</v>
      </c>
      <c r="AJ254" s="63">
        <v>-3844319</v>
      </c>
      <c r="AK254" s="63">
        <v>-25322</v>
      </c>
      <c r="AL254" s="63">
        <v>0</v>
      </c>
      <c r="AM254" s="63">
        <v>-25322</v>
      </c>
      <c r="AN254" s="63">
        <v>1156303</v>
      </c>
      <c r="AO254" s="63">
        <v>0</v>
      </c>
      <c r="AP254" s="63">
        <v>1156303</v>
      </c>
      <c r="AQ254" s="63">
        <v>-2688016</v>
      </c>
      <c r="AR254" s="63">
        <v>0</v>
      </c>
      <c r="AS254" s="63">
        <v>-2688016</v>
      </c>
      <c r="AT254" s="63">
        <v>-3409926</v>
      </c>
      <c r="AU254" s="63">
        <v>0</v>
      </c>
      <c r="AV254" s="63">
        <v>-3409926</v>
      </c>
      <c r="AW254" s="63">
        <v>-25397</v>
      </c>
      <c r="AX254" s="63">
        <v>0</v>
      </c>
      <c r="AY254" s="63">
        <v>-25397</v>
      </c>
      <c r="AZ254" s="63">
        <v>-101040</v>
      </c>
      <c r="BA254" s="63">
        <v>0</v>
      </c>
      <c r="BB254" s="63">
        <v>-101040</v>
      </c>
      <c r="BC254" s="63">
        <v>-6224379</v>
      </c>
      <c r="BD254" s="63">
        <v>0</v>
      </c>
      <c r="BE254" s="63">
        <v>-33491</v>
      </c>
      <c r="BF254" s="63">
        <v>0</v>
      </c>
      <c r="BG254" s="63">
        <v>-6257870</v>
      </c>
      <c r="BH254" s="63">
        <v>0</v>
      </c>
      <c r="BI254" s="63">
        <v>-6257870</v>
      </c>
      <c r="BJ254" s="63">
        <v>0</v>
      </c>
      <c r="BK254" s="63">
        <v>0</v>
      </c>
      <c r="BL254" s="63">
        <v>0</v>
      </c>
      <c r="BM254" s="63">
        <v>-1319504</v>
      </c>
      <c r="BN254" s="63">
        <v>0</v>
      </c>
      <c r="BO254" s="63">
        <v>-1319504</v>
      </c>
      <c r="BP254" s="63">
        <v>-1319504</v>
      </c>
      <c r="BQ254" s="63">
        <v>0</v>
      </c>
      <c r="BR254" s="63">
        <v>0</v>
      </c>
      <c r="BS254" s="63">
        <v>0</v>
      </c>
      <c r="BT254" s="63">
        <v>-1319504</v>
      </c>
      <c r="BU254" s="63">
        <v>0</v>
      </c>
      <c r="BV254" s="63">
        <v>-1319504</v>
      </c>
      <c r="BW254" s="63">
        <v>-119456</v>
      </c>
      <c r="BX254" s="63">
        <v>0</v>
      </c>
      <c r="BY254" s="63">
        <v>-119456</v>
      </c>
      <c r="BZ254" s="63">
        <v>-140612</v>
      </c>
      <c r="CA254" s="63">
        <v>0</v>
      </c>
      <c r="CB254" s="63">
        <v>-140612</v>
      </c>
      <c r="CC254" s="63">
        <v>-3914</v>
      </c>
      <c r="CD254" s="63">
        <v>0</v>
      </c>
      <c r="CE254" s="63">
        <v>-3914</v>
      </c>
      <c r="CF254" s="63">
        <v>-35043</v>
      </c>
      <c r="CG254" s="63">
        <v>0</v>
      </c>
      <c r="CH254" s="63">
        <v>-35043</v>
      </c>
      <c r="CI254" s="63">
        <v>-38888</v>
      </c>
      <c r="CJ254" s="63">
        <v>0</v>
      </c>
      <c r="CK254" s="63">
        <v>-38888</v>
      </c>
      <c r="CL254" s="63">
        <v>0</v>
      </c>
      <c r="CM254" s="63">
        <v>0</v>
      </c>
      <c r="CN254" s="63">
        <v>0</v>
      </c>
      <c r="CO254" s="63">
        <v>0</v>
      </c>
      <c r="CP254" s="63">
        <v>0</v>
      </c>
      <c r="CQ254" s="63">
        <v>-337913</v>
      </c>
      <c r="CR254" s="63">
        <v>0</v>
      </c>
      <c r="CS254" s="63">
        <v>0</v>
      </c>
      <c r="CT254" s="63">
        <v>0</v>
      </c>
      <c r="CU254" s="63">
        <v>-337913</v>
      </c>
      <c r="CV254" s="63">
        <v>0</v>
      </c>
      <c r="CW254" s="63">
        <v>-337913</v>
      </c>
      <c r="CX254" s="63">
        <v>0</v>
      </c>
      <c r="CY254" s="63">
        <v>0</v>
      </c>
      <c r="CZ254" s="63">
        <v>0</v>
      </c>
      <c r="DA254" s="63">
        <v>-14574</v>
      </c>
      <c r="DB254" s="63">
        <v>0</v>
      </c>
      <c r="DC254" s="63">
        <v>-14574</v>
      </c>
      <c r="DD254" s="63">
        <v>-9681</v>
      </c>
      <c r="DE254" s="63">
        <v>0</v>
      </c>
      <c r="DF254" s="63">
        <v>-9681</v>
      </c>
      <c r="DG254" s="63">
        <v>-24255</v>
      </c>
      <c r="DH254" s="63">
        <v>0</v>
      </c>
      <c r="DI254" s="63">
        <v>0</v>
      </c>
      <c r="DJ254" s="63">
        <v>0</v>
      </c>
      <c r="DK254" s="63">
        <v>-24255</v>
      </c>
      <c r="DL254" s="63">
        <v>0</v>
      </c>
      <c r="DM254" s="63">
        <v>-24255</v>
      </c>
      <c r="DN254" s="63">
        <v>46324702</v>
      </c>
      <c r="DO254" s="63">
        <v>0</v>
      </c>
      <c r="DP254" s="63">
        <v>46324702</v>
      </c>
      <c r="DQ254" s="63"/>
      <c r="DR254" s="585"/>
    </row>
    <row r="255" spans="1:122" x14ac:dyDescent="0.2">
      <c r="A255" s="90">
        <v>248</v>
      </c>
      <c r="B255" s="129" t="s">
        <v>352</v>
      </c>
      <c r="C255" s="130" t="s">
        <v>742</v>
      </c>
      <c r="D255" s="131" t="s">
        <v>752</v>
      </c>
      <c r="E255" s="132" t="s">
        <v>351</v>
      </c>
      <c r="F255" s="475" t="s">
        <v>808</v>
      </c>
      <c r="G255" s="63">
        <v>53931477</v>
      </c>
      <c r="H255" s="63">
        <v>4692500</v>
      </c>
      <c r="I255" s="63">
        <v>58623977</v>
      </c>
      <c r="J255" s="608">
        <v>48.4</v>
      </c>
      <c r="K255" s="63">
        <v>26102835</v>
      </c>
      <c r="L255" s="63">
        <v>2271170</v>
      </c>
      <c r="M255" s="63">
        <v>0</v>
      </c>
      <c r="N255" s="63">
        <v>500000</v>
      </c>
      <c r="O255" s="63">
        <v>26102835</v>
      </c>
      <c r="P255" s="63">
        <v>2771170</v>
      </c>
      <c r="Q255" s="63">
        <v>28874005</v>
      </c>
      <c r="R255" s="63">
        <v>0</v>
      </c>
      <c r="S255" s="63">
        <v>0</v>
      </c>
      <c r="T255" s="63">
        <v>0</v>
      </c>
      <c r="U255" s="63">
        <v>0</v>
      </c>
      <c r="V255" s="63">
        <v>0</v>
      </c>
      <c r="W255" s="63">
        <v>0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0</v>
      </c>
      <c r="AE255" s="63">
        <v>0</v>
      </c>
      <c r="AF255" s="63">
        <v>0</v>
      </c>
      <c r="AG255" s="63">
        <v>0</v>
      </c>
      <c r="AH255" s="63">
        <v>-2090696</v>
      </c>
      <c r="AI255" s="63">
        <v>0</v>
      </c>
      <c r="AJ255" s="63">
        <v>-2090696</v>
      </c>
      <c r="AK255" s="63">
        <v>0</v>
      </c>
      <c r="AL255" s="63">
        <v>0</v>
      </c>
      <c r="AM255" s="63">
        <v>0</v>
      </c>
      <c r="AN255" s="63">
        <v>554395</v>
      </c>
      <c r="AO255" s="63">
        <v>61002</v>
      </c>
      <c r="AP255" s="63">
        <v>615397</v>
      </c>
      <c r="AQ255" s="63">
        <v>-1536301</v>
      </c>
      <c r="AR255" s="63">
        <v>61002</v>
      </c>
      <c r="AS255" s="63">
        <v>-1475299</v>
      </c>
      <c r="AT255" s="63">
        <v>-722515</v>
      </c>
      <c r="AU255" s="63">
        <v>0</v>
      </c>
      <c r="AV255" s="63">
        <v>-722515</v>
      </c>
      <c r="AW255" s="63">
        <v>-21351</v>
      </c>
      <c r="AX255" s="63">
        <v>0</v>
      </c>
      <c r="AY255" s="63">
        <v>-21351</v>
      </c>
      <c r="AZ255" s="63">
        <v>-10312</v>
      </c>
      <c r="BA255" s="63">
        <v>0</v>
      </c>
      <c r="BB255" s="63">
        <v>-10312</v>
      </c>
      <c r="BC255" s="63">
        <v>-2290479</v>
      </c>
      <c r="BD255" s="63">
        <v>61002</v>
      </c>
      <c r="BE255" s="63">
        <v>0</v>
      </c>
      <c r="BF255" s="63">
        <v>0</v>
      </c>
      <c r="BG255" s="63">
        <v>-2290479</v>
      </c>
      <c r="BH255" s="63">
        <v>61002</v>
      </c>
      <c r="BI255" s="63">
        <v>-2229477</v>
      </c>
      <c r="BJ255" s="63">
        <v>0</v>
      </c>
      <c r="BK255" s="63">
        <v>0</v>
      </c>
      <c r="BL255" s="63">
        <v>0</v>
      </c>
      <c r="BM255" s="63">
        <v>-433523</v>
      </c>
      <c r="BN255" s="63">
        <v>0</v>
      </c>
      <c r="BO255" s="63">
        <v>-433523</v>
      </c>
      <c r="BP255" s="63">
        <v>-433523</v>
      </c>
      <c r="BQ255" s="63">
        <v>0</v>
      </c>
      <c r="BR255" s="63">
        <v>-200000</v>
      </c>
      <c r="BS255" s="63">
        <v>0</v>
      </c>
      <c r="BT255" s="63">
        <v>-633523</v>
      </c>
      <c r="BU255" s="63">
        <v>0</v>
      </c>
      <c r="BV255" s="63">
        <v>-633523</v>
      </c>
      <c r="BW255" s="63">
        <v>-42150</v>
      </c>
      <c r="BX255" s="63">
        <v>0</v>
      </c>
      <c r="BY255" s="63">
        <v>-42150</v>
      </c>
      <c r="BZ255" s="63">
        <v>-236494</v>
      </c>
      <c r="CA255" s="63">
        <v>0</v>
      </c>
      <c r="CB255" s="63">
        <v>-236494</v>
      </c>
      <c r="CC255" s="63">
        <v>-4244</v>
      </c>
      <c r="CD255" s="63">
        <v>0</v>
      </c>
      <c r="CE255" s="63">
        <v>-4244</v>
      </c>
      <c r="CF255" s="63">
        <v>-5242</v>
      </c>
      <c r="CG255" s="63">
        <v>0</v>
      </c>
      <c r="CH255" s="63">
        <v>-5242</v>
      </c>
      <c r="CI255" s="63">
        <v>0</v>
      </c>
      <c r="CJ255" s="63">
        <v>0</v>
      </c>
      <c r="CK255" s="63">
        <v>0</v>
      </c>
      <c r="CL255" s="63">
        <v>0</v>
      </c>
      <c r="CM255" s="63">
        <v>-54035</v>
      </c>
      <c r="CN255" s="63">
        <v>-54035</v>
      </c>
      <c r="CO255" s="63">
        <v>-54035</v>
      </c>
      <c r="CP255" s="63">
        <v>0</v>
      </c>
      <c r="CQ255" s="63">
        <v>-288130</v>
      </c>
      <c r="CR255" s="63">
        <v>-54035</v>
      </c>
      <c r="CS255" s="63">
        <v>0</v>
      </c>
      <c r="CT255" s="63">
        <v>0</v>
      </c>
      <c r="CU255" s="63">
        <v>-288130</v>
      </c>
      <c r="CV255" s="63">
        <v>-54035</v>
      </c>
      <c r="CW255" s="63">
        <v>-342165</v>
      </c>
      <c r="CX255" s="63">
        <v>0</v>
      </c>
      <c r="CY255" s="63">
        <v>0</v>
      </c>
      <c r="CZ255" s="63">
        <v>0</v>
      </c>
      <c r="DA255" s="63">
        <v>-4000</v>
      </c>
      <c r="DB255" s="63">
        <v>0</v>
      </c>
      <c r="DC255" s="63">
        <v>-4000</v>
      </c>
      <c r="DD255" s="63">
        <v>-1681</v>
      </c>
      <c r="DE255" s="63">
        <v>0</v>
      </c>
      <c r="DF255" s="63">
        <v>-1681</v>
      </c>
      <c r="DG255" s="63">
        <v>-5681</v>
      </c>
      <c r="DH255" s="63">
        <v>0</v>
      </c>
      <c r="DI255" s="63">
        <v>0</v>
      </c>
      <c r="DJ255" s="63">
        <v>0</v>
      </c>
      <c r="DK255" s="63">
        <v>-5681</v>
      </c>
      <c r="DL255" s="63">
        <v>0</v>
      </c>
      <c r="DM255" s="63">
        <v>-5681</v>
      </c>
      <c r="DN255" s="63">
        <v>22885022</v>
      </c>
      <c r="DO255" s="63">
        <v>2778137</v>
      </c>
      <c r="DP255" s="63">
        <v>25663159</v>
      </c>
      <c r="DQ255" s="63"/>
      <c r="DR255" s="585" t="s">
        <v>768</v>
      </c>
    </row>
    <row r="256" spans="1:122" ht="12.75" x14ac:dyDescent="0.2">
      <c r="A256" s="90">
        <v>249</v>
      </c>
      <c r="B256" s="129" t="s">
        <v>354</v>
      </c>
      <c r="C256" s="130" t="s">
        <v>749</v>
      </c>
      <c r="D256" s="131" t="s">
        <v>755</v>
      </c>
      <c r="E256" s="132" t="s">
        <v>353</v>
      </c>
      <c r="F256" s="475" t="s">
        <v>808</v>
      </c>
      <c r="G256" s="63">
        <v>79991503</v>
      </c>
      <c r="H256" s="63">
        <v>0</v>
      </c>
      <c r="I256" s="63">
        <v>79991503</v>
      </c>
      <c r="J256" s="608">
        <v>48.4</v>
      </c>
      <c r="K256" s="63">
        <v>38715887</v>
      </c>
      <c r="L256" s="63">
        <v>0</v>
      </c>
      <c r="M256" s="63">
        <v>50000</v>
      </c>
      <c r="N256" s="63">
        <v>0</v>
      </c>
      <c r="O256" s="63">
        <v>38765887</v>
      </c>
      <c r="P256" s="63">
        <v>0</v>
      </c>
      <c r="Q256" s="63">
        <v>38765887</v>
      </c>
      <c r="R256" s="63">
        <v>0</v>
      </c>
      <c r="S256" s="63">
        <v>0</v>
      </c>
      <c r="T256" s="63">
        <v>0</v>
      </c>
      <c r="U256" s="63">
        <v>0</v>
      </c>
      <c r="V256" s="63">
        <v>0</v>
      </c>
      <c r="W256" s="63">
        <v>0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63">
        <v>0</v>
      </c>
      <c r="AF256" s="63">
        <v>0</v>
      </c>
      <c r="AG256" s="63">
        <v>0</v>
      </c>
      <c r="AH256" s="63">
        <v>-2830000</v>
      </c>
      <c r="AI256" s="63">
        <v>0</v>
      </c>
      <c r="AJ256" s="63">
        <v>-2830000</v>
      </c>
      <c r="AK256" s="63">
        <v>0</v>
      </c>
      <c r="AL256" s="63">
        <v>0</v>
      </c>
      <c r="AM256" s="63">
        <v>0</v>
      </c>
      <c r="AN256" s="63">
        <v>865000</v>
      </c>
      <c r="AO256" s="63">
        <v>0</v>
      </c>
      <c r="AP256" s="63">
        <v>865000</v>
      </c>
      <c r="AQ256" s="63">
        <v>-1965000</v>
      </c>
      <c r="AR256" s="63">
        <v>0</v>
      </c>
      <c r="AS256" s="63">
        <v>-1965000</v>
      </c>
      <c r="AT256" s="63">
        <v>-1970000</v>
      </c>
      <c r="AU256" s="63">
        <v>0</v>
      </c>
      <c r="AV256" s="63">
        <v>-1970000</v>
      </c>
      <c r="AW256" s="63">
        <v>-47800</v>
      </c>
      <c r="AX256" s="63">
        <v>0</v>
      </c>
      <c r="AY256" s="63">
        <v>-47800</v>
      </c>
      <c r="AZ256" s="63">
        <v>0</v>
      </c>
      <c r="BA256" s="63">
        <v>0</v>
      </c>
      <c r="BB256" s="63">
        <v>0</v>
      </c>
      <c r="BC256" s="63">
        <v>-3982800</v>
      </c>
      <c r="BD256" s="63">
        <v>0</v>
      </c>
      <c r="BE256" s="63">
        <v>0</v>
      </c>
      <c r="BF256" s="63">
        <v>0</v>
      </c>
      <c r="BG256" s="63">
        <v>-3982800</v>
      </c>
      <c r="BH256" s="63">
        <v>0</v>
      </c>
      <c r="BI256" s="63">
        <v>-3982800</v>
      </c>
      <c r="BJ256" s="63">
        <v>-55000</v>
      </c>
      <c r="BK256" s="63">
        <v>0</v>
      </c>
      <c r="BL256" s="63">
        <v>-55000</v>
      </c>
      <c r="BM256" s="63">
        <v>-1400000</v>
      </c>
      <c r="BN256" s="63">
        <v>0</v>
      </c>
      <c r="BO256" s="63">
        <v>-1400000</v>
      </c>
      <c r="BP256" s="63">
        <v>-1455000</v>
      </c>
      <c r="BQ256" s="63">
        <v>0</v>
      </c>
      <c r="BR256" s="63">
        <v>0</v>
      </c>
      <c r="BS256" s="63">
        <v>0</v>
      </c>
      <c r="BT256" s="63">
        <v>-1455000</v>
      </c>
      <c r="BU256" s="63">
        <v>0</v>
      </c>
      <c r="BV256" s="63">
        <v>-1455000</v>
      </c>
      <c r="BW256" s="63">
        <v>-60000</v>
      </c>
      <c r="BX256" s="63">
        <v>0</v>
      </c>
      <c r="BY256" s="63">
        <v>-60000</v>
      </c>
      <c r="BZ256" s="63">
        <v>-90000</v>
      </c>
      <c r="CA256" s="63">
        <v>0</v>
      </c>
      <c r="CB256" s="63">
        <v>-90000</v>
      </c>
      <c r="CC256" s="63">
        <v>0</v>
      </c>
      <c r="CD256" s="63">
        <v>0</v>
      </c>
      <c r="CE256" s="63">
        <v>0</v>
      </c>
      <c r="CF256" s="63">
        <v>0</v>
      </c>
      <c r="CG256" s="63">
        <v>0</v>
      </c>
      <c r="CH256" s="63">
        <v>0</v>
      </c>
      <c r="CI256" s="63">
        <v>0</v>
      </c>
      <c r="CJ256" s="63">
        <v>0</v>
      </c>
      <c r="CK256" s="63">
        <v>0</v>
      </c>
      <c r="CL256" s="63">
        <v>0</v>
      </c>
      <c r="CM256" s="63">
        <v>0</v>
      </c>
      <c r="CN256" s="63">
        <v>0</v>
      </c>
      <c r="CO256" s="63">
        <v>0</v>
      </c>
      <c r="CP256" s="63">
        <v>0</v>
      </c>
      <c r="CQ256" s="63">
        <v>-150000</v>
      </c>
      <c r="CR256" s="63">
        <v>0</v>
      </c>
      <c r="CS256" s="63">
        <v>0</v>
      </c>
      <c r="CT256" s="63">
        <v>0</v>
      </c>
      <c r="CU256" s="63">
        <v>-150000</v>
      </c>
      <c r="CV256" s="63">
        <v>0</v>
      </c>
      <c r="CW256" s="63">
        <v>-150000</v>
      </c>
      <c r="CX256" s="63">
        <v>0</v>
      </c>
      <c r="CY256" s="63">
        <v>0</v>
      </c>
      <c r="CZ256" s="63">
        <v>0</v>
      </c>
      <c r="DA256" s="63">
        <v>-52000</v>
      </c>
      <c r="DB256" s="63">
        <v>0</v>
      </c>
      <c r="DC256" s="63">
        <v>-52000</v>
      </c>
      <c r="DD256" s="63">
        <v>0</v>
      </c>
      <c r="DE256" s="63">
        <v>0</v>
      </c>
      <c r="DF256" s="63">
        <v>0</v>
      </c>
      <c r="DG256" s="63">
        <v>-52000</v>
      </c>
      <c r="DH256" s="63">
        <v>0</v>
      </c>
      <c r="DI256" s="63">
        <v>0</v>
      </c>
      <c r="DJ256" s="63">
        <v>0</v>
      </c>
      <c r="DK256" s="63">
        <v>-52000</v>
      </c>
      <c r="DL256" s="63">
        <v>0</v>
      </c>
      <c r="DM256" s="63">
        <v>-52000</v>
      </c>
      <c r="DN256" s="63">
        <v>33126087</v>
      </c>
      <c r="DO256" s="63">
        <v>0</v>
      </c>
      <c r="DP256" s="63">
        <v>33126087</v>
      </c>
      <c r="DQ256" s="63"/>
      <c r="DR256" s="586"/>
    </row>
    <row r="257" spans="1:122" x14ac:dyDescent="0.2">
      <c r="A257" s="90">
        <v>250</v>
      </c>
      <c r="B257" s="129" t="s">
        <v>355</v>
      </c>
      <c r="C257" s="130" t="s">
        <v>501</v>
      </c>
      <c r="D257" s="131" t="s">
        <v>743</v>
      </c>
      <c r="E257" s="132" t="s">
        <v>531</v>
      </c>
      <c r="F257" s="475" t="s">
        <v>808</v>
      </c>
      <c r="G257" s="63">
        <v>253780692</v>
      </c>
      <c r="H257" s="63">
        <v>0</v>
      </c>
      <c r="I257" s="63">
        <v>253780692</v>
      </c>
      <c r="J257" s="608">
        <v>48.4</v>
      </c>
      <c r="K257" s="63">
        <v>122829855</v>
      </c>
      <c r="L257" s="63">
        <v>0</v>
      </c>
      <c r="M257" s="63">
        <v>-2333000</v>
      </c>
      <c r="N257" s="63">
        <v>0</v>
      </c>
      <c r="O257" s="63">
        <v>120496855</v>
      </c>
      <c r="P257" s="63">
        <v>0</v>
      </c>
      <c r="Q257" s="63">
        <v>120496855</v>
      </c>
      <c r="R257" s="63">
        <v>0</v>
      </c>
      <c r="S257" s="63">
        <v>0</v>
      </c>
      <c r="T257" s="63">
        <v>0</v>
      </c>
      <c r="U257" s="63">
        <v>0</v>
      </c>
      <c r="V257" s="63">
        <v>0</v>
      </c>
      <c r="W257" s="63">
        <v>0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0</v>
      </c>
      <c r="AE257" s="63">
        <v>0</v>
      </c>
      <c r="AF257" s="63">
        <v>0</v>
      </c>
      <c r="AG257" s="63">
        <v>0</v>
      </c>
      <c r="AH257" s="63">
        <v>-3522505</v>
      </c>
      <c r="AI257" s="63">
        <v>0</v>
      </c>
      <c r="AJ257" s="63">
        <v>-3522505</v>
      </c>
      <c r="AK257" s="63">
        <v>-35139</v>
      </c>
      <c r="AL257" s="63">
        <v>0</v>
      </c>
      <c r="AM257" s="63">
        <v>-35139</v>
      </c>
      <c r="AN257" s="63">
        <v>2970703</v>
      </c>
      <c r="AO257" s="63">
        <v>0</v>
      </c>
      <c r="AP257" s="63">
        <v>2970703</v>
      </c>
      <c r="AQ257" s="63">
        <v>-551802</v>
      </c>
      <c r="AR257" s="63">
        <v>0</v>
      </c>
      <c r="AS257" s="63">
        <v>-551802</v>
      </c>
      <c r="AT257" s="63">
        <v>-9253488</v>
      </c>
      <c r="AU257" s="63">
        <v>0</v>
      </c>
      <c r="AV257" s="63">
        <v>-9253488</v>
      </c>
      <c r="AW257" s="63">
        <v>-52676</v>
      </c>
      <c r="AX257" s="63">
        <v>0</v>
      </c>
      <c r="AY257" s="63">
        <v>-52676</v>
      </c>
      <c r="AZ257" s="63">
        <v>0</v>
      </c>
      <c r="BA257" s="63">
        <v>0</v>
      </c>
      <c r="BB257" s="63">
        <v>0</v>
      </c>
      <c r="BC257" s="63">
        <v>-9857966</v>
      </c>
      <c r="BD257" s="63">
        <v>0</v>
      </c>
      <c r="BE257" s="63">
        <v>0</v>
      </c>
      <c r="BF257" s="63">
        <v>0</v>
      </c>
      <c r="BG257" s="63">
        <v>-9857966</v>
      </c>
      <c r="BH257" s="63">
        <v>0</v>
      </c>
      <c r="BI257" s="63">
        <v>-9857966</v>
      </c>
      <c r="BJ257" s="63">
        <v>-200000</v>
      </c>
      <c r="BK257" s="63">
        <v>0</v>
      </c>
      <c r="BL257" s="63">
        <v>-200000</v>
      </c>
      <c r="BM257" s="63">
        <v>-4060500</v>
      </c>
      <c r="BN257" s="63">
        <v>0</v>
      </c>
      <c r="BO257" s="63">
        <v>-4060500</v>
      </c>
      <c r="BP257" s="63">
        <v>-4260500</v>
      </c>
      <c r="BQ257" s="63">
        <v>0</v>
      </c>
      <c r="BR257" s="63">
        <v>0</v>
      </c>
      <c r="BS257" s="63">
        <v>0</v>
      </c>
      <c r="BT257" s="63">
        <v>-4260500</v>
      </c>
      <c r="BU257" s="63">
        <v>0</v>
      </c>
      <c r="BV257" s="63">
        <v>-4260500</v>
      </c>
      <c r="BW257" s="63">
        <v>0</v>
      </c>
      <c r="BX257" s="63">
        <v>0</v>
      </c>
      <c r="BY257" s="63">
        <v>0</v>
      </c>
      <c r="BZ257" s="63">
        <v>-102943</v>
      </c>
      <c r="CA257" s="63">
        <v>0</v>
      </c>
      <c r="CB257" s="63">
        <v>-102943</v>
      </c>
      <c r="CC257" s="63">
        <v>0</v>
      </c>
      <c r="CD257" s="63">
        <v>0</v>
      </c>
      <c r="CE257" s="63">
        <v>0</v>
      </c>
      <c r="CF257" s="63">
        <v>0</v>
      </c>
      <c r="CG257" s="63">
        <v>0</v>
      </c>
      <c r="CH257" s="63">
        <v>0</v>
      </c>
      <c r="CI257" s="63">
        <v>0</v>
      </c>
      <c r="CJ257" s="63">
        <v>0</v>
      </c>
      <c r="CK257" s="63">
        <v>0</v>
      </c>
      <c r="CL257" s="63">
        <v>-200000</v>
      </c>
      <c r="CM257" s="63">
        <v>0</v>
      </c>
      <c r="CN257" s="63">
        <v>-200000</v>
      </c>
      <c r="CO257" s="63">
        <v>0</v>
      </c>
      <c r="CP257" s="63">
        <v>0</v>
      </c>
      <c r="CQ257" s="63">
        <v>-302943</v>
      </c>
      <c r="CR257" s="63">
        <v>0</v>
      </c>
      <c r="CS257" s="63">
        <v>0</v>
      </c>
      <c r="CT257" s="63">
        <v>0</v>
      </c>
      <c r="CU257" s="63">
        <v>-302943</v>
      </c>
      <c r="CV257" s="63">
        <v>0</v>
      </c>
      <c r="CW257" s="63">
        <v>-302943</v>
      </c>
      <c r="CX257" s="63">
        <v>0</v>
      </c>
      <c r="CY257" s="63">
        <v>0</v>
      </c>
      <c r="CZ257" s="63">
        <v>0</v>
      </c>
      <c r="DA257" s="63">
        <v>-49185</v>
      </c>
      <c r="DB257" s="63">
        <v>0</v>
      </c>
      <c r="DC257" s="63">
        <v>-49185</v>
      </c>
      <c r="DD257" s="63">
        <v>-10000</v>
      </c>
      <c r="DE257" s="63">
        <v>0</v>
      </c>
      <c r="DF257" s="63">
        <v>-10000</v>
      </c>
      <c r="DG257" s="63">
        <v>-59185</v>
      </c>
      <c r="DH257" s="63">
        <v>0</v>
      </c>
      <c r="DI257" s="63">
        <v>0</v>
      </c>
      <c r="DJ257" s="63">
        <v>0</v>
      </c>
      <c r="DK257" s="63">
        <v>-59185</v>
      </c>
      <c r="DL257" s="63">
        <v>0</v>
      </c>
      <c r="DM257" s="63">
        <v>-59185</v>
      </c>
      <c r="DN257" s="63">
        <v>106016261</v>
      </c>
      <c r="DO257" s="63">
        <v>0</v>
      </c>
      <c r="DP257" s="63">
        <v>106016261</v>
      </c>
      <c r="DQ257" s="63"/>
      <c r="DR257" s="585"/>
    </row>
    <row r="258" spans="1:122" x14ac:dyDescent="0.2">
      <c r="A258" s="90">
        <v>251</v>
      </c>
      <c r="B258" s="129" t="s">
        <v>356</v>
      </c>
      <c r="C258" s="130" t="s">
        <v>501</v>
      </c>
      <c r="D258" s="131" t="s">
        <v>746</v>
      </c>
      <c r="E258" s="132" t="s">
        <v>528</v>
      </c>
      <c r="F258" s="475" t="s">
        <v>808</v>
      </c>
      <c r="G258" s="63">
        <v>120735240</v>
      </c>
      <c r="H258" s="63">
        <v>0</v>
      </c>
      <c r="I258" s="63">
        <v>120735240</v>
      </c>
      <c r="J258" s="608">
        <v>48.4</v>
      </c>
      <c r="K258" s="63">
        <v>58435856</v>
      </c>
      <c r="L258" s="63">
        <v>0</v>
      </c>
      <c r="M258" s="63">
        <v>0</v>
      </c>
      <c r="N258" s="63">
        <v>0</v>
      </c>
      <c r="O258" s="63">
        <v>58435856</v>
      </c>
      <c r="P258" s="63">
        <v>0</v>
      </c>
      <c r="Q258" s="63">
        <v>58435856</v>
      </c>
      <c r="R258" s="63">
        <v>0</v>
      </c>
      <c r="S258" s="63">
        <v>0</v>
      </c>
      <c r="T258" s="63">
        <v>0</v>
      </c>
      <c r="U258" s="63">
        <v>0</v>
      </c>
      <c r="V258" s="63">
        <v>0</v>
      </c>
      <c r="W258" s="63">
        <v>0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63">
        <v>0</v>
      </c>
      <c r="AF258" s="63">
        <v>0</v>
      </c>
      <c r="AG258" s="63">
        <v>0</v>
      </c>
      <c r="AH258" s="63">
        <v>-4913039</v>
      </c>
      <c r="AI258" s="63">
        <v>0</v>
      </c>
      <c r="AJ258" s="63">
        <v>-4913039</v>
      </c>
      <c r="AK258" s="63">
        <v>-10162</v>
      </c>
      <c r="AL258" s="63">
        <v>0</v>
      </c>
      <c r="AM258" s="63">
        <v>-10162</v>
      </c>
      <c r="AN258" s="63">
        <v>1246688</v>
      </c>
      <c r="AO258" s="63">
        <v>0</v>
      </c>
      <c r="AP258" s="63">
        <v>1246688</v>
      </c>
      <c r="AQ258" s="63">
        <v>-3666351</v>
      </c>
      <c r="AR258" s="63">
        <v>0</v>
      </c>
      <c r="AS258" s="63">
        <v>-3666351</v>
      </c>
      <c r="AT258" s="63">
        <v>-4214906</v>
      </c>
      <c r="AU258" s="63">
        <v>0</v>
      </c>
      <c r="AV258" s="63">
        <v>-4214906</v>
      </c>
      <c r="AW258" s="63">
        <v>-57789</v>
      </c>
      <c r="AX258" s="63">
        <v>0</v>
      </c>
      <c r="AY258" s="63">
        <v>-57789</v>
      </c>
      <c r="AZ258" s="63">
        <v>0</v>
      </c>
      <c r="BA258" s="63">
        <v>0</v>
      </c>
      <c r="BB258" s="63">
        <v>0</v>
      </c>
      <c r="BC258" s="63">
        <v>-7939046</v>
      </c>
      <c r="BD258" s="63">
        <v>0</v>
      </c>
      <c r="BE258" s="63">
        <v>0</v>
      </c>
      <c r="BF258" s="63">
        <v>0</v>
      </c>
      <c r="BG258" s="63">
        <v>-7939046</v>
      </c>
      <c r="BH258" s="63">
        <v>0</v>
      </c>
      <c r="BI258" s="63">
        <v>-7939046</v>
      </c>
      <c r="BJ258" s="63">
        <v>-20000</v>
      </c>
      <c r="BK258" s="63">
        <v>0</v>
      </c>
      <c r="BL258" s="63">
        <v>-20000</v>
      </c>
      <c r="BM258" s="63">
        <v>-1250000</v>
      </c>
      <c r="BN258" s="63">
        <v>0</v>
      </c>
      <c r="BO258" s="63">
        <v>-1250000</v>
      </c>
      <c r="BP258" s="63">
        <v>-1270000</v>
      </c>
      <c r="BQ258" s="63">
        <v>0</v>
      </c>
      <c r="BR258" s="63">
        <v>-100000</v>
      </c>
      <c r="BS258" s="63">
        <v>0</v>
      </c>
      <c r="BT258" s="63">
        <v>-1370000</v>
      </c>
      <c r="BU258" s="63">
        <v>0</v>
      </c>
      <c r="BV258" s="63">
        <v>-1370000</v>
      </c>
      <c r="BW258" s="63">
        <v>-99390</v>
      </c>
      <c r="BX258" s="63">
        <v>0</v>
      </c>
      <c r="BY258" s="63">
        <v>-99390</v>
      </c>
      <c r="BZ258" s="63">
        <v>-8238</v>
      </c>
      <c r="CA258" s="63">
        <v>0</v>
      </c>
      <c r="CB258" s="63">
        <v>-8238</v>
      </c>
      <c r="CC258" s="63">
        <v>-3827</v>
      </c>
      <c r="CD258" s="63">
        <v>0</v>
      </c>
      <c r="CE258" s="63">
        <v>-3827</v>
      </c>
      <c r="CF258" s="63">
        <v>0</v>
      </c>
      <c r="CG258" s="63">
        <v>0</v>
      </c>
      <c r="CH258" s="63">
        <v>0</v>
      </c>
      <c r="CI258" s="63">
        <v>0</v>
      </c>
      <c r="CJ258" s="63">
        <v>0</v>
      </c>
      <c r="CK258" s="63">
        <v>0</v>
      </c>
      <c r="CL258" s="63">
        <v>0</v>
      </c>
      <c r="CM258" s="63">
        <v>0</v>
      </c>
      <c r="CN258" s="63">
        <v>0</v>
      </c>
      <c r="CO258" s="63">
        <v>0</v>
      </c>
      <c r="CP258" s="63">
        <v>0</v>
      </c>
      <c r="CQ258" s="63">
        <v>-111455</v>
      </c>
      <c r="CR258" s="63">
        <v>0</v>
      </c>
      <c r="CS258" s="63">
        <v>0</v>
      </c>
      <c r="CT258" s="63">
        <v>0</v>
      </c>
      <c r="CU258" s="63">
        <v>-111455</v>
      </c>
      <c r="CV258" s="63">
        <v>0</v>
      </c>
      <c r="CW258" s="63">
        <v>-111455</v>
      </c>
      <c r="CX258" s="63">
        <v>0</v>
      </c>
      <c r="CY258" s="63">
        <v>0</v>
      </c>
      <c r="CZ258" s="63">
        <v>0</v>
      </c>
      <c r="DA258" s="63">
        <v>-20000</v>
      </c>
      <c r="DB258" s="63">
        <v>0</v>
      </c>
      <c r="DC258" s="63">
        <v>-20000</v>
      </c>
      <c r="DD258" s="63">
        <v>-3513</v>
      </c>
      <c r="DE258" s="63">
        <v>0</v>
      </c>
      <c r="DF258" s="63">
        <v>-3513</v>
      </c>
      <c r="DG258" s="63">
        <v>-23513</v>
      </c>
      <c r="DH258" s="63">
        <v>0</v>
      </c>
      <c r="DI258" s="63">
        <v>0</v>
      </c>
      <c r="DJ258" s="63">
        <v>0</v>
      </c>
      <c r="DK258" s="63">
        <v>-23513</v>
      </c>
      <c r="DL258" s="63">
        <v>0</v>
      </c>
      <c r="DM258" s="63">
        <v>-23513</v>
      </c>
      <c r="DN258" s="63">
        <v>48991842</v>
      </c>
      <c r="DO258" s="63">
        <v>0</v>
      </c>
      <c r="DP258" s="63">
        <v>48991842</v>
      </c>
      <c r="DQ258" s="63"/>
      <c r="DR258" s="585"/>
    </row>
    <row r="259" spans="1:122" x14ac:dyDescent="0.2">
      <c r="A259" s="90">
        <v>252</v>
      </c>
      <c r="B259" s="129" t="s">
        <v>358</v>
      </c>
      <c r="C259" s="130" t="s">
        <v>754</v>
      </c>
      <c r="D259" s="131" t="s">
        <v>748</v>
      </c>
      <c r="E259" s="132" t="s">
        <v>357</v>
      </c>
      <c r="F259" s="475" t="s">
        <v>808</v>
      </c>
      <c r="G259" s="63">
        <v>538465013</v>
      </c>
      <c r="H259" s="63">
        <v>0</v>
      </c>
      <c r="I259" s="63">
        <v>538465013</v>
      </c>
      <c r="J259" s="608">
        <v>48.4</v>
      </c>
      <c r="K259" s="63">
        <v>260617066</v>
      </c>
      <c r="L259" s="63">
        <v>0</v>
      </c>
      <c r="M259" s="63">
        <v>11987868</v>
      </c>
      <c r="N259" s="63">
        <v>0</v>
      </c>
      <c r="O259" s="63">
        <v>272604934</v>
      </c>
      <c r="P259" s="63">
        <v>0</v>
      </c>
      <c r="Q259" s="63">
        <v>272604934</v>
      </c>
      <c r="R259" s="63">
        <v>0</v>
      </c>
      <c r="S259" s="63">
        <v>0</v>
      </c>
      <c r="T259" s="63">
        <v>0</v>
      </c>
      <c r="U259" s="63">
        <v>0</v>
      </c>
      <c r="V259" s="63">
        <v>0</v>
      </c>
      <c r="W259" s="63">
        <v>0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0</v>
      </c>
      <c r="AE259" s="63">
        <v>0</v>
      </c>
      <c r="AF259" s="63">
        <v>0</v>
      </c>
      <c r="AG259" s="63">
        <v>0</v>
      </c>
      <c r="AH259" s="63">
        <v>-5700488</v>
      </c>
      <c r="AI259" s="63">
        <v>0</v>
      </c>
      <c r="AJ259" s="63">
        <v>-5700488</v>
      </c>
      <c r="AK259" s="63">
        <v>-4733</v>
      </c>
      <c r="AL259" s="63">
        <v>0</v>
      </c>
      <c r="AM259" s="63">
        <v>-4733</v>
      </c>
      <c r="AN259" s="63">
        <v>6239304</v>
      </c>
      <c r="AO259" s="63">
        <v>0</v>
      </c>
      <c r="AP259" s="63">
        <v>6239304</v>
      </c>
      <c r="AQ259" s="63">
        <v>538816</v>
      </c>
      <c r="AR259" s="63">
        <v>0</v>
      </c>
      <c r="AS259" s="63">
        <v>538816</v>
      </c>
      <c r="AT259" s="63">
        <v>-24194649</v>
      </c>
      <c r="AU259" s="63">
        <v>0</v>
      </c>
      <c r="AV259" s="63">
        <v>-24194649</v>
      </c>
      <c r="AW259" s="63">
        <v>-46181</v>
      </c>
      <c r="AX259" s="63">
        <v>0</v>
      </c>
      <c r="AY259" s="63">
        <v>-46181</v>
      </c>
      <c r="AZ259" s="63">
        <v>0</v>
      </c>
      <c r="BA259" s="63">
        <v>0</v>
      </c>
      <c r="BB259" s="63">
        <v>0</v>
      </c>
      <c r="BC259" s="63">
        <v>-23702014</v>
      </c>
      <c r="BD259" s="63">
        <v>0</v>
      </c>
      <c r="BE259" s="63">
        <v>-1000000</v>
      </c>
      <c r="BF259" s="63">
        <v>0</v>
      </c>
      <c r="BG259" s="63">
        <v>-24702014</v>
      </c>
      <c r="BH259" s="63">
        <v>0</v>
      </c>
      <c r="BI259" s="63">
        <v>-24702014</v>
      </c>
      <c r="BJ259" s="63">
        <v>0</v>
      </c>
      <c r="BK259" s="63">
        <v>0</v>
      </c>
      <c r="BL259" s="63">
        <v>0</v>
      </c>
      <c r="BM259" s="63">
        <v>-5569646</v>
      </c>
      <c r="BN259" s="63">
        <v>0</v>
      </c>
      <c r="BO259" s="63">
        <v>-5569646</v>
      </c>
      <c r="BP259" s="63">
        <v>-5569646</v>
      </c>
      <c r="BQ259" s="63">
        <v>0</v>
      </c>
      <c r="BR259" s="63">
        <v>-2000000</v>
      </c>
      <c r="BS259" s="63">
        <v>0</v>
      </c>
      <c r="BT259" s="63">
        <v>-7569646</v>
      </c>
      <c r="BU259" s="63">
        <v>0</v>
      </c>
      <c r="BV259" s="63">
        <v>-7569646</v>
      </c>
      <c r="BW259" s="63">
        <v>-313152</v>
      </c>
      <c r="BX259" s="63">
        <v>0</v>
      </c>
      <c r="BY259" s="63">
        <v>-313152</v>
      </c>
      <c r="BZ259" s="63">
        <v>-13452</v>
      </c>
      <c r="CA259" s="63">
        <v>0</v>
      </c>
      <c r="CB259" s="63">
        <v>-13452</v>
      </c>
      <c r="CC259" s="63">
        <v>0</v>
      </c>
      <c r="CD259" s="63">
        <v>0</v>
      </c>
      <c r="CE259" s="63">
        <v>0</v>
      </c>
      <c r="CF259" s="63">
        <v>0</v>
      </c>
      <c r="CG259" s="63">
        <v>0</v>
      </c>
      <c r="CH259" s="63">
        <v>0</v>
      </c>
      <c r="CI259" s="63">
        <v>0</v>
      </c>
      <c r="CJ259" s="63">
        <v>0</v>
      </c>
      <c r="CK259" s="63">
        <v>0</v>
      </c>
      <c r="CL259" s="63">
        <v>0</v>
      </c>
      <c r="CM259" s="63">
        <v>0</v>
      </c>
      <c r="CN259" s="63">
        <v>0</v>
      </c>
      <c r="CO259" s="63">
        <v>0</v>
      </c>
      <c r="CP259" s="63">
        <v>0</v>
      </c>
      <c r="CQ259" s="63">
        <v>-326604</v>
      </c>
      <c r="CR259" s="63">
        <v>0</v>
      </c>
      <c r="CS259" s="63">
        <v>0</v>
      </c>
      <c r="CT259" s="63">
        <v>0</v>
      </c>
      <c r="CU259" s="63">
        <v>-326604</v>
      </c>
      <c r="CV259" s="63">
        <v>0</v>
      </c>
      <c r="CW259" s="63">
        <v>-326604</v>
      </c>
      <c r="CX259" s="63">
        <v>0</v>
      </c>
      <c r="CY259" s="63">
        <v>0</v>
      </c>
      <c r="CZ259" s="63">
        <v>0</v>
      </c>
      <c r="DA259" s="63">
        <v>0</v>
      </c>
      <c r="DB259" s="63">
        <v>0</v>
      </c>
      <c r="DC259" s="63">
        <v>0</v>
      </c>
      <c r="DD259" s="63">
        <v>0</v>
      </c>
      <c r="DE259" s="63">
        <v>0</v>
      </c>
      <c r="DF259" s="63">
        <v>0</v>
      </c>
      <c r="DG259" s="63">
        <v>0</v>
      </c>
      <c r="DH259" s="63">
        <v>0</v>
      </c>
      <c r="DI259" s="63">
        <v>0</v>
      </c>
      <c r="DJ259" s="63">
        <v>0</v>
      </c>
      <c r="DK259" s="63">
        <v>0</v>
      </c>
      <c r="DL259" s="63">
        <v>0</v>
      </c>
      <c r="DM259" s="63">
        <v>0</v>
      </c>
      <c r="DN259" s="63">
        <v>240006670</v>
      </c>
      <c r="DO259" s="63">
        <v>0</v>
      </c>
      <c r="DP259" s="63">
        <v>240006670</v>
      </c>
      <c r="DQ259" s="63"/>
      <c r="DR259" s="585"/>
    </row>
    <row r="260" spans="1:122" x14ac:dyDescent="0.2">
      <c r="A260" s="90">
        <v>253</v>
      </c>
      <c r="B260" s="129" t="s">
        <v>360</v>
      </c>
      <c r="C260" s="130" t="s">
        <v>742</v>
      </c>
      <c r="D260" s="131" t="s">
        <v>743</v>
      </c>
      <c r="E260" s="132" t="s">
        <v>359</v>
      </c>
      <c r="F260" s="475" t="s">
        <v>808</v>
      </c>
      <c r="G260" s="63">
        <v>100287448</v>
      </c>
      <c r="H260" s="63">
        <v>0</v>
      </c>
      <c r="I260" s="63">
        <v>100287448</v>
      </c>
      <c r="J260" s="608">
        <v>48.4</v>
      </c>
      <c r="K260" s="63">
        <v>48539125</v>
      </c>
      <c r="L260" s="63">
        <v>0</v>
      </c>
      <c r="M260" s="63">
        <v>600000</v>
      </c>
      <c r="N260" s="63">
        <v>0</v>
      </c>
      <c r="O260" s="63">
        <v>49139125</v>
      </c>
      <c r="P260" s="63">
        <v>0</v>
      </c>
      <c r="Q260" s="63">
        <v>49139125</v>
      </c>
      <c r="R260" s="63">
        <v>0</v>
      </c>
      <c r="S260" s="63">
        <v>0</v>
      </c>
      <c r="T260" s="63">
        <v>0</v>
      </c>
      <c r="U260" s="63">
        <v>0</v>
      </c>
      <c r="V260" s="63">
        <v>0</v>
      </c>
      <c r="W260" s="63">
        <v>0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63">
        <v>0</v>
      </c>
      <c r="AF260" s="63">
        <v>0</v>
      </c>
      <c r="AG260" s="63">
        <v>0</v>
      </c>
      <c r="AH260" s="63">
        <v>-1262088</v>
      </c>
      <c r="AI260" s="63">
        <v>0</v>
      </c>
      <c r="AJ260" s="63">
        <v>-1262088</v>
      </c>
      <c r="AK260" s="63">
        <v>0</v>
      </c>
      <c r="AL260" s="63">
        <v>0</v>
      </c>
      <c r="AM260" s="63">
        <v>0</v>
      </c>
      <c r="AN260" s="63">
        <v>1183887</v>
      </c>
      <c r="AO260" s="63">
        <v>0</v>
      </c>
      <c r="AP260" s="63">
        <v>1183887</v>
      </c>
      <c r="AQ260" s="63">
        <v>-78201</v>
      </c>
      <c r="AR260" s="63">
        <v>0</v>
      </c>
      <c r="AS260" s="63">
        <v>-78201</v>
      </c>
      <c r="AT260" s="63">
        <v>-1981489</v>
      </c>
      <c r="AU260" s="63">
        <v>0</v>
      </c>
      <c r="AV260" s="63">
        <v>-1981489</v>
      </c>
      <c r="AW260" s="63">
        <v>-27236</v>
      </c>
      <c r="AX260" s="63">
        <v>0</v>
      </c>
      <c r="AY260" s="63">
        <v>-27236</v>
      </c>
      <c r="AZ260" s="63">
        <v>0</v>
      </c>
      <c r="BA260" s="63">
        <v>0</v>
      </c>
      <c r="BB260" s="63">
        <v>0</v>
      </c>
      <c r="BC260" s="63">
        <v>-2086926</v>
      </c>
      <c r="BD260" s="63">
        <v>0</v>
      </c>
      <c r="BE260" s="63">
        <v>0</v>
      </c>
      <c r="BF260" s="63">
        <v>0</v>
      </c>
      <c r="BG260" s="63">
        <v>-2086926</v>
      </c>
      <c r="BH260" s="63">
        <v>0</v>
      </c>
      <c r="BI260" s="63">
        <v>-2086926</v>
      </c>
      <c r="BJ260" s="63">
        <v>0</v>
      </c>
      <c r="BK260" s="63">
        <v>0</v>
      </c>
      <c r="BL260" s="63">
        <v>0</v>
      </c>
      <c r="BM260" s="63">
        <v>-553291</v>
      </c>
      <c r="BN260" s="63">
        <v>0</v>
      </c>
      <c r="BO260" s="63">
        <v>-553291</v>
      </c>
      <c r="BP260" s="63">
        <v>-553291</v>
      </c>
      <c r="BQ260" s="63">
        <v>0</v>
      </c>
      <c r="BR260" s="63">
        <v>0</v>
      </c>
      <c r="BS260" s="63">
        <v>0</v>
      </c>
      <c r="BT260" s="63">
        <v>-553291</v>
      </c>
      <c r="BU260" s="63">
        <v>0</v>
      </c>
      <c r="BV260" s="63">
        <v>-553291</v>
      </c>
      <c r="BW260" s="63">
        <v>-53389</v>
      </c>
      <c r="BX260" s="63">
        <v>0</v>
      </c>
      <c r="BY260" s="63">
        <v>-53389</v>
      </c>
      <c r="BZ260" s="63">
        <v>-46188</v>
      </c>
      <c r="CA260" s="63">
        <v>0</v>
      </c>
      <c r="CB260" s="63">
        <v>-46188</v>
      </c>
      <c r="CC260" s="63">
        <v>-6810</v>
      </c>
      <c r="CD260" s="63">
        <v>0</v>
      </c>
      <c r="CE260" s="63">
        <v>-6810</v>
      </c>
      <c r="CF260" s="63">
        <v>0</v>
      </c>
      <c r="CG260" s="63">
        <v>0</v>
      </c>
      <c r="CH260" s="63">
        <v>0</v>
      </c>
      <c r="CI260" s="63">
        <v>0</v>
      </c>
      <c r="CJ260" s="63">
        <v>0</v>
      </c>
      <c r="CK260" s="63">
        <v>0</v>
      </c>
      <c r="CL260" s="63">
        <v>0</v>
      </c>
      <c r="CM260" s="63">
        <v>0</v>
      </c>
      <c r="CN260" s="63">
        <v>0</v>
      </c>
      <c r="CO260" s="63">
        <v>0</v>
      </c>
      <c r="CP260" s="63">
        <v>0</v>
      </c>
      <c r="CQ260" s="63">
        <v>-106387</v>
      </c>
      <c r="CR260" s="63">
        <v>0</v>
      </c>
      <c r="CS260" s="63">
        <v>0</v>
      </c>
      <c r="CT260" s="63">
        <v>0</v>
      </c>
      <c r="CU260" s="63">
        <v>-106387</v>
      </c>
      <c r="CV260" s="63">
        <v>0</v>
      </c>
      <c r="CW260" s="63">
        <v>-106387</v>
      </c>
      <c r="CX260" s="63">
        <v>0</v>
      </c>
      <c r="CY260" s="63">
        <v>0</v>
      </c>
      <c r="CZ260" s="63">
        <v>0</v>
      </c>
      <c r="DA260" s="63">
        <v>0</v>
      </c>
      <c r="DB260" s="63">
        <v>0</v>
      </c>
      <c r="DC260" s="63">
        <v>0</v>
      </c>
      <c r="DD260" s="63">
        <v>-22</v>
      </c>
      <c r="DE260" s="63">
        <v>0</v>
      </c>
      <c r="DF260" s="63">
        <v>-22</v>
      </c>
      <c r="DG260" s="63">
        <v>-22</v>
      </c>
      <c r="DH260" s="63">
        <v>0</v>
      </c>
      <c r="DI260" s="63">
        <v>0</v>
      </c>
      <c r="DJ260" s="63">
        <v>0</v>
      </c>
      <c r="DK260" s="63">
        <v>-22</v>
      </c>
      <c r="DL260" s="63">
        <v>0</v>
      </c>
      <c r="DM260" s="63">
        <v>-22</v>
      </c>
      <c r="DN260" s="63">
        <v>46392499</v>
      </c>
      <c r="DO260" s="63">
        <v>0</v>
      </c>
      <c r="DP260" s="63">
        <v>46392499</v>
      </c>
      <c r="DQ260" s="63"/>
      <c r="DR260" s="585"/>
    </row>
    <row r="261" spans="1:122" x14ac:dyDescent="0.2">
      <c r="A261" s="90">
        <v>254</v>
      </c>
      <c r="B261" s="129" t="s">
        <v>362</v>
      </c>
      <c r="C261" s="130" t="s">
        <v>742</v>
      </c>
      <c r="D261" s="131" t="s">
        <v>746</v>
      </c>
      <c r="E261" s="132" t="s">
        <v>361</v>
      </c>
      <c r="F261" s="475" t="s">
        <v>808</v>
      </c>
      <c r="G261" s="63">
        <v>153955785</v>
      </c>
      <c r="H261" s="63">
        <v>0</v>
      </c>
      <c r="I261" s="63">
        <v>153955785</v>
      </c>
      <c r="J261" s="608">
        <v>48.4</v>
      </c>
      <c r="K261" s="63">
        <v>74514600</v>
      </c>
      <c r="L261" s="63">
        <v>0</v>
      </c>
      <c r="M261" s="63">
        <v>-791000</v>
      </c>
      <c r="N261" s="63">
        <v>0</v>
      </c>
      <c r="O261" s="63">
        <v>73723600</v>
      </c>
      <c r="P261" s="63">
        <v>0</v>
      </c>
      <c r="Q261" s="63">
        <v>73723600</v>
      </c>
      <c r="R261" s="63">
        <v>0</v>
      </c>
      <c r="S261" s="63">
        <v>0</v>
      </c>
      <c r="T261" s="63">
        <v>0</v>
      </c>
      <c r="U261" s="63">
        <v>0</v>
      </c>
      <c r="V261" s="63">
        <v>0</v>
      </c>
      <c r="W261" s="63">
        <v>0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63">
        <v>0</v>
      </c>
      <c r="AF261" s="63">
        <v>0</v>
      </c>
      <c r="AG261" s="63">
        <v>0</v>
      </c>
      <c r="AH261" s="63">
        <v>-1676602</v>
      </c>
      <c r="AI261" s="63">
        <v>0</v>
      </c>
      <c r="AJ261" s="63">
        <v>-1676602</v>
      </c>
      <c r="AK261" s="63">
        <v>0</v>
      </c>
      <c r="AL261" s="63">
        <v>0</v>
      </c>
      <c r="AM261" s="63">
        <v>0</v>
      </c>
      <c r="AN261" s="63">
        <v>1795970</v>
      </c>
      <c r="AO261" s="63">
        <v>0</v>
      </c>
      <c r="AP261" s="63">
        <v>1795970</v>
      </c>
      <c r="AQ261" s="63">
        <v>119368</v>
      </c>
      <c r="AR261" s="63">
        <v>0</v>
      </c>
      <c r="AS261" s="63">
        <v>119368</v>
      </c>
      <c r="AT261" s="63">
        <v>-5395859</v>
      </c>
      <c r="AU261" s="63">
        <v>0</v>
      </c>
      <c r="AV261" s="63">
        <v>-5395859</v>
      </c>
      <c r="AW261" s="63">
        <v>-140082</v>
      </c>
      <c r="AX261" s="63">
        <v>0</v>
      </c>
      <c r="AY261" s="63">
        <v>-140082</v>
      </c>
      <c r="AZ261" s="63">
        <v>0</v>
      </c>
      <c r="BA261" s="63">
        <v>0</v>
      </c>
      <c r="BB261" s="63">
        <v>0</v>
      </c>
      <c r="BC261" s="63">
        <v>-5416573</v>
      </c>
      <c r="BD261" s="63">
        <v>0</v>
      </c>
      <c r="BE261" s="63">
        <v>0</v>
      </c>
      <c r="BF261" s="63">
        <v>0</v>
      </c>
      <c r="BG261" s="63">
        <v>-5416573</v>
      </c>
      <c r="BH261" s="63">
        <v>0</v>
      </c>
      <c r="BI261" s="63">
        <v>-5416573</v>
      </c>
      <c r="BJ261" s="63">
        <v>-133733</v>
      </c>
      <c r="BK261" s="63">
        <v>0</v>
      </c>
      <c r="BL261" s="63">
        <v>-133733</v>
      </c>
      <c r="BM261" s="63">
        <v>-1918526</v>
      </c>
      <c r="BN261" s="63">
        <v>0</v>
      </c>
      <c r="BO261" s="63">
        <v>-1918526</v>
      </c>
      <c r="BP261" s="63">
        <v>-2052259</v>
      </c>
      <c r="BQ261" s="63">
        <v>0</v>
      </c>
      <c r="BR261" s="63">
        <v>0</v>
      </c>
      <c r="BS261" s="63">
        <v>0</v>
      </c>
      <c r="BT261" s="63">
        <v>-2052259</v>
      </c>
      <c r="BU261" s="63">
        <v>0</v>
      </c>
      <c r="BV261" s="63">
        <v>-2052259</v>
      </c>
      <c r="BW261" s="63">
        <v>-200036</v>
      </c>
      <c r="BX261" s="63">
        <v>0</v>
      </c>
      <c r="BY261" s="63">
        <v>-200036</v>
      </c>
      <c r="BZ261" s="63">
        <v>-22171</v>
      </c>
      <c r="CA261" s="63">
        <v>0</v>
      </c>
      <c r="CB261" s="63">
        <v>-22171</v>
      </c>
      <c r="CC261" s="63">
        <v>-1157</v>
      </c>
      <c r="CD261" s="63">
        <v>0</v>
      </c>
      <c r="CE261" s="63">
        <v>-1157</v>
      </c>
      <c r="CF261" s="63">
        <v>0</v>
      </c>
      <c r="CG261" s="63">
        <v>0</v>
      </c>
      <c r="CH261" s="63">
        <v>0</v>
      </c>
      <c r="CI261" s="63">
        <v>0</v>
      </c>
      <c r="CJ261" s="63">
        <v>0</v>
      </c>
      <c r="CK261" s="63">
        <v>0</v>
      </c>
      <c r="CL261" s="63">
        <v>0</v>
      </c>
      <c r="CM261" s="63">
        <v>0</v>
      </c>
      <c r="CN261" s="63">
        <v>0</v>
      </c>
      <c r="CO261" s="63">
        <v>0</v>
      </c>
      <c r="CP261" s="63">
        <v>0</v>
      </c>
      <c r="CQ261" s="63">
        <v>-223364</v>
      </c>
      <c r="CR261" s="63">
        <v>0</v>
      </c>
      <c r="CS261" s="63">
        <v>0</v>
      </c>
      <c r="CT261" s="63">
        <v>0</v>
      </c>
      <c r="CU261" s="63">
        <v>-223364</v>
      </c>
      <c r="CV261" s="63">
        <v>0</v>
      </c>
      <c r="CW261" s="63">
        <v>-223364</v>
      </c>
      <c r="CX261" s="63">
        <v>0</v>
      </c>
      <c r="CY261" s="63">
        <v>0</v>
      </c>
      <c r="CZ261" s="63">
        <v>0</v>
      </c>
      <c r="DA261" s="63">
        <v>-7175</v>
      </c>
      <c r="DB261" s="63">
        <v>0</v>
      </c>
      <c r="DC261" s="63">
        <v>-7175</v>
      </c>
      <c r="DD261" s="63">
        <v>-5467</v>
      </c>
      <c r="DE261" s="63">
        <v>0</v>
      </c>
      <c r="DF261" s="63">
        <v>-5467</v>
      </c>
      <c r="DG261" s="63">
        <v>-12642</v>
      </c>
      <c r="DH261" s="63">
        <v>0</v>
      </c>
      <c r="DI261" s="63">
        <v>0</v>
      </c>
      <c r="DJ261" s="63">
        <v>0</v>
      </c>
      <c r="DK261" s="63">
        <v>-12642</v>
      </c>
      <c r="DL261" s="63">
        <v>0</v>
      </c>
      <c r="DM261" s="63">
        <v>-12642</v>
      </c>
      <c r="DN261" s="63">
        <v>66018762</v>
      </c>
      <c r="DO261" s="63">
        <v>0</v>
      </c>
      <c r="DP261" s="63">
        <v>66018762</v>
      </c>
      <c r="DQ261" s="63"/>
      <c r="DR261" s="585"/>
    </row>
    <row r="262" spans="1:122" x14ac:dyDescent="0.2">
      <c r="A262" s="90">
        <v>255</v>
      </c>
      <c r="B262" s="129" t="s">
        <v>364</v>
      </c>
      <c r="C262" s="130" t="s">
        <v>742</v>
      </c>
      <c r="D262" s="131" t="s">
        <v>746</v>
      </c>
      <c r="E262" s="132" t="s">
        <v>363</v>
      </c>
      <c r="F262" s="475" t="s">
        <v>808</v>
      </c>
      <c r="G262" s="63">
        <v>111390501</v>
      </c>
      <c r="H262" s="63">
        <v>0</v>
      </c>
      <c r="I262" s="63">
        <v>111390501</v>
      </c>
      <c r="J262" s="608">
        <v>48.4</v>
      </c>
      <c r="K262" s="63">
        <v>53913002</v>
      </c>
      <c r="L262" s="63">
        <v>0</v>
      </c>
      <c r="M262" s="63">
        <v>0</v>
      </c>
      <c r="N262" s="63">
        <v>0</v>
      </c>
      <c r="O262" s="63">
        <v>53913002</v>
      </c>
      <c r="P262" s="63">
        <v>0</v>
      </c>
      <c r="Q262" s="63">
        <v>53913002</v>
      </c>
      <c r="R262" s="63">
        <v>0</v>
      </c>
      <c r="S262" s="63">
        <v>0</v>
      </c>
      <c r="T262" s="63">
        <v>0</v>
      </c>
      <c r="U262" s="63">
        <v>0</v>
      </c>
      <c r="V262" s="63">
        <v>0</v>
      </c>
      <c r="W262" s="63">
        <v>0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0</v>
      </c>
      <c r="AE262" s="63">
        <v>0</v>
      </c>
      <c r="AF262" s="63">
        <v>0</v>
      </c>
      <c r="AG262" s="63">
        <v>0</v>
      </c>
      <c r="AH262" s="63">
        <v>-2100261</v>
      </c>
      <c r="AI262" s="63">
        <v>0</v>
      </c>
      <c r="AJ262" s="63">
        <v>-2100261</v>
      </c>
      <c r="AK262" s="63">
        <v>-8482</v>
      </c>
      <c r="AL262" s="63">
        <v>0</v>
      </c>
      <c r="AM262" s="63">
        <v>-8482</v>
      </c>
      <c r="AN262" s="63">
        <v>1261810</v>
      </c>
      <c r="AO262" s="63">
        <v>0</v>
      </c>
      <c r="AP262" s="63">
        <v>1261810</v>
      </c>
      <c r="AQ262" s="63">
        <v>-838451</v>
      </c>
      <c r="AR262" s="63">
        <v>0</v>
      </c>
      <c r="AS262" s="63">
        <v>-838451</v>
      </c>
      <c r="AT262" s="63">
        <v>-2725345</v>
      </c>
      <c r="AU262" s="63">
        <v>0</v>
      </c>
      <c r="AV262" s="63">
        <v>-2725345</v>
      </c>
      <c r="AW262" s="63">
        <v>-35058</v>
      </c>
      <c r="AX262" s="63">
        <v>0</v>
      </c>
      <c r="AY262" s="63">
        <v>-35058</v>
      </c>
      <c r="AZ262" s="63">
        <v>-50452</v>
      </c>
      <c r="BA262" s="63">
        <v>0</v>
      </c>
      <c r="BB262" s="63">
        <v>-50452</v>
      </c>
      <c r="BC262" s="63">
        <v>-3649306</v>
      </c>
      <c r="BD262" s="63">
        <v>0</v>
      </c>
      <c r="BE262" s="63">
        <v>0</v>
      </c>
      <c r="BF262" s="63">
        <v>0</v>
      </c>
      <c r="BG262" s="63">
        <v>-3649306</v>
      </c>
      <c r="BH262" s="63">
        <v>0</v>
      </c>
      <c r="BI262" s="63">
        <v>-3649306</v>
      </c>
      <c r="BJ262" s="63">
        <v>-1000</v>
      </c>
      <c r="BK262" s="63">
        <v>0</v>
      </c>
      <c r="BL262" s="63">
        <v>-1000</v>
      </c>
      <c r="BM262" s="63">
        <v>-1337320</v>
      </c>
      <c r="BN262" s="63">
        <v>0</v>
      </c>
      <c r="BO262" s="63">
        <v>-1337320</v>
      </c>
      <c r="BP262" s="63">
        <v>-1338320</v>
      </c>
      <c r="BQ262" s="63">
        <v>0</v>
      </c>
      <c r="BR262" s="63">
        <v>0</v>
      </c>
      <c r="BS262" s="63">
        <v>0</v>
      </c>
      <c r="BT262" s="63">
        <v>-1338320</v>
      </c>
      <c r="BU262" s="63">
        <v>0</v>
      </c>
      <c r="BV262" s="63">
        <v>-1338320</v>
      </c>
      <c r="BW262" s="63">
        <v>-38020</v>
      </c>
      <c r="BX262" s="63">
        <v>0</v>
      </c>
      <c r="BY262" s="63">
        <v>-38020</v>
      </c>
      <c r="BZ262" s="63">
        <v>-85710</v>
      </c>
      <c r="CA262" s="63">
        <v>0</v>
      </c>
      <c r="CB262" s="63">
        <v>-85710</v>
      </c>
      <c r="CC262" s="63">
        <v>-4315</v>
      </c>
      <c r="CD262" s="63">
        <v>0</v>
      </c>
      <c r="CE262" s="63">
        <v>-4315</v>
      </c>
      <c r="CF262" s="63">
        <v>-19886</v>
      </c>
      <c r="CG262" s="63">
        <v>0</v>
      </c>
      <c r="CH262" s="63">
        <v>-19886</v>
      </c>
      <c r="CI262" s="63">
        <v>-4743</v>
      </c>
      <c r="CJ262" s="63">
        <v>0</v>
      </c>
      <c r="CK262" s="63">
        <v>-4743</v>
      </c>
      <c r="CL262" s="63">
        <v>0</v>
      </c>
      <c r="CM262" s="63">
        <v>0</v>
      </c>
      <c r="CN262" s="63">
        <v>0</v>
      </c>
      <c r="CO262" s="63">
        <v>0</v>
      </c>
      <c r="CP262" s="63">
        <v>0</v>
      </c>
      <c r="CQ262" s="63">
        <v>-152674</v>
      </c>
      <c r="CR262" s="63">
        <v>0</v>
      </c>
      <c r="CS262" s="63">
        <v>0</v>
      </c>
      <c r="CT262" s="63">
        <v>0</v>
      </c>
      <c r="CU262" s="63">
        <v>-152674</v>
      </c>
      <c r="CV262" s="63">
        <v>0</v>
      </c>
      <c r="CW262" s="63">
        <v>-152674</v>
      </c>
      <c r="CX262" s="63">
        <v>0</v>
      </c>
      <c r="CY262" s="63">
        <v>0</v>
      </c>
      <c r="CZ262" s="63">
        <v>0</v>
      </c>
      <c r="DA262" s="63">
        <v>0</v>
      </c>
      <c r="DB262" s="63">
        <v>0</v>
      </c>
      <c r="DC262" s="63">
        <v>0</v>
      </c>
      <c r="DD262" s="63">
        <v>0</v>
      </c>
      <c r="DE262" s="63">
        <v>0</v>
      </c>
      <c r="DF262" s="63">
        <v>0</v>
      </c>
      <c r="DG262" s="63">
        <v>0</v>
      </c>
      <c r="DH262" s="63">
        <v>0</v>
      </c>
      <c r="DI262" s="63">
        <v>0</v>
      </c>
      <c r="DJ262" s="63">
        <v>0</v>
      </c>
      <c r="DK262" s="63">
        <v>0</v>
      </c>
      <c r="DL262" s="63">
        <v>0</v>
      </c>
      <c r="DM262" s="63">
        <v>0</v>
      </c>
      <c r="DN262" s="63">
        <v>48772702</v>
      </c>
      <c r="DO262" s="63">
        <v>0</v>
      </c>
      <c r="DP262" s="63">
        <v>48772702</v>
      </c>
      <c r="DQ262" s="63"/>
      <c r="DR262" s="585" t="s">
        <v>768</v>
      </c>
    </row>
    <row r="263" spans="1:122" ht="12.75" x14ac:dyDescent="0.2">
      <c r="A263" s="90">
        <v>256</v>
      </c>
      <c r="B263" s="129" t="s">
        <v>366</v>
      </c>
      <c r="C263" s="130" t="s">
        <v>749</v>
      </c>
      <c r="D263" s="131" t="s">
        <v>744</v>
      </c>
      <c r="E263" s="132" t="s">
        <v>365</v>
      </c>
      <c r="F263" s="475" t="s">
        <v>808</v>
      </c>
      <c r="G263" s="63">
        <v>130164419</v>
      </c>
      <c r="H263" s="63">
        <v>0</v>
      </c>
      <c r="I263" s="63">
        <v>130164419</v>
      </c>
      <c r="J263" s="608">
        <v>48.4</v>
      </c>
      <c r="K263" s="63">
        <v>62999579</v>
      </c>
      <c r="L263" s="63">
        <v>0</v>
      </c>
      <c r="M263" s="63">
        <v>-1500000</v>
      </c>
      <c r="N263" s="63">
        <v>0</v>
      </c>
      <c r="O263" s="63">
        <v>61499579</v>
      </c>
      <c r="P263" s="63">
        <v>0</v>
      </c>
      <c r="Q263" s="63">
        <v>61499579</v>
      </c>
      <c r="R263" s="63">
        <v>0</v>
      </c>
      <c r="S263" s="63">
        <v>0</v>
      </c>
      <c r="T263" s="63">
        <v>0</v>
      </c>
      <c r="U263" s="63">
        <v>0</v>
      </c>
      <c r="V263" s="63">
        <v>0</v>
      </c>
      <c r="W263" s="63">
        <v>0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63">
        <v>0</v>
      </c>
      <c r="AF263" s="63">
        <v>0</v>
      </c>
      <c r="AG263" s="63">
        <v>0</v>
      </c>
      <c r="AH263" s="63">
        <v>-3259894</v>
      </c>
      <c r="AI263" s="63">
        <v>0</v>
      </c>
      <c r="AJ263" s="63">
        <v>-3259894</v>
      </c>
      <c r="AK263" s="63">
        <v>-8632</v>
      </c>
      <c r="AL263" s="63">
        <v>0</v>
      </c>
      <c r="AM263" s="63">
        <v>-8632</v>
      </c>
      <c r="AN263" s="63">
        <v>1469922</v>
      </c>
      <c r="AO263" s="63">
        <v>0</v>
      </c>
      <c r="AP263" s="63">
        <v>1469922</v>
      </c>
      <c r="AQ263" s="63">
        <v>-1789972</v>
      </c>
      <c r="AR263" s="63">
        <v>0</v>
      </c>
      <c r="AS263" s="63">
        <v>-1789972</v>
      </c>
      <c r="AT263" s="63">
        <v>-3317729</v>
      </c>
      <c r="AU263" s="63">
        <v>0</v>
      </c>
      <c r="AV263" s="63">
        <v>-3317729</v>
      </c>
      <c r="AW263" s="63">
        <v>-109708</v>
      </c>
      <c r="AX263" s="63">
        <v>0</v>
      </c>
      <c r="AY263" s="63">
        <v>-109708</v>
      </c>
      <c r="AZ263" s="63">
        <v>0</v>
      </c>
      <c r="BA263" s="63">
        <v>0</v>
      </c>
      <c r="BB263" s="63">
        <v>0</v>
      </c>
      <c r="BC263" s="63">
        <v>-5217409</v>
      </c>
      <c r="BD263" s="63">
        <v>0</v>
      </c>
      <c r="BE263" s="63">
        <v>-253500</v>
      </c>
      <c r="BF263" s="63">
        <v>0</v>
      </c>
      <c r="BG263" s="63">
        <v>-5470909</v>
      </c>
      <c r="BH263" s="63">
        <v>0</v>
      </c>
      <c r="BI263" s="63">
        <v>-5470909</v>
      </c>
      <c r="BJ263" s="63">
        <v>-55000</v>
      </c>
      <c r="BK263" s="63">
        <v>0</v>
      </c>
      <c r="BL263" s="63">
        <v>-55000</v>
      </c>
      <c r="BM263" s="63">
        <v>-2070618</v>
      </c>
      <c r="BN263" s="63">
        <v>0</v>
      </c>
      <c r="BO263" s="63">
        <v>-2070618</v>
      </c>
      <c r="BP263" s="63">
        <v>-2125618</v>
      </c>
      <c r="BQ263" s="63">
        <v>0</v>
      </c>
      <c r="BR263" s="63">
        <v>-325000</v>
      </c>
      <c r="BS263" s="63">
        <v>0</v>
      </c>
      <c r="BT263" s="63">
        <v>-2450618</v>
      </c>
      <c r="BU263" s="63">
        <v>0</v>
      </c>
      <c r="BV263" s="63">
        <v>-2450618</v>
      </c>
      <c r="BW263" s="63">
        <v>-233075</v>
      </c>
      <c r="BX263" s="63">
        <v>0</v>
      </c>
      <c r="BY263" s="63">
        <v>-233075</v>
      </c>
      <c r="BZ263" s="63">
        <v>-35315</v>
      </c>
      <c r="CA263" s="63">
        <v>0</v>
      </c>
      <c r="CB263" s="63">
        <v>-35315</v>
      </c>
      <c r="CC263" s="63">
        <v>-14967</v>
      </c>
      <c r="CD263" s="63">
        <v>0</v>
      </c>
      <c r="CE263" s="63">
        <v>-14967</v>
      </c>
      <c r="CF263" s="63">
        <v>0</v>
      </c>
      <c r="CG263" s="63">
        <v>0</v>
      </c>
      <c r="CH263" s="63">
        <v>0</v>
      </c>
      <c r="CI263" s="63">
        <v>0</v>
      </c>
      <c r="CJ263" s="63">
        <v>0</v>
      </c>
      <c r="CK263" s="63">
        <v>0</v>
      </c>
      <c r="CL263" s="63">
        <v>0</v>
      </c>
      <c r="CM263" s="63">
        <v>0</v>
      </c>
      <c r="CN263" s="63">
        <v>0</v>
      </c>
      <c r="CO263" s="63">
        <v>0</v>
      </c>
      <c r="CP263" s="63">
        <v>0</v>
      </c>
      <c r="CQ263" s="63">
        <v>-283357</v>
      </c>
      <c r="CR263" s="63">
        <v>0</v>
      </c>
      <c r="CS263" s="63">
        <v>-38400</v>
      </c>
      <c r="CT263" s="63">
        <v>0</v>
      </c>
      <c r="CU263" s="63">
        <v>-321757</v>
      </c>
      <c r="CV263" s="63">
        <v>0</v>
      </c>
      <c r="CW263" s="63">
        <v>-321757</v>
      </c>
      <c r="CX263" s="63">
        <v>0</v>
      </c>
      <c r="CY263" s="63">
        <v>0</v>
      </c>
      <c r="CZ263" s="63">
        <v>0</v>
      </c>
      <c r="DA263" s="63">
        <v>-31453</v>
      </c>
      <c r="DB263" s="63">
        <v>0</v>
      </c>
      <c r="DC263" s="63">
        <v>-31453</v>
      </c>
      <c r="DD263" s="63">
        <v>-2432</v>
      </c>
      <c r="DE263" s="63">
        <v>0</v>
      </c>
      <c r="DF263" s="63">
        <v>-2432</v>
      </c>
      <c r="DG263" s="63">
        <v>-33885</v>
      </c>
      <c r="DH263" s="63">
        <v>0</v>
      </c>
      <c r="DI263" s="63">
        <v>0</v>
      </c>
      <c r="DJ263" s="63">
        <v>0</v>
      </c>
      <c r="DK263" s="63">
        <v>-33885</v>
      </c>
      <c r="DL263" s="63">
        <v>0</v>
      </c>
      <c r="DM263" s="63">
        <v>-33885</v>
      </c>
      <c r="DN263" s="63">
        <v>53222410</v>
      </c>
      <c r="DO263" s="63">
        <v>0</v>
      </c>
      <c r="DP263" s="63">
        <v>53222410</v>
      </c>
      <c r="DQ263" s="63"/>
      <c r="DR263" s="586"/>
    </row>
    <row r="264" spans="1:122" ht="12.75" x14ac:dyDescent="0.2">
      <c r="A264" s="90">
        <v>257</v>
      </c>
      <c r="B264" s="129" t="s">
        <v>368</v>
      </c>
      <c r="C264" s="130" t="s">
        <v>742</v>
      </c>
      <c r="D264" s="131" t="s">
        <v>752</v>
      </c>
      <c r="E264" s="132" t="s">
        <v>367</v>
      </c>
      <c r="F264" s="475" t="s">
        <v>808</v>
      </c>
      <c r="G264" s="63">
        <v>110910520</v>
      </c>
      <c r="H264" s="63">
        <v>0</v>
      </c>
      <c r="I264" s="63">
        <v>110910520</v>
      </c>
      <c r="J264" s="608">
        <v>48.4</v>
      </c>
      <c r="K264" s="63">
        <v>53680692</v>
      </c>
      <c r="L264" s="63">
        <v>0</v>
      </c>
      <c r="M264" s="63">
        <v>850000</v>
      </c>
      <c r="N264" s="63">
        <v>0</v>
      </c>
      <c r="O264" s="63">
        <v>54530692</v>
      </c>
      <c r="P264" s="63">
        <v>0</v>
      </c>
      <c r="Q264" s="63">
        <v>54530692</v>
      </c>
      <c r="R264" s="63">
        <v>0</v>
      </c>
      <c r="S264" s="63">
        <v>0</v>
      </c>
      <c r="T264" s="63">
        <v>0</v>
      </c>
      <c r="U264" s="63">
        <v>0</v>
      </c>
      <c r="V264" s="63">
        <v>0</v>
      </c>
      <c r="W264" s="63">
        <v>0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63">
        <v>0</v>
      </c>
      <c r="AF264" s="63">
        <v>0</v>
      </c>
      <c r="AG264" s="63">
        <v>0</v>
      </c>
      <c r="AH264" s="63">
        <v>-2504726</v>
      </c>
      <c r="AI264" s="63">
        <v>0</v>
      </c>
      <c r="AJ264" s="63">
        <v>-2504726</v>
      </c>
      <c r="AK264" s="63">
        <v>0</v>
      </c>
      <c r="AL264" s="63">
        <v>0</v>
      </c>
      <c r="AM264" s="63">
        <v>0</v>
      </c>
      <c r="AN264" s="63">
        <v>1235593</v>
      </c>
      <c r="AO264" s="63">
        <v>0</v>
      </c>
      <c r="AP264" s="63">
        <v>1235593</v>
      </c>
      <c r="AQ264" s="63">
        <v>-1269133</v>
      </c>
      <c r="AR264" s="63">
        <v>0</v>
      </c>
      <c r="AS264" s="63">
        <v>-1269133</v>
      </c>
      <c r="AT264" s="63">
        <v>-3377792</v>
      </c>
      <c r="AU264" s="63">
        <v>0</v>
      </c>
      <c r="AV264" s="63">
        <v>-3377792</v>
      </c>
      <c r="AW264" s="63">
        <v>-67552</v>
      </c>
      <c r="AX264" s="63">
        <v>0</v>
      </c>
      <c r="AY264" s="63">
        <v>-67552</v>
      </c>
      <c r="AZ264" s="63">
        <v>-19986</v>
      </c>
      <c r="BA264" s="63">
        <v>0</v>
      </c>
      <c r="BB264" s="63">
        <v>-19986</v>
      </c>
      <c r="BC264" s="63">
        <v>-4734463</v>
      </c>
      <c r="BD264" s="63">
        <v>0</v>
      </c>
      <c r="BE264" s="63">
        <v>0</v>
      </c>
      <c r="BF264" s="63">
        <v>0</v>
      </c>
      <c r="BG264" s="63">
        <v>-4734463</v>
      </c>
      <c r="BH264" s="63">
        <v>0</v>
      </c>
      <c r="BI264" s="63">
        <v>-4734463</v>
      </c>
      <c r="BJ264" s="63">
        <v>0</v>
      </c>
      <c r="BK264" s="63">
        <v>0</v>
      </c>
      <c r="BL264" s="63">
        <v>0</v>
      </c>
      <c r="BM264" s="63">
        <v>-1470000</v>
      </c>
      <c r="BN264" s="63">
        <v>0</v>
      </c>
      <c r="BO264" s="63">
        <v>-1470000</v>
      </c>
      <c r="BP264" s="63">
        <v>-1470000</v>
      </c>
      <c r="BQ264" s="63">
        <v>0</v>
      </c>
      <c r="BR264" s="63">
        <v>0</v>
      </c>
      <c r="BS264" s="63">
        <v>0</v>
      </c>
      <c r="BT264" s="63">
        <v>-1470000</v>
      </c>
      <c r="BU264" s="63">
        <v>0</v>
      </c>
      <c r="BV264" s="63">
        <v>-1470000</v>
      </c>
      <c r="BW264" s="63">
        <v>-222513</v>
      </c>
      <c r="BX264" s="63">
        <v>0</v>
      </c>
      <c r="BY264" s="63">
        <v>-222513</v>
      </c>
      <c r="BZ264" s="63">
        <v>-85232</v>
      </c>
      <c r="CA264" s="63">
        <v>0</v>
      </c>
      <c r="CB264" s="63">
        <v>-85232</v>
      </c>
      <c r="CC264" s="63">
        <v>-4066</v>
      </c>
      <c r="CD264" s="63">
        <v>0</v>
      </c>
      <c r="CE264" s="63">
        <v>-4066</v>
      </c>
      <c r="CF264" s="63">
        <v>-17610</v>
      </c>
      <c r="CG264" s="63">
        <v>0</v>
      </c>
      <c r="CH264" s="63">
        <v>-17610</v>
      </c>
      <c r="CI264" s="63">
        <v>-4066</v>
      </c>
      <c r="CJ264" s="63">
        <v>0</v>
      </c>
      <c r="CK264" s="63">
        <v>-4066</v>
      </c>
      <c r="CL264" s="63">
        <v>0</v>
      </c>
      <c r="CM264" s="63">
        <v>0</v>
      </c>
      <c r="CN264" s="63">
        <v>0</v>
      </c>
      <c r="CO264" s="63">
        <v>0</v>
      </c>
      <c r="CP264" s="63">
        <v>0</v>
      </c>
      <c r="CQ264" s="63">
        <v>-333487</v>
      </c>
      <c r="CR264" s="63">
        <v>0</v>
      </c>
      <c r="CS264" s="63">
        <v>0</v>
      </c>
      <c r="CT264" s="63">
        <v>0</v>
      </c>
      <c r="CU264" s="63">
        <v>-333487</v>
      </c>
      <c r="CV264" s="63">
        <v>0</v>
      </c>
      <c r="CW264" s="63">
        <v>-333487</v>
      </c>
      <c r="CX264" s="63">
        <v>0</v>
      </c>
      <c r="CY264" s="63">
        <v>0</v>
      </c>
      <c r="CZ264" s="63">
        <v>0</v>
      </c>
      <c r="DA264" s="63">
        <v>-3872</v>
      </c>
      <c r="DB264" s="63">
        <v>0</v>
      </c>
      <c r="DC264" s="63">
        <v>-3872</v>
      </c>
      <c r="DD264" s="63">
        <v>-11555</v>
      </c>
      <c r="DE264" s="63">
        <v>0</v>
      </c>
      <c r="DF264" s="63">
        <v>-11555</v>
      </c>
      <c r="DG264" s="63">
        <v>-15427</v>
      </c>
      <c r="DH264" s="63">
        <v>0</v>
      </c>
      <c r="DI264" s="63">
        <v>0</v>
      </c>
      <c r="DJ264" s="63">
        <v>0</v>
      </c>
      <c r="DK264" s="63">
        <v>-15427</v>
      </c>
      <c r="DL264" s="63">
        <v>0</v>
      </c>
      <c r="DM264" s="63">
        <v>-15427</v>
      </c>
      <c r="DN264" s="63">
        <v>47977315</v>
      </c>
      <c r="DO264" s="63">
        <v>0</v>
      </c>
      <c r="DP264" s="63">
        <v>47977315</v>
      </c>
      <c r="DQ264" s="63"/>
      <c r="DR264" s="586"/>
    </row>
    <row r="265" spans="1:122" x14ac:dyDescent="0.2">
      <c r="A265" s="90">
        <v>258</v>
      </c>
      <c r="B265" s="129" t="s">
        <v>370</v>
      </c>
      <c r="C265" s="130" t="s">
        <v>742</v>
      </c>
      <c r="D265" s="131" t="s">
        <v>752</v>
      </c>
      <c r="E265" s="132" t="s">
        <v>369</v>
      </c>
      <c r="F265" s="475" t="s">
        <v>808</v>
      </c>
      <c r="G265" s="63">
        <v>48667845</v>
      </c>
      <c r="H265" s="63">
        <v>0</v>
      </c>
      <c r="I265" s="63">
        <v>48667845</v>
      </c>
      <c r="J265" s="608">
        <v>48.4</v>
      </c>
      <c r="K265" s="63">
        <v>23555237</v>
      </c>
      <c r="L265" s="63">
        <v>0</v>
      </c>
      <c r="M265" s="63">
        <v>0</v>
      </c>
      <c r="N265" s="63">
        <v>0</v>
      </c>
      <c r="O265" s="63">
        <v>23555237</v>
      </c>
      <c r="P265" s="63">
        <v>0</v>
      </c>
      <c r="Q265" s="63">
        <v>23555237</v>
      </c>
      <c r="R265" s="63">
        <v>0</v>
      </c>
      <c r="S265" s="63">
        <v>0</v>
      </c>
      <c r="T265" s="63">
        <v>0</v>
      </c>
      <c r="U265" s="63">
        <v>0</v>
      </c>
      <c r="V265" s="63">
        <v>0</v>
      </c>
      <c r="W265" s="63">
        <v>0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63">
        <v>0</v>
      </c>
      <c r="AF265" s="63">
        <v>0</v>
      </c>
      <c r="AG265" s="63">
        <v>0</v>
      </c>
      <c r="AH265" s="63">
        <v>-2320354</v>
      </c>
      <c r="AI265" s="63">
        <v>0</v>
      </c>
      <c r="AJ265" s="63">
        <v>-2320354</v>
      </c>
      <c r="AK265" s="63">
        <v>0</v>
      </c>
      <c r="AL265" s="63">
        <v>0</v>
      </c>
      <c r="AM265" s="63">
        <v>0</v>
      </c>
      <c r="AN265" s="63">
        <v>486031</v>
      </c>
      <c r="AO265" s="63">
        <v>0</v>
      </c>
      <c r="AP265" s="63">
        <v>486031</v>
      </c>
      <c r="AQ265" s="63">
        <v>-1834323</v>
      </c>
      <c r="AR265" s="63">
        <v>0</v>
      </c>
      <c r="AS265" s="63">
        <v>-1834323</v>
      </c>
      <c r="AT265" s="63">
        <v>-1804387</v>
      </c>
      <c r="AU265" s="63">
        <v>0</v>
      </c>
      <c r="AV265" s="63">
        <v>-1804387</v>
      </c>
      <c r="AW265" s="63">
        <v>-53378</v>
      </c>
      <c r="AX265" s="63">
        <v>0</v>
      </c>
      <c r="AY265" s="63">
        <v>-53378</v>
      </c>
      <c r="AZ265" s="63">
        <v>-19351</v>
      </c>
      <c r="BA265" s="63">
        <v>0</v>
      </c>
      <c r="BB265" s="63">
        <v>-19351</v>
      </c>
      <c r="BC265" s="63">
        <v>-3711439</v>
      </c>
      <c r="BD265" s="63">
        <v>0</v>
      </c>
      <c r="BE265" s="63">
        <v>0</v>
      </c>
      <c r="BF265" s="63">
        <v>0</v>
      </c>
      <c r="BG265" s="63">
        <v>-3711439</v>
      </c>
      <c r="BH265" s="63">
        <v>0</v>
      </c>
      <c r="BI265" s="63">
        <v>-3711439</v>
      </c>
      <c r="BJ265" s="63">
        <v>0</v>
      </c>
      <c r="BK265" s="63">
        <v>0</v>
      </c>
      <c r="BL265" s="63">
        <v>0</v>
      </c>
      <c r="BM265" s="63">
        <v>-368636</v>
      </c>
      <c r="BN265" s="63">
        <v>0</v>
      </c>
      <c r="BO265" s="63">
        <v>-368636</v>
      </c>
      <c r="BP265" s="63">
        <v>-368636</v>
      </c>
      <c r="BQ265" s="63">
        <v>0</v>
      </c>
      <c r="BR265" s="63">
        <v>0</v>
      </c>
      <c r="BS265" s="63">
        <v>0</v>
      </c>
      <c r="BT265" s="63">
        <v>-368636</v>
      </c>
      <c r="BU265" s="63">
        <v>0</v>
      </c>
      <c r="BV265" s="63">
        <v>-368636</v>
      </c>
      <c r="BW265" s="63">
        <v>-93120</v>
      </c>
      <c r="BX265" s="63">
        <v>0</v>
      </c>
      <c r="BY265" s="63">
        <v>-93120</v>
      </c>
      <c r="BZ265" s="63">
        <v>-117286</v>
      </c>
      <c r="CA265" s="63">
        <v>0</v>
      </c>
      <c r="CB265" s="63">
        <v>-117286</v>
      </c>
      <c r="CC265" s="63">
        <v>-4151</v>
      </c>
      <c r="CD265" s="63">
        <v>0</v>
      </c>
      <c r="CE265" s="63">
        <v>-4151</v>
      </c>
      <c r="CF265" s="63">
        <v>-7194</v>
      </c>
      <c r="CG265" s="63">
        <v>0</v>
      </c>
      <c r="CH265" s="63">
        <v>-7194</v>
      </c>
      <c r="CI265" s="63">
        <v>0</v>
      </c>
      <c r="CJ265" s="63">
        <v>0</v>
      </c>
      <c r="CK265" s="63">
        <v>0</v>
      </c>
      <c r="CL265" s="63">
        <v>0</v>
      </c>
      <c r="CM265" s="63">
        <v>0</v>
      </c>
      <c r="CN265" s="63">
        <v>0</v>
      </c>
      <c r="CO265" s="63">
        <v>0</v>
      </c>
      <c r="CP265" s="63">
        <v>0</v>
      </c>
      <c r="CQ265" s="63">
        <v>-221751</v>
      </c>
      <c r="CR265" s="63">
        <v>0</v>
      </c>
      <c r="CS265" s="63">
        <v>0</v>
      </c>
      <c r="CT265" s="63">
        <v>0</v>
      </c>
      <c r="CU265" s="63">
        <v>-221751</v>
      </c>
      <c r="CV265" s="63">
        <v>0</v>
      </c>
      <c r="CW265" s="63">
        <v>-221751</v>
      </c>
      <c r="CX265" s="63">
        <v>0</v>
      </c>
      <c r="CY265" s="63">
        <v>0</v>
      </c>
      <c r="CZ265" s="63">
        <v>0</v>
      </c>
      <c r="DA265" s="63">
        <v>-13038</v>
      </c>
      <c r="DB265" s="63">
        <v>0</v>
      </c>
      <c r="DC265" s="63">
        <v>-13038</v>
      </c>
      <c r="DD265" s="63">
        <v>-34696</v>
      </c>
      <c r="DE265" s="63">
        <v>0</v>
      </c>
      <c r="DF265" s="63">
        <v>-34696</v>
      </c>
      <c r="DG265" s="63">
        <v>-47734</v>
      </c>
      <c r="DH265" s="63">
        <v>0</v>
      </c>
      <c r="DI265" s="63">
        <v>0</v>
      </c>
      <c r="DJ265" s="63">
        <v>0</v>
      </c>
      <c r="DK265" s="63">
        <v>-47734</v>
      </c>
      <c r="DL265" s="63">
        <v>0</v>
      </c>
      <c r="DM265" s="63">
        <v>-47734</v>
      </c>
      <c r="DN265" s="63">
        <v>19205677</v>
      </c>
      <c r="DO265" s="63">
        <v>0</v>
      </c>
      <c r="DP265" s="63">
        <v>19205677</v>
      </c>
      <c r="DQ265" s="63"/>
      <c r="DR265" s="585"/>
    </row>
    <row r="266" spans="1:122" x14ac:dyDescent="0.2">
      <c r="A266" s="90">
        <v>259</v>
      </c>
      <c r="B266" s="129" t="s">
        <v>372</v>
      </c>
      <c r="C266" s="130" t="s">
        <v>742</v>
      </c>
      <c r="D266" s="131" t="s">
        <v>746</v>
      </c>
      <c r="E266" s="132" t="s">
        <v>371</v>
      </c>
      <c r="F266" s="475" t="s">
        <v>808</v>
      </c>
      <c r="G266" s="63">
        <v>111113838</v>
      </c>
      <c r="H266" s="63">
        <v>0</v>
      </c>
      <c r="I266" s="63">
        <v>111113838</v>
      </c>
      <c r="J266" s="608">
        <v>48.4</v>
      </c>
      <c r="K266" s="63">
        <v>53779098</v>
      </c>
      <c r="L266" s="63">
        <v>0</v>
      </c>
      <c r="M266" s="63">
        <v>-2318738</v>
      </c>
      <c r="N266" s="63">
        <v>0</v>
      </c>
      <c r="O266" s="63">
        <v>51460360</v>
      </c>
      <c r="P266" s="63">
        <v>0</v>
      </c>
      <c r="Q266" s="63">
        <v>51460360</v>
      </c>
      <c r="R266" s="63">
        <v>0</v>
      </c>
      <c r="S266" s="63">
        <v>0</v>
      </c>
      <c r="T266" s="63">
        <v>0</v>
      </c>
      <c r="U266" s="63">
        <v>0</v>
      </c>
      <c r="V266" s="63">
        <v>0</v>
      </c>
      <c r="W266" s="63">
        <v>0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0</v>
      </c>
      <c r="AE266" s="63">
        <v>0</v>
      </c>
      <c r="AF266" s="63">
        <v>0</v>
      </c>
      <c r="AG266" s="63">
        <v>0</v>
      </c>
      <c r="AH266" s="63">
        <v>-939558</v>
      </c>
      <c r="AI266" s="63">
        <v>0</v>
      </c>
      <c r="AJ266" s="63">
        <v>-939558</v>
      </c>
      <c r="AK266" s="63">
        <v>0</v>
      </c>
      <c r="AL266" s="63">
        <v>0</v>
      </c>
      <c r="AM266" s="63">
        <v>0</v>
      </c>
      <c r="AN266" s="63">
        <v>1343376</v>
      </c>
      <c r="AO266" s="63">
        <v>0</v>
      </c>
      <c r="AP266" s="63">
        <v>1343376</v>
      </c>
      <c r="AQ266" s="63">
        <v>403818</v>
      </c>
      <c r="AR266" s="63">
        <v>0</v>
      </c>
      <c r="AS266" s="63">
        <v>403818</v>
      </c>
      <c r="AT266" s="63">
        <v>-1573343</v>
      </c>
      <c r="AU266" s="63">
        <v>0</v>
      </c>
      <c r="AV266" s="63">
        <v>-1573343</v>
      </c>
      <c r="AW266" s="63">
        <v>-4075</v>
      </c>
      <c r="AX266" s="63">
        <v>0</v>
      </c>
      <c r="AY266" s="63">
        <v>-4075</v>
      </c>
      <c r="AZ266" s="63">
        <v>0</v>
      </c>
      <c r="BA266" s="63">
        <v>0</v>
      </c>
      <c r="BB266" s="63">
        <v>0</v>
      </c>
      <c r="BC266" s="63">
        <v>-1173600</v>
      </c>
      <c r="BD266" s="63">
        <v>0</v>
      </c>
      <c r="BE266" s="63">
        <v>-50417</v>
      </c>
      <c r="BF266" s="63">
        <v>0</v>
      </c>
      <c r="BG266" s="63">
        <v>-1224017</v>
      </c>
      <c r="BH266" s="63">
        <v>0</v>
      </c>
      <c r="BI266" s="63">
        <v>-1224017</v>
      </c>
      <c r="BJ266" s="63">
        <v>-131880</v>
      </c>
      <c r="BK266" s="63">
        <v>0</v>
      </c>
      <c r="BL266" s="63">
        <v>-131880</v>
      </c>
      <c r="BM266" s="63">
        <v>-1726243</v>
      </c>
      <c r="BN266" s="63">
        <v>0</v>
      </c>
      <c r="BO266" s="63">
        <v>-1726243</v>
      </c>
      <c r="BP266" s="63">
        <v>-1858123</v>
      </c>
      <c r="BQ266" s="63">
        <v>0</v>
      </c>
      <c r="BR266" s="63">
        <v>-100833</v>
      </c>
      <c r="BS266" s="63">
        <v>0</v>
      </c>
      <c r="BT266" s="63">
        <v>-1958956</v>
      </c>
      <c r="BU266" s="63">
        <v>0</v>
      </c>
      <c r="BV266" s="63">
        <v>-1958956</v>
      </c>
      <c r="BW266" s="63">
        <v>-125985</v>
      </c>
      <c r="BX266" s="63">
        <v>0</v>
      </c>
      <c r="BY266" s="63">
        <v>-125985</v>
      </c>
      <c r="BZ266" s="63">
        <v>-16674</v>
      </c>
      <c r="CA266" s="63">
        <v>0</v>
      </c>
      <c r="CB266" s="63">
        <v>-16674</v>
      </c>
      <c r="CC266" s="63">
        <v>-1019</v>
      </c>
      <c r="CD266" s="63">
        <v>0</v>
      </c>
      <c r="CE266" s="63">
        <v>-1019</v>
      </c>
      <c r="CF266" s="63">
        <v>0</v>
      </c>
      <c r="CG266" s="63">
        <v>0</v>
      </c>
      <c r="CH266" s="63">
        <v>0</v>
      </c>
      <c r="CI266" s="63">
        <v>0</v>
      </c>
      <c r="CJ266" s="63">
        <v>0</v>
      </c>
      <c r="CK266" s="63">
        <v>0</v>
      </c>
      <c r="CL266" s="63">
        <v>0</v>
      </c>
      <c r="CM266" s="63">
        <v>0</v>
      </c>
      <c r="CN266" s="63">
        <v>0</v>
      </c>
      <c r="CO266" s="63">
        <v>0</v>
      </c>
      <c r="CP266" s="63">
        <v>0</v>
      </c>
      <c r="CQ266" s="63">
        <v>-143678</v>
      </c>
      <c r="CR266" s="63">
        <v>0</v>
      </c>
      <c r="CS266" s="63">
        <v>-20167</v>
      </c>
      <c r="CT266" s="63">
        <v>0</v>
      </c>
      <c r="CU266" s="63">
        <v>-163845</v>
      </c>
      <c r="CV266" s="63">
        <v>0</v>
      </c>
      <c r="CW266" s="63">
        <v>-163845</v>
      </c>
      <c r="CX266" s="63">
        <v>-153076</v>
      </c>
      <c r="CY266" s="63">
        <v>0</v>
      </c>
      <c r="CZ266" s="63">
        <v>-153076</v>
      </c>
      <c r="DA266" s="63">
        <v>-38425</v>
      </c>
      <c r="DB266" s="63">
        <v>0</v>
      </c>
      <c r="DC266" s="63">
        <v>-38425</v>
      </c>
      <c r="DD266" s="63">
        <v>-4000</v>
      </c>
      <c r="DE266" s="63">
        <v>0</v>
      </c>
      <c r="DF266" s="63">
        <v>-4000</v>
      </c>
      <c r="DG266" s="63">
        <v>-195501</v>
      </c>
      <c r="DH266" s="63">
        <v>0</v>
      </c>
      <c r="DI266" s="63">
        <v>-51425</v>
      </c>
      <c r="DJ266" s="63">
        <v>0</v>
      </c>
      <c r="DK266" s="63">
        <v>-246926</v>
      </c>
      <c r="DL266" s="63">
        <v>0</v>
      </c>
      <c r="DM266" s="63">
        <v>-246926</v>
      </c>
      <c r="DN266" s="63">
        <v>47866616</v>
      </c>
      <c r="DO266" s="63">
        <v>0</v>
      </c>
      <c r="DP266" s="63">
        <v>47866616</v>
      </c>
      <c r="DQ266" s="63"/>
      <c r="DR266" s="585"/>
    </row>
    <row r="267" spans="1:122" x14ac:dyDescent="0.2">
      <c r="A267" s="90">
        <v>260</v>
      </c>
      <c r="B267" s="129" t="s">
        <v>374</v>
      </c>
      <c r="C267" s="130" t="s">
        <v>749</v>
      </c>
      <c r="D267" s="131" t="s">
        <v>744</v>
      </c>
      <c r="E267" s="132" t="s">
        <v>373</v>
      </c>
      <c r="F267" s="475" t="s">
        <v>808</v>
      </c>
      <c r="G267" s="63">
        <v>236958817</v>
      </c>
      <c r="H267" s="63">
        <v>0</v>
      </c>
      <c r="I267" s="63">
        <v>236958817</v>
      </c>
      <c r="J267" s="608">
        <v>48.4</v>
      </c>
      <c r="K267" s="63">
        <v>114688067</v>
      </c>
      <c r="L267" s="63">
        <v>0</v>
      </c>
      <c r="M267" s="63">
        <v>-570067</v>
      </c>
      <c r="N267" s="63">
        <v>0</v>
      </c>
      <c r="O267" s="63">
        <v>114118000</v>
      </c>
      <c r="P267" s="63">
        <v>0</v>
      </c>
      <c r="Q267" s="63">
        <v>114118000</v>
      </c>
      <c r="R267" s="63">
        <v>0</v>
      </c>
      <c r="S267" s="63">
        <v>0</v>
      </c>
      <c r="T267" s="63">
        <v>0</v>
      </c>
      <c r="U267" s="63">
        <v>0</v>
      </c>
      <c r="V267" s="63">
        <v>0</v>
      </c>
      <c r="W267" s="63">
        <v>0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63">
        <v>0</v>
      </c>
      <c r="AF267" s="63">
        <v>0</v>
      </c>
      <c r="AG267" s="63">
        <v>0</v>
      </c>
      <c r="AH267" s="63">
        <v>-7254101</v>
      </c>
      <c r="AI267" s="63">
        <v>0</v>
      </c>
      <c r="AJ267" s="63">
        <v>-7254101</v>
      </c>
      <c r="AK267" s="63">
        <v>-5963</v>
      </c>
      <c r="AL267" s="63">
        <v>0</v>
      </c>
      <c r="AM267" s="63">
        <v>-5963</v>
      </c>
      <c r="AN267" s="63">
        <v>2566867</v>
      </c>
      <c r="AO267" s="63">
        <v>0</v>
      </c>
      <c r="AP267" s="63">
        <v>2566867</v>
      </c>
      <c r="AQ267" s="63">
        <v>-4687234</v>
      </c>
      <c r="AR267" s="63">
        <v>0</v>
      </c>
      <c r="AS267" s="63">
        <v>-4687234</v>
      </c>
      <c r="AT267" s="63">
        <v>-4336444</v>
      </c>
      <c r="AU267" s="63">
        <v>0</v>
      </c>
      <c r="AV267" s="63">
        <v>-4336444</v>
      </c>
      <c r="AW267" s="63">
        <v>-252804</v>
      </c>
      <c r="AX267" s="63">
        <v>0</v>
      </c>
      <c r="AY267" s="63">
        <v>-252804</v>
      </c>
      <c r="AZ267" s="63">
        <v>0</v>
      </c>
      <c r="BA267" s="63">
        <v>0</v>
      </c>
      <c r="BB267" s="63">
        <v>0</v>
      </c>
      <c r="BC267" s="63">
        <v>-9276482</v>
      </c>
      <c r="BD267" s="63">
        <v>0</v>
      </c>
      <c r="BE267" s="63">
        <v>-175518</v>
      </c>
      <c r="BF267" s="63">
        <v>0</v>
      </c>
      <c r="BG267" s="63">
        <v>-9452000</v>
      </c>
      <c r="BH267" s="63">
        <v>0</v>
      </c>
      <c r="BI267" s="63">
        <v>-9452000</v>
      </c>
      <c r="BJ267" s="63">
        <v>0</v>
      </c>
      <c r="BK267" s="63">
        <v>0</v>
      </c>
      <c r="BL267" s="63">
        <v>0</v>
      </c>
      <c r="BM267" s="63">
        <v>-3163864</v>
      </c>
      <c r="BN267" s="63">
        <v>0</v>
      </c>
      <c r="BO267" s="63">
        <v>-3163864</v>
      </c>
      <c r="BP267" s="63">
        <v>-3163864</v>
      </c>
      <c r="BQ267" s="63">
        <v>0</v>
      </c>
      <c r="BR267" s="63">
        <v>-1203136</v>
      </c>
      <c r="BS267" s="63">
        <v>0</v>
      </c>
      <c r="BT267" s="63">
        <v>-4367000</v>
      </c>
      <c r="BU267" s="63">
        <v>0</v>
      </c>
      <c r="BV267" s="63">
        <v>-4367000</v>
      </c>
      <c r="BW267" s="63">
        <v>0</v>
      </c>
      <c r="BX267" s="63">
        <v>0</v>
      </c>
      <c r="BY267" s="63">
        <v>0</v>
      </c>
      <c r="BZ267" s="63">
        <v>-81955</v>
      </c>
      <c r="CA267" s="63">
        <v>0</v>
      </c>
      <c r="CB267" s="63">
        <v>-81955</v>
      </c>
      <c r="CC267" s="63">
        <v>-21739</v>
      </c>
      <c r="CD267" s="63">
        <v>0</v>
      </c>
      <c r="CE267" s="63">
        <v>-21739</v>
      </c>
      <c r="CF267" s="63">
        <v>0</v>
      </c>
      <c r="CG267" s="63">
        <v>0</v>
      </c>
      <c r="CH267" s="63">
        <v>0</v>
      </c>
      <c r="CI267" s="63">
        <v>0</v>
      </c>
      <c r="CJ267" s="63">
        <v>0</v>
      </c>
      <c r="CK267" s="63">
        <v>0</v>
      </c>
      <c r="CL267" s="63">
        <v>0</v>
      </c>
      <c r="CM267" s="63">
        <v>0</v>
      </c>
      <c r="CN267" s="63">
        <v>0</v>
      </c>
      <c r="CO267" s="63">
        <v>0</v>
      </c>
      <c r="CP267" s="63">
        <v>0</v>
      </c>
      <c r="CQ267" s="63">
        <v>-103694</v>
      </c>
      <c r="CR267" s="63">
        <v>0</v>
      </c>
      <c r="CS267" s="63">
        <v>-77079</v>
      </c>
      <c r="CT267" s="63">
        <v>0</v>
      </c>
      <c r="CU267" s="63">
        <v>-180773</v>
      </c>
      <c r="CV267" s="63">
        <v>0</v>
      </c>
      <c r="CW267" s="63">
        <v>-180773</v>
      </c>
      <c r="CX267" s="63">
        <v>-21547</v>
      </c>
      <c r="CY267" s="63">
        <v>0</v>
      </c>
      <c r="CZ267" s="63">
        <v>-21547</v>
      </c>
      <c r="DA267" s="63">
        <v>-74014</v>
      </c>
      <c r="DB267" s="63">
        <v>0</v>
      </c>
      <c r="DC267" s="63">
        <v>-74014</v>
      </c>
      <c r="DD267" s="63">
        <v>-4666</v>
      </c>
      <c r="DE267" s="63">
        <v>0</v>
      </c>
      <c r="DF267" s="63">
        <v>-4666</v>
      </c>
      <c r="DG267" s="63">
        <v>-100227</v>
      </c>
      <c r="DH267" s="63">
        <v>0</v>
      </c>
      <c r="DI267" s="63">
        <v>0</v>
      </c>
      <c r="DJ267" s="63">
        <v>0</v>
      </c>
      <c r="DK267" s="63">
        <v>-100227</v>
      </c>
      <c r="DL267" s="63">
        <v>0</v>
      </c>
      <c r="DM267" s="63">
        <v>-100227</v>
      </c>
      <c r="DN267" s="63">
        <v>100018000</v>
      </c>
      <c r="DO267" s="63">
        <v>0</v>
      </c>
      <c r="DP267" s="63">
        <v>100018000</v>
      </c>
      <c r="DQ267" s="63"/>
      <c r="DR267" s="585" t="s">
        <v>768</v>
      </c>
    </row>
    <row r="268" spans="1:122" x14ac:dyDescent="0.2">
      <c r="A268" s="90">
        <v>261</v>
      </c>
      <c r="B268" s="129" t="s">
        <v>375</v>
      </c>
      <c r="C268" s="130" t="s">
        <v>501</v>
      </c>
      <c r="D268" s="131" t="s">
        <v>755</v>
      </c>
      <c r="E268" s="132" t="s">
        <v>519</v>
      </c>
      <c r="F268" s="475" t="s">
        <v>808</v>
      </c>
      <c r="G268" s="63">
        <v>196847010</v>
      </c>
      <c r="H268" s="63">
        <v>916375</v>
      </c>
      <c r="I268" s="63">
        <v>197763385</v>
      </c>
      <c r="J268" s="608">
        <v>48.4</v>
      </c>
      <c r="K268" s="63">
        <v>95273953</v>
      </c>
      <c r="L268" s="63">
        <v>443526</v>
      </c>
      <c r="M268" s="63">
        <v>0</v>
      </c>
      <c r="N268" s="63">
        <v>0</v>
      </c>
      <c r="O268" s="63">
        <v>95273953</v>
      </c>
      <c r="P268" s="63">
        <v>443526</v>
      </c>
      <c r="Q268" s="63">
        <v>95717479</v>
      </c>
      <c r="R268" s="63">
        <v>0</v>
      </c>
      <c r="S268" s="63">
        <v>0</v>
      </c>
      <c r="T268" s="63">
        <v>0</v>
      </c>
      <c r="U268" s="63">
        <v>0</v>
      </c>
      <c r="V268" s="63">
        <v>0</v>
      </c>
      <c r="W268" s="63">
        <v>0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0</v>
      </c>
      <c r="AE268" s="63">
        <v>0</v>
      </c>
      <c r="AF268" s="63">
        <v>0</v>
      </c>
      <c r="AG268" s="63">
        <v>0</v>
      </c>
      <c r="AH268" s="63">
        <v>-3103794</v>
      </c>
      <c r="AI268" s="63">
        <v>-14289</v>
      </c>
      <c r="AJ268" s="63">
        <v>-3118083</v>
      </c>
      <c r="AK268" s="63">
        <v>0</v>
      </c>
      <c r="AL268" s="63">
        <v>0</v>
      </c>
      <c r="AM268" s="63">
        <v>0</v>
      </c>
      <c r="AN268" s="63">
        <v>2319227</v>
      </c>
      <c r="AO268" s="63">
        <v>11565</v>
      </c>
      <c r="AP268" s="63">
        <v>2330792</v>
      </c>
      <c r="AQ268" s="63">
        <v>-784567</v>
      </c>
      <c r="AR268" s="63">
        <v>-2724</v>
      </c>
      <c r="AS268" s="63">
        <v>-787291</v>
      </c>
      <c r="AT268" s="63">
        <v>-4306775</v>
      </c>
      <c r="AU268" s="63">
        <v>0</v>
      </c>
      <c r="AV268" s="63">
        <v>-4306775</v>
      </c>
      <c r="AW268" s="63">
        <v>-48686</v>
      </c>
      <c r="AX268" s="63">
        <v>0</v>
      </c>
      <c r="AY268" s="63">
        <v>-48686</v>
      </c>
      <c r="AZ268" s="63">
        <v>-8449</v>
      </c>
      <c r="BA268" s="63">
        <v>0</v>
      </c>
      <c r="BB268" s="63">
        <v>-8449</v>
      </c>
      <c r="BC268" s="63">
        <v>-5148477</v>
      </c>
      <c r="BD268" s="63">
        <v>-2724</v>
      </c>
      <c r="BE268" s="63">
        <v>0</v>
      </c>
      <c r="BF268" s="63">
        <v>0</v>
      </c>
      <c r="BG268" s="63">
        <v>-5148477</v>
      </c>
      <c r="BH268" s="63">
        <v>-2724</v>
      </c>
      <c r="BI268" s="63">
        <v>-5151201</v>
      </c>
      <c r="BJ268" s="63">
        <v>-100000</v>
      </c>
      <c r="BK268" s="63">
        <v>0</v>
      </c>
      <c r="BL268" s="63">
        <v>-100000</v>
      </c>
      <c r="BM268" s="63">
        <v>-1587718</v>
      </c>
      <c r="BN268" s="63">
        <v>0</v>
      </c>
      <c r="BO268" s="63">
        <v>-1587718</v>
      </c>
      <c r="BP268" s="63">
        <v>-1687718</v>
      </c>
      <c r="BQ268" s="63">
        <v>0</v>
      </c>
      <c r="BR268" s="63">
        <v>-742282</v>
      </c>
      <c r="BS268" s="63">
        <v>0</v>
      </c>
      <c r="BT268" s="63">
        <v>-2430000</v>
      </c>
      <c r="BU268" s="63">
        <v>0</v>
      </c>
      <c r="BV268" s="63">
        <v>-2430000</v>
      </c>
      <c r="BW268" s="63">
        <v>-192197</v>
      </c>
      <c r="BX268" s="63">
        <v>0</v>
      </c>
      <c r="BY268" s="63">
        <v>-192197</v>
      </c>
      <c r="BZ268" s="63">
        <v>-84559</v>
      </c>
      <c r="CA268" s="63">
        <v>0</v>
      </c>
      <c r="CB268" s="63">
        <v>-84559</v>
      </c>
      <c r="CC268" s="63">
        <v>-9584</v>
      </c>
      <c r="CD268" s="63">
        <v>0</v>
      </c>
      <c r="CE268" s="63">
        <v>-9584</v>
      </c>
      <c r="CF268" s="63">
        <v>-8449</v>
      </c>
      <c r="CG268" s="63">
        <v>0</v>
      </c>
      <c r="CH268" s="63">
        <v>-8449</v>
      </c>
      <c r="CI268" s="63">
        <v>0</v>
      </c>
      <c r="CJ268" s="63">
        <v>0</v>
      </c>
      <c r="CK268" s="63">
        <v>0</v>
      </c>
      <c r="CL268" s="63">
        <v>-91631</v>
      </c>
      <c r="CM268" s="63">
        <v>-135895</v>
      </c>
      <c r="CN268" s="63">
        <v>-227526</v>
      </c>
      <c r="CO268" s="63">
        <v>-61593</v>
      </c>
      <c r="CP268" s="63">
        <v>-74302</v>
      </c>
      <c r="CQ268" s="63">
        <v>-386420</v>
      </c>
      <c r="CR268" s="63">
        <v>-135895</v>
      </c>
      <c r="CS268" s="63">
        <v>0</v>
      </c>
      <c r="CT268" s="63">
        <v>0</v>
      </c>
      <c r="CU268" s="63">
        <v>-386420</v>
      </c>
      <c r="CV268" s="63">
        <v>-135895</v>
      </c>
      <c r="CW268" s="63">
        <v>-522315</v>
      </c>
      <c r="CX268" s="63">
        <v>0</v>
      </c>
      <c r="CY268" s="63">
        <v>-103078</v>
      </c>
      <c r="CZ268" s="63">
        <v>-103078</v>
      </c>
      <c r="DA268" s="63">
        <v>-12458</v>
      </c>
      <c r="DB268" s="63">
        <v>0</v>
      </c>
      <c r="DC268" s="63">
        <v>-12458</v>
      </c>
      <c r="DD268" s="63">
        <v>-9500</v>
      </c>
      <c r="DE268" s="63">
        <v>0</v>
      </c>
      <c r="DF268" s="63">
        <v>-9500</v>
      </c>
      <c r="DG268" s="63">
        <v>-21958</v>
      </c>
      <c r="DH268" s="63">
        <v>-103078</v>
      </c>
      <c r="DI268" s="63">
        <v>0</v>
      </c>
      <c r="DJ268" s="63">
        <v>0</v>
      </c>
      <c r="DK268" s="63">
        <v>-21958</v>
      </c>
      <c r="DL268" s="63">
        <v>-103078</v>
      </c>
      <c r="DM268" s="63">
        <v>-125036</v>
      </c>
      <c r="DN268" s="63">
        <v>87287098</v>
      </c>
      <c r="DO268" s="63">
        <v>201829</v>
      </c>
      <c r="DP268" s="63">
        <v>87488927</v>
      </c>
      <c r="DQ268" s="63"/>
      <c r="DR268" s="585" t="s">
        <v>768</v>
      </c>
    </row>
    <row r="269" spans="1:122" x14ac:dyDescent="0.2">
      <c r="A269" s="90">
        <v>262</v>
      </c>
      <c r="B269" s="129" t="s">
        <v>376</v>
      </c>
      <c r="C269" s="130" t="s">
        <v>501</v>
      </c>
      <c r="D269" s="131" t="s">
        <v>752</v>
      </c>
      <c r="E269" s="132" t="s">
        <v>548</v>
      </c>
      <c r="F269" s="475" t="s">
        <v>808</v>
      </c>
      <c r="G269" s="63">
        <v>215728163</v>
      </c>
      <c r="H269" s="63">
        <v>0</v>
      </c>
      <c r="I269" s="63">
        <v>215728163</v>
      </c>
      <c r="J269" s="608">
        <v>48.4</v>
      </c>
      <c r="K269" s="63">
        <v>104412431</v>
      </c>
      <c r="L269" s="63">
        <v>0</v>
      </c>
      <c r="M269" s="63">
        <v>2200000</v>
      </c>
      <c r="N269" s="63">
        <v>0</v>
      </c>
      <c r="O269" s="63">
        <v>106612431</v>
      </c>
      <c r="P269" s="63">
        <v>0</v>
      </c>
      <c r="Q269" s="63">
        <v>106612431</v>
      </c>
      <c r="R269" s="63">
        <v>0</v>
      </c>
      <c r="S269" s="63">
        <v>0</v>
      </c>
      <c r="T269" s="63">
        <v>0</v>
      </c>
      <c r="U269" s="63">
        <v>0</v>
      </c>
      <c r="V269" s="63">
        <v>0</v>
      </c>
      <c r="W269" s="63">
        <v>0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63">
        <v>0</v>
      </c>
      <c r="AF269" s="63">
        <v>0</v>
      </c>
      <c r="AG269" s="63">
        <v>0</v>
      </c>
      <c r="AH269" s="63">
        <v>-6124261</v>
      </c>
      <c r="AI269" s="63">
        <v>0</v>
      </c>
      <c r="AJ269" s="63">
        <v>-6124261</v>
      </c>
      <c r="AK269" s="63">
        <v>0</v>
      </c>
      <c r="AL269" s="63">
        <v>0</v>
      </c>
      <c r="AM269" s="63">
        <v>0</v>
      </c>
      <c r="AN269" s="63">
        <v>1645564</v>
      </c>
      <c r="AO269" s="63">
        <v>0</v>
      </c>
      <c r="AP269" s="63">
        <v>1645564</v>
      </c>
      <c r="AQ269" s="63">
        <v>-4478697</v>
      </c>
      <c r="AR269" s="63">
        <v>0</v>
      </c>
      <c r="AS269" s="63">
        <v>-4478697</v>
      </c>
      <c r="AT269" s="63">
        <v>-5563661</v>
      </c>
      <c r="AU269" s="63">
        <v>0</v>
      </c>
      <c r="AV269" s="63">
        <v>-5563661</v>
      </c>
      <c r="AW269" s="63">
        <v>-54806</v>
      </c>
      <c r="AX269" s="63">
        <v>0</v>
      </c>
      <c r="AY269" s="63">
        <v>-54806</v>
      </c>
      <c r="AZ269" s="63">
        <v>0</v>
      </c>
      <c r="BA269" s="63">
        <v>0</v>
      </c>
      <c r="BB269" s="63">
        <v>0</v>
      </c>
      <c r="BC269" s="63">
        <v>-10097164</v>
      </c>
      <c r="BD269" s="63">
        <v>0</v>
      </c>
      <c r="BE269" s="63">
        <v>0</v>
      </c>
      <c r="BF269" s="63">
        <v>0</v>
      </c>
      <c r="BG269" s="63">
        <v>-10097164</v>
      </c>
      <c r="BH269" s="63">
        <v>0</v>
      </c>
      <c r="BI269" s="63">
        <v>-10097164</v>
      </c>
      <c r="BJ269" s="63">
        <v>-288730</v>
      </c>
      <c r="BK269" s="63">
        <v>0</v>
      </c>
      <c r="BL269" s="63">
        <v>-288730</v>
      </c>
      <c r="BM269" s="63">
        <v>-2982135</v>
      </c>
      <c r="BN269" s="63">
        <v>0</v>
      </c>
      <c r="BO269" s="63">
        <v>-2982135</v>
      </c>
      <c r="BP269" s="63">
        <v>-3270865</v>
      </c>
      <c r="BQ269" s="63">
        <v>0</v>
      </c>
      <c r="BR269" s="63">
        <v>0</v>
      </c>
      <c r="BS269" s="63">
        <v>0</v>
      </c>
      <c r="BT269" s="63">
        <v>-3270865</v>
      </c>
      <c r="BU269" s="63">
        <v>0</v>
      </c>
      <c r="BV269" s="63">
        <v>-3270865</v>
      </c>
      <c r="BW269" s="63">
        <v>-126657</v>
      </c>
      <c r="BX269" s="63">
        <v>0</v>
      </c>
      <c r="BY269" s="63">
        <v>-126657</v>
      </c>
      <c r="BZ269" s="63">
        <v>-123112</v>
      </c>
      <c r="CA269" s="63">
        <v>0</v>
      </c>
      <c r="CB269" s="63">
        <v>-123112</v>
      </c>
      <c r="CC269" s="63">
        <v>-7740</v>
      </c>
      <c r="CD269" s="63">
        <v>0</v>
      </c>
      <c r="CE269" s="63">
        <v>-7740</v>
      </c>
      <c r="CF269" s="63">
        <v>0</v>
      </c>
      <c r="CG269" s="63">
        <v>0</v>
      </c>
      <c r="CH269" s="63">
        <v>0</v>
      </c>
      <c r="CI269" s="63">
        <v>0</v>
      </c>
      <c r="CJ269" s="63">
        <v>0</v>
      </c>
      <c r="CK269" s="63">
        <v>0</v>
      </c>
      <c r="CL269" s="63">
        <v>0</v>
      </c>
      <c r="CM269" s="63">
        <v>0</v>
      </c>
      <c r="CN269" s="63">
        <v>0</v>
      </c>
      <c r="CO269" s="63">
        <v>0</v>
      </c>
      <c r="CP269" s="63">
        <v>0</v>
      </c>
      <c r="CQ269" s="63">
        <v>-257509</v>
      </c>
      <c r="CR269" s="63">
        <v>0</v>
      </c>
      <c r="CS269" s="63">
        <v>0</v>
      </c>
      <c r="CT269" s="63">
        <v>0</v>
      </c>
      <c r="CU269" s="63">
        <v>-257509</v>
      </c>
      <c r="CV269" s="63">
        <v>0</v>
      </c>
      <c r="CW269" s="63">
        <v>-257509</v>
      </c>
      <c r="CX269" s="63">
        <v>0</v>
      </c>
      <c r="CY269" s="63">
        <v>0</v>
      </c>
      <c r="CZ269" s="63">
        <v>0</v>
      </c>
      <c r="DA269" s="63">
        <v>0</v>
      </c>
      <c r="DB269" s="63">
        <v>0</v>
      </c>
      <c r="DC269" s="63">
        <v>0</v>
      </c>
      <c r="DD269" s="63">
        <v>-1171626</v>
      </c>
      <c r="DE269" s="63">
        <v>0</v>
      </c>
      <c r="DF269" s="63">
        <v>-1171626</v>
      </c>
      <c r="DG269" s="63">
        <v>-1171626</v>
      </c>
      <c r="DH269" s="63">
        <v>0</v>
      </c>
      <c r="DI269" s="63">
        <v>0</v>
      </c>
      <c r="DJ269" s="63">
        <v>0</v>
      </c>
      <c r="DK269" s="63">
        <v>-1171626</v>
      </c>
      <c r="DL269" s="63">
        <v>0</v>
      </c>
      <c r="DM269" s="63">
        <v>-1171626</v>
      </c>
      <c r="DN269" s="63">
        <v>91815267</v>
      </c>
      <c r="DO269" s="63">
        <v>0</v>
      </c>
      <c r="DP269" s="63">
        <v>91815267</v>
      </c>
      <c r="DQ269" s="63"/>
      <c r="DR269" s="585" t="s">
        <v>768</v>
      </c>
    </row>
    <row r="270" spans="1:122" x14ac:dyDescent="0.2">
      <c r="A270" s="90">
        <v>263</v>
      </c>
      <c r="B270" s="129" t="s">
        <v>378</v>
      </c>
      <c r="C270" s="130" t="s">
        <v>742</v>
      </c>
      <c r="D270" s="131" t="s">
        <v>752</v>
      </c>
      <c r="E270" s="132" t="s">
        <v>377</v>
      </c>
      <c r="F270" s="475" t="s">
        <v>808</v>
      </c>
      <c r="G270" s="63">
        <v>134426959</v>
      </c>
      <c r="H270" s="63">
        <v>0</v>
      </c>
      <c r="I270" s="63">
        <v>134426959</v>
      </c>
      <c r="J270" s="608">
        <v>48.4</v>
      </c>
      <c r="K270" s="63">
        <v>65062648</v>
      </c>
      <c r="L270" s="63">
        <v>0</v>
      </c>
      <c r="M270" s="63">
        <v>-1000000</v>
      </c>
      <c r="N270" s="63">
        <v>0</v>
      </c>
      <c r="O270" s="63">
        <v>64062648</v>
      </c>
      <c r="P270" s="63">
        <v>0</v>
      </c>
      <c r="Q270" s="63">
        <v>64062648</v>
      </c>
      <c r="R270" s="63">
        <v>0</v>
      </c>
      <c r="S270" s="63">
        <v>0</v>
      </c>
      <c r="T270" s="63">
        <v>0</v>
      </c>
      <c r="U270" s="63">
        <v>0</v>
      </c>
      <c r="V270" s="63">
        <v>0</v>
      </c>
      <c r="W270" s="63">
        <v>0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0</v>
      </c>
      <c r="AE270" s="63">
        <v>0</v>
      </c>
      <c r="AF270" s="63">
        <v>0</v>
      </c>
      <c r="AG270" s="63">
        <v>0</v>
      </c>
      <c r="AH270" s="63">
        <v>-3473868.38</v>
      </c>
      <c r="AI270" s="63">
        <v>0</v>
      </c>
      <c r="AJ270" s="63">
        <v>-3473868.38</v>
      </c>
      <c r="AK270" s="63">
        <v>0</v>
      </c>
      <c r="AL270" s="63">
        <v>0</v>
      </c>
      <c r="AM270" s="63">
        <v>0</v>
      </c>
      <c r="AN270" s="63">
        <v>1476912.93</v>
      </c>
      <c r="AO270" s="63">
        <v>0</v>
      </c>
      <c r="AP270" s="63">
        <v>1476912.93</v>
      </c>
      <c r="AQ270" s="63">
        <v>-1996955.45</v>
      </c>
      <c r="AR270" s="63">
        <v>0</v>
      </c>
      <c r="AS270" s="63">
        <v>-1996955.45</v>
      </c>
      <c r="AT270" s="63">
        <v>-4149697.52</v>
      </c>
      <c r="AU270" s="63">
        <v>0</v>
      </c>
      <c r="AV270" s="63">
        <v>-4149697.52</v>
      </c>
      <c r="AW270" s="63">
        <v>-99600.79</v>
      </c>
      <c r="AX270" s="63">
        <v>0</v>
      </c>
      <c r="AY270" s="63">
        <v>-99600.79</v>
      </c>
      <c r="AZ270" s="63">
        <v>-33592.269999999997</v>
      </c>
      <c r="BA270" s="63">
        <v>0</v>
      </c>
      <c r="BB270" s="63">
        <v>-33592.269999999997</v>
      </c>
      <c r="BC270" s="63">
        <v>-6279846.0299999993</v>
      </c>
      <c r="BD270" s="63">
        <v>0</v>
      </c>
      <c r="BE270" s="63">
        <v>0</v>
      </c>
      <c r="BF270" s="63">
        <v>0</v>
      </c>
      <c r="BG270" s="63">
        <v>-6279846.0299999993</v>
      </c>
      <c r="BH270" s="63">
        <v>0</v>
      </c>
      <c r="BI270" s="63">
        <v>-6279846.0299999993</v>
      </c>
      <c r="BJ270" s="63">
        <v>0</v>
      </c>
      <c r="BK270" s="63">
        <v>0</v>
      </c>
      <c r="BL270" s="63">
        <v>0</v>
      </c>
      <c r="BM270" s="63">
        <v>-1955213.71</v>
      </c>
      <c r="BN270" s="63">
        <v>0</v>
      </c>
      <c r="BO270" s="63">
        <v>-1955213.71</v>
      </c>
      <c r="BP270" s="63">
        <v>-1955213.71</v>
      </c>
      <c r="BQ270" s="63">
        <v>0</v>
      </c>
      <c r="BR270" s="63">
        <v>0</v>
      </c>
      <c r="BS270" s="63">
        <v>0</v>
      </c>
      <c r="BT270" s="63">
        <v>-1955213.71</v>
      </c>
      <c r="BU270" s="63">
        <v>0</v>
      </c>
      <c r="BV270" s="63">
        <v>-1955213.71</v>
      </c>
      <c r="BW270" s="63">
        <v>-12502.04</v>
      </c>
      <c r="BX270" s="63">
        <v>0</v>
      </c>
      <c r="BY270" s="63">
        <v>-12502.04</v>
      </c>
      <c r="BZ270" s="63">
        <v>-32254.13</v>
      </c>
      <c r="CA270" s="63">
        <v>0</v>
      </c>
      <c r="CB270" s="63">
        <v>-32254.13</v>
      </c>
      <c r="CC270" s="63">
        <v>0</v>
      </c>
      <c r="CD270" s="63">
        <v>0</v>
      </c>
      <c r="CE270" s="63">
        <v>0</v>
      </c>
      <c r="CF270" s="63">
        <v>-2109.2800000000002</v>
      </c>
      <c r="CG270" s="63">
        <v>0</v>
      </c>
      <c r="CH270" s="63">
        <v>-2109.2800000000002</v>
      </c>
      <c r="CI270" s="63">
        <v>0</v>
      </c>
      <c r="CJ270" s="63">
        <v>0</v>
      </c>
      <c r="CK270" s="63">
        <v>0</v>
      </c>
      <c r="CL270" s="63">
        <v>0</v>
      </c>
      <c r="CM270" s="63">
        <v>0</v>
      </c>
      <c r="CN270" s="63">
        <v>0</v>
      </c>
      <c r="CO270" s="63">
        <v>0</v>
      </c>
      <c r="CP270" s="63">
        <v>0</v>
      </c>
      <c r="CQ270" s="63">
        <v>-46865.45</v>
      </c>
      <c r="CR270" s="63">
        <v>0</v>
      </c>
      <c r="CS270" s="63">
        <v>0</v>
      </c>
      <c r="CT270" s="63">
        <v>0</v>
      </c>
      <c r="CU270" s="63">
        <v>-46865.45</v>
      </c>
      <c r="CV270" s="63">
        <v>0</v>
      </c>
      <c r="CW270" s="63">
        <v>-46865.45</v>
      </c>
      <c r="CX270" s="63">
        <v>0</v>
      </c>
      <c r="CY270" s="63">
        <v>0</v>
      </c>
      <c r="CZ270" s="63">
        <v>0</v>
      </c>
      <c r="DA270" s="63">
        <v>-58279.25</v>
      </c>
      <c r="DB270" s="63">
        <v>0</v>
      </c>
      <c r="DC270" s="63">
        <v>-58279.25</v>
      </c>
      <c r="DD270" s="63">
        <v>-2992.42</v>
      </c>
      <c r="DE270" s="63">
        <v>0</v>
      </c>
      <c r="DF270" s="63">
        <v>-2992.42</v>
      </c>
      <c r="DG270" s="63">
        <v>-61271.67</v>
      </c>
      <c r="DH270" s="63">
        <v>0</v>
      </c>
      <c r="DI270" s="63">
        <v>0</v>
      </c>
      <c r="DJ270" s="63">
        <v>0</v>
      </c>
      <c r="DK270" s="63">
        <v>-61271.67</v>
      </c>
      <c r="DL270" s="63">
        <v>0</v>
      </c>
      <c r="DM270" s="63">
        <v>-61271.67</v>
      </c>
      <c r="DN270" s="63">
        <v>55719451.139999993</v>
      </c>
      <c r="DO270" s="63">
        <v>0</v>
      </c>
      <c r="DP270" s="63">
        <v>55719451.139999993</v>
      </c>
      <c r="DQ270" s="63"/>
      <c r="DR270" s="585"/>
    </row>
    <row r="271" spans="1:122" x14ac:dyDescent="0.2">
      <c r="A271" s="90">
        <v>264</v>
      </c>
      <c r="B271" s="129" t="s">
        <v>380</v>
      </c>
      <c r="C271" s="130" t="s">
        <v>742</v>
      </c>
      <c r="D271" s="131" t="s">
        <v>751</v>
      </c>
      <c r="E271" s="132" t="s">
        <v>379</v>
      </c>
      <c r="F271" s="475" t="s">
        <v>808</v>
      </c>
      <c r="G271" s="63">
        <v>68729354</v>
      </c>
      <c r="H271" s="63">
        <v>0</v>
      </c>
      <c r="I271" s="63">
        <v>68729354</v>
      </c>
      <c r="J271" s="608">
        <v>48.4</v>
      </c>
      <c r="K271" s="63">
        <v>33265007</v>
      </c>
      <c r="L271" s="63">
        <v>0</v>
      </c>
      <c r="M271" s="63">
        <v>0</v>
      </c>
      <c r="N271" s="63">
        <v>0</v>
      </c>
      <c r="O271" s="63">
        <v>33265007</v>
      </c>
      <c r="P271" s="63">
        <v>0</v>
      </c>
      <c r="Q271" s="63">
        <v>33265007</v>
      </c>
      <c r="R271" s="63">
        <v>0</v>
      </c>
      <c r="S271" s="63">
        <v>0</v>
      </c>
      <c r="T271" s="63">
        <v>0</v>
      </c>
      <c r="U271" s="63">
        <v>0</v>
      </c>
      <c r="V271" s="63">
        <v>0</v>
      </c>
      <c r="W271" s="63">
        <v>0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0</v>
      </c>
      <c r="AE271" s="63">
        <v>0</v>
      </c>
      <c r="AF271" s="63">
        <v>0</v>
      </c>
      <c r="AG271" s="63">
        <v>0</v>
      </c>
      <c r="AH271" s="63">
        <v>-2673859</v>
      </c>
      <c r="AI271" s="63">
        <v>0</v>
      </c>
      <c r="AJ271" s="63">
        <v>-2673859</v>
      </c>
      <c r="AK271" s="63">
        <v>0</v>
      </c>
      <c r="AL271" s="63">
        <v>0</v>
      </c>
      <c r="AM271" s="63">
        <v>0</v>
      </c>
      <c r="AN271" s="63">
        <v>843573</v>
      </c>
      <c r="AO271" s="63">
        <v>0</v>
      </c>
      <c r="AP271" s="63">
        <v>843573</v>
      </c>
      <c r="AQ271" s="63">
        <v>-1830286</v>
      </c>
      <c r="AR271" s="63">
        <v>0</v>
      </c>
      <c r="AS271" s="63">
        <v>-1830286</v>
      </c>
      <c r="AT271" s="63">
        <v>-2053013.58</v>
      </c>
      <c r="AU271" s="63">
        <v>0</v>
      </c>
      <c r="AV271" s="63">
        <v>-2053013.58</v>
      </c>
      <c r="AW271" s="63">
        <v>-61639.92</v>
      </c>
      <c r="AX271" s="63">
        <v>0</v>
      </c>
      <c r="AY271" s="63">
        <v>-61639.92</v>
      </c>
      <c r="AZ271" s="63">
        <v>-43951</v>
      </c>
      <c r="BA271" s="63">
        <v>0</v>
      </c>
      <c r="BB271" s="63">
        <v>-43951</v>
      </c>
      <c r="BC271" s="63">
        <v>-3988890.5</v>
      </c>
      <c r="BD271" s="63">
        <v>0</v>
      </c>
      <c r="BE271" s="63">
        <v>0</v>
      </c>
      <c r="BF271" s="63">
        <v>0</v>
      </c>
      <c r="BG271" s="63">
        <v>-3988890.5</v>
      </c>
      <c r="BH271" s="63">
        <v>0</v>
      </c>
      <c r="BI271" s="63">
        <v>-3988890.5</v>
      </c>
      <c r="BJ271" s="63">
        <v>-7617.97</v>
      </c>
      <c r="BK271" s="63">
        <v>0</v>
      </c>
      <c r="BL271" s="63">
        <v>-7617.97</v>
      </c>
      <c r="BM271" s="63">
        <v>-875640.17</v>
      </c>
      <c r="BN271" s="63">
        <v>0</v>
      </c>
      <c r="BO271" s="63">
        <v>-875640.17</v>
      </c>
      <c r="BP271" s="63">
        <v>-883258.14</v>
      </c>
      <c r="BQ271" s="63">
        <v>0</v>
      </c>
      <c r="BR271" s="63">
        <v>0</v>
      </c>
      <c r="BS271" s="63">
        <v>0</v>
      </c>
      <c r="BT271" s="63">
        <v>-883258.14</v>
      </c>
      <c r="BU271" s="63">
        <v>0</v>
      </c>
      <c r="BV271" s="63">
        <v>-883258.14</v>
      </c>
      <c r="BW271" s="63">
        <v>-77869.600000000006</v>
      </c>
      <c r="BX271" s="63">
        <v>0</v>
      </c>
      <c r="BY271" s="63">
        <v>-77869.600000000006</v>
      </c>
      <c r="BZ271" s="63">
        <v>-74822.039999999994</v>
      </c>
      <c r="CA271" s="63">
        <v>0</v>
      </c>
      <c r="CB271" s="63">
        <v>-74822.039999999994</v>
      </c>
      <c r="CC271" s="63">
        <v>0</v>
      </c>
      <c r="CD271" s="63">
        <v>0</v>
      </c>
      <c r="CE271" s="63">
        <v>0</v>
      </c>
      <c r="CF271" s="63">
        <v>-3255.34</v>
      </c>
      <c r="CG271" s="63">
        <v>0</v>
      </c>
      <c r="CH271" s="63">
        <v>-3255.34</v>
      </c>
      <c r="CI271" s="63">
        <v>0</v>
      </c>
      <c r="CJ271" s="63">
        <v>0</v>
      </c>
      <c r="CK271" s="63">
        <v>0</v>
      </c>
      <c r="CL271" s="63">
        <v>0</v>
      </c>
      <c r="CM271" s="63">
        <v>0</v>
      </c>
      <c r="CN271" s="63">
        <v>0</v>
      </c>
      <c r="CO271" s="63">
        <v>0</v>
      </c>
      <c r="CP271" s="63">
        <v>0</v>
      </c>
      <c r="CQ271" s="63">
        <v>-155946.98000000001</v>
      </c>
      <c r="CR271" s="63">
        <v>0</v>
      </c>
      <c r="CS271" s="63">
        <v>0</v>
      </c>
      <c r="CT271" s="63">
        <v>0</v>
      </c>
      <c r="CU271" s="63">
        <v>-155946.98000000001</v>
      </c>
      <c r="CV271" s="63">
        <v>0</v>
      </c>
      <c r="CW271" s="63">
        <v>-155946.98000000001</v>
      </c>
      <c r="CX271" s="63">
        <v>0</v>
      </c>
      <c r="CY271" s="63">
        <v>0</v>
      </c>
      <c r="CZ271" s="63">
        <v>0</v>
      </c>
      <c r="DA271" s="63">
        <v>-706.56</v>
      </c>
      <c r="DB271" s="63">
        <v>0</v>
      </c>
      <c r="DC271" s="63">
        <v>-706.56</v>
      </c>
      <c r="DD271" s="63">
        <v>0</v>
      </c>
      <c r="DE271" s="63">
        <v>0</v>
      </c>
      <c r="DF271" s="63">
        <v>0</v>
      </c>
      <c r="DG271" s="63">
        <v>-706.56</v>
      </c>
      <c r="DH271" s="63">
        <v>0</v>
      </c>
      <c r="DI271" s="63">
        <v>0</v>
      </c>
      <c r="DJ271" s="63">
        <v>0</v>
      </c>
      <c r="DK271" s="63">
        <v>-706.56</v>
      </c>
      <c r="DL271" s="63">
        <v>0</v>
      </c>
      <c r="DM271" s="63">
        <v>-706.56</v>
      </c>
      <c r="DN271" s="63">
        <v>28236204.82</v>
      </c>
      <c r="DO271" s="63">
        <v>0</v>
      </c>
      <c r="DP271" s="63">
        <v>28236204.82</v>
      </c>
      <c r="DQ271" s="63"/>
      <c r="DR271" s="585"/>
    </row>
    <row r="272" spans="1:122" x14ac:dyDescent="0.2">
      <c r="A272" s="90">
        <v>265</v>
      </c>
      <c r="B272" s="129" t="s">
        <v>382</v>
      </c>
      <c r="C272" s="130" t="s">
        <v>742</v>
      </c>
      <c r="D272" s="131" t="s">
        <v>746</v>
      </c>
      <c r="E272" s="132" t="s">
        <v>381</v>
      </c>
      <c r="F272" s="475" t="s">
        <v>808</v>
      </c>
      <c r="G272" s="63">
        <v>155025386</v>
      </c>
      <c r="H272" s="63">
        <v>0</v>
      </c>
      <c r="I272" s="63">
        <v>155025386</v>
      </c>
      <c r="J272" s="608">
        <v>48.4</v>
      </c>
      <c r="K272" s="63">
        <v>75032287</v>
      </c>
      <c r="L272" s="63">
        <v>0</v>
      </c>
      <c r="M272" s="63">
        <v>1076502</v>
      </c>
      <c r="N272" s="63">
        <v>0</v>
      </c>
      <c r="O272" s="63">
        <v>76108789</v>
      </c>
      <c r="P272" s="63">
        <v>0</v>
      </c>
      <c r="Q272" s="63">
        <v>76108789</v>
      </c>
      <c r="R272" s="63">
        <v>0</v>
      </c>
      <c r="S272" s="63">
        <v>0</v>
      </c>
      <c r="T272" s="63">
        <v>0</v>
      </c>
      <c r="U272" s="63">
        <v>0</v>
      </c>
      <c r="V272" s="63">
        <v>0</v>
      </c>
      <c r="W272" s="63">
        <v>0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0</v>
      </c>
      <c r="AE272" s="63">
        <v>0</v>
      </c>
      <c r="AF272" s="63">
        <v>0</v>
      </c>
      <c r="AG272" s="63">
        <v>0</v>
      </c>
      <c r="AH272" s="63">
        <v>-3738411</v>
      </c>
      <c r="AI272" s="63">
        <v>0</v>
      </c>
      <c r="AJ272" s="63">
        <v>-3738411</v>
      </c>
      <c r="AK272" s="63">
        <v>-4075</v>
      </c>
      <c r="AL272" s="63">
        <v>0</v>
      </c>
      <c r="AM272" s="63">
        <v>-4075</v>
      </c>
      <c r="AN272" s="63">
        <v>1763835</v>
      </c>
      <c r="AO272" s="63">
        <v>0</v>
      </c>
      <c r="AP272" s="63">
        <v>1763835</v>
      </c>
      <c r="AQ272" s="63">
        <v>-1974576</v>
      </c>
      <c r="AR272" s="63">
        <v>0</v>
      </c>
      <c r="AS272" s="63">
        <v>-1974576</v>
      </c>
      <c r="AT272" s="63">
        <v>-2619047</v>
      </c>
      <c r="AU272" s="63">
        <v>0</v>
      </c>
      <c r="AV272" s="63">
        <v>-2619047</v>
      </c>
      <c r="AW272" s="63">
        <v>-40853</v>
      </c>
      <c r="AX272" s="63">
        <v>0</v>
      </c>
      <c r="AY272" s="63">
        <v>-40853</v>
      </c>
      <c r="AZ272" s="63">
        <v>-80686</v>
      </c>
      <c r="BA272" s="63">
        <v>0</v>
      </c>
      <c r="BB272" s="63">
        <v>-80686</v>
      </c>
      <c r="BC272" s="63">
        <v>-4715162</v>
      </c>
      <c r="BD272" s="63">
        <v>0</v>
      </c>
      <c r="BE272" s="63">
        <v>0</v>
      </c>
      <c r="BF272" s="63">
        <v>0</v>
      </c>
      <c r="BG272" s="63">
        <v>-4715162</v>
      </c>
      <c r="BH272" s="63">
        <v>0</v>
      </c>
      <c r="BI272" s="63">
        <v>-4715162</v>
      </c>
      <c r="BJ272" s="63">
        <v>0</v>
      </c>
      <c r="BK272" s="63">
        <v>0</v>
      </c>
      <c r="BL272" s="63">
        <v>0</v>
      </c>
      <c r="BM272" s="63">
        <v>-768509</v>
      </c>
      <c r="BN272" s="63">
        <v>0</v>
      </c>
      <c r="BO272" s="63">
        <v>-768509</v>
      </c>
      <c r="BP272" s="63">
        <v>-768509</v>
      </c>
      <c r="BQ272" s="63">
        <v>0</v>
      </c>
      <c r="BR272" s="63">
        <v>0</v>
      </c>
      <c r="BS272" s="63">
        <v>0</v>
      </c>
      <c r="BT272" s="63">
        <v>-768509</v>
      </c>
      <c r="BU272" s="63">
        <v>0</v>
      </c>
      <c r="BV272" s="63">
        <v>-768509</v>
      </c>
      <c r="BW272" s="63">
        <v>-55875</v>
      </c>
      <c r="BX272" s="63">
        <v>0</v>
      </c>
      <c r="BY272" s="63">
        <v>-55875</v>
      </c>
      <c r="BZ272" s="63">
        <v>-28316</v>
      </c>
      <c r="CA272" s="63">
        <v>0</v>
      </c>
      <c r="CB272" s="63">
        <v>-28316</v>
      </c>
      <c r="CC272" s="63">
        <v>-219</v>
      </c>
      <c r="CD272" s="63">
        <v>0</v>
      </c>
      <c r="CE272" s="63">
        <v>-219</v>
      </c>
      <c r="CF272" s="63">
        <v>-11255</v>
      </c>
      <c r="CG272" s="63">
        <v>0</v>
      </c>
      <c r="CH272" s="63">
        <v>-11255</v>
      </c>
      <c r="CI272" s="63">
        <v>-11738</v>
      </c>
      <c r="CJ272" s="63">
        <v>0</v>
      </c>
      <c r="CK272" s="63">
        <v>-11738</v>
      </c>
      <c r="CL272" s="63">
        <v>0</v>
      </c>
      <c r="CM272" s="63">
        <v>0</v>
      </c>
      <c r="CN272" s="63">
        <v>0</v>
      </c>
      <c r="CO272" s="63">
        <v>0</v>
      </c>
      <c r="CP272" s="63">
        <v>0</v>
      </c>
      <c r="CQ272" s="63">
        <v>-107403</v>
      </c>
      <c r="CR272" s="63">
        <v>0</v>
      </c>
      <c r="CS272" s="63">
        <v>0</v>
      </c>
      <c r="CT272" s="63">
        <v>0</v>
      </c>
      <c r="CU272" s="63">
        <v>-107403</v>
      </c>
      <c r="CV272" s="63">
        <v>0</v>
      </c>
      <c r="CW272" s="63">
        <v>-107403</v>
      </c>
      <c r="CX272" s="63">
        <v>0</v>
      </c>
      <c r="CY272" s="63">
        <v>0</v>
      </c>
      <c r="CZ272" s="63">
        <v>0</v>
      </c>
      <c r="DA272" s="63">
        <v>-3025</v>
      </c>
      <c r="DB272" s="63">
        <v>0</v>
      </c>
      <c r="DC272" s="63">
        <v>-3025</v>
      </c>
      <c r="DD272" s="63">
        <v>0</v>
      </c>
      <c r="DE272" s="63">
        <v>0</v>
      </c>
      <c r="DF272" s="63">
        <v>0</v>
      </c>
      <c r="DG272" s="63">
        <v>-3025</v>
      </c>
      <c r="DH272" s="63">
        <v>0</v>
      </c>
      <c r="DI272" s="63">
        <v>0</v>
      </c>
      <c r="DJ272" s="63">
        <v>0</v>
      </c>
      <c r="DK272" s="63">
        <v>-3025</v>
      </c>
      <c r="DL272" s="63">
        <v>0</v>
      </c>
      <c r="DM272" s="63">
        <v>-3025</v>
      </c>
      <c r="DN272" s="63">
        <v>70514690</v>
      </c>
      <c r="DO272" s="63">
        <v>0</v>
      </c>
      <c r="DP272" s="63">
        <v>70514690</v>
      </c>
      <c r="DQ272" s="63"/>
      <c r="DR272" s="585"/>
    </row>
    <row r="273" spans="1:122" x14ac:dyDescent="0.2">
      <c r="A273" s="90">
        <v>266</v>
      </c>
      <c r="B273" s="129" t="s">
        <v>384</v>
      </c>
      <c r="C273" s="130" t="s">
        <v>749</v>
      </c>
      <c r="D273" s="131" t="s">
        <v>755</v>
      </c>
      <c r="E273" s="132" t="s">
        <v>383</v>
      </c>
      <c r="F273" s="475" t="s">
        <v>808</v>
      </c>
      <c r="G273" s="63">
        <v>220619885</v>
      </c>
      <c r="H273" s="63">
        <v>1884450</v>
      </c>
      <c r="I273" s="63">
        <v>222504335</v>
      </c>
      <c r="J273" s="608">
        <v>48.4</v>
      </c>
      <c r="K273" s="63">
        <v>106780024</v>
      </c>
      <c r="L273" s="63">
        <v>912074</v>
      </c>
      <c r="M273" s="63">
        <v>-2712919</v>
      </c>
      <c r="N273" s="63">
        <v>0</v>
      </c>
      <c r="O273" s="63">
        <v>104067105</v>
      </c>
      <c r="P273" s="63">
        <v>912074</v>
      </c>
      <c r="Q273" s="63">
        <v>104979179</v>
      </c>
      <c r="R273" s="63">
        <v>0</v>
      </c>
      <c r="S273" s="63">
        <v>0</v>
      </c>
      <c r="T273" s="63">
        <v>0</v>
      </c>
      <c r="U273" s="63">
        <v>0</v>
      </c>
      <c r="V273" s="63">
        <v>0</v>
      </c>
      <c r="W273" s="63">
        <v>0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63">
        <v>0</v>
      </c>
      <c r="AF273" s="63">
        <v>0</v>
      </c>
      <c r="AG273" s="63">
        <v>0</v>
      </c>
      <c r="AH273" s="63">
        <v>-4708991</v>
      </c>
      <c r="AI273" s="63">
        <v>-2513</v>
      </c>
      <c r="AJ273" s="63">
        <v>-4711504</v>
      </c>
      <c r="AK273" s="63">
        <v>0</v>
      </c>
      <c r="AL273" s="63">
        <v>0</v>
      </c>
      <c r="AM273" s="63">
        <v>0</v>
      </c>
      <c r="AN273" s="63">
        <v>2520500</v>
      </c>
      <c r="AO273" s="63">
        <v>24190</v>
      </c>
      <c r="AP273" s="63">
        <v>2544690</v>
      </c>
      <c r="AQ273" s="63">
        <v>-2188491</v>
      </c>
      <c r="AR273" s="63">
        <v>21677</v>
      </c>
      <c r="AS273" s="63">
        <v>-2166814</v>
      </c>
      <c r="AT273" s="63">
        <v>-5531027</v>
      </c>
      <c r="AU273" s="63">
        <v>-29224</v>
      </c>
      <c r="AV273" s="63">
        <v>-5560251</v>
      </c>
      <c r="AW273" s="63">
        <v>-43597</v>
      </c>
      <c r="AX273" s="63">
        <v>0</v>
      </c>
      <c r="AY273" s="63">
        <v>-43597</v>
      </c>
      <c r="AZ273" s="63">
        <v>-1907</v>
      </c>
      <c r="BA273" s="63">
        <v>0</v>
      </c>
      <c r="BB273" s="63">
        <v>-1907</v>
      </c>
      <c r="BC273" s="63">
        <v>-7765022</v>
      </c>
      <c r="BD273" s="63">
        <v>-7547</v>
      </c>
      <c r="BE273" s="63">
        <v>-970942</v>
      </c>
      <c r="BF273" s="63">
        <v>0</v>
      </c>
      <c r="BG273" s="63">
        <v>-8735964</v>
      </c>
      <c r="BH273" s="63">
        <v>-7547</v>
      </c>
      <c r="BI273" s="63">
        <v>-8743511</v>
      </c>
      <c r="BJ273" s="63">
        <v>-100000</v>
      </c>
      <c r="BK273" s="63">
        <v>0</v>
      </c>
      <c r="BL273" s="63">
        <v>-100000</v>
      </c>
      <c r="BM273" s="63">
        <v>-1795059</v>
      </c>
      <c r="BN273" s="63">
        <v>-11431</v>
      </c>
      <c r="BO273" s="63">
        <v>-1806490</v>
      </c>
      <c r="BP273" s="63">
        <v>-1895059</v>
      </c>
      <c r="BQ273" s="63">
        <v>-11431</v>
      </c>
      <c r="BR273" s="63">
        <v>-900000</v>
      </c>
      <c r="BS273" s="63">
        <v>0</v>
      </c>
      <c r="BT273" s="63">
        <v>-2795059</v>
      </c>
      <c r="BU273" s="63">
        <v>-11431</v>
      </c>
      <c r="BV273" s="63">
        <v>-2806490</v>
      </c>
      <c r="BW273" s="63">
        <v>-59637</v>
      </c>
      <c r="BX273" s="63">
        <v>0</v>
      </c>
      <c r="BY273" s="63">
        <v>-59637</v>
      </c>
      <c r="BZ273" s="63">
        <v>-139170</v>
      </c>
      <c r="CA273" s="63">
        <v>0</v>
      </c>
      <c r="CB273" s="63">
        <v>-139170</v>
      </c>
      <c r="CC273" s="63">
        <v>-596</v>
      </c>
      <c r="CD273" s="63">
        <v>0</v>
      </c>
      <c r="CE273" s="63">
        <v>-596</v>
      </c>
      <c r="CF273" s="63">
        <v>0</v>
      </c>
      <c r="CG273" s="63">
        <v>0</v>
      </c>
      <c r="CH273" s="63">
        <v>0</v>
      </c>
      <c r="CI273" s="63">
        <v>0</v>
      </c>
      <c r="CJ273" s="63">
        <v>0</v>
      </c>
      <c r="CK273" s="63">
        <v>0</v>
      </c>
      <c r="CL273" s="63">
        <v>0</v>
      </c>
      <c r="CM273" s="63">
        <v>-34790</v>
      </c>
      <c r="CN273" s="63">
        <v>-34790</v>
      </c>
      <c r="CO273" s="63">
        <v>-34790</v>
      </c>
      <c r="CP273" s="63">
        <v>0</v>
      </c>
      <c r="CQ273" s="63">
        <v>-199403</v>
      </c>
      <c r="CR273" s="63">
        <v>-34790</v>
      </c>
      <c r="CS273" s="63">
        <v>0</v>
      </c>
      <c r="CT273" s="63">
        <v>0</v>
      </c>
      <c r="CU273" s="63">
        <v>-199403</v>
      </c>
      <c r="CV273" s="63">
        <v>-34790</v>
      </c>
      <c r="CW273" s="63">
        <v>-234193</v>
      </c>
      <c r="CX273" s="63">
        <v>0</v>
      </c>
      <c r="CY273" s="63">
        <v>0</v>
      </c>
      <c r="CZ273" s="63">
        <v>0</v>
      </c>
      <c r="DA273" s="63">
        <v>-62403</v>
      </c>
      <c r="DB273" s="63">
        <v>0</v>
      </c>
      <c r="DC273" s="63">
        <v>-62403</v>
      </c>
      <c r="DD273" s="63">
        <v>-20000</v>
      </c>
      <c r="DE273" s="63">
        <v>0</v>
      </c>
      <c r="DF273" s="63">
        <v>-20000</v>
      </c>
      <c r="DG273" s="63">
        <v>-82403</v>
      </c>
      <c r="DH273" s="63">
        <v>0</v>
      </c>
      <c r="DI273" s="63">
        <v>0</v>
      </c>
      <c r="DJ273" s="63">
        <v>0</v>
      </c>
      <c r="DK273" s="63">
        <v>-82403</v>
      </c>
      <c r="DL273" s="63">
        <v>0</v>
      </c>
      <c r="DM273" s="63">
        <v>-82403</v>
      </c>
      <c r="DN273" s="63">
        <v>92254276</v>
      </c>
      <c r="DO273" s="63">
        <v>858306</v>
      </c>
      <c r="DP273" s="63">
        <v>93112582</v>
      </c>
      <c r="DQ273" s="63"/>
      <c r="DR273" s="585" t="s">
        <v>768</v>
      </c>
    </row>
    <row r="274" spans="1:122" x14ac:dyDescent="0.2">
      <c r="A274" s="90">
        <v>267</v>
      </c>
      <c r="B274" s="129" t="s">
        <v>386</v>
      </c>
      <c r="C274" s="130" t="s">
        <v>742</v>
      </c>
      <c r="D274" s="131" t="s">
        <v>743</v>
      </c>
      <c r="E274" s="132" t="s">
        <v>385</v>
      </c>
      <c r="F274" s="475" t="s">
        <v>808</v>
      </c>
      <c r="G274" s="63">
        <v>84860550</v>
      </c>
      <c r="H274" s="63">
        <v>0</v>
      </c>
      <c r="I274" s="63">
        <v>84860550</v>
      </c>
      <c r="J274" s="608">
        <v>48.4</v>
      </c>
      <c r="K274" s="63">
        <v>41072506</v>
      </c>
      <c r="L274" s="63">
        <v>0</v>
      </c>
      <c r="M274" s="63">
        <v>0</v>
      </c>
      <c r="N274" s="63">
        <v>0</v>
      </c>
      <c r="O274" s="63">
        <v>41072506</v>
      </c>
      <c r="P274" s="63">
        <v>0</v>
      </c>
      <c r="Q274" s="63">
        <v>41072506</v>
      </c>
      <c r="R274" s="63">
        <v>0</v>
      </c>
      <c r="S274" s="63">
        <v>0</v>
      </c>
      <c r="T274" s="63">
        <v>0</v>
      </c>
      <c r="U274" s="63">
        <v>0</v>
      </c>
      <c r="V274" s="63">
        <v>0</v>
      </c>
      <c r="W274" s="63">
        <v>0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63">
        <v>0</v>
      </c>
      <c r="AF274" s="63">
        <v>0</v>
      </c>
      <c r="AG274" s="63">
        <v>0</v>
      </c>
      <c r="AH274" s="63">
        <v>-1346635</v>
      </c>
      <c r="AI274" s="63">
        <v>0</v>
      </c>
      <c r="AJ274" s="63">
        <v>-1346635</v>
      </c>
      <c r="AK274" s="63">
        <v>-200</v>
      </c>
      <c r="AL274" s="63">
        <v>0</v>
      </c>
      <c r="AM274" s="63">
        <v>-200</v>
      </c>
      <c r="AN274" s="63">
        <v>964646</v>
      </c>
      <c r="AO274" s="63">
        <v>0</v>
      </c>
      <c r="AP274" s="63">
        <v>964646</v>
      </c>
      <c r="AQ274" s="63">
        <v>-381989</v>
      </c>
      <c r="AR274" s="63">
        <v>0</v>
      </c>
      <c r="AS274" s="63">
        <v>-381989</v>
      </c>
      <c r="AT274" s="63">
        <v>-1465008</v>
      </c>
      <c r="AU274" s="63">
        <v>0</v>
      </c>
      <c r="AV274" s="63">
        <v>-1465008</v>
      </c>
      <c r="AW274" s="63">
        <v>-5815</v>
      </c>
      <c r="AX274" s="63">
        <v>0</v>
      </c>
      <c r="AY274" s="63">
        <v>-5815</v>
      </c>
      <c r="AZ274" s="63">
        <v>0</v>
      </c>
      <c r="BA274" s="63">
        <v>0</v>
      </c>
      <c r="BB274" s="63">
        <v>0</v>
      </c>
      <c r="BC274" s="63">
        <v>-1852812</v>
      </c>
      <c r="BD274" s="63">
        <v>0</v>
      </c>
      <c r="BE274" s="63">
        <v>0</v>
      </c>
      <c r="BF274" s="63">
        <v>0</v>
      </c>
      <c r="BG274" s="63">
        <v>-1852812</v>
      </c>
      <c r="BH274" s="63">
        <v>0</v>
      </c>
      <c r="BI274" s="63">
        <v>-1852812</v>
      </c>
      <c r="BJ274" s="63">
        <v>-200000</v>
      </c>
      <c r="BK274" s="63">
        <v>0</v>
      </c>
      <c r="BL274" s="63">
        <v>-200000</v>
      </c>
      <c r="BM274" s="63">
        <v>-1300000</v>
      </c>
      <c r="BN274" s="63">
        <v>0</v>
      </c>
      <c r="BO274" s="63">
        <v>-1300000</v>
      </c>
      <c r="BP274" s="63">
        <v>-1500000</v>
      </c>
      <c r="BQ274" s="63">
        <v>0</v>
      </c>
      <c r="BR274" s="63">
        <v>0</v>
      </c>
      <c r="BS274" s="63">
        <v>0</v>
      </c>
      <c r="BT274" s="63">
        <v>-1500000</v>
      </c>
      <c r="BU274" s="63">
        <v>0</v>
      </c>
      <c r="BV274" s="63">
        <v>-1500000</v>
      </c>
      <c r="BW274" s="63">
        <v>-90000</v>
      </c>
      <c r="BX274" s="63">
        <v>0</v>
      </c>
      <c r="BY274" s="63">
        <v>-90000</v>
      </c>
      <c r="BZ274" s="63">
        <v>-230000</v>
      </c>
      <c r="CA274" s="63">
        <v>0</v>
      </c>
      <c r="CB274" s="63">
        <v>-230000</v>
      </c>
      <c r="CC274" s="63">
        <v>-2000</v>
      </c>
      <c r="CD274" s="63">
        <v>0</v>
      </c>
      <c r="CE274" s="63">
        <v>-2000</v>
      </c>
      <c r="CF274" s="63">
        <v>0</v>
      </c>
      <c r="CG274" s="63">
        <v>0</v>
      </c>
      <c r="CH274" s="63">
        <v>0</v>
      </c>
      <c r="CI274" s="63">
        <v>0</v>
      </c>
      <c r="CJ274" s="63">
        <v>0</v>
      </c>
      <c r="CK274" s="63">
        <v>0</v>
      </c>
      <c r="CL274" s="63">
        <v>0</v>
      </c>
      <c r="CM274" s="63">
        <v>0</v>
      </c>
      <c r="CN274" s="63">
        <v>0</v>
      </c>
      <c r="CO274" s="63">
        <v>0</v>
      </c>
      <c r="CP274" s="63">
        <v>0</v>
      </c>
      <c r="CQ274" s="63">
        <v>-322000</v>
      </c>
      <c r="CR274" s="63">
        <v>0</v>
      </c>
      <c r="CS274" s="63">
        <v>0</v>
      </c>
      <c r="CT274" s="63">
        <v>0</v>
      </c>
      <c r="CU274" s="63">
        <v>-322000</v>
      </c>
      <c r="CV274" s="63">
        <v>0</v>
      </c>
      <c r="CW274" s="63">
        <v>-322000</v>
      </c>
      <c r="CX274" s="63">
        <v>-100000</v>
      </c>
      <c r="CY274" s="63">
        <v>0</v>
      </c>
      <c r="CZ274" s="63">
        <v>-100000</v>
      </c>
      <c r="DA274" s="63">
        <v>-35000</v>
      </c>
      <c r="DB274" s="63">
        <v>0</v>
      </c>
      <c r="DC274" s="63">
        <v>-35000</v>
      </c>
      <c r="DD274" s="63">
        <v>-1000</v>
      </c>
      <c r="DE274" s="63">
        <v>0</v>
      </c>
      <c r="DF274" s="63">
        <v>-1000</v>
      </c>
      <c r="DG274" s="63">
        <v>-136000</v>
      </c>
      <c r="DH274" s="63">
        <v>0</v>
      </c>
      <c r="DI274" s="63">
        <v>0</v>
      </c>
      <c r="DJ274" s="63">
        <v>0</v>
      </c>
      <c r="DK274" s="63">
        <v>-136000</v>
      </c>
      <c r="DL274" s="63">
        <v>0</v>
      </c>
      <c r="DM274" s="63">
        <v>-136000</v>
      </c>
      <c r="DN274" s="63">
        <v>37261694</v>
      </c>
      <c r="DO274" s="63">
        <v>0</v>
      </c>
      <c r="DP274" s="63">
        <v>37261694</v>
      </c>
      <c r="DQ274" s="63"/>
      <c r="DR274" s="585"/>
    </row>
    <row r="275" spans="1:122" x14ac:dyDescent="0.2">
      <c r="A275" s="90">
        <v>268</v>
      </c>
      <c r="B275" s="129" t="s">
        <v>388</v>
      </c>
      <c r="C275" s="130" t="s">
        <v>747</v>
      </c>
      <c r="D275" s="131" t="s">
        <v>748</v>
      </c>
      <c r="E275" s="132" t="s">
        <v>387</v>
      </c>
      <c r="F275" s="475" t="s">
        <v>808</v>
      </c>
      <c r="G275" s="63">
        <v>125427580</v>
      </c>
      <c r="H275" s="63">
        <v>0</v>
      </c>
      <c r="I275" s="63">
        <v>125427580</v>
      </c>
      <c r="J275" s="608">
        <v>48.4</v>
      </c>
      <c r="K275" s="63">
        <v>60706949</v>
      </c>
      <c r="L275" s="63">
        <v>0</v>
      </c>
      <c r="M275" s="63">
        <v>-220000</v>
      </c>
      <c r="N275" s="63">
        <v>0</v>
      </c>
      <c r="O275" s="63">
        <v>60486949</v>
      </c>
      <c r="P275" s="63">
        <v>0</v>
      </c>
      <c r="Q275" s="63">
        <v>60486949</v>
      </c>
      <c r="R275" s="63">
        <v>0</v>
      </c>
      <c r="S275" s="63">
        <v>0</v>
      </c>
      <c r="T275" s="63">
        <v>0</v>
      </c>
      <c r="U275" s="63">
        <v>0</v>
      </c>
      <c r="V275" s="63">
        <v>0</v>
      </c>
      <c r="W275" s="63">
        <v>0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63">
        <v>0</v>
      </c>
      <c r="AF275" s="63">
        <v>0</v>
      </c>
      <c r="AG275" s="63">
        <v>0</v>
      </c>
      <c r="AH275" s="63">
        <v>-2799364</v>
      </c>
      <c r="AI275" s="63">
        <v>0</v>
      </c>
      <c r="AJ275" s="63">
        <v>-2799364</v>
      </c>
      <c r="AK275" s="63">
        <v>-1500</v>
      </c>
      <c r="AL275" s="63">
        <v>0</v>
      </c>
      <c r="AM275" s="63">
        <v>-1500</v>
      </c>
      <c r="AN275" s="63">
        <v>1332871</v>
      </c>
      <c r="AO275" s="63">
        <v>0</v>
      </c>
      <c r="AP275" s="63">
        <v>1332871</v>
      </c>
      <c r="AQ275" s="63">
        <v>-1466493</v>
      </c>
      <c r="AR275" s="63">
        <v>0</v>
      </c>
      <c r="AS275" s="63">
        <v>-1466493</v>
      </c>
      <c r="AT275" s="63">
        <v>-4562301</v>
      </c>
      <c r="AU275" s="63">
        <v>0</v>
      </c>
      <c r="AV275" s="63">
        <v>-4562301</v>
      </c>
      <c r="AW275" s="63">
        <v>-37374</v>
      </c>
      <c r="AX275" s="63">
        <v>0</v>
      </c>
      <c r="AY275" s="63">
        <v>-37374</v>
      </c>
      <c r="AZ275" s="63">
        <v>0</v>
      </c>
      <c r="BA275" s="63">
        <v>0</v>
      </c>
      <c r="BB275" s="63">
        <v>0</v>
      </c>
      <c r="BC275" s="63">
        <v>-6066168</v>
      </c>
      <c r="BD275" s="63">
        <v>0</v>
      </c>
      <c r="BE275" s="63">
        <v>0</v>
      </c>
      <c r="BF275" s="63">
        <v>0</v>
      </c>
      <c r="BG275" s="63">
        <v>-6066168</v>
      </c>
      <c r="BH275" s="63">
        <v>0</v>
      </c>
      <c r="BI275" s="63">
        <v>-6066168</v>
      </c>
      <c r="BJ275" s="63">
        <v>-10000</v>
      </c>
      <c r="BK275" s="63">
        <v>0</v>
      </c>
      <c r="BL275" s="63">
        <v>-10000</v>
      </c>
      <c r="BM275" s="63">
        <v>-484727</v>
      </c>
      <c r="BN275" s="63">
        <v>0</v>
      </c>
      <c r="BO275" s="63">
        <v>-484727</v>
      </c>
      <c r="BP275" s="63">
        <v>-494727</v>
      </c>
      <c r="BQ275" s="63">
        <v>0</v>
      </c>
      <c r="BR275" s="63">
        <v>-25000</v>
      </c>
      <c r="BS275" s="63">
        <v>0</v>
      </c>
      <c r="BT275" s="63">
        <v>-519727</v>
      </c>
      <c r="BU275" s="63">
        <v>0</v>
      </c>
      <c r="BV275" s="63">
        <v>-519727</v>
      </c>
      <c r="BW275" s="63">
        <v>0</v>
      </c>
      <c r="BX275" s="63">
        <v>0</v>
      </c>
      <c r="BY275" s="63">
        <v>0</v>
      </c>
      <c r="BZ275" s="63">
        <v>-115858</v>
      </c>
      <c r="CA275" s="63">
        <v>0</v>
      </c>
      <c r="CB275" s="63">
        <v>-115858</v>
      </c>
      <c r="CC275" s="63">
        <v>0</v>
      </c>
      <c r="CD275" s="63">
        <v>0</v>
      </c>
      <c r="CE275" s="63">
        <v>0</v>
      </c>
      <c r="CF275" s="63">
        <v>0</v>
      </c>
      <c r="CG275" s="63">
        <v>0</v>
      </c>
      <c r="CH275" s="63">
        <v>0</v>
      </c>
      <c r="CI275" s="63">
        <v>0</v>
      </c>
      <c r="CJ275" s="63">
        <v>0</v>
      </c>
      <c r="CK275" s="63">
        <v>0</v>
      </c>
      <c r="CL275" s="63">
        <v>0</v>
      </c>
      <c r="CM275" s="63">
        <v>0</v>
      </c>
      <c r="CN275" s="63">
        <v>0</v>
      </c>
      <c r="CO275" s="63">
        <v>0</v>
      </c>
      <c r="CP275" s="63">
        <v>0</v>
      </c>
      <c r="CQ275" s="63">
        <v>-115858</v>
      </c>
      <c r="CR275" s="63">
        <v>0</v>
      </c>
      <c r="CS275" s="63">
        <v>0</v>
      </c>
      <c r="CT275" s="63">
        <v>0</v>
      </c>
      <c r="CU275" s="63">
        <v>-115858</v>
      </c>
      <c r="CV275" s="63">
        <v>0</v>
      </c>
      <c r="CW275" s="63">
        <v>-115858</v>
      </c>
      <c r="CX275" s="63">
        <v>-85000</v>
      </c>
      <c r="CY275" s="63">
        <v>0</v>
      </c>
      <c r="CZ275" s="63">
        <v>-85000</v>
      </c>
      <c r="DA275" s="63">
        <v>-2000</v>
      </c>
      <c r="DB275" s="63">
        <v>0</v>
      </c>
      <c r="DC275" s="63">
        <v>-2000</v>
      </c>
      <c r="DD275" s="63">
        <v>-4000</v>
      </c>
      <c r="DE275" s="63">
        <v>0</v>
      </c>
      <c r="DF275" s="63">
        <v>-4000</v>
      </c>
      <c r="DG275" s="63">
        <v>-91000</v>
      </c>
      <c r="DH275" s="63">
        <v>0</v>
      </c>
      <c r="DI275" s="63">
        <v>-10000</v>
      </c>
      <c r="DJ275" s="63">
        <v>0</v>
      </c>
      <c r="DK275" s="63">
        <v>-101000</v>
      </c>
      <c r="DL275" s="63">
        <v>0</v>
      </c>
      <c r="DM275" s="63">
        <v>-101000</v>
      </c>
      <c r="DN275" s="63">
        <v>53684196</v>
      </c>
      <c r="DO275" s="63">
        <v>0</v>
      </c>
      <c r="DP275" s="63">
        <v>53684196</v>
      </c>
      <c r="DQ275" s="63"/>
      <c r="DR275" s="585"/>
    </row>
    <row r="276" spans="1:122" x14ac:dyDescent="0.2">
      <c r="A276" s="90">
        <v>269</v>
      </c>
      <c r="B276" s="129" t="s">
        <v>390</v>
      </c>
      <c r="C276" s="130" t="s">
        <v>742</v>
      </c>
      <c r="D276" s="131" t="s">
        <v>743</v>
      </c>
      <c r="E276" s="132" t="s">
        <v>389</v>
      </c>
      <c r="F276" s="475" t="s">
        <v>808</v>
      </c>
      <c r="G276" s="63">
        <v>114871984</v>
      </c>
      <c r="H276" s="63">
        <v>0</v>
      </c>
      <c r="I276" s="63">
        <v>114871984</v>
      </c>
      <c r="J276" s="608">
        <v>48.4</v>
      </c>
      <c r="K276" s="63">
        <v>55598040</v>
      </c>
      <c r="L276" s="63">
        <v>0</v>
      </c>
      <c r="M276" s="63">
        <v>500000</v>
      </c>
      <c r="N276" s="63">
        <v>0</v>
      </c>
      <c r="O276" s="63">
        <v>56098040</v>
      </c>
      <c r="P276" s="63">
        <v>0</v>
      </c>
      <c r="Q276" s="63">
        <v>56098040</v>
      </c>
      <c r="R276" s="63">
        <v>0</v>
      </c>
      <c r="S276" s="63">
        <v>0</v>
      </c>
      <c r="T276" s="63">
        <v>0</v>
      </c>
      <c r="U276" s="63">
        <v>0</v>
      </c>
      <c r="V276" s="63">
        <v>0</v>
      </c>
      <c r="W276" s="63">
        <v>0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0</v>
      </c>
      <c r="AE276" s="63">
        <v>0</v>
      </c>
      <c r="AF276" s="63">
        <v>0</v>
      </c>
      <c r="AG276" s="63">
        <v>0</v>
      </c>
      <c r="AH276" s="63">
        <v>-3441925</v>
      </c>
      <c r="AI276" s="63">
        <v>0</v>
      </c>
      <c r="AJ276" s="63">
        <v>-3441925</v>
      </c>
      <c r="AK276" s="63">
        <v>-3954</v>
      </c>
      <c r="AL276" s="63">
        <v>0</v>
      </c>
      <c r="AM276" s="63">
        <v>-3954</v>
      </c>
      <c r="AN276" s="63">
        <v>1263245</v>
      </c>
      <c r="AO276" s="63">
        <v>0</v>
      </c>
      <c r="AP276" s="63">
        <v>1263245</v>
      </c>
      <c r="AQ276" s="63">
        <v>-2178680</v>
      </c>
      <c r="AR276" s="63">
        <v>0</v>
      </c>
      <c r="AS276" s="63">
        <v>-2178680</v>
      </c>
      <c r="AT276" s="63">
        <v>-2844496</v>
      </c>
      <c r="AU276" s="63">
        <v>0</v>
      </c>
      <c r="AV276" s="63">
        <v>-2844496</v>
      </c>
      <c r="AW276" s="63">
        <v>-88357</v>
      </c>
      <c r="AX276" s="63">
        <v>0</v>
      </c>
      <c r="AY276" s="63">
        <v>-88357</v>
      </c>
      <c r="AZ276" s="63">
        <v>-36250</v>
      </c>
      <c r="BA276" s="63">
        <v>0</v>
      </c>
      <c r="BB276" s="63">
        <v>-36250</v>
      </c>
      <c r="BC276" s="63">
        <v>-5147783</v>
      </c>
      <c r="BD276" s="63">
        <v>0</v>
      </c>
      <c r="BE276" s="63">
        <v>-35000</v>
      </c>
      <c r="BF276" s="63">
        <v>0</v>
      </c>
      <c r="BG276" s="63">
        <v>-5182783</v>
      </c>
      <c r="BH276" s="63">
        <v>0</v>
      </c>
      <c r="BI276" s="63">
        <v>-5182783</v>
      </c>
      <c r="BJ276" s="63">
        <v>-500000</v>
      </c>
      <c r="BK276" s="63">
        <v>0</v>
      </c>
      <c r="BL276" s="63">
        <v>-500000</v>
      </c>
      <c r="BM276" s="63">
        <v>-1747413</v>
      </c>
      <c r="BN276" s="63">
        <v>0</v>
      </c>
      <c r="BO276" s="63">
        <v>-1747413</v>
      </c>
      <c r="BP276" s="63">
        <v>-2247413</v>
      </c>
      <c r="BQ276" s="63">
        <v>0</v>
      </c>
      <c r="BR276" s="63">
        <v>0</v>
      </c>
      <c r="BS276" s="63">
        <v>0</v>
      </c>
      <c r="BT276" s="63">
        <v>-2247413</v>
      </c>
      <c r="BU276" s="63">
        <v>0</v>
      </c>
      <c r="BV276" s="63">
        <v>-2247413</v>
      </c>
      <c r="BW276" s="63">
        <v>-238932</v>
      </c>
      <c r="BX276" s="63">
        <v>0</v>
      </c>
      <c r="BY276" s="63">
        <v>-238932</v>
      </c>
      <c r="BZ276" s="63">
        <v>-161700</v>
      </c>
      <c r="CA276" s="63">
        <v>0</v>
      </c>
      <c r="CB276" s="63">
        <v>-161700</v>
      </c>
      <c r="CC276" s="63">
        <v>-22089</v>
      </c>
      <c r="CD276" s="63">
        <v>0</v>
      </c>
      <c r="CE276" s="63">
        <v>-22089</v>
      </c>
      <c r="CF276" s="63">
        <v>-36250</v>
      </c>
      <c r="CG276" s="63">
        <v>0</v>
      </c>
      <c r="CH276" s="63">
        <v>-36250</v>
      </c>
      <c r="CI276" s="63">
        <v>-9499</v>
      </c>
      <c r="CJ276" s="63">
        <v>0</v>
      </c>
      <c r="CK276" s="63">
        <v>-9499</v>
      </c>
      <c r="CL276" s="63">
        <v>0</v>
      </c>
      <c r="CM276" s="63">
        <v>0</v>
      </c>
      <c r="CN276" s="63">
        <v>0</v>
      </c>
      <c r="CO276" s="63">
        <v>0</v>
      </c>
      <c r="CP276" s="63">
        <v>0</v>
      </c>
      <c r="CQ276" s="63">
        <v>-468470</v>
      </c>
      <c r="CR276" s="63">
        <v>0</v>
      </c>
      <c r="CS276" s="63">
        <v>-11261</v>
      </c>
      <c r="CT276" s="63">
        <v>0</v>
      </c>
      <c r="CU276" s="63">
        <v>-479731</v>
      </c>
      <c r="CV276" s="63">
        <v>0</v>
      </c>
      <c r="CW276" s="63">
        <v>-479731</v>
      </c>
      <c r="CX276" s="63">
        <v>-142738</v>
      </c>
      <c r="CY276" s="63">
        <v>0</v>
      </c>
      <c r="CZ276" s="63">
        <v>-142738</v>
      </c>
      <c r="DA276" s="63">
        <v>-13104</v>
      </c>
      <c r="DB276" s="63">
        <v>0</v>
      </c>
      <c r="DC276" s="63">
        <v>-13104</v>
      </c>
      <c r="DD276" s="63">
        <v>-11261</v>
      </c>
      <c r="DE276" s="63">
        <v>0</v>
      </c>
      <c r="DF276" s="63">
        <v>-11261</v>
      </c>
      <c r="DG276" s="63">
        <v>-167103</v>
      </c>
      <c r="DH276" s="63">
        <v>0</v>
      </c>
      <c r="DI276" s="63">
        <v>0</v>
      </c>
      <c r="DJ276" s="63">
        <v>0</v>
      </c>
      <c r="DK276" s="63">
        <v>-167103</v>
      </c>
      <c r="DL276" s="63">
        <v>0</v>
      </c>
      <c r="DM276" s="63">
        <v>-167103</v>
      </c>
      <c r="DN276" s="63">
        <v>48021010</v>
      </c>
      <c r="DO276" s="63">
        <v>0</v>
      </c>
      <c r="DP276" s="63">
        <v>48021010</v>
      </c>
      <c r="DQ276" s="63"/>
      <c r="DR276" s="585"/>
    </row>
    <row r="277" spans="1:122" x14ac:dyDescent="0.2">
      <c r="A277" s="90">
        <v>270</v>
      </c>
      <c r="B277" s="129" t="s">
        <v>391</v>
      </c>
      <c r="C277" s="130" t="s">
        <v>501</v>
      </c>
      <c r="D277" s="131" t="s">
        <v>751</v>
      </c>
      <c r="E277" s="132" t="s">
        <v>551</v>
      </c>
      <c r="F277" s="475" t="s">
        <v>808</v>
      </c>
      <c r="G277" s="63">
        <v>261219199</v>
      </c>
      <c r="H277" s="63">
        <v>0</v>
      </c>
      <c r="I277" s="63">
        <v>261219199</v>
      </c>
      <c r="J277" s="608">
        <v>48.4</v>
      </c>
      <c r="K277" s="63">
        <v>126430092</v>
      </c>
      <c r="L277" s="63">
        <v>0</v>
      </c>
      <c r="M277" s="63">
        <v>119739</v>
      </c>
      <c r="N277" s="63">
        <v>0</v>
      </c>
      <c r="O277" s="63">
        <v>126549831</v>
      </c>
      <c r="P277" s="63">
        <v>0</v>
      </c>
      <c r="Q277" s="63">
        <v>126549831</v>
      </c>
      <c r="R277" s="63">
        <v>0</v>
      </c>
      <c r="S277" s="63">
        <v>0</v>
      </c>
      <c r="T277" s="63">
        <v>0</v>
      </c>
      <c r="U277" s="63">
        <v>0</v>
      </c>
      <c r="V277" s="63">
        <v>0</v>
      </c>
      <c r="W277" s="63">
        <v>0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0</v>
      </c>
      <c r="AE277" s="63">
        <v>0</v>
      </c>
      <c r="AF277" s="63">
        <v>0</v>
      </c>
      <c r="AG277" s="63">
        <v>0</v>
      </c>
      <c r="AH277" s="63">
        <v>-2859340</v>
      </c>
      <c r="AI277" s="63">
        <v>0</v>
      </c>
      <c r="AJ277" s="63">
        <v>-2859340</v>
      </c>
      <c r="AK277" s="63">
        <v>-4208</v>
      </c>
      <c r="AL277" s="63">
        <v>0</v>
      </c>
      <c r="AM277" s="63">
        <v>-4208</v>
      </c>
      <c r="AN277" s="63">
        <v>3146337</v>
      </c>
      <c r="AO277" s="63">
        <v>0</v>
      </c>
      <c r="AP277" s="63">
        <v>3146337</v>
      </c>
      <c r="AQ277" s="63">
        <v>286997</v>
      </c>
      <c r="AR277" s="63">
        <v>0</v>
      </c>
      <c r="AS277" s="63">
        <v>286997</v>
      </c>
      <c r="AT277" s="63">
        <v>-6498207</v>
      </c>
      <c r="AU277" s="63">
        <v>0</v>
      </c>
      <c r="AV277" s="63">
        <v>-6498207</v>
      </c>
      <c r="AW277" s="63">
        <v>-87353</v>
      </c>
      <c r="AX277" s="63">
        <v>0</v>
      </c>
      <c r="AY277" s="63">
        <v>-87353</v>
      </c>
      <c r="AZ277" s="63">
        <v>-9928</v>
      </c>
      <c r="BA277" s="63">
        <v>0</v>
      </c>
      <c r="BB277" s="63">
        <v>-9928</v>
      </c>
      <c r="BC277" s="63">
        <v>-6308491</v>
      </c>
      <c r="BD277" s="63">
        <v>0</v>
      </c>
      <c r="BE277" s="63">
        <v>-18737</v>
      </c>
      <c r="BF277" s="63">
        <v>0</v>
      </c>
      <c r="BG277" s="63">
        <v>-6327228</v>
      </c>
      <c r="BH277" s="63">
        <v>0</v>
      </c>
      <c r="BI277" s="63">
        <v>-6327228</v>
      </c>
      <c r="BJ277" s="63">
        <v>-791061</v>
      </c>
      <c r="BK277" s="63">
        <v>0</v>
      </c>
      <c r="BL277" s="63">
        <v>-791061</v>
      </c>
      <c r="BM277" s="63">
        <v>-2571591</v>
      </c>
      <c r="BN277" s="63">
        <v>0</v>
      </c>
      <c r="BO277" s="63">
        <v>-2571591</v>
      </c>
      <c r="BP277" s="63">
        <v>-3362652</v>
      </c>
      <c r="BQ277" s="63">
        <v>0</v>
      </c>
      <c r="BR277" s="63">
        <v>-2443555</v>
      </c>
      <c r="BS277" s="63">
        <v>0</v>
      </c>
      <c r="BT277" s="63">
        <v>-5806207</v>
      </c>
      <c r="BU277" s="63">
        <v>0</v>
      </c>
      <c r="BV277" s="63">
        <v>-5806207</v>
      </c>
      <c r="BW277" s="63">
        <v>-199216</v>
      </c>
      <c r="BX277" s="63">
        <v>0</v>
      </c>
      <c r="BY277" s="63">
        <v>-199216</v>
      </c>
      <c r="BZ277" s="63">
        <v>-59176</v>
      </c>
      <c r="CA277" s="63">
        <v>0</v>
      </c>
      <c r="CB277" s="63">
        <v>-59176</v>
      </c>
      <c r="CC277" s="63">
        <v>-21838</v>
      </c>
      <c r="CD277" s="63">
        <v>0</v>
      </c>
      <c r="CE277" s="63">
        <v>-21838</v>
      </c>
      <c r="CF277" s="63">
        <v>-7691</v>
      </c>
      <c r="CG277" s="63">
        <v>0</v>
      </c>
      <c r="CH277" s="63">
        <v>-7691</v>
      </c>
      <c r="CI277" s="63">
        <v>0</v>
      </c>
      <c r="CJ277" s="63">
        <v>0</v>
      </c>
      <c r="CK277" s="63">
        <v>0</v>
      </c>
      <c r="CL277" s="63">
        <v>0</v>
      </c>
      <c r="CM277" s="63">
        <v>0</v>
      </c>
      <c r="CN277" s="63">
        <v>0</v>
      </c>
      <c r="CO277" s="63">
        <v>0</v>
      </c>
      <c r="CP277" s="63">
        <v>0</v>
      </c>
      <c r="CQ277" s="63">
        <v>-287921</v>
      </c>
      <c r="CR277" s="63">
        <v>0</v>
      </c>
      <c r="CS277" s="63">
        <v>-2212</v>
      </c>
      <c r="CT277" s="63">
        <v>0</v>
      </c>
      <c r="CU277" s="63">
        <v>-290133</v>
      </c>
      <c r="CV277" s="63">
        <v>0</v>
      </c>
      <c r="CW277" s="63">
        <v>-290133</v>
      </c>
      <c r="CX277" s="63">
        <v>0</v>
      </c>
      <c r="CY277" s="63">
        <v>0</v>
      </c>
      <c r="CZ277" s="63">
        <v>0</v>
      </c>
      <c r="DA277" s="63">
        <v>-3085</v>
      </c>
      <c r="DB277" s="63">
        <v>0</v>
      </c>
      <c r="DC277" s="63">
        <v>-3085</v>
      </c>
      <c r="DD277" s="63">
        <v>0</v>
      </c>
      <c r="DE277" s="63">
        <v>0</v>
      </c>
      <c r="DF277" s="63">
        <v>0</v>
      </c>
      <c r="DG277" s="63">
        <v>-3085</v>
      </c>
      <c r="DH277" s="63">
        <v>0</v>
      </c>
      <c r="DI277" s="63">
        <v>0</v>
      </c>
      <c r="DJ277" s="63">
        <v>0</v>
      </c>
      <c r="DK277" s="63">
        <v>-3085</v>
      </c>
      <c r="DL277" s="63">
        <v>0</v>
      </c>
      <c r="DM277" s="63">
        <v>-3085</v>
      </c>
      <c r="DN277" s="63">
        <v>114123178</v>
      </c>
      <c r="DO277" s="63">
        <v>0</v>
      </c>
      <c r="DP277" s="63">
        <v>114123178</v>
      </c>
      <c r="DQ277" s="63"/>
      <c r="DR277" s="585"/>
    </row>
    <row r="278" spans="1:122" x14ac:dyDescent="0.2">
      <c r="A278" s="90">
        <v>271</v>
      </c>
      <c r="B278" s="129" t="s">
        <v>393</v>
      </c>
      <c r="C278" s="130" t="s">
        <v>749</v>
      </c>
      <c r="D278" s="131" t="s">
        <v>744</v>
      </c>
      <c r="E278" s="132" t="s">
        <v>392</v>
      </c>
      <c r="F278" s="475" t="s">
        <v>808</v>
      </c>
      <c r="G278" s="63">
        <v>150469065</v>
      </c>
      <c r="H278" s="63">
        <v>0</v>
      </c>
      <c r="I278" s="63">
        <v>150469065</v>
      </c>
      <c r="J278" s="608">
        <v>48.4</v>
      </c>
      <c r="K278" s="63">
        <v>72827027</v>
      </c>
      <c r="L278" s="63">
        <v>0</v>
      </c>
      <c r="M278" s="63">
        <v>-484000</v>
      </c>
      <c r="N278" s="63">
        <v>0</v>
      </c>
      <c r="O278" s="63">
        <v>72343027</v>
      </c>
      <c r="P278" s="63">
        <v>0</v>
      </c>
      <c r="Q278" s="63">
        <v>72343027</v>
      </c>
      <c r="R278" s="63">
        <v>0</v>
      </c>
      <c r="S278" s="63">
        <v>0</v>
      </c>
      <c r="T278" s="63">
        <v>0</v>
      </c>
      <c r="U278" s="63">
        <v>0</v>
      </c>
      <c r="V278" s="63">
        <v>0</v>
      </c>
      <c r="W278" s="63">
        <v>0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0</v>
      </c>
      <c r="AE278" s="63">
        <v>0</v>
      </c>
      <c r="AF278" s="63">
        <v>0</v>
      </c>
      <c r="AG278" s="63">
        <v>0</v>
      </c>
      <c r="AH278" s="63">
        <v>-6074702</v>
      </c>
      <c r="AI278" s="63">
        <v>0</v>
      </c>
      <c r="AJ278" s="63">
        <v>-6074702</v>
      </c>
      <c r="AK278" s="63">
        <v>-11000</v>
      </c>
      <c r="AL278" s="63">
        <v>0</v>
      </c>
      <c r="AM278" s="63">
        <v>-11000</v>
      </c>
      <c r="AN278" s="63">
        <v>1606122</v>
      </c>
      <c r="AO278" s="63">
        <v>0</v>
      </c>
      <c r="AP278" s="63">
        <v>1606122</v>
      </c>
      <c r="AQ278" s="63">
        <v>-4468580</v>
      </c>
      <c r="AR278" s="63">
        <v>0</v>
      </c>
      <c r="AS278" s="63">
        <v>-4468580</v>
      </c>
      <c r="AT278" s="63">
        <v>-3115881</v>
      </c>
      <c r="AU278" s="63">
        <v>0</v>
      </c>
      <c r="AV278" s="63">
        <v>-3115881</v>
      </c>
      <c r="AW278" s="63">
        <v>-193091</v>
      </c>
      <c r="AX278" s="63">
        <v>0</v>
      </c>
      <c r="AY278" s="63">
        <v>-193091</v>
      </c>
      <c r="AZ278" s="63">
        <v>0</v>
      </c>
      <c r="BA278" s="63">
        <v>0</v>
      </c>
      <c r="BB278" s="63">
        <v>0</v>
      </c>
      <c r="BC278" s="63">
        <v>-7777552</v>
      </c>
      <c r="BD278" s="63">
        <v>0</v>
      </c>
      <c r="BE278" s="63">
        <v>-200000</v>
      </c>
      <c r="BF278" s="63">
        <v>0</v>
      </c>
      <c r="BG278" s="63">
        <v>-7977552</v>
      </c>
      <c r="BH278" s="63">
        <v>0</v>
      </c>
      <c r="BI278" s="63">
        <v>-7977552</v>
      </c>
      <c r="BJ278" s="63">
        <v>0</v>
      </c>
      <c r="BK278" s="63">
        <v>0</v>
      </c>
      <c r="BL278" s="63">
        <v>0</v>
      </c>
      <c r="BM278" s="63">
        <v>-1322558</v>
      </c>
      <c r="BN278" s="63">
        <v>0</v>
      </c>
      <c r="BO278" s="63">
        <v>-1322558</v>
      </c>
      <c r="BP278" s="63">
        <v>-1322558</v>
      </c>
      <c r="BQ278" s="63">
        <v>0</v>
      </c>
      <c r="BR278" s="63">
        <v>0</v>
      </c>
      <c r="BS278" s="63">
        <v>0</v>
      </c>
      <c r="BT278" s="63">
        <v>-1322558</v>
      </c>
      <c r="BU278" s="63">
        <v>0</v>
      </c>
      <c r="BV278" s="63">
        <v>-1322558</v>
      </c>
      <c r="BW278" s="63">
        <v>-24774</v>
      </c>
      <c r="BX278" s="63">
        <v>0</v>
      </c>
      <c r="BY278" s="63">
        <v>-24774</v>
      </c>
      <c r="BZ278" s="63">
        <v>-54822</v>
      </c>
      <c r="CA278" s="63">
        <v>0</v>
      </c>
      <c r="CB278" s="63">
        <v>-54822</v>
      </c>
      <c r="CC278" s="63">
        <v>-2544</v>
      </c>
      <c r="CD278" s="63">
        <v>0</v>
      </c>
      <c r="CE278" s="63">
        <v>-2544</v>
      </c>
      <c r="CF278" s="63">
        <v>0</v>
      </c>
      <c r="CG278" s="63">
        <v>0</v>
      </c>
      <c r="CH278" s="63">
        <v>0</v>
      </c>
      <c r="CI278" s="63">
        <v>0</v>
      </c>
      <c r="CJ278" s="63">
        <v>0</v>
      </c>
      <c r="CK278" s="63">
        <v>0</v>
      </c>
      <c r="CL278" s="63">
        <v>0</v>
      </c>
      <c r="CM278" s="63">
        <v>0</v>
      </c>
      <c r="CN278" s="63">
        <v>0</v>
      </c>
      <c r="CO278" s="63">
        <v>0</v>
      </c>
      <c r="CP278" s="63">
        <v>0</v>
      </c>
      <c r="CQ278" s="63">
        <v>-82140</v>
      </c>
      <c r="CR278" s="63">
        <v>0</v>
      </c>
      <c r="CS278" s="63">
        <v>0</v>
      </c>
      <c r="CT278" s="63">
        <v>0</v>
      </c>
      <c r="CU278" s="63">
        <v>-82140</v>
      </c>
      <c r="CV278" s="63">
        <v>0</v>
      </c>
      <c r="CW278" s="63">
        <v>-82140</v>
      </c>
      <c r="CX278" s="63">
        <v>0</v>
      </c>
      <c r="CY278" s="63">
        <v>0</v>
      </c>
      <c r="CZ278" s="63">
        <v>0</v>
      </c>
      <c r="DA278" s="63">
        <v>-47712</v>
      </c>
      <c r="DB278" s="63">
        <v>0</v>
      </c>
      <c r="DC278" s="63">
        <v>-47712</v>
      </c>
      <c r="DD278" s="63">
        <v>-18002</v>
      </c>
      <c r="DE278" s="63">
        <v>0</v>
      </c>
      <c r="DF278" s="63">
        <v>-18002</v>
      </c>
      <c r="DG278" s="63">
        <v>-65714</v>
      </c>
      <c r="DH278" s="63">
        <v>0</v>
      </c>
      <c r="DI278" s="63">
        <v>0</v>
      </c>
      <c r="DJ278" s="63">
        <v>0</v>
      </c>
      <c r="DK278" s="63">
        <v>-65714</v>
      </c>
      <c r="DL278" s="63">
        <v>0</v>
      </c>
      <c r="DM278" s="63">
        <v>-65714</v>
      </c>
      <c r="DN278" s="63">
        <v>62895063</v>
      </c>
      <c r="DO278" s="63">
        <v>0</v>
      </c>
      <c r="DP278" s="63">
        <v>62895063</v>
      </c>
      <c r="DQ278" s="63"/>
      <c r="DR278" s="585"/>
    </row>
    <row r="279" spans="1:122" x14ac:dyDescent="0.2">
      <c r="A279" s="90">
        <v>272</v>
      </c>
      <c r="B279" s="129" t="s">
        <v>395</v>
      </c>
      <c r="C279" s="130" t="s">
        <v>742</v>
      </c>
      <c r="D279" s="131" t="s">
        <v>752</v>
      </c>
      <c r="E279" s="132" t="s">
        <v>394</v>
      </c>
      <c r="F279" s="475" t="s">
        <v>808</v>
      </c>
      <c r="G279" s="63">
        <v>78941731</v>
      </c>
      <c r="H279" s="63">
        <v>0</v>
      </c>
      <c r="I279" s="63">
        <v>78941731</v>
      </c>
      <c r="J279" s="608">
        <v>48.4</v>
      </c>
      <c r="K279" s="63">
        <v>38207798</v>
      </c>
      <c r="L279" s="63">
        <v>0</v>
      </c>
      <c r="M279" s="63">
        <v>-84924</v>
      </c>
      <c r="N279" s="63">
        <v>0</v>
      </c>
      <c r="O279" s="63">
        <v>38122874</v>
      </c>
      <c r="P279" s="63">
        <v>0</v>
      </c>
      <c r="Q279" s="63">
        <v>38122874</v>
      </c>
      <c r="R279" s="63">
        <v>0</v>
      </c>
      <c r="S279" s="63">
        <v>0</v>
      </c>
      <c r="T279" s="63">
        <v>0</v>
      </c>
      <c r="U279" s="63">
        <v>0</v>
      </c>
      <c r="V279" s="63">
        <v>0</v>
      </c>
      <c r="W279" s="63">
        <v>0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63">
        <v>0</v>
      </c>
      <c r="AF279" s="63">
        <v>0</v>
      </c>
      <c r="AG279" s="63">
        <v>0</v>
      </c>
      <c r="AH279" s="63">
        <v>-1205754</v>
      </c>
      <c r="AI279" s="63">
        <v>0</v>
      </c>
      <c r="AJ279" s="63">
        <v>-1205754</v>
      </c>
      <c r="AK279" s="63">
        <v>0</v>
      </c>
      <c r="AL279" s="63">
        <v>0</v>
      </c>
      <c r="AM279" s="63">
        <v>0</v>
      </c>
      <c r="AN279" s="63">
        <v>923574</v>
      </c>
      <c r="AO279" s="63">
        <v>0</v>
      </c>
      <c r="AP279" s="63">
        <v>923574</v>
      </c>
      <c r="AQ279" s="63">
        <v>-282180</v>
      </c>
      <c r="AR279" s="63">
        <v>0</v>
      </c>
      <c r="AS279" s="63">
        <v>-282180</v>
      </c>
      <c r="AT279" s="63">
        <v>-1236516</v>
      </c>
      <c r="AU279" s="63">
        <v>0</v>
      </c>
      <c r="AV279" s="63">
        <v>-1236516</v>
      </c>
      <c r="AW279" s="63">
        <v>-36559</v>
      </c>
      <c r="AX279" s="63">
        <v>0</v>
      </c>
      <c r="AY279" s="63">
        <v>-36559</v>
      </c>
      <c r="AZ279" s="63">
        <v>0</v>
      </c>
      <c r="BA279" s="63">
        <v>0</v>
      </c>
      <c r="BB279" s="63">
        <v>0</v>
      </c>
      <c r="BC279" s="63">
        <v>-1555255</v>
      </c>
      <c r="BD279" s="63">
        <v>0</v>
      </c>
      <c r="BE279" s="63">
        <v>-205692</v>
      </c>
      <c r="BF279" s="63">
        <v>0</v>
      </c>
      <c r="BG279" s="63">
        <v>-1760947</v>
      </c>
      <c r="BH279" s="63">
        <v>0</v>
      </c>
      <c r="BI279" s="63">
        <v>-1760947</v>
      </c>
      <c r="BJ279" s="63">
        <v>-142500</v>
      </c>
      <c r="BK279" s="63">
        <v>0</v>
      </c>
      <c r="BL279" s="63">
        <v>-142500</v>
      </c>
      <c r="BM279" s="63">
        <v>-966906</v>
      </c>
      <c r="BN279" s="63">
        <v>0</v>
      </c>
      <c r="BO279" s="63">
        <v>-966906</v>
      </c>
      <c r="BP279" s="63">
        <v>-1109406</v>
      </c>
      <c r="BQ279" s="63">
        <v>0</v>
      </c>
      <c r="BR279" s="63">
        <v>-521805</v>
      </c>
      <c r="BS279" s="63">
        <v>0</v>
      </c>
      <c r="BT279" s="63">
        <v>-1631211</v>
      </c>
      <c r="BU279" s="63">
        <v>0</v>
      </c>
      <c r="BV279" s="63">
        <v>-1631211</v>
      </c>
      <c r="BW279" s="63">
        <v>-23477</v>
      </c>
      <c r="BX279" s="63">
        <v>0</v>
      </c>
      <c r="BY279" s="63">
        <v>-23477</v>
      </c>
      <c r="BZ279" s="63">
        <v>-2057</v>
      </c>
      <c r="CA279" s="63">
        <v>0</v>
      </c>
      <c r="CB279" s="63">
        <v>-2057</v>
      </c>
      <c r="CC279" s="63">
        <v>-3746</v>
      </c>
      <c r="CD279" s="63">
        <v>0</v>
      </c>
      <c r="CE279" s="63">
        <v>-3746</v>
      </c>
      <c r="CF279" s="63">
        <v>0</v>
      </c>
      <c r="CG279" s="63">
        <v>0</v>
      </c>
      <c r="CH279" s="63">
        <v>0</v>
      </c>
      <c r="CI279" s="63">
        <v>0</v>
      </c>
      <c r="CJ279" s="63">
        <v>0</v>
      </c>
      <c r="CK279" s="63">
        <v>0</v>
      </c>
      <c r="CL279" s="63">
        <v>0</v>
      </c>
      <c r="CM279" s="63">
        <v>0</v>
      </c>
      <c r="CN279" s="63">
        <v>0</v>
      </c>
      <c r="CO279" s="63">
        <v>0</v>
      </c>
      <c r="CP279" s="63">
        <v>0</v>
      </c>
      <c r="CQ279" s="63">
        <v>-29280</v>
      </c>
      <c r="CR279" s="63">
        <v>0</v>
      </c>
      <c r="CS279" s="63">
        <v>-5000</v>
      </c>
      <c r="CT279" s="63">
        <v>0</v>
      </c>
      <c r="CU279" s="63">
        <v>-34280</v>
      </c>
      <c r="CV279" s="63">
        <v>0</v>
      </c>
      <c r="CW279" s="63">
        <v>-34280</v>
      </c>
      <c r="CX279" s="63">
        <v>0</v>
      </c>
      <c r="CY279" s="63">
        <v>0</v>
      </c>
      <c r="CZ279" s="63">
        <v>0</v>
      </c>
      <c r="DA279" s="63">
        <v>-61527</v>
      </c>
      <c r="DB279" s="63">
        <v>0</v>
      </c>
      <c r="DC279" s="63">
        <v>-61527</v>
      </c>
      <c r="DD279" s="63">
        <v>0</v>
      </c>
      <c r="DE279" s="63">
        <v>0</v>
      </c>
      <c r="DF279" s="63">
        <v>0</v>
      </c>
      <c r="DG279" s="63">
        <v>-61527</v>
      </c>
      <c r="DH279" s="63">
        <v>0</v>
      </c>
      <c r="DI279" s="63">
        <v>0</v>
      </c>
      <c r="DJ279" s="63">
        <v>0</v>
      </c>
      <c r="DK279" s="63">
        <v>-61527</v>
      </c>
      <c r="DL279" s="63">
        <v>0</v>
      </c>
      <c r="DM279" s="63">
        <v>-61527</v>
      </c>
      <c r="DN279" s="63">
        <v>34634909</v>
      </c>
      <c r="DO279" s="63">
        <v>0</v>
      </c>
      <c r="DP279" s="63">
        <v>34634909</v>
      </c>
      <c r="DQ279" s="63"/>
      <c r="DR279" s="585"/>
    </row>
    <row r="280" spans="1:122" x14ac:dyDescent="0.2">
      <c r="A280" s="90">
        <v>273</v>
      </c>
      <c r="B280" s="129" t="s">
        <v>397</v>
      </c>
      <c r="C280" s="130" t="s">
        <v>742</v>
      </c>
      <c r="D280" s="131" t="s">
        <v>743</v>
      </c>
      <c r="E280" s="132" t="s">
        <v>396</v>
      </c>
      <c r="F280" s="475" t="s">
        <v>808</v>
      </c>
      <c r="G280" s="63">
        <v>53539386</v>
      </c>
      <c r="H280" s="63">
        <v>0</v>
      </c>
      <c r="I280" s="63">
        <v>53539386</v>
      </c>
      <c r="J280" s="608">
        <v>48.4</v>
      </c>
      <c r="K280" s="63">
        <v>25913063</v>
      </c>
      <c r="L280" s="63">
        <v>0</v>
      </c>
      <c r="M280" s="63">
        <v>0</v>
      </c>
      <c r="N280" s="63">
        <v>0</v>
      </c>
      <c r="O280" s="63">
        <v>25913063</v>
      </c>
      <c r="P280" s="63">
        <v>0</v>
      </c>
      <c r="Q280" s="63">
        <v>25913063</v>
      </c>
      <c r="R280" s="63">
        <v>0</v>
      </c>
      <c r="S280" s="63">
        <v>0</v>
      </c>
      <c r="T280" s="63">
        <v>0</v>
      </c>
      <c r="U280" s="63">
        <v>0</v>
      </c>
      <c r="V280" s="63">
        <v>0</v>
      </c>
      <c r="W280" s="63">
        <v>0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63">
        <v>0</v>
      </c>
      <c r="AF280" s="63">
        <v>0</v>
      </c>
      <c r="AG280" s="63">
        <v>0</v>
      </c>
      <c r="AH280" s="63">
        <v>-2110938</v>
      </c>
      <c r="AI280" s="63">
        <v>0</v>
      </c>
      <c r="AJ280" s="63">
        <v>-2110938</v>
      </c>
      <c r="AK280" s="63">
        <v>-2868</v>
      </c>
      <c r="AL280" s="63">
        <v>0</v>
      </c>
      <c r="AM280" s="63">
        <v>-2868</v>
      </c>
      <c r="AN280" s="63">
        <v>530324</v>
      </c>
      <c r="AO280" s="63">
        <v>0</v>
      </c>
      <c r="AP280" s="63">
        <v>530324</v>
      </c>
      <c r="AQ280" s="63">
        <v>-1580614</v>
      </c>
      <c r="AR280" s="63">
        <v>0</v>
      </c>
      <c r="AS280" s="63">
        <v>-1580614</v>
      </c>
      <c r="AT280" s="63">
        <v>-2661229</v>
      </c>
      <c r="AU280" s="63">
        <v>0</v>
      </c>
      <c r="AV280" s="63">
        <v>-2661229</v>
      </c>
      <c r="AW280" s="63">
        <v>-34255</v>
      </c>
      <c r="AX280" s="63">
        <v>0</v>
      </c>
      <c r="AY280" s="63">
        <v>-34255</v>
      </c>
      <c r="AZ280" s="63">
        <v>-14482</v>
      </c>
      <c r="BA280" s="63">
        <v>0</v>
      </c>
      <c r="BB280" s="63">
        <v>-14482</v>
      </c>
      <c r="BC280" s="63">
        <v>-4290580</v>
      </c>
      <c r="BD280" s="63">
        <v>0</v>
      </c>
      <c r="BE280" s="63">
        <v>0</v>
      </c>
      <c r="BF280" s="63">
        <v>0</v>
      </c>
      <c r="BG280" s="63">
        <v>-4290580</v>
      </c>
      <c r="BH280" s="63">
        <v>0</v>
      </c>
      <c r="BI280" s="63">
        <v>-4290580</v>
      </c>
      <c r="BJ280" s="63">
        <v>-10783</v>
      </c>
      <c r="BK280" s="63">
        <v>0</v>
      </c>
      <c r="BL280" s="63">
        <v>-10783</v>
      </c>
      <c r="BM280" s="63">
        <v>-621704</v>
      </c>
      <c r="BN280" s="63">
        <v>0</v>
      </c>
      <c r="BO280" s="63">
        <v>-621704</v>
      </c>
      <c r="BP280" s="63">
        <v>-632487</v>
      </c>
      <c r="BQ280" s="63">
        <v>0</v>
      </c>
      <c r="BR280" s="63">
        <v>0</v>
      </c>
      <c r="BS280" s="63">
        <v>0</v>
      </c>
      <c r="BT280" s="63">
        <v>-632487</v>
      </c>
      <c r="BU280" s="63">
        <v>0</v>
      </c>
      <c r="BV280" s="63">
        <v>-632487</v>
      </c>
      <c r="BW280" s="63">
        <v>-47643</v>
      </c>
      <c r="BX280" s="63">
        <v>0</v>
      </c>
      <c r="BY280" s="63">
        <v>-47643</v>
      </c>
      <c r="BZ280" s="63">
        <v>-12865</v>
      </c>
      <c r="CA280" s="63">
        <v>0</v>
      </c>
      <c r="CB280" s="63">
        <v>-12865</v>
      </c>
      <c r="CC280" s="63">
        <v>-76</v>
      </c>
      <c r="CD280" s="63">
        <v>0</v>
      </c>
      <c r="CE280" s="63">
        <v>-76</v>
      </c>
      <c r="CF280" s="63">
        <v>-14482</v>
      </c>
      <c r="CG280" s="63">
        <v>0</v>
      </c>
      <c r="CH280" s="63">
        <v>-14482</v>
      </c>
      <c r="CI280" s="63">
        <v>-5280</v>
      </c>
      <c r="CJ280" s="63">
        <v>0</v>
      </c>
      <c r="CK280" s="63">
        <v>-5280</v>
      </c>
      <c r="CL280" s="63">
        <v>0</v>
      </c>
      <c r="CM280" s="63">
        <v>0</v>
      </c>
      <c r="CN280" s="63">
        <v>0</v>
      </c>
      <c r="CO280" s="63">
        <v>0</v>
      </c>
      <c r="CP280" s="63">
        <v>0</v>
      </c>
      <c r="CQ280" s="63">
        <v>-80346</v>
      </c>
      <c r="CR280" s="63">
        <v>0</v>
      </c>
      <c r="CS280" s="63">
        <v>0</v>
      </c>
      <c r="CT280" s="63">
        <v>0</v>
      </c>
      <c r="CU280" s="63">
        <v>-80346</v>
      </c>
      <c r="CV280" s="63">
        <v>0</v>
      </c>
      <c r="CW280" s="63">
        <v>-80346</v>
      </c>
      <c r="CX280" s="63">
        <v>0</v>
      </c>
      <c r="CY280" s="63">
        <v>0</v>
      </c>
      <c r="CZ280" s="63">
        <v>0</v>
      </c>
      <c r="DA280" s="63">
        <v>0</v>
      </c>
      <c r="DB280" s="63">
        <v>0</v>
      </c>
      <c r="DC280" s="63">
        <v>0</v>
      </c>
      <c r="DD280" s="63">
        <v>-4000</v>
      </c>
      <c r="DE280" s="63">
        <v>0</v>
      </c>
      <c r="DF280" s="63">
        <v>-4000</v>
      </c>
      <c r="DG280" s="63">
        <v>-4000</v>
      </c>
      <c r="DH280" s="63">
        <v>0</v>
      </c>
      <c r="DI280" s="63">
        <v>0</v>
      </c>
      <c r="DJ280" s="63">
        <v>0</v>
      </c>
      <c r="DK280" s="63">
        <v>-4000</v>
      </c>
      <c r="DL280" s="63">
        <v>0</v>
      </c>
      <c r="DM280" s="63">
        <v>-4000</v>
      </c>
      <c r="DN280" s="63">
        <v>20905650</v>
      </c>
      <c r="DO280" s="63">
        <v>0</v>
      </c>
      <c r="DP280" s="63">
        <v>20905650</v>
      </c>
      <c r="DQ280" s="63"/>
      <c r="DR280" s="585"/>
    </row>
    <row r="281" spans="1:122" x14ac:dyDescent="0.2">
      <c r="A281" s="90">
        <v>274</v>
      </c>
      <c r="B281" s="129" t="s">
        <v>399</v>
      </c>
      <c r="C281" s="130" t="s">
        <v>742</v>
      </c>
      <c r="D281" s="131" t="s">
        <v>751</v>
      </c>
      <c r="E281" s="132" t="s">
        <v>398</v>
      </c>
      <c r="F281" s="475" t="s">
        <v>808</v>
      </c>
      <c r="G281" s="63">
        <v>102599934</v>
      </c>
      <c r="H281" s="63">
        <v>0</v>
      </c>
      <c r="I281" s="63">
        <v>102599934</v>
      </c>
      <c r="J281" s="608">
        <v>48.4</v>
      </c>
      <c r="K281" s="63">
        <v>49658368</v>
      </c>
      <c r="L281" s="63">
        <v>0</v>
      </c>
      <c r="M281" s="63">
        <v>89663</v>
      </c>
      <c r="N281" s="63">
        <v>0</v>
      </c>
      <c r="O281" s="63">
        <v>49748031</v>
      </c>
      <c r="P281" s="63">
        <v>0</v>
      </c>
      <c r="Q281" s="63">
        <v>49748031</v>
      </c>
      <c r="R281" s="63">
        <v>0</v>
      </c>
      <c r="S281" s="63">
        <v>0</v>
      </c>
      <c r="T281" s="63">
        <v>0</v>
      </c>
      <c r="U281" s="63">
        <v>0</v>
      </c>
      <c r="V281" s="63">
        <v>0</v>
      </c>
      <c r="W281" s="63">
        <v>0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0</v>
      </c>
      <c r="AE281" s="63">
        <v>0</v>
      </c>
      <c r="AF281" s="63">
        <v>0</v>
      </c>
      <c r="AG281" s="63">
        <v>0</v>
      </c>
      <c r="AH281" s="63">
        <v>-2443908</v>
      </c>
      <c r="AI281" s="63">
        <v>0</v>
      </c>
      <c r="AJ281" s="63">
        <v>-2443908</v>
      </c>
      <c r="AK281" s="63">
        <v>0</v>
      </c>
      <c r="AL281" s="63">
        <v>0</v>
      </c>
      <c r="AM281" s="63">
        <v>0</v>
      </c>
      <c r="AN281" s="63">
        <v>1334166</v>
      </c>
      <c r="AO281" s="63">
        <v>0</v>
      </c>
      <c r="AP281" s="63">
        <v>1334166</v>
      </c>
      <c r="AQ281" s="63">
        <v>-1109742</v>
      </c>
      <c r="AR281" s="63">
        <v>0</v>
      </c>
      <c r="AS281" s="63">
        <v>-1109742</v>
      </c>
      <c r="AT281" s="63">
        <v>-3639316</v>
      </c>
      <c r="AU281" s="63">
        <v>0</v>
      </c>
      <c r="AV281" s="63">
        <v>-3639316</v>
      </c>
      <c r="AW281" s="63">
        <v>-55956</v>
      </c>
      <c r="AX281" s="63">
        <v>0</v>
      </c>
      <c r="AY281" s="63">
        <v>-55956</v>
      </c>
      <c r="AZ281" s="63">
        <v>-33413</v>
      </c>
      <c r="BA281" s="63">
        <v>0</v>
      </c>
      <c r="BB281" s="63">
        <v>-33413</v>
      </c>
      <c r="BC281" s="63">
        <v>-4838427</v>
      </c>
      <c r="BD281" s="63">
        <v>0</v>
      </c>
      <c r="BE281" s="63">
        <v>-210461</v>
      </c>
      <c r="BF281" s="63">
        <v>0</v>
      </c>
      <c r="BG281" s="63">
        <v>-5048888</v>
      </c>
      <c r="BH281" s="63">
        <v>0</v>
      </c>
      <c r="BI281" s="63">
        <v>-5048888</v>
      </c>
      <c r="BJ281" s="63">
        <v>-30000</v>
      </c>
      <c r="BK281" s="63">
        <v>0</v>
      </c>
      <c r="BL281" s="63">
        <v>-30000</v>
      </c>
      <c r="BM281" s="63">
        <v>-1347129</v>
      </c>
      <c r="BN281" s="63">
        <v>0</v>
      </c>
      <c r="BO281" s="63">
        <v>-1347129</v>
      </c>
      <c r="BP281" s="63">
        <v>-1377129</v>
      </c>
      <c r="BQ281" s="63">
        <v>0</v>
      </c>
      <c r="BR281" s="63">
        <v>-20000</v>
      </c>
      <c r="BS281" s="63">
        <v>0</v>
      </c>
      <c r="BT281" s="63">
        <v>-1397129</v>
      </c>
      <c r="BU281" s="63">
        <v>0</v>
      </c>
      <c r="BV281" s="63">
        <v>-1397129</v>
      </c>
      <c r="BW281" s="63">
        <v>-193087</v>
      </c>
      <c r="BX281" s="63">
        <v>0</v>
      </c>
      <c r="BY281" s="63">
        <v>-193087</v>
      </c>
      <c r="BZ281" s="63">
        <v>-49396</v>
      </c>
      <c r="CA281" s="63">
        <v>0</v>
      </c>
      <c r="CB281" s="63">
        <v>-49396</v>
      </c>
      <c r="CC281" s="63">
        <v>0</v>
      </c>
      <c r="CD281" s="63">
        <v>0</v>
      </c>
      <c r="CE281" s="63">
        <v>0</v>
      </c>
      <c r="CF281" s="63">
        <v>-4598</v>
      </c>
      <c r="CG281" s="63">
        <v>0</v>
      </c>
      <c r="CH281" s="63">
        <v>-4598</v>
      </c>
      <c r="CI281" s="63">
        <v>0</v>
      </c>
      <c r="CJ281" s="63">
        <v>0</v>
      </c>
      <c r="CK281" s="63">
        <v>0</v>
      </c>
      <c r="CL281" s="63">
        <v>0</v>
      </c>
      <c r="CM281" s="63">
        <v>0</v>
      </c>
      <c r="CN281" s="63">
        <v>0</v>
      </c>
      <c r="CO281" s="63">
        <v>0</v>
      </c>
      <c r="CP281" s="63">
        <v>0</v>
      </c>
      <c r="CQ281" s="63">
        <v>-247081</v>
      </c>
      <c r="CR281" s="63">
        <v>0</v>
      </c>
      <c r="CS281" s="63">
        <v>-30000</v>
      </c>
      <c r="CT281" s="63">
        <v>0</v>
      </c>
      <c r="CU281" s="63">
        <v>-277081</v>
      </c>
      <c r="CV281" s="63">
        <v>0</v>
      </c>
      <c r="CW281" s="63">
        <v>-277081</v>
      </c>
      <c r="CX281" s="63">
        <v>-13026</v>
      </c>
      <c r="CY281" s="63">
        <v>0</v>
      </c>
      <c r="CZ281" s="63">
        <v>-13026</v>
      </c>
      <c r="DA281" s="63">
        <v>0</v>
      </c>
      <c r="DB281" s="63">
        <v>0</v>
      </c>
      <c r="DC281" s="63">
        <v>0</v>
      </c>
      <c r="DD281" s="63">
        <v>-21000</v>
      </c>
      <c r="DE281" s="63">
        <v>0</v>
      </c>
      <c r="DF281" s="63">
        <v>-21000</v>
      </c>
      <c r="DG281" s="63">
        <v>-34026</v>
      </c>
      <c r="DH281" s="63">
        <v>0</v>
      </c>
      <c r="DI281" s="63">
        <v>0</v>
      </c>
      <c r="DJ281" s="63">
        <v>0</v>
      </c>
      <c r="DK281" s="63">
        <v>-34026</v>
      </c>
      <c r="DL281" s="63">
        <v>0</v>
      </c>
      <c r="DM281" s="63">
        <v>-34026</v>
      </c>
      <c r="DN281" s="63">
        <v>42990907</v>
      </c>
      <c r="DO281" s="63">
        <v>0</v>
      </c>
      <c r="DP281" s="63">
        <v>42990907</v>
      </c>
      <c r="DQ281" s="63"/>
      <c r="DR281" s="585"/>
    </row>
    <row r="282" spans="1:122" x14ac:dyDescent="0.2">
      <c r="A282" s="90">
        <v>275</v>
      </c>
      <c r="B282" s="129" t="s">
        <v>401</v>
      </c>
      <c r="C282" s="130" t="s">
        <v>742</v>
      </c>
      <c r="D282" s="131" t="s">
        <v>751</v>
      </c>
      <c r="E282" s="132" t="s">
        <v>400</v>
      </c>
      <c r="F282" s="475" t="s">
        <v>808</v>
      </c>
      <c r="G282" s="63">
        <v>82783778</v>
      </c>
      <c r="H282" s="63">
        <v>0</v>
      </c>
      <c r="I282" s="63">
        <v>82783778</v>
      </c>
      <c r="J282" s="608">
        <v>48.4</v>
      </c>
      <c r="K282" s="63">
        <v>40067349</v>
      </c>
      <c r="L282" s="63">
        <v>0</v>
      </c>
      <c r="M282" s="63">
        <v>300505</v>
      </c>
      <c r="N282" s="63">
        <v>0</v>
      </c>
      <c r="O282" s="63">
        <v>40367854</v>
      </c>
      <c r="P282" s="63">
        <v>0</v>
      </c>
      <c r="Q282" s="63">
        <v>40367854</v>
      </c>
      <c r="R282" s="63">
        <v>0</v>
      </c>
      <c r="S282" s="63">
        <v>0</v>
      </c>
      <c r="T282" s="63">
        <v>0</v>
      </c>
      <c r="U282" s="63">
        <v>0</v>
      </c>
      <c r="V282" s="63">
        <v>0</v>
      </c>
      <c r="W282" s="63">
        <v>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0</v>
      </c>
      <c r="AE282" s="63">
        <v>0</v>
      </c>
      <c r="AF282" s="63">
        <v>0</v>
      </c>
      <c r="AG282" s="63">
        <v>0</v>
      </c>
      <c r="AH282" s="63">
        <v>-3806514</v>
      </c>
      <c r="AI282" s="63">
        <v>0</v>
      </c>
      <c r="AJ282" s="63">
        <v>-3806514</v>
      </c>
      <c r="AK282" s="63">
        <v>-2796</v>
      </c>
      <c r="AL282" s="63">
        <v>0</v>
      </c>
      <c r="AM282" s="63">
        <v>-2796</v>
      </c>
      <c r="AN282" s="63">
        <v>819383</v>
      </c>
      <c r="AO282" s="63">
        <v>0</v>
      </c>
      <c r="AP282" s="63">
        <v>819383</v>
      </c>
      <c r="AQ282" s="63">
        <v>-2987131</v>
      </c>
      <c r="AR282" s="63">
        <v>0</v>
      </c>
      <c r="AS282" s="63">
        <v>-2987131</v>
      </c>
      <c r="AT282" s="63">
        <v>-2254927</v>
      </c>
      <c r="AU282" s="63">
        <v>0</v>
      </c>
      <c r="AV282" s="63">
        <v>-2254927</v>
      </c>
      <c r="AW282" s="63">
        <v>-76800</v>
      </c>
      <c r="AX282" s="63">
        <v>0</v>
      </c>
      <c r="AY282" s="63">
        <v>-76800</v>
      </c>
      <c r="AZ282" s="63">
        <v>-53732</v>
      </c>
      <c r="BA282" s="63">
        <v>0</v>
      </c>
      <c r="BB282" s="63">
        <v>-53732</v>
      </c>
      <c r="BC282" s="63">
        <v>-5372590</v>
      </c>
      <c r="BD282" s="63">
        <v>0</v>
      </c>
      <c r="BE282" s="63">
        <v>0</v>
      </c>
      <c r="BF282" s="63">
        <v>0</v>
      </c>
      <c r="BG282" s="63">
        <v>-5372590</v>
      </c>
      <c r="BH282" s="63">
        <v>0</v>
      </c>
      <c r="BI282" s="63">
        <v>-5372590</v>
      </c>
      <c r="BJ282" s="63">
        <v>0</v>
      </c>
      <c r="BK282" s="63">
        <v>0</v>
      </c>
      <c r="BL282" s="63">
        <v>0</v>
      </c>
      <c r="BM282" s="63">
        <v>-595382</v>
      </c>
      <c r="BN282" s="63">
        <v>0</v>
      </c>
      <c r="BO282" s="63">
        <v>-595382</v>
      </c>
      <c r="BP282" s="63">
        <v>-595382</v>
      </c>
      <c r="BQ282" s="63">
        <v>0</v>
      </c>
      <c r="BR282" s="63">
        <v>0</v>
      </c>
      <c r="BS282" s="63">
        <v>0</v>
      </c>
      <c r="BT282" s="63">
        <v>-595382</v>
      </c>
      <c r="BU282" s="63">
        <v>0</v>
      </c>
      <c r="BV282" s="63">
        <v>-595382</v>
      </c>
      <c r="BW282" s="63">
        <v>-79108</v>
      </c>
      <c r="BX282" s="63">
        <v>0</v>
      </c>
      <c r="BY282" s="63">
        <v>-79108</v>
      </c>
      <c r="BZ282" s="63">
        <v>-28000</v>
      </c>
      <c r="CA282" s="63">
        <v>0</v>
      </c>
      <c r="CB282" s="63">
        <v>-28000</v>
      </c>
      <c r="CC282" s="63">
        <v>-7115</v>
      </c>
      <c r="CD282" s="63">
        <v>0</v>
      </c>
      <c r="CE282" s="63">
        <v>-7115</v>
      </c>
      <c r="CF282" s="63">
        <v>-13133</v>
      </c>
      <c r="CG282" s="63">
        <v>0</v>
      </c>
      <c r="CH282" s="63">
        <v>-13133</v>
      </c>
      <c r="CI282" s="63">
        <v>-824</v>
      </c>
      <c r="CJ282" s="63">
        <v>0</v>
      </c>
      <c r="CK282" s="63">
        <v>-824</v>
      </c>
      <c r="CL282" s="63">
        <v>0</v>
      </c>
      <c r="CM282" s="63">
        <v>0</v>
      </c>
      <c r="CN282" s="63">
        <v>0</v>
      </c>
      <c r="CO282" s="63">
        <v>0</v>
      </c>
      <c r="CP282" s="63">
        <v>0</v>
      </c>
      <c r="CQ282" s="63">
        <v>-128180</v>
      </c>
      <c r="CR282" s="63">
        <v>0</v>
      </c>
      <c r="CS282" s="63">
        <v>0</v>
      </c>
      <c r="CT282" s="63">
        <v>0</v>
      </c>
      <c r="CU282" s="63">
        <v>-128180</v>
      </c>
      <c r="CV282" s="63">
        <v>0</v>
      </c>
      <c r="CW282" s="63">
        <v>-128180</v>
      </c>
      <c r="CX282" s="63">
        <v>0</v>
      </c>
      <c r="CY282" s="63">
        <v>0</v>
      </c>
      <c r="CZ282" s="63">
        <v>0</v>
      </c>
      <c r="DA282" s="63">
        <v>0</v>
      </c>
      <c r="DB282" s="63">
        <v>0</v>
      </c>
      <c r="DC282" s="63">
        <v>0</v>
      </c>
      <c r="DD282" s="63">
        <v>-26204</v>
      </c>
      <c r="DE282" s="63">
        <v>0</v>
      </c>
      <c r="DF282" s="63">
        <v>-26204</v>
      </c>
      <c r="DG282" s="63">
        <v>-26204</v>
      </c>
      <c r="DH282" s="63">
        <v>0</v>
      </c>
      <c r="DI282" s="63">
        <v>0</v>
      </c>
      <c r="DJ282" s="63">
        <v>0</v>
      </c>
      <c r="DK282" s="63">
        <v>-26204</v>
      </c>
      <c r="DL282" s="63">
        <v>0</v>
      </c>
      <c r="DM282" s="63">
        <v>-26204</v>
      </c>
      <c r="DN282" s="63">
        <v>34245498</v>
      </c>
      <c r="DO282" s="63">
        <v>0</v>
      </c>
      <c r="DP282" s="63">
        <v>34245498</v>
      </c>
      <c r="DQ282" s="63"/>
      <c r="DR282" s="585"/>
    </row>
    <row r="283" spans="1:122" x14ac:dyDescent="0.2">
      <c r="A283" s="90">
        <v>276</v>
      </c>
      <c r="B283" s="129" t="s">
        <v>402</v>
      </c>
      <c r="C283" s="130" t="s">
        <v>501</v>
      </c>
      <c r="D283" s="131" t="s">
        <v>752</v>
      </c>
      <c r="E283" s="132" t="s">
        <v>547</v>
      </c>
      <c r="F283" s="475" t="s">
        <v>808</v>
      </c>
      <c r="G283" s="63">
        <v>174682508</v>
      </c>
      <c r="H283" s="63">
        <v>0</v>
      </c>
      <c r="I283" s="63">
        <v>174682508</v>
      </c>
      <c r="J283" s="608">
        <v>48.4</v>
      </c>
      <c r="K283" s="63">
        <v>84546334</v>
      </c>
      <c r="L283" s="63">
        <v>0</v>
      </c>
      <c r="M283" s="63">
        <v>0</v>
      </c>
      <c r="N283" s="63">
        <v>0</v>
      </c>
      <c r="O283" s="63">
        <v>84546334</v>
      </c>
      <c r="P283" s="63">
        <v>0</v>
      </c>
      <c r="Q283" s="63">
        <v>84546334</v>
      </c>
      <c r="R283" s="63">
        <v>0</v>
      </c>
      <c r="S283" s="63">
        <v>0</v>
      </c>
      <c r="T283" s="63">
        <v>0</v>
      </c>
      <c r="U283" s="63">
        <v>0</v>
      </c>
      <c r="V283" s="63">
        <v>0</v>
      </c>
      <c r="W283" s="63">
        <v>0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0</v>
      </c>
      <c r="AE283" s="63">
        <v>0</v>
      </c>
      <c r="AF283" s="63">
        <v>0</v>
      </c>
      <c r="AG283" s="63">
        <v>0</v>
      </c>
      <c r="AH283" s="63">
        <v>-2845665</v>
      </c>
      <c r="AI283" s="63">
        <v>0</v>
      </c>
      <c r="AJ283" s="63">
        <v>-2845665</v>
      </c>
      <c r="AK283" s="63">
        <v>-8186</v>
      </c>
      <c r="AL283" s="63">
        <v>0</v>
      </c>
      <c r="AM283" s="63">
        <v>-8186</v>
      </c>
      <c r="AN283" s="63">
        <v>2030737</v>
      </c>
      <c r="AO283" s="63">
        <v>0</v>
      </c>
      <c r="AP283" s="63">
        <v>2030737</v>
      </c>
      <c r="AQ283" s="63">
        <v>-814928</v>
      </c>
      <c r="AR283" s="63">
        <v>0</v>
      </c>
      <c r="AS283" s="63">
        <v>-814928</v>
      </c>
      <c r="AT283" s="63">
        <v>-4490186</v>
      </c>
      <c r="AU283" s="63">
        <v>0</v>
      </c>
      <c r="AV283" s="63">
        <v>-4490186</v>
      </c>
      <c r="AW283" s="63">
        <v>-32822</v>
      </c>
      <c r="AX283" s="63">
        <v>0</v>
      </c>
      <c r="AY283" s="63">
        <v>-32822</v>
      </c>
      <c r="AZ283" s="63">
        <v>-5271</v>
      </c>
      <c r="BA283" s="63">
        <v>0</v>
      </c>
      <c r="BB283" s="63">
        <v>-5271</v>
      </c>
      <c r="BC283" s="63">
        <v>-5343207</v>
      </c>
      <c r="BD283" s="63">
        <v>0</v>
      </c>
      <c r="BE283" s="63">
        <v>-2353224</v>
      </c>
      <c r="BF283" s="63">
        <v>0</v>
      </c>
      <c r="BG283" s="63">
        <v>-7696431</v>
      </c>
      <c r="BH283" s="63">
        <v>0</v>
      </c>
      <c r="BI283" s="63">
        <v>-7696431</v>
      </c>
      <c r="BJ283" s="63">
        <v>-161848</v>
      </c>
      <c r="BK283" s="63">
        <v>0</v>
      </c>
      <c r="BL283" s="63">
        <v>-161848</v>
      </c>
      <c r="BM283" s="63">
        <v>-2504669</v>
      </c>
      <c r="BN283" s="63">
        <v>0</v>
      </c>
      <c r="BO283" s="63">
        <v>-2504669</v>
      </c>
      <c r="BP283" s="63">
        <v>-2666517</v>
      </c>
      <c r="BQ283" s="63">
        <v>0</v>
      </c>
      <c r="BR283" s="63">
        <v>-209894</v>
      </c>
      <c r="BS283" s="63">
        <v>0</v>
      </c>
      <c r="BT283" s="63">
        <v>-2876411</v>
      </c>
      <c r="BU283" s="63">
        <v>0</v>
      </c>
      <c r="BV283" s="63">
        <v>-2876411</v>
      </c>
      <c r="BW283" s="63">
        <v>-321976</v>
      </c>
      <c r="BX283" s="63">
        <v>0</v>
      </c>
      <c r="BY283" s="63">
        <v>-321976</v>
      </c>
      <c r="BZ283" s="63">
        <v>-71096</v>
      </c>
      <c r="CA283" s="63">
        <v>0</v>
      </c>
      <c r="CB283" s="63">
        <v>-71096</v>
      </c>
      <c r="CC283" s="63">
        <v>-4932</v>
      </c>
      <c r="CD283" s="63">
        <v>0</v>
      </c>
      <c r="CE283" s="63">
        <v>-4932</v>
      </c>
      <c r="CF283" s="63">
        <v>-5271</v>
      </c>
      <c r="CG283" s="63">
        <v>0</v>
      </c>
      <c r="CH283" s="63">
        <v>-5271</v>
      </c>
      <c r="CI283" s="63">
        <v>0</v>
      </c>
      <c r="CJ283" s="63">
        <v>0</v>
      </c>
      <c r="CK283" s="63">
        <v>0</v>
      </c>
      <c r="CL283" s="63">
        <v>-500000</v>
      </c>
      <c r="CM283" s="63">
        <v>0</v>
      </c>
      <c r="CN283" s="63">
        <v>-500000</v>
      </c>
      <c r="CO283" s="63">
        <v>0</v>
      </c>
      <c r="CP283" s="63">
        <v>0</v>
      </c>
      <c r="CQ283" s="63">
        <v>-903275</v>
      </c>
      <c r="CR283" s="63">
        <v>0</v>
      </c>
      <c r="CS283" s="63">
        <v>-104851</v>
      </c>
      <c r="CT283" s="63">
        <v>0</v>
      </c>
      <c r="CU283" s="63">
        <v>-1008126</v>
      </c>
      <c r="CV283" s="63">
        <v>0</v>
      </c>
      <c r="CW283" s="63">
        <v>-1008126</v>
      </c>
      <c r="CX283" s="63">
        <v>-19632</v>
      </c>
      <c r="CY283" s="63">
        <v>0</v>
      </c>
      <c r="CZ283" s="63">
        <v>-19632</v>
      </c>
      <c r="DA283" s="63">
        <v>-31125</v>
      </c>
      <c r="DB283" s="63">
        <v>0</v>
      </c>
      <c r="DC283" s="63">
        <v>-31125</v>
      </c>
      <c r="DD283" s="63">
        <v>-9575</v>
      </c>
      <c r="DE283" s="63">
        <v>0</v>
      </c>
      <c r="DF283" s="63">
        <v>-9575</v>
      </c>
      <c r="DG283" s="63">
        <v>-60332</v>
      </c>
      <c r="DH283" s="63">
        <v>0</v>
      </c>
      <c r="DI283" s="63">
        <v>0</v>
      </c>
      <c r="DJ283" s="63">
        <v>0</v>
      </c>
      <c r="DK283" s="63">
        <v>-60332</v>
      </c>
      <c r="DL283" s="63">
        <v>0</v>
      </c>
      <c r="DM283" s="63">
        <v>-60332</v>
      </c>
      <c r="DN283" s="63">
        <v>72905034</v>
      </c>
      <c r="DO283" s="63">
        <v>0</v>
      </c>
      <c r="DP283" s="63">
        <v>72905034</v>
      </c>
      <c r="DQ283" s="63"/>
      <c r="DR283" s="585"/>
    </row>
    <row r="284" spans="1:122" x14ac:dyDescent="0.2">
      <c r="A284" s="90">
        <v>277</v>
      </c>
      <c r="B284" s="129" t="s">
        <v>404</v>
      </c>
      <c r="C284" s="130" t="s">
        <v>742</v>
      </c>
      <c r="D284" s="131" t="s">
        <v>746</v>
      </c>
      <c r="E284" s="132" t="s">
        <v>403</v>
      </c>
      <c r="F284" s="475" t="s">
        <v>808</v>
      </c>
      <c r="G284" s="63">
        <v>71454585</v>
      </c>
      <c r="H284" s="63">
        <v>0</v>
      </c>
      <c r="I284" s="63">
        <v>71454585</v>
      </c>
      <c r="J284" s="608">
        <v>48.4</v>
      </c>
      <c r="K284" s="63">
        <v>34584019</v>
      </c>
      <c r="L284" s="63">
        <v>0</v>
      </c>
      <c r="M284" s="63">
        <v>-200000</v>
      </c>
      <c r="N284" s="63">
        <v>0</v>
      </c>
      <c r="O284" s="63">
        <v>34384019</v>
      </c>
      <c r="P284" s="63">
        <v>0</v>
      </c>
      <c r="Q284" s="63">
        <v>34384019</v>
      </c>
      <c r="R284" s="63">
        <v>0</v>
      </c>
      <c r="S284" s="63">
        <v>0</v>
      </c>
      <c r="T284" s="63">
        <v>0</v>
      </c>
      <c r="U284" s="63">
        <v>0</v>
      </c>
      <c r="V284" s="63">
        <v>0</v>
      </c>
      <c r="W284" s="63">
        <v>0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0</v>
      </c>
      <c r="AE284" s="63">
        <v>0</v>
      </c>
      <c r="AF284" s="63">
        <v>0</v>
      </c>
      <c r="AG284" s="63">
        <v>0</v>
      </c>
      <c r="AH284" s="63">
        <v>-4619822</v>
      </c>
      <c r="AI284" s="63">
        <v>0</v>
      </c>
      <c r="AJ284" s="63">
        <v>-4619822</v>
      </c>
      <c r="AK284" s="63">
        <v>-2577</v>
      </c>
      <c r="AL284" s="63">
        <v>0</v>
      </c>
      <c r="AM284" s="63">
        <v>-2577</v>
      </c>
      <c r="AN284" s="63">
        <v>672959</v>
      </c>
      <c r="AO284" s="63">
        <v>0</v>
      </c>
      <c r="AP284" s="63">
        <v>672959</v>
      </c>
      <c r="AQ284" s="63">
        <v>-3946863</v>
      </c>
      <c r="AR284" s="63">
        <v>0</v>
      </c>
      <c r="AS284" s="63">
        <v>-3946863</v>
      </c>
      <c r="AT284" s="63">
        <v>-2156936</v>
      </c>
      <c r="AU284" s="63">
        <v>0</v>
      </c>
      <c r="AV284" s="63">
        <v>-2156936</v>
      </c>
      <c r="AW284" s="63">
        <v>-136655</v>
      </c>
      <c r="AX284" s="63">
        <v>0</v>
      </c>
      <c r="AY284" s="63">
        <v>-136655</v>
      </c>
      <c r="AZ284" s="63">
        <v>-43009</v>
      </c>
      <c r="BA284" s="63">
        <v>0</v>
      </c>
      <c r="BB284" s="63">
        <v>-43009</v>
      </c>
      <c r="BC284" s="63">
        <v>-6283463</v>
      </c>
      <c r="BD284" s="63">
        <v>0</v>
      </c>
      <c r="BE284" s="63">
        <v>0</v>
      </c>
      <c r="BF284" s="63">
        <v>0</v>
      </c>
      <c r="BG284" s="63">
        <v>-6283463</v>
      </c>
      <c r="BH284" s="63">
        <v>0</v>
      </c>
      <c r="BI284" s="63">
        <v>-6283463</v>
      </c>
      <c r="BJ284" s="63">
        <v>0</v>
      </c>
      <c r="BK284" s="63">
        <v>0</v>
      </c>
      <c r="BL284" s="63">
        <v>0</v>
      </c>
      <c r="BM284" s="63">
        <v>-461118</v>
      </c>
      <c r="BN284" s="63">
        <v>0</v>
      </c>
      <c r="BO284" s="63">
        <v>-461118</v>
      </c>
      <c r="BP284" s="63">
        <v>-461118</v>
      </c>
      <c r="BQ284" s="63">
        <v>0</v>
      </c>
      <c r="BR284" s="63">
        <v>0</v>
      </c>
      <c r="BS284" s="63">
        <v>0</v>
      </c>
      <c r="BT284" s="63">
        <v>-461118</v>
      </c>
      <c r="BU284" s="63">
        <v>0</v>
      </c>
      <c r="BV284" s="63">
        <v>-461118</v>
      </c>
      <c r="BW284" s="63">
        <v>-32414</v>
      </c>
      <c r="BX284" s="63">
        <v>0</v>
      </c>
      <c r="BY284" s="63">
        <v>-32414</v>
      </c>
      <c r="BZ284" s="63">
        <v>-2074</v>
      </c>
      <c r="CA284" s="63">
        <v>0</v>
      </c>
      <c r="CB284" s="63">
        <v>-2074</v>
      </c>
      <c r="CC284" s="63">
        <v>0</v>
      </c>
      <c r="CD284" s="63">
        <v>0</v>
      </c>
      <c r="CE284" s="63">
        <v>0</v>
      </c>
      <c r="CF284" s="63">
        <v>-43009</v>
      </c>
      <c r="CG284" s="63">
        <v>0</v>
      </c>
      <c r="CH284" s="63">
        <v>-43009</v>
      </c>
      <c r="CI284" s="63">
        <v>0</v>
      </c>
      <c r="CJ284" s="63">
        <v>0</v>
      </c>
      <c r="CK284" s="63">
        <v>0</v>
      </c>
      <c r="CL284" s="63">
        <v>0</v>
      </c>
      <c r="CM284" s="63">
        <v>0</v>
      </c>
      <c r="CN284" s="63">
        <v>0</v>
      </c>
      <c r="CO284" s="63">
        <v>0</v>
      </c>
      <c r="CP284" s="63">
        <v>0</v>
      </c>
      <c r="CQ284" s="63">
        <v>-77497</v>
      </c>
      <c r="CR284" s="63">
        <v>0</v>
      </c>
      <c r="CS284" s="63">
        <v>0</v>
      </c>
      <c r="CT284" s="63">
        <v>0</v>
      </c>
      <c r="CU284" s="63">
        <v>-77497</v>
      </c>
      <c r="CV284" s="63">
        <v>0</v>
      </c>
      <c r="CW284" s="63">
        <v>-77497</v>
      </c>
      <c r="CX284" s="63">
        <v>0</v>
      </c>
      <c r="CY284" s="63">
        <v>0</v>
      </c>
      <c r="CZ284" s="63">
        <v>0</v>
      </c>
      <c r="DA284" s="63">
        <v>-19433</v>
      </c>
      <c r="DB284" s="63">
        <v>0</v>
      </c>
      <c r="DC284" s="63">
        <v>-19433</v>
      </c>
      <c r="DD284" s="63">
        <v>0</v>
      </c>
      <c r="DE284" s="63">
        <v>0</v>
      </c>
      <c r="DF284" s="63">
        <v>0</v>
      </c>
      <c r="DG284" s="63">
        <v>-19433</v>
      </c>
      <c r="DH284" s="63">
        <v>0</v>
      </c>
      <c r="DI284" s="63">
        <v>0</v>
      </c>
      <c r="DJ284" s="63">
        <v>0</v>
      </c>
      <c r="DK284" s="63">
        <v>-19433</v>
      </c>
      <c r="DL284" s="63">
        <v>0</v>
      </c>
      <c r="DM284" s="63">
        <v>-19433</v>
      </c>
      <c r="DN284" s="63">
        <v>27542508</v>
      </c>
      <c r="DO284" s="63">
        <v>0</v>
      </c>
      <c r="DP284" s="63">
        <v>27542508</v>
      </c>
      <c r="DQ284" s="63"/>
      <c r="DR284" s="585"/>
    </row>
    <row r="285" spans="1:122" x14ac:dyDescent="0.2">
      <c r="A285" s="90">
        <v>278</v>
      </c>
      <c r="B285" s="129" t="s">
        <v>406</v>
      </c>
      <c r="C285" s="130" t="s">
        <v>742</v>
      </c>
      <c r="D285" s="131" t="s">
        <v>743</v>
      </c>
      <c r="E285" s="132" t="s">
        <v>405</v>
      </c>
      <c r="F285" s="475" t="s">
        <v>808</v>
      </c>
      <c r="G285" s="63">
        <v>117913049</v>
      </c>
      <c r="H285" s="63">
        <v>0</v>
      </c>
      <c r="I285" s="63">
        <v>117913049</v>
      </c>
      <c r="J285" s="608">
        <v>48.4</v>
      </c>
      <c r="K285" s="63">
        <v>57069916</v>
      </c>
      <c r="L285" s="63">
        <v>0</v>
      </c>
      <c r="M285" s="63">
        <v>0</v>
      </c>
      <c r="N285" s="63">
        <v>0</v>
      </c>
      <c r="O285" s="63">
        <v>57069916</v>
      </c>
      <c r="P285" s="63">
        <v>0</v>
      </c>
      <c r="Q285" s="63">
        <v>57069916</v>
      </c>
      <c r="R285" s="63">
        <v>0</v>
      </c>
      <c r="S285" s="63">
        <v>0</v>
      </c>
      <c r="T285" s="63">
        <v>0</v>
      </c>
      <c r="U285" s="63">
        <v>0</v>
      </c>
      <c r="V285" s="63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0</v>
      </c>
      <c r="AE285" s="63">
        <v>0</v>
      </c>
      <c r="AF285" s="63">
        <v>0</v>
      </c>
      <c r="AG285" s="63">
        <v>0</v>
      </c>
      <c r="AH285" s="63">
        <v>-2646686</v>
      </c>
      <c r="AI285" s="63">
        <v>0</v>
      </c>
      <c r="AJ285" s="63">
        <v>-2646686</v>
      </c>
      <c r="AK285" s="63">
        <v>-2398</v>
      </c>
      <c r="AL285" s="63">
        <v>0</v>
      </c>
      <c r="AM285" s="63">
        <v>-2398</v>
      </c>
      <c r="AN285" s="63">
        <v>1314201</v>
      </c>
      <c r="AO285" s="63">
        <v>0</v>
      </c>
      <c r="AP285" s="63">
        <v>1314201</v>
      </c>
      <c r="AQ285" s="63">
        <v>-1332485</v>
      </c>
      <c r="AR285" s="63">
        <v>0</v>
      </c>
      <c r="AS285" s="63">
        <v>-1332485</v>
      </c>
      <c r="AT285" s="63">
        <v>-2678052</v>
      </c>
      <c r="AU285" s="63">
        <v>0</v>
      </c>
      <c r="AV285" s="63">
        <v>-2678052</v>
      </c>
      <c r="AW285" s="63">
        <v>-78466</v>
      </c>
      <c r="AX285" s="63">
        <v>0</v>
      </c>
      <c r="AY285" s="63">
        <v>-78466</v>
      </c>
      <c r="AZ285" s="63">
        <v>-30839</v>
      </c>
      <c r="BA285" s="63">
        <v>0</v>
      </c>
      <c r="BB285" s="63">
        <v>-30839</v>
      </c>
      <c r="BC285" s="63">
        <v>-4119842</v>
      </c>
      <c r="BD285" s="63">
        <v>0</v>
      </c>
      <c r="BE285" s="63">
        <v>0</v>
      </c>
      <c r="BF285" s="63">
        <v>0</v>
      </c>
      <c r="BG285" s="63">
        <v>-4119842</v>
      </c>
      <c r="BH285" s="63">
        <v>0</v>
      </c>
      <c r="BI285" s="63">
        <v>-4119842</v>
      </c>
      <c r="BJ285" s="63">
        <v>-150000</v>
      </c>
      <c r="BK285" s="63">
        <v>0</v>
      </c>
      <c r="BL285" s="63">
        <v>-150000</v>
      </c>
      <c r="BM285" s="63">
        <v>-1355000</v>
      </c>
      <c r="BN285" s="63">
        <v>0</v>
      </c>
      <c r="BO285" s="63">
        <v>-1355000</v>
      </c>
      <c r="BP285" s="63">
        <v>-1505000</v>
      </c>
      <c r="BQ285" s="63">
        <v>0</v>
      </c>
      <c r="BR285" s="63">
        <v>0</v>
      </c>
      <c r="BS285" s="63">
        <v>0</v>
      </c>
      <c r="BT285" s="63">
        <v>-1505000</v>
      </c>
      <c r="BU285" s="63">
        <v>0</v>
      </c>
      <c r="BV285" s="63">
        <v>-1505000</v>
      </c>
      <c r="BW285" s="63">
        <v>-167978</v>
      </c>
      <c r="BX285" s="63">
        <v>0</v>
      </c>
      <c r="BY285" s="63">
        <v>-167978</v>
      </c>
      <c r="BZ285" s="63">
        <v>-96323</v>
      </c>
      <c r="CA285" s="63">
        <v>0</v>
      </c>
      <c r="CB285" s="63">
        <v>-96323</v>
      </c>
      <c r="CC285" s="63">
        <v>-19617</v>
      </c>
      <c r="CD285" s="63">
        <v>0</v>
      </c>
      <c r="CE285" s="63">
        <v>-19617</v>
      </c>
      <c r="CF285" s="63">
        <v>-30839</v>
      </c>
      <c r="CG285" s="63">
        <v>0</v>
      </c>
      <c r="CH285" s="63">
        <v>-30839</v>
      </c>
      <c r="CI285" s="63">
        <v>-46173</v>
      </c>
      <c r="CJ285" s="63">
        <v>0</v>
      </c>
      <c r="CK285" s="63">
        <v>-46173</v>
      </c>
      <c r="CL285" s="63">
        <v>0</v>
      </c>
      <c r="CM285" s="63">
        <v>0</v>
      </c>
      <c r="CN285" s="63">
        <v>0</v>
      </c>
      <c r="CO285" s="63">
        <v>0</v>
      </c>
      <c r="CP285" s="63">
        <v>0</v>
      </c>
      <c r="CQ285" s="63">
        <v>-360930</v>
      </c>
      <c r="CR285" s="63">
        <v>0</v>
      </c>
      <c r="CS285" s="63">
        <v>0</v>
      </c>
      <c r="CT285" s="63">
        <v>0</v>
      </c>
      <c r="CU285" s="63">
        <v>-360930</v>
      </c>
      <c r="CV285" s="63">
        <v>0</v>
      </c>
      <c r="CW285" s="63">
        <v>-360930</v>
      </c>
      <c r="CX285" s="63">
        <v>0</v>
      </c>
      <c r="CY285" s="63">
        <v>0</v>
      </c>
      <c r="CZ285" s="63">
        <v>0</v>
      </c>
      <c r="DA285" s="63">
        <v>-20962</v>
      </c>
      <c r="DB285" s="63">
        <v>0</v>
      </c>
      <c r="DC285" s="63">
        <v>-20962</v>
      </c>
      <c r="DD285" s="63">
        <v>0</v>
      </c>
      <c r="DE285" s="63">
        <v>0</v>
      </c>
      <c r="DF285" s="63">
        <v>0</v>
      </c>
      <c r="DG285" s="63">
        <v>-20962</v>
      </c>
      <c r="DH285" s="63">
        <v>0</v>
      </c>
      <c r="DI285" s="63">
        <v>0</v>
      </c>
      <c r="DJ285" s="63">
        <v>0</v>
      </c>
      <c r="DK285" s="63">
        <v>-20962</v>
      </c>
      <c r="DL285" s="63">
        <v>0</v>
      </c>
      <c r="DM285" s="63">
        <v>-20962</v>
      </c>
      <c r="DN285" s="63">
        <v>51063182</v>
      </c>
      <c r="DO285" s="63">
        <v>0</v>
      </c>
      <c r="DP285" s="63">
        <v>51063182</v>
      </c>
      <c r="DQ285" s="63"/>
      <c r="DR285" s="585"/>
    </row>
    <row r="286" spans="1:122" x14ac:dyDescent="0.2">
      <c r="A286" s="90">
        <v>279</v>
      </c>
      <c r="B286" s="129" t="s">
        <v>408</v>
      </c>
      <c r="C286" s="130" t="s">
        <v>742</v>
      </c>
      <c r="D286" s="131" t="s">
        <v>751</v>
      </c>
      <c r="E286" s="132" t="s">
        <v>407</v>
      </c>
      <c r="F286" s="475" t="s">
        <v>808</v>
      </c>
      <c r="G286" s="63">
        <v>81032006</v>
      </c>
      <c r="H286" s="63">
        <v>0</v>
      </c>
      <c r="I286" s="63">
        <v>81032006</v>
      </c>
      <c r="J286" s="608">
        <v>48.4</v>
      </c>
      <c r="K286" s="63">
        <v>39219491</v>
      </c>
      <c r="L286" s="63">
        <v>0</v>
      </c>
      <c r="M286" s="63">
        <v>0</v>
      </c>
      <c r="N286" s="63">
        <v>0</v>
      </c>
      <c r="O286" s="63">
        <v>39219491</v>
      </c>
      <c r="P286" s="63">
        <v>0</v>
      </c>
      <c r="Q286" s="63">
        <v>39219491</v>
      </c>
      <c r="R286" s="63">
        <v>0</v>
      </c>
      <c r="S286" s="63">
        <v>0</v>
      </c>
      <c r="T286" s="63">
        <v>0</v>
      </c>
      <c r="U286" s="63">
        <v>0</v>
      </c>
      <c r="V286" s="63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63">
        <v>0</v>
      </c>
      <c r="AF286" s="63">
        <v>0</v>
      </c>
      <c r="AG286" s="63">
        <v>0</v>
      </c>
      <c r="AH286" s="63">
        <v>-1851765</v>
      </c>
      <c r="AI286" s="63">
        <v>0</v>
      </c>
      <c r="AJ286" s="63">
        <v>-1851765</v>
      </c>
      <c r="AK286" s="63">
        <v>0</v>
      </c>
      <c r="AL286" s="63">
        <v>0</v>
      </c>
      <c r="AM286" s="63">
        <v>0</v>
      </c>
      <c r="AN286" s="63">
        <v>907240</v>
      </c>
      <c r="AO286" s="63">
        <v>0</v>
      </c>
      <c r="AP286" s="63">
        <v>907240</v>
      </c>
      <c r="AQ286" s="63">
        <v>-944525</v>
      </c>
      <c r="AR286" s="63">
        <v>0</v>
      </c>
      <c r="AS286" s="63">
        <v>-944525</v>
      </c>
      <c r="AT286" s="63">
        <v>-1276266</v>
      </c>
      <c r="AU286" s="63">
        <v>0</v>
      </c>
      <c r="AV286" s="63">
        <v>-1276266</v>
      </c>
      <c r="AW286" s="63">
        <v>-34969</v>
      </c>
      <c r="AX286" s="63">
        <v>0</v>
      </c>
      <c r="AY286" s="63">
        <v>-34969</v>
      </c>
      <c r="AZ286" s="63">
        <v>-7219</v>
      </c>
      <c r="BA286" s="63">
        <v>0</v>
      </c>
      <c r="BB286" s="63">
        <v>-7219</v>
      </c>
      <c r="BC286" s="63">
        <v>-2262979</v>
      </c>
      <c r="BD286" s="63">
        <v>0</v>
      </c>
      <c r="BE286" s="63">
        <v>0</v>
      </c>
      <c r="BF286" s="63">
        <v>0</v>
      </c>
      <c r="BG286" s="63">
        <v>-2262979</v>
      </c>
      <c r="BH286" s="63">
        <v>0</v>
      </c>
      <c r="BI286" s="63">
        <v>-2262979</v>
      </c>
      <c r="BJ286" s="63">
        <v>0</v>
      </c>
      <c r="BK286" s="63">
        <v>0</v>
      </c>
      <c r="BL286" s="63">
        <v>0</v>
      </c>
      <c r="BM286" s="63">
        <v>-1122888</v>
      </c>
      <c r="BN286" s="63">
        <v>0</v>
      </c>
      <c r="BO286" s="63">
        <v>-1122888</v>
      </c>
      <c r="BP286" s="63">
        <v>-1122888</v>
      </c>
      <c r="BQ286" s="63">
        <v>0</v>
      </c>
      <c r="BR286" s="63">
        <v>0</v>
      </c>
      <c r="BS286" s="63">
        <v>0</v>
      </c>
      <c r="BT286" s="63">
        <v>-1122888</v>
      </c>
      <c r="BU286" s="63">
        <v>0</v>
      </c>
      <c r="BV286" s="63">
        <v>-1122888</v>
      </c>
      <c r="BW286" s="63">
        <v>-45059</v>
      </c>
      <c r="BX286" s="63">
        <v>0</v>
      </c>
      <c r="BY286" s="63">
        <v>-45059</v>
      </c>
      <c r="BZ286" s="63">
        <v>-8990</v>
      </c>
      <c r="CA286" s="63">
        <v>0</v>
      </c>
      <c r="CB286" s="63">
        <v>-8990</v>
      </c>
      <c r="CC286" s="63">
        <v>-378</v>
      </c>
      <c r="CD286" s="63">
        <v>0</v>
      </c>
      <c r="CE286" s="63">
        <v>-378</v>
      </c>
      <c r="CF286" s="63">
        <v>-2696</v>
      </c>
      <c r="CG286" s="63">
        <v>0</v>
      </c>
      <c r="CH286" s="63">
        <v>-2696</v>
      </c>
      <c r="CI286" s="63">
        <v>0</v>
      </c>
      <c r="CJ286" s="63">
        <v>0</v>
      </c>
      <c r="CK286" s="63">
        <v>0</v>
      </c>
      <c r="CL286" s="63">
        <v>0</v>
      </c>
      <c r="CM286" s="63">
        <v>0</v>
      </c>
      <c r="CN286" s="63">
        <v>0</v>
      </c>
      <c r="CO286" s="63">
        <v>0</v>
      </c>
      <c r="CP286" s="63">
        <v>0</v>
      </c>
      <c r="CQ286" s="63">
        <v>-57123</v>
      </c>
      <c r="CR286" s="63">
        <v>0</v>
      </c>
      <c r="CS286" s="63">
        <v>0</v>
      </c>
      <c r="CT286" s="63">
        <v>0</v>
      </c>
      <c r="CU286" s="63">
        <v>-57123</v>
      </c>
      <c r="CV286" s="63">
        <v>0</v>
      </c>
      <c r="CW286" s="63">
        <v>-57123</v>
      </c>
      <c r="CX286" s="63">
        <v>0</v>
      </c>
      <c r="CY286" s="63">
        <v>0</v>
      </c>
      <c r="CZ286" s="63">
        <v>0</v>
      </c>
      <c r="DA286" s="63">
        <v>-21309</v>
      </c>
      <c r="DB286" s="63">
        <v>0</v>
      </c>
      <c r="DC286" s="63">
        <v>-21309</v>
      </c>
      <c r="DD286" s="63">
        <v>-4162</v>
      </c>
      <c r="DE286" s="63">
        <v>0</v>
      </c>
      <c r="DF286" s="63">
        <v>-4162</v>
      </c>
      <c r="DG286" s="63">
        <v>-25471</v>
      </c>
      <c r="DH286" s="63">
        <v>0</v>
      </c>
      <c r="DI286" s="63">
        <v>0</v>
      </c>
      <c r="DJ286" s="63">
        <v>0</v>
      </c>
      <c r="DK286" s="63">
        <v>-25471</v>
      </c>
      <c r="DL286" s="63">
        <v>0</v>
      </c>
      <c r="DM286" s="63">
        <v>-25471</v>
      </c>
      <c r="DN286" s="63">
        <v>35751030</v>
      </c>
      <c r="DO286" s="63">
        <v>0</v>
      </c>
      <c r="DP286" s="63">
        <v>35751030</v>
      </c>
      <c r="DQ286" s="63"/>
      <c r="DR286" s="585"/>
    </row>
    <row r="287" spans="1:122" x14ac:dyDescent="0.2">
      <c r="A287" s="90">
        <v>280</v>
      </c>
      <c r="B287" s="129" t="s">
        <v>410</v>
      </c>
      <c r="C287" s="130" t="s">
        <v>742</v>
      </c>
      <c r="D287" s="131" t="s">
        <v>743</v>
      </c>
      <c r="E287" s="132" t="s">
        <v>409</v>
      </c>
      <c r="F287" s="475" t="s">
        <v>808</v>
      </c>
      <c r="G287" s="63">
        <v>90183817</v>
      </c>
      <c r="H287" s="63">
        <v>0</v>
      </c>
      <c r="I287" s="63">
        <v>90183817</v>
      </c>
      <c r="J287" s="608">
        <v>48.4</v>
      </c>
      <c r="K287" s="63">
        <v>43648967</v>
      </c>
      <c r="L287" s="63">
        <v>0</v>
      </c>
      <c r="M287" s="63">
        <v>0</v>
      </c>
      <c r="N287" s="63">
        <v>0</v>
      </c>
      <c r="O287" s="63">
        <v>43648967</v>
      </c>
      <c r="P287" s="63">
        <v>0</v>
      </c>
      <c r="Q287" s="63">
        <v>43648967</v>
      </c>
      <c r="R287" s="63">
        <v>0</v>
      </c>
      <c r="S287" s="63">
        <v>0</v>
      </c>
      <c r="T287" s="63">
        <v>0</v>
      </c>
      <c r="U287" s="63">
        <v>0</v>
      </c>
      <c r="V287" s="63">
        <v>0</v>
      </c>
      <c r="W287" s="63">
        <v>0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63">
        <v>0</v>
      </c>
      <c r="AF287" s="63">
        <v>0</v>
      </c>
      <c r="AG287" s="63">
        <v>0</v>
      </c>
      <c r="AH287" s="63">
        <v>-3869695</v>
      </c>
      <c r="AI287" s="63">
        <v>0</v>
      </c>
      <c r="AJ287" s="63">
        <v>-3869695</v>
      </c>
      <c r="AK287" s="63">
        <v>-3988</v>
      </c>
      <c r="AL287" s="63">
        <v>0</v>
      </c>
      <c r="AM287" s="63">
        <v>-3988</v>
      </c>
      <c r="AN287" s="63">
        <v>940191</v>
      </c>
      <c r="AO287" s="63">
        <v>0</v>
      </c>
      <c r="AP287" s="63">
        <v>940191</v>
      </c>
      <c r="AQ287" s="63">
        <v>-2929504</v>
      </c>
      <c r="AR287" s="63">
        <v>0</v>
      </c>
      <c r="AS287" s="63">
        <v>-2929504</v>
      </c>
      <c r="AT287" s="63">
        <v>-3768726</v>
      </c>
      <c r="AU287" s="63">
        <v>0</v>
      </c>
      <c r="AV287" s="63">
        <v>-3768726</v>
      </c>
      <c r="AW287" s="63">
        <v>-39352</v>
      </c>
      <c r="AX287" s="63">
        <v>0</v>
      </c>
      <c r="AY287" s="63">
        <v>-39352</v>
      </c>
      <c r="AZ287" s="63">
        <v>-5107</v>
      </c>
      <c r="BA287" s="63">
        <v>0</v>
      </c>
      <c r="BB287" s="63">
        <v>-5107</v>
      </c>
      <c r="BC287" s="63">
        <v>-6742689</v>
      </c>
      <c r="BD287" s="63">
        <v>0</v>
      </c>
      <c r="BE287" s="63">
        <v>-3701270</v>
      </c>
      <c r="BF287" s="63">
        <v>0</v>
      </c>
      <c r="BG287" s="63">
        <v>-10443959</v>
      </c>
      <c r="BH287" s="63">
        <v>0</v>
      </c>
      <c r="BI287" s="63">
        <v>-10443959</v>
      </c>
      <c r="BJ287" s="63">
        <v>0</v>
      </c>
      <c r="BK287" s="63">
        <v>0</v>
      </c>
      <c r="BL287" s="63">
        <v>0</v>
      </c>
      <c r="BM287" s="63">
        <v>-1171828</v>
      </c>
      <c r="BN287" s="63">
        <v>0</v>
      </c>
      <c r="BO287" s="63">
        <v>-1171828</v>
      </c>
      <c r="BP287" s="63">
        <v>-1171828</v>
      </c>
      <c r="BQ287" s="63">
        <v>0</v>
      </c>
      <c r="BR287" s="63">
        <v>0</v>
      </c>
      <c r="BS287" s="63">
        <v>0</v>
      </c>
      <c r="BT287" s="63">
        <v>-1171828</v>
      </c>
      <c r="BU287" s="63">
        <v>0</v>
      </c>
      <c r="BV287" s="63">
        <v>-1171828</v>
      </c>
      <c r="BW287" s="63">
        <v>-150600</v>
      </c>
      <c r="BX287" s="63">
        <v>0</v>
      </c>
      <c r="BY287" s="63">
        <v>-150600</v>
      </c>
      <c r="BZ287" s="63">
        <v>-39812</v>
      </c>
      <c r="CA287" s="63">
        <v>0</v>
      </c>
      <c r="CB287" s="63">
        <v>-39812</v>
      </c>
      <c r="CC287" s="63">
        <v>0</v>
      </c>
      <c r="CD287" s="63">
        <v>0</v>
      </c>
      <c r="CE287" s="63">
        <v>0</v>
      </c>
      <c r="CF287" s="63">
        <v>-758</v>
      </c>
      <c r="CG287" s="63">
        <v>0</v>
      </c>
      <c r="CH287" s="63">
        <v>-758</v>
      </c>
      <c r="CI287" s="63">
        <v>0</v>
      </c>
      <c r="CJ287" s="63">
        <v>0</v>
      </c>
      <c r="CK287" s="63">
        <v>0</v>
      </c>
      <c r="CL287" s="63">
        <v>0</v>
      </c>
      <c r="CM287" s="63">
        <v>0</v>
      </c>
      <c r="CN287" s="63">
        <v>0</v>
      </c>
      <c r="CO287" s="63">
        <v>0</v>
      </c>
      <c r="CP287" s="63">
        <v>0</v>
      </c>
      <c r="CQ287" s="63">
        <v>-191170</v>
      </c>
      <c r="CR287" s="63">
        <v>0</v>
      </c>
      <c r="CS287" s="63">
        <v>0</v>
      </c>
      <c r="CT287" s="63">
        <v>0</v>
      </c>
      <c r="CU287" s="63">
        <v>-191170</v>
      </c>
      <c r="CV287" s="63">
        <v>0</v>
      </c>
      <c r="CW287" s="63">
        <v>-191170</v>
      </c>
      <c r="CX287" s="63">
        <v>-25408</v>
      </c>
      <c r="CY287" s="63">
        <v>0</v>
      </c>
      <c r="CZ287" s="63">
        <v>-25408</v>
      </c>
      <c r="DA287" s="63">
        <v>-26263</v>
      </c>
      <c r="DB287" s="63">
        <v>0</v>
      </c>
      <c r="DC287" s="63">
        <v>-26263</v>
      </c>
      <c r="DD287" s="63">
        <v>-10215</v>
      </c>
      <c r="DE287" s="63">
        <v>0</v>
      </c>
      <c r="DF287" s="63">
        <v>-10215</v>
      </c>
      <c r="DG287" s="63">
        <v>-61886</v>
      </c>
      <c r="DH287" s="63">
        <v>0</v>
      </c>
      <c r="DI287" s="63">
        <v>0</v>
      </c>
      <c r="DJ287" s="63">
        <v>0</v>
      </c>
      <c r="DK287" s="63">
        <v>-61886</v>
      </c>
      <c r="DL287" s="63">
        <v>0</v>
      </c>
      <c r="DM287" s="63">
        <v>-61886</v>
      </c>
      <c r="DN287" s="63">
        <v>31780124</v>
      </c>
      <c r="DO287" s="63">
        <v>0</v>
      </c>
      <c r="DP287" s="63">
        <v>31780124</v>
      </c>
      <c r="DQ287" s="63"/>
      <c r="DR287" s="585"/>
    </row>
    <row r="288" spans="1:122" x14ac:dyDescent="0.2">
      <c r="A288" s="90">
        <v>281</v>
      </c>
      <c r="B288" s="129" t="s">
        <v>412</v>
      </c>
      <c r="C288" s="130" t="s">
        <v>742</v>
      </c>
      <c r="D288" s="131" t="s">
        <v>746</v>
      </c>
      <c r="E288" s="132" t="s">
        <v>411</v>
      </c>
      <c r="F288" s="475" t="s">
        <v>808</v>
      </c>
      <c r="G288" s="63">
        <v>68878961</v>
      </c>
      <c r="H288" s="63">
        <v>0</v>
      </c>
      <c r="I288" s="63">
        <v>68878961</v>
      </c>
      <c r="J288" s="608">
        <v>48.4</v>
      </c>
      <c r="K288" s="63">
        <v>33337417</v>
      </c>
      <c r="L288" s="63">
        <v>0</v>
      </c>
      <c r="M288" s="63">
        <v>0</v>
      </c>
      <c r="N288" s="63">
        <v>0</v>
      </c>
      <c r="O288" s="63">
        <v>33337417</v>
      </c>
      <c r="P288" s="63">
        <v>0</v>
      </c>
      <c r="Q288" s="63">
        <v>33337417</v>
      </c>
      <c r="R288" s="63">
        <v>0</v>
      </c>
      <c r="S288" s="63">
        <v>0</v>
      </c>
      <c r="T288" s="63">
        <v>0</v>
      </c>
      <c r="U288" s="63">
        <v>0</v>
      </c>
      <c r="V288" s="63">
        <v>0</v>
      </c>
      <c r="W288" s="63">
        <v>0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63">
        <v>0</v>
      </c>
      <c r="AF288" s="63">
        <v>0</v>
      </c>
      <c r="AG288" s="63">
        <v>0</v>
      </c>
      <c r="AH288" s="63">
        <v>-928001</v>
      </c>
      <c r="AI288" s="63">
        <v>0</v>
      </c>
      <c r="AJ288" s="63">
        <v>-928001</v>
      </c>
      <c r="AK288" s="63">
        <v>0</v>
      </c>
      <c r="AL288" s="63">
        <v>0</v>
      </c>
      <c r="AM288" s="63">
        <v>0</v>
      </c>
      <c r="AN288" s="63">
        <v>781787</v>
      </c>
      <c r="AO288" s="63">
        <v>0</v>
      </c>
      <c r="AP288" s="63">
        <v>781787</v>
      </c>
      <c r="AQ288" s="63">
        <v>-146214</v>
      </c>
      <c r="AR288" s="63">
        <v>0</v>
      </c>
      <c r="AS288" s="63">
        <v>-146214</v>
      </c>
      <c r="AT288" s="63">
        <v>-2364826</v>
      </c>
      <c r="AU288" s="63">
        <v>0</v>
      </c>
      <c r="AV288" s="63">
        <v>-2364826</v>
      </c>
      <c r="AW288" s="63">
        <v>-28235</v>
      </c>
      <c r="AX288" s="63">
        <v>0</v>
      </c>
      <c r="AY288" s="63">
        <v>-28235</v>
      </c>
      <c r="AZ288" s="63">
        <v>-1849</v>
      </c>
      <c r="BA288" s="63">
        <v>0</v>
      </c>
      <c r="BB288" s="63">
        <v>-1849</v>
      </c>
      <c r="BC288" s="63">
        <v>-2541124</v>
      </c>
      <c r="BD288" s="63">
        <v>0</v>
      </c>
      <c r="BE288" s="63">
        <v>0</v>
      </c>
      <c r="BF288" s="63">
        <v>0</v>
      </c>
      <c r="BG288" s="63">
        <v>-2541124</v>
      </c>
      <c r="BH288" s="63">
        <v>0</v>
      </c>
      <c r="BI288" s="63">
        <v>-2541124</v>
      </c>
      <c r="BJ288" s="63">
        <v>-6034</v>
      </c>
      <c r="BK288" s="63">
        <v>0</v>
      </c>
      <c r="BL288" s="63">
        <v>-6034</v>
      </c>
      <c r="BM288" s="63">
        <v>-803881</v>
      </c>
      <c r="BN288" s="63">
        <v>0</v>
      </c>
      <c r="BO288" s="63">
        <v>-803881</v>
      </c>
      <c r="BP288" s="63">
        <v>-809915</v>
      </c>
      <c r="BQ288" s="63">
        <v>0</v>
      </c>
      <c r="BR288" s="63">
        <v>0</v>
      </c>
      <c r="BS288" s="63">
        <v>0</v>
      </c>
      <c r="BT288" s="63">
        <v>-809915</v>
      </c>
      <c r="BU288" s="63">
        <v>0</v>
      </c>
      <c r="BV288" s="63">
        <v>-809915</v>
      </c>
      <c r="BW288" s="63">
        <v>-129316</v>
      </c>
      <c r="BX288" s="63">
        <v>0</v>
      </c>
      <c r="BY288" s="63">
        <v>-129316</v>
      </c>
      <c r="BZ288" s="63">
        <v>-145855</v>
      </c>
      <c r="CA288" s="63">
        <v>0</v>
      </c>
      <c r="CB288" s="63">
        <v>-145855</v>
      </c>
      <c r="CC288" s="63">
        <v>-7012</v>
      </c>
      <c r="CD288" s="63">
        <v>0</v>
      </c>
      <c r="CE288" s="63">
        <v>-7012</v>
      </c>
      <c r="CF288" s="63">
        <v>-1849</v>
      </c>
      <c r="CG288" s="63">
        <v>0</v>
      </c>
      <c r="CH288" s="63">
        <v>-1849</v>
      </c>
      <c r="CI288" s="63">
        <v>0</v>
      </c>
      <c r="CJ288" s="63">
        <v>0</v>
      </c>
      <c r="CK288" s="63">
        <v>0</v>
      </c>
      <c r="CL288" s="63">
        <v>0</v>
      </c>
      <c r="CM288" s="63">
        <v>0</v>
      </c>
      <c r="CN288" s="63">
        <v>0</v>
      </c>
      <c r="CO288" s="63">
        <v>0</v>
      </c>
      <c r="CP288" s="63">
        <v>0</v>
      </c>
      <c r="CQ288" s="63">
        <v>-284032</v>
      </c>
      <c r="CR288" s="63">
        <v>0</v>
      </c>
      <c r="CS288" s="63">
        <v>0</v>
      </c>
      <c r="CT288" s="63">
        <v>0</v>
      </c>
      <c r="CU288" s="63">
        <v>-284032</v>
      </c>
      <c r="CV288" s="63">
        <v>0</v>
      </c>
      <c r="CW288" s="63">
        <v>-284032</v>
      </c>
      <c r="CX288" s="63">
        <v>0</v>
      </c>
      <c r="CY288" s="63">
        <v>0</v>
      </c>
      <c r="CZ288" s="63">
        <v>0</v>
      </c>
      <c r="DA288" s="63">
        <v>0</v>
      </c>
      <c r="DB288" s="63">
        <v>0</v>
      </c>
      <c r="DC288" s="63">
        <v>0</v>
      </c>
      <c r="DD288" s="63">
        <v>0</v>
      </c>
      <c r="DE288" s="63">
        <v>0</v>
      </c>
      <c r="DF288" s="63">
        <v>0</v>
      </c>
      <c r="DG288" s="63">
        <v>0</v>
      </c>
      <c r="DH288" s="63">
        <v>0</v>
      </c>
      <c r="DI288" s="63">
        <v>0</v>
      </c>
      <c r="DJ288" s="63">
        <v>0</v>
      </c>
      <c r="DK288" s="63">
        <v>0</v>
      </c>
      <c r="DL288" s="63">
        <v>0</v>
      </c>
      <c r="DM288" s="63">
        <v>0</v>
      </c>
      <c r="DN288" s="63">
        <v>29702346</v>
      </c>
      <c r="DO288" s="63">
        <v>0</v>
      </c>
      <c r="DP288" s="63">
        <v>29702346</v>
      </c>
      <c r="DQ288" s="63"/>
      <c r="DR288" s="585"/>
    </row>
    <row r="289" spans="1:122" x14ac:dyDescent="0.2">
      <c r="A289" s="90">
        <v>282</v>
      </c>
      <c r="B289" s="129" t="s">
        <v>413</v>
      </c>
      <c r="C289" s="130" t="s">
        <v>501</v>
      </c>
      <c r="D289" s="131" t="s">
        <v>746</v>
      </c>
      <c r="E289" s="132" t="s">
        <v>529</v>
      </c>
      <c r="F289" s="475" t="s">
        <v>808</v>
      </c>
      <c r="G289" s="63">
        <v>261107272</v>
      </c>
      <c r="H289" s="63">
        <v>0</v>
      </c>
      <c r="I289" s="63">
        <v>261107272</v>
      </c>
      <c r="J289" s="608">
        <v>48.4</v>
      </c>
      <c r="K289" s="63">
        <v>126375920</v>
      </c>
      <c r="L289" s="63">
        <v>0</v>
      </c>
      <c r="M289" s="63">
        <v>1503600</v>
      </c>
      <c r="N289" s="63">
        <v>0</v>
      </c>
      <c r="O289" s="63">
        <v>127879520</v>
      </c>
      <c r="P289" s="63">
        <v>0</v>
      </c>
      <c r="Q289" s="63">
        <v>127879520</v>
      </c>
      <c r="R289" s="63">
        <v>0</v>
      </c>
      <c r="S289" s="63">
        <v>0</v>
      </c>
      <c r="T289" s="63">
        <v>0</v>
      </c>
      <c r="U289" s="63">
        <v>0</v>
      </c>
      <c r="V289" s="63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63">
        <v>0</v>
      </c>
      <c r="AF289" s="63">
        <v>0</v>
      </c>
      <c r="AG289" s="63">
        <v>0</v>
      </c>
      <c r="AH289" s="63">
        <v>-2305361</v>
      </c>
      <c r="AI289" s="63">
        <v>0</v>
      </c>
      <c r="AJ289" s="63">
        <v>-2305361</v>
      </c>
      <c r="AK289" s="63">
        <v>-13397</v>
      </c>
      <c r="AL289" s="63">
        <v>0</v>
      </c>
      <c r="AM289" s="63">
        <v>-13397</v>
      </c>
      <c r="AN289" s="63">
        <v>3192088</v>
      </c>
      <c r="AO289" s="63">
        <v>0</v>
      </c>
      <c r="AP289" s="63">
        <v>3192088</v>
      </c>
      <c r="AQ289" s="63">
        <v>886727</v>
      </c>
      <c r="AR289" s="63">
        <v>0</v>
      </c>
      <c r="AS289" s="63">
        <v>886727</v>
      </c>
      <c r="AT289" s="63">
        <v>-4036482</v>
      </c>
      <c r="AU289" s="63">
        <v>0</v>
      </c>
      <c r="AV289" s="63">
        <v>-4036482</v>
      </c>
      <c r="AW289" s="63">
        <v>-34700</v>
      </c>
      <c r="AX289" s="63">
        <v>0</v>
      </c>
      <c r="AY289" s="63">
        <v>-34700</v>
      </c>
      <c r="AZ289" s="63">
        <v>0</v>
      </c>
      <c r="BA289" s="63">
        <v>0</v>
      </c>
      <c r="BB289" s="63">
        <v>0</v>
      </c>
      <c r="BC289" s="63">
        <v>-3184455</v>
      </c>
      <c r="BD289" s="63">
        <v>0</v>
      </c>
      <c r="BE289" s="63">
        <v>-167603</v>
      </c>
      <c r="BF289" s="63">
        <v>0</v>
      </c>
      <c r="BG289" s="63">
        <v>-3352058</v>
      </c>
      <c r="BH289" s="63">
        <v>0</v>
      </c>
      <c r="BI289" s="63">
        <v>-3352058</v>
      </c>
      <c r="BJ289" s="63">
        <v>-200000</v>
      </c>
      <c r="BK289" s="63">
        <v>0</v>
      </c>
      <c r="BL289" s="63">
        <v>-200000</v>
      </c>
      <c r="BM289" s="63">
        <v>-9221852</v>
      </c>
      <c r="BN289" s="63">
        <v>0</v>
      </c>
      <c r="BO289" s="63">
        <v>-9221852</v>
      </c>
      <c r="BP289" s="63">
        <v>-9421852</v>
      </c>
      <c r="BQ289" s="63">
        <v>0</v>
      </c>
      <c r="BR289" s="63">
        <v>-495887</v>
      </c>
      <c r="BS289" s="63">
        <v>0</v>
      </c>
      <c r="BT289" s="63">
        <v>-9917739</v>
      </c>
      <c r="BU289" s="63">
        <v>0</v>
      </c>
      <c r="BV289" s="63">
        <v>-9917739</v>
      </c>
      <c r="BW289" s="63">
        <v>-45000</v>
      </c>
      <c r="BX289" s="63">
        <v>0</v>
      </c>
      <c r="BY289" s="63">
        <v>-45000</v>
      </c>
      <c r="BZ289" s="63">
        <v>-60000</v>
      </c>
      <c r="CA289" s="63">
        <v>0</v>
      </c>
      <c r="CB289" s="63">
        <v>-60000</v>
      </c>
      <c r="CC289" s="63">
        <v>-400</v>
      </c>
      <c r="CD289" s="63">
        <v>0</v>
      </c>
      <c r="CE289" s="63">
        <v>-400</v>
      </c>
      <c r="CF289" s="63">
        <v>0</v>
      </c>
      <c r="CG289" s="63">
        <v>0</v>
      </c>
      <c r="CH289" s="63">
        <v>0</v>
      </c>
      <c r="CI289" s="63">
        <v>0</v>
      </c>
      <c r="CJ289" s="63">
        <v>0</v>
      </c>
      <c r="CK289" s="63">
        <v>0</v>
      </c>
      <c r="CL289" s="63">
        <v>0</v>
      </c>
      <c r="CM289" s="63">
        <v>0</v>
      </c>
      <c r="CN289" s="63">
        <v>0</v>
      </c>
      <c r="CO289" s="63">
        <v>0</v>
      </c>
      <c r="CP289" s="63">
        <v>0</v>
      </c>
      <c r="CQ289" s="63">
        <v>-105400</v>
      </c>
      <c r="CR289" s="63">
        <v>0</v>
      </c>
      <c r="CS289" s="63">
        <v>0</v>
      </c>
      <c r="CT289" s="63">
        <v>0</v>
      </c>
      <c r="CU289" s="63">
        <v>-105400</v>
      </c>
      <c r="CV289" s="63">
        <v>0</v>
      </c>
      <c r="CW289" s="63">
        <v>-105400</v>
      </c>
      <c r="CX289" s="63">
        <v>0</v>
      </c>
      <c r="CY289" s="63">
        <v>0</v>
      </c>
      <c r="CZ289" s="63">
        <v>0</v>
      </c>
      <c r="DA289" s="63">
        <v>0</v>
      </c>
      <c r="DB289" s="63">
        <v>0</v>
      </c>
      <c r="DC289" s="63">
        <v>0</v>
      </c>
      <c r="DD289" s="63">
        <v>-15629</v>
      </c>
      <c r="DE289" s="63">
        <v>0</v>
      </c>
      <c r="DF289" s="63">
        <v>-15629</v>
      </c>
      <c r="DG289" s="63">
        <v>-15629</v>
      </c>
      <c r="DH289" s="63">
        <v>0</v>
      </c>
      <c r="DI289" s="63">
        <v>0</v>
      </c>
      <c r="DJ289" s="63">
        <v>0</v>
      </c>
      <c r="DK289" s="63">
        <v>-15629</v>
      </c>
      <c r="DL289" s="63">
        <v>0</v>
      </c>
      <c r="DM289" s="63">
        <v>-15629</v>
      </c>
      <c r="DN289" s="63">
        <v>114488694</v>
      </c>
      <c r="DO289" s="63">
        <v>0</v>
      </c>
      <c r="DP289" s="63">
        <v>114488694</v>
      </c>
      <c r="DQ289" s="63"/>
      <c r="DR289" s="585"/>
    </row>
    <row r="290" spans="1:122" x14ac:dyDescent="0.2">
      <c r="A290" s="90">
        <v>283</v>
      </c>
      <c r="B290" s="129" t="s">
        <v>414</v>
      </c>
      <c r="C290" s="130" t="s">
        <v>742</v>
      </c>
      <c r="D290" s="131" t="s">
        <v>743</v>
      </c>
      <c r="E290" s="132" t="s">
        <v>537</v>
      </c>
      <c r="F290" s="475" t="s">
        <v>808</v>
      </c>
      <c r="G290" s="63">
        <v>134474281</v>
      </c>
      <c r="H290" s="63">
        <v>0</v>
      </c>
      <c r="I290" s="63">
        <v>134474281</v>
      </c>
      <c r="J290" s="608">
        <v>48.4</v>
      </c>
      <c r="K290" s="63">
        <v>65085552</v>
      </c>
      <c r="L290" s="63">
        <v>0</v>
      </c>
      <c r="M290" s="63">
        <v>-764050</v>
      </c>
      <c r="N290" s="63">
        <v>0</v>
      </c>
      <c r="O290" s="63">
        <v>64321502</v>
      </c>
      <c r="P290" s="63">
        <v>0</v>
      </c>
      <c r="Q290" s="63">
        <v>64321502</v>
      </c>
      <c r="R290" s="63">
        <v>0</v>
      </c>
      <c r="S290" s="63">
        <v>0</v>
      </c>
      <c r="T290" s="63">
        <v>0</v>
      </c>
      <c r="U290" s="63">
        <v>0</v>
      </c>
      <c r="V290" s="63">
        <v>0</v>
      </c>
      <c r="W290" s="63">
        <v>0</v>
      </c>
      <c r="X290" s="63">
        <v>0</v>
      </c>
      <c r="Y290" s="63">
        <v>0</v>
      </c>
      <c r="Z290" s="63">
        <v>0</v>
      </c>
      <c r="AA290" s="63">
        <v>0</v>
      </c>
      <c r="AB290" s="63">
        <v>0</v>
      </c>
      <c r="AC290" s="63">
        <v>0</v>
      </c>
      <c r="AD290" s="63">
        <v>0</v>
      </c>
      <c r="AE290" s="63">
        <v>0</v>
      </c>
      <c r="AF290" s="63">
        <v>0</v>
      </c>
      <c r="AG290" s="63">
        <v>0</v>
      </c>
      <c r="AH290" s="63">
        <v>-1832140</v>
      </c>
      <c r="AI290" s="63">
        <v>0</v>
      </c>
      <c r="AJ290" s="63">
        <v>-1832140</v>
      </c>
      <c r="AK290" s="63">
        <v>0</v>
      </c>
      <c r="AL290" s="63">
        <v>0</v>
      </c>
      <c r="AM290" s="63">
        <v>0</v>
      </c>
      <c r="AN290" s="63">
        <v>1537600</v>
      </c>
      <c r="AO290" s="63">
        <v>0</v>
      </c>
      <c r="AP290" s="63">
        <v>1537600</v>
      </c>
      <c r="AQ290" s="63">
        <v>-294540</v>
      </c>
      <c r="AR290" s="63">
        <v>0</v>
      </c>
      <c r="AS290" s="63">
        <v>-294540</v>
      </c>
      <c r="AT290" s="63">
        <v>-4774090</v>
      </c>
      <c r="AU290" s="63">
        <v>0</v>
      </c>
      <c r="AV290" s="63">
        <v>-4774090</v>
      </c>
      <c r="AW290" s="63">
        <v>-84640</v>
      </c>
      <c r="AX290" s="63">
        <v>0</v>
      </c>
      <c r="AY290" s="63">
        <v>-84640</v>
      </c>
      <c r="AZ290" s="63">
        <v>-9110</v>
      </c>
      <c r="BA290" s="63">
        <v>0</v>
      </c>
      <c r="BB290" s="63">
        <v>-9110</v>
      </c>
      <c r="BC290" s="63">
        <v>-5162380</v>
      </c>
      <c r="BD290" s="63">
        <v>0</v>
      </c>
      <c r="BE290" s="63">
        <v>0</v>
      </c>
      <c r="BF290" s="63">
        <v>0</v>
      </c>
      <c r="BG290" s="63">
        <v>-5162380</v>
      </c>
      <c r="BH290" s="63">
        <v>0</v>
      </c>
      <c r="BI290" s="63">
        <v>-5162380</v>
      </c>
      <c r="BJ290" s="63">
        <v>-394080</v>
      </c>
      <c r="BK290" s="63">
        <v>0</v>
      </c>
      <c r="BL290" s="63">
        <v>-394080</v>
      </c>
      <c r="BM290" s="63">
        <v>-2938540</v>
      </c>
      <c r="BN290" s="63">
        <v>0</v>
      </c>
      <c r="BO290" s="63">
        <v>-2938540</v>
      </c>
      <c r="BP290" s="63">
        <v>-3332620</v>
      </c>
      <c r="BQ290" s="63">
        <v>0</v>
      </c>
      <c r="BR290" s="63">
        <v>0</v>
      </c>
      <c r="BS290" s="63">
        <v>0</v>
      </c>
      <c r="BT290" s="63">
        <v>-3332620</v>
      </c>
      <c r="BU290" s="63">
        <v>0</v>
      </c>
      <c r="BV290" s="63">
        <v>-3332620</v>
      </c>
      <c r="BW290" s="63">
        <v>-132340</v>
      </c>
      <c r="BX290" s="63">
        <v>0</v>
      </c>
      <c r="BY290" s="63">
        <v>-132340</v>
      </c>
      <c r="BZ290" s="63">
        <v>0</v>
      </c>
      <c r="CA290" s="63">
        <v>0</v>
      </c>
      <c r="CB290" s="63">
        <v>0</v>
      </c>
      <c r="CC290" s="63">
        <v>-17060</v>
      </c>
      <c r="CD290" s="63">
        <v>0</v>
      </c>
      <c r="CE290" s="63">
        <v>-17060</v>
      </c>
      <c r="CF290" s="63">
        <v>-17770</v>
      </c>
      <c r="CG290" s="63">
        <v>0</v>
      </c>
      <c r="CH290" s="63">
        <v>-17770</v>
      </c>
      <c r="CI290" s="63">
        <v>-1380</v>
      </c>
      <c r="CJ290" s="63">
        <v>0</v>
      </c>
      <c r="CK290" s="63">
        <v>-1380</v>
      </c>
      <c r="CL290" s="63">
        <v>-14910</v>
      </c>
      <c r="CM290" s="63">
        <v>0</v>
      </c>
      <c r="CN290" s="63">
        <v>-14910</v>
      </c>
      <c r="CO290" s="63">
        <v>0</v>
      </c>
      <c r="CP290" s="63">
        <v>0</v>
      </c>
      <c r="CQ290" s="63">
        <v>-183460</v>
      </c>
      <c r="CR290" s="63">
        <v>0</v>
      </c>
      <c r="CS290" s="63">
        <v>0</v>
      </c>
      <c r="CT290" s="63">
        <v>0</v>
      </c>
      <c r="CU290" s="63">
        <v>-183460</v>
      </c>
      <c r="CV290" s="63">
        <v>0</v>
      </c>
      <c r="CW290" s="63">
        <v>-183460</v>
      </c>
      <c r="CX290" s="63">
        <v>-198410</v>
      </c>
      <c r="CY290" s="63">
        <v>0</v>
      </c>
      <c r="CZ290" s="63">
        <v>-198410</v>
      </c>
      <c r="DA290" s="63">
        <v>-20630</v>
      </c>
      <c r="DB290" s="63">
        <v>0</v>
      </c>
      <c r="DC290" s="63">
        <v>-20630</v>
      </c>
      <c r="DD290" s="63">
        <v>0</v>
      </c>
      <c r="DE290" s="63">
        <v>0</v>
      </c>
      <c r="DF290" s="63">
        <v>0</v>
      </c>
      <c r="DG290" s="63">
        <v>-219040</v>
      </c>
      <c r="DH290" s="63">
        <v>0</v>
      </c>
      <c r="DI290" s="63">
        <v>0</v>
      </c>
      <c r="DJ290" s="63">
        <v>0</v>
      </c>
      <c r="DK290" s="63">
        <v>-219040</v>
      </c>
      <c r="DL290" s="63">
        <v>0</v>
      </c>
      <c r="DM290" s="63">
        <v>-219040</v>
      </c>
      <c r="DN290" s="63">
        <v>55424002</v>
      </c>
      <c r="DO290" s="63">
        <v>0</v>
      </c>
      <c r="DP290" s="63">
        <v>55424002</v>
      </c>
      <c r="DQ290" s="63"/>
      <c r="DR290" s="585"/>
    </row>
    <row r="291" spans="1:122" x14ac:dyDescent="0.2">
      <c r="A291" s="90">
        <v>284</v>
      </c>
      <c r="B291" s="129" t="s">
        <v>415</v>
      </c>
      <c r="C291" s="130" t="s">
        <v>501</v>
      </c>
      <c r="D291" s="131" t="s">
        <v>751</v>
      </c>
      <c r="E291" s="132" t="s">
        <v>523</v>
      </c>
      <c r="F291" s="475" t="s">
        <v>808</v>
      </c>
      <c r="G291" s="63">
        <v>98439809</v>
      </c>
      <c r="H291" s="63">
        <v>0</v>
      </c>
      <c r="I291" s="63">
        <v>98439809</v>
      </c>
      <c r="J291" s="608">
        <v>48.4</v>
      </c>
      <c r="K291" s="63">
        <v>47644868</v>
      </c>
      <c r="L291" s="63">
        <v>0</v>
      </c>
      <c r="M291" s="63">
        <v>0</v>
      </c>
      <c r="N291" s="63">
        <v>0</v>
      </c>
      <c r="O291" s="63">
        <v>47644868</v>
      </c>
      <c r="P291" s="63">
        <v>0</v>
      </c>
      <c r="Q291" s="63">
        <v>47644868</v>
      </c>
      <c r="R291" s="63">
        <v>0</v>
      </c>
      <c r="S291" s="63">
        <v>0</v>
      </c>
      <c r="T291" s="63">
        <v>0</v>
      </c>
      <c r="U291" s="63">
        <v>0</v>
      </c>
      <c r="V291" s="63">
        <v>0</v>
      </c>
      <c r="W291" s="63">
        <v>0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0</v>
      </c>
      <c r="AE291" s="63">
        <v>0</v>
      </c>
      <c r="AF291" s="63">
        <v>0</v>
      </c>
      <c r="AG291" s="63">
        <v>0</v>
      </c>
      <c r="AH291" s="63">
        <v>-4309136</v>
      </c>
      <c r="AI291" s="63">
        <v>0</v>
      </c>
      <c r="AJ291" s="63">
        <v>-4309136</v>
      </c>
      <c r="AK291" s="63">
        <v>0</v>
      </c>
      <c r="AL291" s="63">
        <v>0</v>
      </c>
      <c r="AM291" s="63">
        <v>0</v>
      </c>
      <c r="AN291" s="63">
        <v>1005370</v>
      </c>
      <c r="AO291" s="63">
        <v>0</v>
      </c>
      <c r="AP291" s="63">
        <v>1005370</v>
      </c>
      <c r="AQ291" s="63">
        <v>-3303766</v>
      </c>
      <c r="AR291" s="63">
        <v>0</v>
      </c>
      <c r="AS291" s="63">
        <v>-3303766</v>
      </c>
      <c r="AT291" s="63">
        <v>-3571408</v>
      </c>
      <c r="AU291" s="63">
        <v>0</v>
      </c>
      <c r="AV291" s="63">
        <v>-3571408</v>
      </c>
      <c r="AW291" s="63">
        <v>-139639</v>
      </c>
      <c r="AX291" s="63">
        <v>0</v>
      </c>
      <c r="AY291" s="63">
        <v>-139639</v>
      </c>
      <c r="AZ291" s="63">
        <v>0</v>
      </c>
      <c r="BA291" s="63">
        <v>0</v>
      </c>
      <c r="BB291" s="63">
        <v>0</v>
      </c>
      <c r="BC291" s="63">
        <v>-7014813</v>
      </c>
      <c r="BD291" s="63">
        <v>0</v>
      </c>
      <c r="BE291" s="63">
        <v>0</v>
      </c>
      <c r="BF291" s="63">
        <v>0</v>
      </c>
      <c r="BG291" s="63">
        <v>-7014813</v>
      </c>
      <c r="BH291" s="63">
        <v>0</v>
      </c>
      <c r="BI291" s="63">
        <v>-7014813</v>
      </c>
      <c r="BJ291" s="63">
        <v>-73475</v>
      </c>
      <c r="BK291" s="63">
        <v>0</v>
      </c>
      <c r="BL291" s="63">
        <v>-73475</v>
      </c>
      <c r="BM291" s="63">
        <v>-769869</v>
      </c>
      <c r="BN291" s="63">
        <v>0</v>
      </c>
      <c r="BO291" s="63">
        <v>-769869</v>
      </c>
      <c r="BP291" s="63">
        <v>-843344</v>
      </c>
      <c r="BQ291" s="63">
        <v>0</v>
      </c>
      <c r="BR291" s="63">
        <v>-360000</v>
      </c>
      <c r="BS291" s="63">
        <v>0</v>
      </c>
      <c r="BT291" s="63">
        <v>-1203344</v>
      </c>
      <c r="BU291" s="63">
        <v>0</v>
      </c>
      <c r="BV291" s="63">
        <v>-1203344</v>
      </c>
      <c r="BW291" s="63">
        <v>-68689</v>
      </c>
      <c r="BX291" s="63">
        <v>0</v>
      </c>
      <c r="BY291" s="63">
        <v>-68689</v>
      </c>
      <c r="BZ291" s="63">
        <v>-323839</v>
      </c>
      <c r="CA291" s="63">
        <v>0</v>
      </c>
      <c r="CB291" s="63">
        <v>-323839</v>
      </c>
      <c r="CC291" s="63">
        <v>-4968</v>
      </c>
      <c r="CD291" s="63">
        <v>0</v>
      </c>
      <c r="CE291" s="63">
        <v>-4968</v>
      </c>
      <c r="CF291" s="63">
        <v>0</v>
      </c>
      <c r="CG291" s="63">
        <v>0</v>
      </c>
      <c r="CH291" s="63">
        <v>0</v>
      </c>
      <c r="CI291" s="63">
        <v>0</v>
      </c>
      <c r="CJ291" s="63">
        <v>0</v>
      </c>
      <c r="CK291" s="63">
        <v>0</v>
      </c>
      <c r="CL291" s="63">
        <v>0</v>
      </c>
      <c r="CM291" s="63">
        <v>0</v>
      </c>
      <c r="CN291" s="63">
        <v>0</v>
      </c>
      <c r="CO291" s="63">
        <v>0</v>
      </c>
      <c r="CP291" s="63">
        <v>0</v>
      </c>
      <c r="CQ291" s="63">
        <v>-397496</v>
      </c>
      <c r="CR291" s="63">
        <v>0</v>
      </c>
      <c r="CS291" s="63">
        <v>0</v>
      </c>
      <c r="CT291" s="63">
        <v>0</v>
      </c>
      <c r="CU291" s="63">
        <v>-397496</v>
      </c>
      <c r="CV291" s="63">
        <v>0</v>
      </c>
      <c r="CW291" s="63">
        <v>-397496</v>
      </c>
      <c r="CX291" s="63">
        <v>-58999</v>
      </c>
      <c r="CY291" s="63">
        <v>0</v>
      </c>
      <c r="CZ291" s="63">
        <v>-58999</v>
      </c>
      <c r="DA291" s="63">
        <v>-50699</v>
      </c>
      <c r="DB291" s="63">
        <v>0</v>
      </c>
      <c r="DC291" s="63">
        <v>-50699</v>
      </c>
      <c r="DD291" s="63">
        <v>-17691</v>
      </c>
      <c r="DE291" s="63">
        <v>0</v>
      </c>
      <c r="DF291" s="63">
        <v>-17691</v>
      </c>
      <c r="DG291" s="63">
        <v>-127389</v>
      </c>
      <c r="DH291" s="63">
        <v>0</v>
      </c>
      <c r="DI291" s="63">
        <v>0</v>
      </c>
      <c r="DJ291" s="63">
        <v>0</v>
      </c>
      <c r="DK291" s="63">
        <v>-127389</v>
      </c>
      <c r="DL291" s="63">
        <v>0</v>
      </c>
      <c r="DM291" s="63">
        <v>-127389</v>
      </c>
      <c r="DN291" s="63">
        <v>38901826</v>
      </c>
      <c r="DO291" s="63">
        <v>0</v>
      </c>
      <c r="DP291" s="63">
        <v>38901826</v>
      </c>
      <c r="DQ291" s="63"/>
      <c r="DR291" s="585"/>
    </row>
    <row r="292" spans="1:122" x14ac:dyDescent="0.2">
      <c r="A292" s="90">
        <v>285</v>
      </c>
      <c r="B292" s="129" t="s">
        <v>417</v>
      </c>
      <c r="C292" s="130" t="s">
        <v>742</v>
      </c>
      <c r="D292" s="131" t="s">
        <v>751</v>
      </c>
      <c r="E292" s="132" t="s">
        <v>416</v>
      </c>
      <c r="F292" s="475" t="s">
        <v>808</v>
      </c>
      <c r="G292" s="63">
        <v>33170935</v>
      </c>
      <c r="H292" s="63">
        <v>0</v>
      </c>
      <c r="I292" s="63">
        <v>33170935</v>
      </c>
      <c r="J292" s="608">
        <v>48.4</v>
      </c>
      <c r="K292" s="63">
        <v>16054733</v>
      </c>
      <c r="L292" s="63">
        <v>0</v>
      </c>
      <c r="M292" s="63">
        <v>0</v>
      </c>
      <c r="N292" s="63">
        <v>0</v>
      </c>
      <c r="O292" s="63">
        <v>16054733</v>
      </c>
      <c r="P292" s="63">
        <v>0</v>
      </c>
      <c r="Q292" s="63">
        <v>16054733</v>
      </c>
      <c r="R292" s="63">
        <v>0</v>
      </c>
      <c r="S292" s="63">
        <v>0</v>
      </c>
      <c r="T292" s="63">
        <v>0</v>
      </c>
      <c r="U292" s="63">
        <v>0</v>
      </c>
      <c r="V292" s="63">
        <v>0</v>
      </c>
      <c r="W292" s="63">
        <v>0</v>
      </c>
      <c r="X292" s="63">
        <v>0</v>
      </c>
      <c r="Y292" s="63">
        <v>0</v>
      </c>
      <c r="Z292" s="63">
        <v>0</v>
      </c>
      <c r="AA292" s="63">
        <v>0</v>
      </c>
      <c r="AB292" s="63">
        <v>0</v>
      </c>
      <c r="AC292" s="63">
        <v>0</v>
      </c>
      <c r="AD292" s="63">
        <v>0</v>
      </c>
      <c r="AE292" s="63">
        <v>0</v>
      </c>
      <c r="AF292" s="63">
        <v>0</v>
      </c>
      <c r="AG292" s="63">
        <v>0</v>
      </c>
      <c r="AH292" s="63">
        <v>-2933808</v>
      </c>
      <c r="AI292" s="63">
        <v>0</v>
      </c>
      <c r="AJ292" s="63">
        <v>-2933808</v>
      </c>
      <c r="AK292" s="63">
        <v>0</v>
      </c>
      <c r="AL292" s="63">
        <v>0</v>
      </c>
      <c r="AM292" s="63">
        <v>0</v>
      </c>
      <c r="AN292" s="63">
        <v>271242</v>
      </c>
      <c r="AO292" s="63">
        <v>0</v>
      </c>
      <c r="AP292" s="63">
        <v>271242</v>
      </c>
      <c r="AQ292" s="63">
        <v>-2662566</v>
      </c>
      <c r="AR292" s="63">
        <v>0</v>
      </c>
      <c r="AS292" s="63">
        <v>-2662566</v>
      </c>
      <c r="AT292" s="63">
        <v>-1273845</v>
      </c>
      <c r="AU292" s="63">
        <v>0</v>
      </c>
      <c r="AV292" s="63">
        <v>-1273845</v>
      </c>
      <c r="AW292" s="63">
        <v>-30983</v>
      </c>
      <c r="AX292" s="63">
        <v>0</v>
      </c>
      <c r="AY292" s="63">
        <v>-30983</v>
      </c>
      <c r="AZ292" s="63">
        <v>-61554</v>
      </c>
      <c r="BA292" s="63">
        <v>0</v>
      </c>
      <c r="BB292" s="63">
        <v>-61554</v>
      </c>
      <c r="BC292" s="63">
        <v>-4028948</v>
      </c>
      <c r="BD292" s="63">
        <v>0</v>
      </c>
      <c r="BE292" s="63">
        <v>0</v>
      </c>
      <c r="BF292" s="63">
        <v>0</v>
      </c>
      <c r="BG292" s="63">
        <v>-4028948</v>
      </c>
      <c r="BH292" s="63">
        <v>0</v>
      </c>
      <c r="BI292" s="63">
        <v>-4028948</v>
      </c>
      <c r="BJ292" s="63">
        <v>0</v>
      </c>
      <c r="BK292" s="63">
        <v>0</v>
      </c>
      <c r="BL292" s="63">
        <v>0</v>
      </c>
      <c r="BM292" s="63">
        <v>-270453</v>
      </c>
      <c r="BN292" s="63">
        <v>0</v>
      </c>
      <c r="BO292" s="63">
        <v>-270453</v>
      </c>
      <c r="BP292" s="63">
        <v>-270453</v>
      </c>
      <c r="BQ292" s="63">
        <v>0</v>
      </c>
      <c r="BR292" s="63">
        <v>0</v>
      </c>
      <c r="BS292" s="63">
        <v>0</v>
      </c>
      <c r="BT292" s="63">
        <v>-270453</v>
      </c>
      <c r="BU292" s="63">
        <v>0</v>
      </c>
      <c r="BV292" s="63">
        <v>-270453</v>
      </c>
      <c r="BW292" s="63">
        <v>-88772</v>
      </c>
      <c r="BX292" s="63">
        <v>0</v>
      </c>
      <c r="BY292" s="63">
        <v>-88772</v>
      </c>
      <c r="BZ292" s="63">
        <v>-25139</v>
      </c>
      <c r="CA292" s="63">
        <v>0</v>
      </c>
      <c r="CB292" s="63">
        <v>-25139</v>
      </c>
      <c r="CC292" s="63">
        <v>-3508</v>
      </c>
      <c r="CD292" s="63">
        <v>0</v>
      </c>
      <c r="CE292" s="63">
        <v>-3508</v>
      </c>
      <c r="CF292" s="63">
        <v>-15716</v>
      </c>
      <c r="CG292" s="63">
        <v>0</v>
      </c>
      <c r="CH292" s="63">
        <v>-15716</v>
      </c>
      <c r="CI292" s="63">
        <v>0</v>
      </c>
      <c r="CJ292" s="63">
        <v>0</v>
      </c>
      <c r="CK292" s="63">
        <v>0</v>
      </c>
      <c r="CL292" s="63">
        <v>0</v>
      </c>
      <c r="CM292" s="63">
        <v>0</v>
      </c>
      <c r="CN292" s="63">
        <v>0</v>
      </c>
      <c r="CO292" s="63">
        <v>0</v>
      </c>
      <c r="CP292" s="63">
        <v>0</v>
      </c>
      <c r="CQ292" s="63">
        <v>-133135</v>
      </c>
      <c r="CR292" s="63">
        <v>0</v>
      </c>
      <c r="CS292" s="63">
        <v>0</v>
      </c>
      <c r="CT292" s="63">
        <v>0</v>
      </c>
      <c r="CU292" s="63">
        <v>-133135</v>
      </c>
      <c r="CV292" s="63">
        <v>0</v>
      </c>
      <c r="CW292" s="63">
        <v>-133135</v>
      </c>
      <c r="CX292" s="63">
        <v>0</v>
      </c>
      <c r="CY292" s="63">
        <v>0</v>
      </c>
      <c r="CZ292" s="63">
        <v>0</v>
      </c>
      <c r="DA292" s="63">
        <v>-9879</v>
      </c>
      <c r="DB292" s="63">
        <v>0</v>
      </c>
      <c r="DC292" s="63">
        <v>-9879</v>
      </c>
      <c r="DD292" s="63">
        <v>-8569</v>
      </c>
      <c r="DE292" s="63">
        <v>0</v>
      </c>
      <c r="DF292" s="63">
        <v>-8569</v>
      </c>
      <c r="DG292" s="63">
        <v>-18448</v>
      </c>
      <c r="DH292" s="63">
        <v>0</v>
      </c>
      <c r="DI292" s="63">
        <v>0</v>
      </c>
      <c r="DJ292" s="63">
        <v>0</v>
      </c>
      <c r="DK292" s="63">
        <v>-18448</v>
      </c>
      <c r="DL292" s="63">
        <v>0</v>
      </c>
      <c r="DM292" s="63">
        <v>-18448</v>
      </c>
      <c r="DN292" s="63">
        <v>11603749</v>
      </c>
      <c r="DO292" s="63">
        <v>0</v>
      </c>
      <c r="DP292" s="63">
        <v>11603749</v>
      </c>
      <c r="DQ292" s="63"/>
      <c r="DR292" s="585"/>
    </row>
    <row r="293" spans="1:122" x14ac:dyDescent="0.2">
      <c r="A293" s="90">
        <v>286</v>
      </c>
      <c r="B293" s="129" t="s">
        <v>419</v>
      </c>
      <c r="C293" s="130" t="s">
        <v>754</v>
      </c>
      <c r="D293" s="131" t="s">
        <v>748</v>
      </c>
      <c r="E293" s="132" t="s">
        <v>418</v>
      </c>
      <c r="F293" s="475" t="s">
        <v>808</v>
      </c>
      <c r="G293" s="63">
        <v>842978868</v>
      </c>
      <c r="H293" s="63">
        <v>0</v>
      </c>
      <c r="I293" s="63">
        <v>842978868</v>
      </c>
      <c r="J293" s="608">
        <v>48.4</v>
      </c>
      <c r="K293" s="63">
        <v>408001772</v>
      </c>
      <c r="L293" s="63">
        <v>0</v>
      </c>
      <c r="M293" s="63">
        <v>12231890</v>
      </c>
      <c r="N293" s="63">
        <v>0</v>
      </c>
      <c r="O293" s="63">
        <v>420233662</v>
      </c>
      <c r="P293" s="63">
        <v>0</v>
      </c>
      <c r="Q293" s="63">
        <v>420233662</v>
      </c>
      <c r="R293" s="63">
        <v>0</v>
      </c>
      <c r="S293" s="63">
        <v>0</v>
      </c>
      <c r="T293" s="63">
        <v>0</v>
      </c>
      <c r="U293" s="63">
        <v>0</v>
      </c>
      <c r="V293" s="63">
        <v>0</v>
      </c>
      <c r="W293" s="63">
        <v>0</v>
      </c>
      <c r="X293" s="63">
        <v>0</v>
      </c>
      <c r="Y293" s="63">
        <v>0</v>
      </c>
      <c r="Z293" s="63">
        <v>0</v>
      </c>
      <c r="AA293" s="63">
        <v>0</v>
      </c>
      <c r="AB293" s="63">
        <v>0</v>
      </c>
      <c r="AC293" s="63">
        <v>0</v>
      </c>
      <c r="AD293" s="63">
        <v>0</v>
      </c>
      <c r="AE293" s="63">
        <v>0</v>
      </c>
      <c r="AF293" s="63">
        <v>0</v>
      </c>
      <c r="AG293" s="63">
        <v>0</v>
      </c>
      <c r="AH293" s="63">
        <v>-6454473</v>
      </c>
      <c r="AI293" s="63">
        <v>0</v>
      </c>
      <c r="AJ293" s="63">
        <v>-6454473</v>
      </c>
      <c r="AK293" s="63">
        <v>0</v>
      </c>
      <c r="AL293" s="63">
        <v>0</v>
      </c>
      <c r="AM293" s="63">
        <v>0</v>
      </c>
      <c r="AN293" s="63">
        <v>10016621</v>
      </c>
      <c r="AO293" s="63">
        <v>0</v>
      </c>
      <c r="AP293" s="63">
        <v>10016621</v>
      </c>
      <c r="AQ293" s="63">
        <v>3562148</v>
      </c>
      <c r="AR293" s="63">
        <v>0</v>
      </c>
      <c r="AS293" s="63">
        <v>3562148</v>
      </c>
      <c r="AT293" s="63">
        <v>-13108751</v>
      </c>
      <c r="AU293" s="63">
        <v>0</v>
      </c>
      <c r="AV293" s="63">
        <v>-13108751</v>
      </c>
      <c r="AW293" s="63">
        <v>0</v>
      </c>
      <c r="AX293" s="63">
        <v>0</v>
      </c>
      <c r="AY293" s="63">
        <v>0</v>
      </c>
      <c r="AZ293" s="63">
        <v>0</v>
      </c>
      <c r="BA293" s="63">
        <v>0</v>
      </c>
      <c r="BB293" s="63">
        <v>0</v>
      </c>
      <c r="BC293" s="63">
        <v>-9546603</v>
      </c>
      <c r="BD293" s="63">
        <v>0</v>
      </c>
      <c r="BE293" s="63">
        <v>100000</v>
      </c>
      <c r="BF293" s="63">
        <v>0</v>
      </c>
      <c r="BG293" s="63">
        <v>-9446603</v>
      </c>
      <c r="BH293" s="63">
        <v>0</v>
      </c>
      <c r="BI293" s="63">
        <v>-9446603</v>
      </c>
      <c r="BJ293" s="63">
        <v>-100000</v>
      </c>
      <c r="BK293" s="63">
        <v>0</v>
      </c>
      <c r="BL293" s="63">
        <v>-100000</v>
      </c>
      <c r="BM293" s="63">
        <v>-10552924</v>
      </c>
      <c r="BN293" s="63">
        <v>0</v>
      </c>
      <c r="BO293" s="63">
        <v>-10552924</v>
      </c>
      <c r="BP293" s="63">
        <v>-10652924</v>
      </c>
      <c r="BQ293" s="63">
        <v>0</v>
      </c>
      <c r="BR293" s="63">
        <v>-211058</v>
      </c>
      <c r="BS293" s="63">
        <v>0</v>
      </c>
      <c r="BT293" s="63">
        <v>-10863982</v>
      </c>
      <c r="BU293" s="63">
        <v>0</v>
      </c>
      <c r="BV293" s="63">
        <v>-10863982</v>
      </c>
      <c r="BW293" s="63">
        <v>-576729</v>
      </c>
      <c r="BX293" s="63">
        <v>0</v>
      </c>
      <c r="BY293" s="63">
        <v>-576729</v>
      </c>
      <c r="BZ293" s="63">
        <v>-373879</v>
      </c>
      <c r="CA293" s="63">
        <v>0</v>
      </c>
      <c r="CB293" s="63">
        <v>-373879</v>
      </c>
      <c r="CC293" s="63">
        <v>0</v>
      </c>
      <c r="CD293" s="63">
        <v>0</v>
      </c>
      <c r="CE293" s="63">
        <v>0</v>
      </c>
      <c r="CF293" s="63">
        <v>0</v>
      </c>
      <c r="CG293" s="63">
        <v>0</v>
      </c>
      <c r="CH293" s="63">
        <v>0</v>
      </c>
      <c r="CI293" s="63">
        <v>0</v>
      </c>
      <c r="CJ293" s="63">
        <v>0</v>
      </c>
      <c r="CK293" s="63">
        <v>0</v>
      </c>
      <c r="CL293" s="63">
        <v>0</v>
      </c>
      <c r="CM293" s="63">
        <v>0</v>
      </c>
      <c r="CN293" s="63">
        <v>0</v>
      </c>
      <c r="CO293" s="63">
        <v>0</v>
      </c>
      <c r="CP293" s="63">
        <v>0</v>
      </c>
      <c r="CQ293" s="63">
        <v>-950608</v>
      </c>
      <c r="CR293" s="63">
        <v>0</v>
      </c>
      <c r="CS293" s="63">
        <v>50000</v>
      </c>
      <c r="CT293" s="63">
        <v>0</v>
      </c>
      <c r="CU293" s="63">
        <v>-900608</v>
      </c>
      <c r="CV293" s="63">
        <v>0</v>
      </c>
      <c r="CW293" s="63">
        <v>-900608</v>
      </c>
      <c r="CX293" s="63">
        <v>-14494</v>
      </c>
      <c r="CY293" s="63">
        <v>0</v>
      </c>
      <c r="CZ293" s="63">
        <v>-14494</v>
      </c>
      <c r="DA293" s="63">
        <v>-25652</v>
      </c>
      <c r="DB293" s="63">
        <v>0</v>
      </c>
      <c r="DC293" s="63">
        <v>-25652</v>
      </c>
      <c r="DD293" s="63">
        <v>-81159</v>
      </c>
      <c r="DE293" s="63">
        <v>0</v>
      </c>
      <c r="DF293" s="63">
        <v>-81159</v>
      </c>
      <c r="DG293" s="63">
        <v>-121305</v>
      </c>
      <c r="DH293" s="63">
        <v>0</v>
      </c>
      <c r="DI293" s="63">
        <v>0</v>
      </c>
      <c r="DJ293" s="63">
        <v>0</v>
      </c>
      <c r="DK293" s="63">
        <v>-121305</v>
      </c>
      <c r="DL293" s="63">
        <v>0</v>
      </c>
      <c r="DM293" s="63">
        <v>-121305</v>
      </c>
      <c r="DN293" s="63">
        <v>398901164</v>
      </c>
      <c r="DO293" s="63">
        <v>0</v>
      </c>
      <c r="DP293" s="63">
        <v>398901164</v>
      </c>
      <c r="DQ293" s="63"/>
      <c r="DR293" s="585"/>
    </row>
    <row r="294" spans="1:122" x14ac:dyDescent="0.2">
      <c r="A294" s="90">
        <v>287</v>
      </c>
      <c r="B294" s="129" t="s">
        <v>421</v>
      </c>
      <c r="C294" s="130" t="s">
        <v>749</v>
      </c>
      <c r="D294" s="131" t="s">
        <v>744</v>
      </c>
      <c r="E294" s="132" t="s">
        <v>420</v>
      </c>
      <c r="F294" s="475" t="s">
        <v>808</v>
      </c>
      <c r="G294" s="63">
        <v>380042292</v>
      </c>
      <c r="H294" s="63">
        <v>0</v>
      </c>
      <c r="I294" s="63">
        <v>380042292</v>
      </c>
      <c r="J294" s="608">
        <v>48.4</v>
      </c>
      <c r="K294" s="63">
        <v>183940469</v>
      </c>
      <c r="L294" s="63">
        <v>0</v>
      </c>
      <c r="M294" s="63">
        <v>5179926</v>
      </c>
      <c r="N294" s="63">
        <v>0</v>
      </c>
      <c r="O294" s="63">
        <v>189120395</v>
      </c>
      <c r="P294" s="63">
        <v>0</v>
      </c>
      <c r="Q294" s="63">
        <v>189120395</v>
      </c>
      <c r="R294" s="63">
        <v>0</v>
      </c>
      <c r="S294" s="63">
        <v>0</v>
      </c>
      <c r="T294" s="63">
        <v>0</v>
      </c>
      <c r="U294" s="63">
        <v>0</v>
      </c>
      <c r="V294" s="63">
        <v>0</v>
      </c>
      <c r="W294" s="63">
        <v>0</v>
      </c>
      <c r="X294" s="63">
        <v>0</v>
      </c>
      <c r="Y294" s="63">
        <v>0</v>
      </c>
      <c r="Z294" s="63">
        <v>0</v>
      </c>
      <c r="AA294" s="63">
        <v>0</v>
      </c>
      <c r="AB294" s="63">
        <v>0</v>
      </c>
      <c r="AC294" s="63">
        <v>0</v>
      </c>
      <c r="AD294" s="63">
        <v>0</v>
      </c>
      <c r="AE294" s="63">
        <v>0</v>
      </c>
      <c r="AF294" s="63">
        <v>0</v>
      </c>
      <c r="AG294" s="63">
        <v>0</v>
      </c>
      <c r="AH294" s="63">
        <v>-4436165</v>
      </c>
      <c r="AI294" s="63">
        <v>0</v>
      </c>
      <c r="AJ294" s="63">
        <v>-4436165</v>
      </c>
      <c r="AK294" s="63">
        <v>0</v>
      </c>
      <c r="AL294" s="63">
        <v>0</v>
      </c>
      <c r="AM294" s="63">
        <v>0</v>
      </c>
      <c r="AN294" s="63">
        <v>4508052</v>
      </c>
      <c r="AO294" s="63">
        <v>0</v>
      </c>
      <c r="AP294" s="63">
        <v>4508052</v>
      </c>
      <c r="AQ294" s="63">
        <v>71887</v>
      </c>
      <c r="AR294" s="63">
        <v>0</v>
      </c>
      <c r="AS294" s="63">
        <v>71887</v>
      </c>
      <c r="AT294" s="63">
        <v>-4762310</v>
      </c>
      <c r="AU294" s="63">
        <v>0</v>
      </c>
      <c r="AV294" s="63">
        <v>-4762310</v>
      </c>
      <c r="AW294" s="63">
        <v>-62622</v>
      </c>
      <c r="AX294" s="63">
        <v>0</v>
      </c>
      <c r="AY294" s="63">
        <v>-62622</v>
      </c>
      <c r="AZ294" s="63">
        <v>-509</v>
      </c>
      <c r="BA294" s="63">
        <v>0</v>
      </c>
      <c r="BB294" s="63">
        <v>-509</v>
      </c>
      <c r="BC294" s="63">
        <v>-4753554</v>
      </c>
      <c r="BD294" s="63">
        <v>0</v>
      </c>
      <c r="BE294" s="63">
        <v>0</v>
      </c>
      <c r="BF294" s="63">
        <v>0</v>
      </c>
      <c r="BG294" s="63">
        <v>-4753554</v>
      </c>
      <c r="BH294" s="63">
        <v>0</v>
      </c>
      <c r="BI294" s="63">
        <v>-4753554</v>
      </c>
      <c r="BJ294" s="63">
        <v>0</v>
      </c>
      <c r="BK294" s="63">
        <v>0</v>
      </c>
      <c r="BL294" s="63">
        <v>0</v>
      </c>
      <c r="BM294" s="63">
        <v>-3954288</v>
      </c>
      <c r="BN294" s="63">
        <v>0</v>
      </c>
      <c r="BO294" s="63">
        <v>-3954288</v>
      </c>
      <c r="BP294" s="63">
        <v>-3954288</v>
      </c>
      <c r="BQ294" s="63">
        <v>0</v>
      </c>
      <c r="BR294" s="63">
        <v>-3300000</v>
      </c>
      <c r="BS294" s="63">
        <v>0</v>
      </c>
      <c r="BT294" s="63">
        <v>-7254288</v>
      </c>
      <c r="BU294" s="63">
        <v>0</v>
      </c>
      <c r="BV294" s="63">
        <v>-7254288</v>
      </c>
      <c r="BW294" s="63">
        <v>-141444</v>
      </c>
      <c r="BX294" s="63">
        <v>0</v>
      </c>
      <c r="BY294" s="63">
        <v>-141444</v>
      </c>
      <c r="BZ294" s="63">
        <v>-305792</v>
      </c>
      <c r="CA294" s="63">
        <v>0</v>
      </c>
      <c r="CB294" s="63">
        <v>-305792</v>
      </c>
      <c r="CC294" s="63">
        <v>-11257</v>
      </c>
      <c r="CD294" s="63">
        <v>0</v>
      </c>
      <c r="CE294" s="63">
        <v>-11257</v>
      </c>
      <c r="CF294" s="63">
        <v>-509</v>
      </c>
      <c r="CG294" s="63">
        <v>0</v>
      </c>
      <c r="CH294" s="63">
        <v>-509</v>
      </c>
      <c r="CI294" s="63">
        <v>0</v>
      </c>
      <c r="CJ294" s="63">
        <v>0</v>
      </c>
      <c r="CK294" s="63">
        <v>0</v>
      </c>
      <c r="CL294" s="63">
        <v>0</v>
      </c>
      <c r="CM294" s="63">
        <v>0</v>
      </c>
      <c r="CN294" s="63">
        <v>0</v>
      </c>
      <c r="CO294" s="63">
        <v>0</v>
      </c>
      <c r="CP294" s="63">
        <v>0</v>
      </c>
      <c r="CQ294" s="63">
        <v>-459002</v>
      </c>
      <c r="CR294" s="63">
        <v>0</v>
      </c>
      <c r="CS294" s="63">
        <v>0</v>
      </c>
      <c r="CT294" s="63">
        <v>0</v>
      </c>
      <c r="CU294" s="63">
        <v>-459002</v>
      </c>
      <c r="CV294" s="63">
        <v>0</v>
      </c>
      <c r="CW294" s="63">
        <v>-459002</v>
      </c>
      <c r="CX294" s="63">
        <v>0</v>
      </c>
      <c r="CY294" s="63">
        <v>0</v>
      </c>
      <c r="CZ294" s="63">
        <v>0</v>
      </c>
      <c r="DA294" s="63">
        <v>-49672</v>
      </c>
      <c r="DB294" s="63">
        <v>0</v>
      </c>
      <c r="DC294" s="63">
        <v>-49672</v>
      </c>
      <c r="DD294" s="63">
        <v>-3526</v>
      </c>
      <c r="DE294" s="63">
        <v>0</v>
      </c>
      <c r="DF294" s="63">
        <v>-3526</v>
      </c>
      <c r="DG294" s="63">
        <v>-53198</v>
      </c>
      <c r="DH294" s="63">
        <v>0</v>
      </c>
      <c r="DI294" s="63">
        <v>0</v>
      </c>
      <c r="DJ294" s="63">
        <v>0</v>
      </c>
      <c r="DK294" s="63">
        <v>-53198</v>
      </c>
      <c r="DL294" s="63">
        <v>0</v>
      </c>
      <c r="DM294" s="63">
        <v>-53198</v>
      </c>
      <c r="DN294" s="63">
        <v>176600353</v>
      </c>
      <c r="DO294" s="63">
        <v>0</v>
      </c>
      <c r="DP294" s="63">
        <v>176600353</v>
      </c>
      <c r="DQ294" s="63"/>
      <c r="DR294" s="585"/>
    </row>
    <row r="295" spans="1:122" x14ac:dyDescent="0.2">
      <c r="A295" s="90">
        <v>288</v>
      </c>
      <c r="B295" s="129" t="s">
        <v>423</v>
      </c>
      <c r="C295" s="130" t="s">
        <v>742</v>
      </c>
      <c r="D295" s="131" t="s">
        <v>743</v>
      </c>
      <c r="E295" s="132" t="s">
        <v>422</v>
      </c>
      <c r="F295" s="475" t="s">
        <v>808</v>
      </c>
      <c r="G295" s="63">
        <v>126768188</v>
      </c>
      <c r="H295" s="63">
        <v>0</v>
      </c>
      <c r="I295" s="63">
        <v>126768188</v>
      </c>
      <c r="J295" s="608">
        <v>48.4</v>
      </c>
      <c r="K295" s="63">
        <v>61355803</v>
      </c>
      <c r="L295" s="63">
        <v>0</v>
      </c>
      <c r="M295" s="63">
        <v>-750000</v>
      </c>
      <c r="N295" s="63">
        <v>0</v>
      </c>
      <c r="O295" s="63">
        <v>60605803</v>
      </c>
      <c r="P295" s="63">
        <v>0</v>
      </c>
      <c r="Q295" s="63">
        <v>60605803</v>
      </c>
      <c r="R295" s="63">
        <v>0</v>
      </c>
      <c r="S295" s="63">
        <v>0</v>
      </c>
      <c r="T295" s="63">
        <v>0</v>
      </c>
      <c r="U295" s="63">
        <v>0</v>
      </c>
      <c r="V295" s="63">
        <v>0</v>
      </c>
      <c r="W295" s="63">
        <v>0</v>
      </c>
      <c r="X295" s="63">
        <v>0</v>
      </c>
      <c r="Y295" s="63">
        <v>0</v>
      </c>
      <c r="Z295" s="63">
        <v>0</v>
      </c>
      <c r="AA295" s="63">
        <v>0</v>
      </c>
      <c r="AB295" s="63">
        <v>0</v>
      </c>
      <c r="AC295" s="63">
        <v>0</v>
      </c>
      <c r="AD295" s="63">
        <v>0</v>
      </c>
      <c r="AE295" s="63">
        <v>0</v>
      </c>
      <c r="AF295" s="63">
        <v>0</v>
      </c>
      <c r="AG295" s="63">
        <v>0</v>
      </c>
      <c r="AH295" s="63">
        <v>-2393590</v>
      </c>
      <c r="AI295" s="63">
        <v>0</v>
      </c>
      <c r="AJ295" s="63">
        <v>-2393590</v>
      </c>
      <c r="AK295" s="63">
        <v>-3320</v>
      </c>
      <c r="AL295" s="63">
        <v>0</v>
      </c>
      <c r="AM295" s="63">
        <v>-3320</v>
      </c>
      <c r="AN295" s="63">
        <v>1439442</v>
      </c>
      <c r="AO295" s="63">
        <v>0</v>
      </c>
      <c r="AP295" s="63">
        <v>1439442</v>
      </c>
      <c r="AQ295" s="63">
        <v>-954148</v>
      </c>
      <c r="AR295" s="63">
        <v>0</v>
      </c>
      <c r="AS295" s="63">
        <v>-954148</v>
      </c>
      <c r="AT295" s="63">
        <v>-4165009</v>
      </c>
      <c r="AU295" s="63">
        <v>0</v>
      </c>
      <c r="AV295" s="63">
        <v>-4165009</v>
      </c>
      <c r="AW295" s="63">
        <v>-20675</v>
      </c>
      <c r="AX295" s="63">
        <v>0</v>
      </c>
      <c r="AY295" s="63">
        <v>-20675</v>
      </c>
      <c r="AZ295" s="63">
        <v>-8952</v>
      </c>
      <c r="BA295" s="63">
        <v>0</v>
      </c>
      <c r="BB295" s="63">
        <v>-8952</v>
      </c>
      <c r="BC295" s="63">
        <v>-5148784</v>
      </c>
      <c r="BD295" s="63">
        <v>0</v>
      </c>
      <c r="BE295" s="63">
        <v>-600000</v>
      </c>
      <c r="BF295" s="63">
        <v>0</v>
      </c>
      <c r="BG295" s="63">
        <v>-5748784</v>
      </c>
      <c r="BH295" s="63">
        <v>0</v>
      </c>
      <c r="BI295" s="63">
        <v>-5748784</v>
      </c>
      <c r="BJ295" s="63">
        <v>0</v>
      </c>
      <c r="BK295" s="63">
        <v>0</v>
      </c>
      <c r="BL295" s="63">
        <v>0</v>
      </c>
      <c r="BM295" s="63">
        <v>-599552</v>
      </c>
      <c r="BN295" s="63">
        <v>0</v>
      </c>
      <c r="BO295" s="63">
        <v>-599552</v>
      </c>
      <c r="BP295" s="63">
        <v>-599552</v>
      </c>
      <c r="BQ295" s="63">
        <v>0</v>
      </c>
      <c r="BR295" s="63">
        <v>0</v>
      </c>
      <c r="BS295" s="63">
        <v>0</v>
      </c>
      <c r="BT295" s="63">
        <v>-599552</v>
      </c>
      <c r="BU295" s="63">
        <v>0</v>
      </c>
      <c r="BV295" s="63">
        <v>-599552</v>
      </c>
      <c r="BW295" s="63">
        <v>-24905</v>
      </c>
      <c r="BX295" s="63">
        <v>0</v>
      </c>
      <c r="BY295" s="63">
        <v>-24905</v>
      </c>
      <c r="BZ295" s="63">
        <v>-12848</v>
      </c>
      <c r="CA295" s="63">
        <v>0</v>
      </c>
      <c r="CB295" s="63">
        <v>-12848</v>
      </c>
      <c r="CC295" s="63">
        <v>0</v>
      </c>
      <c r="CD295" s="63">
        <v>0</v>
      </c>
      <c r="CE295" s="63">
        <v>0</v>
      </c>
      <c r="CF295" s="63">
        <v>-5113</v>
      </c>
      <c r="CG295" s="63">
        <v>0</v>
      </c>
      <c r="CH295" s="63">
        <v>-5113</v>
      </c>
      <c r="CI295" s="63">
        <v>-16045</v>
      </c>
      <c r="CJ295" s="63">
        <v>0</v>
      </c>
      <c r="CK295" s="63">
        <v>-16045</v>
      </c>
      <c r="CL295" s="63">
        <v>0</v>
      </c>
      <c r="CM295" s="63">
        <v>0</v>
      </c>
      <c r="CN295" s="63">
        <v>0</v>
      </c>
      <c r="CO295" s="63">
        <v>0</v>
      </c>
      <c r="CP295" s="63">
        <v>0</v>
      </c>
      <c r="CQ295" s="63">
        <v>-58911</v>
      </c>
      <c r="CR295" s="63">
        <v>0</v>
      </c>
      <c r="CS295" s="63">
        <v>0</v>
      </c>
      <c r="CT295" s="63">
        <v>0</v>
      </c>
      <c r="CU295" s="63">
        <v>-58911</v>
      </c>
      <c r="CV295" s="63">
        <v>0</v>
      </c>
      <c r="CW295" s="63">
        <v>-58911</v>
      </c>
      <c r="CX295" s="63">
        <v>0</v>
      </c>
      <c r="CY295" s="63">
        <v>0</v>
      </c>
      <c r="CZ295" s="63">
        <v>0</v>
      </c>
      <c r="DA295" s="63">
        <v>-29904</v>
      </c>
      <c r="DB295" s="63">
        <v>0</v>
      </c>
      <c r="DC295" s="63">
        <v>-29904</v>
      </c>
      <c r="DD295" s="63">
        <v>-6850</v>
      </c>
      <c r="DE295" s="63">
        <v>0</v>
      </c>
      <c r="DF295" s="63">
        <v>-6850</v>
      </c>
      <c r="DG295" s="63">
        <v>-36754</v>
      </c>
      <c r="DH295" s="63">
        <v>0</v>
      </c>
      <c r="DI295" s="63">
        <v>0</v>
      </c>
      <c r="DJ295" s="63">
        <v>0</v>
      </c>
      <c r="DK295" s="63">
        <v>-36754</v>
      </c>
      <c r="DL295" s="63">
        <v>0</v>
      </c>
      <c r="DM295" s="63">
        <v>-36754</v>
      </c>
      <c r="DN295" s="63">
        <v>54161802</v>
      </c>
      <c r="DO295" s="63">
        <v>0</v>
      </c>
      <c r="DP295" s="63">
        <v>54161802</v>
      </c>
      <c r="DQ295" s="63"/>
      <c r="DR295" s="585"/>
    </row>
    <row r="296" spans="1:122" x14ac:dyDescent="0.2">
      <c r="A296" s="90">
        <v>289</v>
      </c>
      <c r="B296" s="129" t="s">
        <v>425</v>
      </c>
      <c r="C296" s="130" t="s">
        <v>742</v>
      </c>
      <c r="D296" s="131" t="s">
        <v>746</v>
      </c>
      <c r="E296" s="132" t="s">
        <v>424</v>
      </c>
      <c r="F296" s="475" t="s">
        <v>808</v>
      </c>
      <c r="G296" s="63">
        <v>103168679</v>
      </c>
      <c r="H296" s="63">
        <v>0</v>
      </c>
      <c r="I296" s="63">
        <v>103168679</v>
      </c>
      <c r="J296" s="608">
        <v>48.4</v>
      </c>
      <c r="K296" s="63">
        <v>49933641</v>
      </c>
      <c r="L296" s="63">
        <v>0</v>
      </c>
      <c r="M296" s="63">
        <v>0</v>
      </c>
      <c r="N296" s="63">
        <v>0</v>
      </c>
      <c r="O296" s="63">
        <v>49933641</v>
      </c>
      <c r="P296" s="63">
        <v>0</v>
      </c>
      <c r="Q296" s="63">
        <v>49933641</v>
      </c>
      <c r="R296" s="63">
        <v>0</v>
      </c>
      <c r="S296" s="63">
        <v>0</v>
      </c>
      <c r="T296" s="63">
        <v>0</v>
      </c>
      <c r="U296" s="63">
        <v>0</v>
      </c>
      <c r="V296" s="63">
        <v>0</v>
      </c>
      <c r="W296" s="63">
        <v>0</v>
      </c>
      <c r="X296" s="63">
        <v>0</v>
      </c>
      <c r="Y296" s="63">
        <v>0</v>
      </c>
      <c r="Z296" s="63">
        <v>0</v>
      </c>
      <c r="AA296" s="63">
        <v>0</v>
      </c>
      <c r="AB296" s="63">
        <v>0</v>
      </c>
      <c r="AC296" s="63">
        <v>0</v>
      </c>
      <c r="AD296" s="63">
        <v>0</v>
      </c>
      <c r="AE296" s="63">
        <v>0</v>
      </c>
      <c r="AF296" s="63">
        <v>0</v>
      </c>
      <c r="AG296" s="63">
        <v>0</v>
      </c>
      <c r="AH296" s="63">
        <v>-1986432</v>
      </c>
      <c r="AI296" s="63">
        <v>0</v>
      </c>
      <c r="AJ296" s="63">
        <v>-1986432</v>
      </c>
      <c r="AK296" s="63">
        <v>-5306</v>
      </c>
      <c r="AL296" s="63">
        <v>0</v>
      </c>
      <c r="AM296" s="63">
        <v>-5306</v>
      </c>
      <c r="AN296" s="63">
        <v>1166909</v>
      </c>
      <c r="AO296" s="63">
        <v>0</v>
      </c>
      <c r="AP296" s="63">
        <v>1166909</v>
      </c>
      <c r="AQ296" s="63">
        <v>-819523</v>
      </c>
      <c r="AR296" s="63">
        <v>0</v>
      </c>
      <c r="AS296" s="63">
        <v>-819523</v>
      </c>
      <c r="AT296" s="63">
        <v>-1947890</v>
      </c>
      <c r="AU296" s="63">
        <v>0</v>
      </c>
      <c r="AV296" s="63">
        <v>-1947890</v>
      </c>
      <c r="AW296" s="63">
        <v>-54968</v>
      </c>
      <c r="AX296" s="63">
        <v>0</v>
      </c>
      <c r="AY296" s="63">
        <v>-54968</v>
      </c>
      <c r="AZ296" s="63">
        <v>-49925</v>
      </c>
      <c r="BA296" s="63">
        <v>0</v>
      </c>
      <c r="BB296" s="63">
        <v>-49925</v>
      </c>
      <c r="BC296" s="63">
        <v>-2872306</v>
      </c>
      <c r="BD296" s="63">
        <v>0</v>
      </c>
      <c r="BE296" s="63">
        <v>0</v>
      </c>
      <c r="BF296" s="63">
        <v>0</v>
      </c>
      <c r="BG296" s="63">
        <v>-2872306</v>
      </c>
      <c r="BH296" s="63">
        <v>0</v>
      </c>
      <c r="BI296" s="63">
        <v>-2872306</v>
      </c>
      <c r="BJ296" s="63">
        <v>-100000</v>
      </c>
      <c r="BK296" s="63">
        <v>0</v>
      </c>
      <c r="BL296" s="63">
        <v>-100000</v>
      </c>
      <c r="BM296" s="63">
        <v>-786695</v>
      </c>
      <c r="BN296" s="63">
        <v>0</v>
      </c>
      <c r="BO296" s="63">
        <v>-786695</v>
      </c>
      <c r="BP296" s="63">
        <v>-886695</v>
      </c>
      <c r="BQ296" s="63">
        <v>0</v>
      </c>
      <c r="BR296" s="63">
        <v>0</v>
      </c>
      <c r="BS296" s="63">
        <v>0</v>
      </c>
      <c r="BT296" s="63">
        <v>-886695</v>
      </c>
      <c r="BU296" s="63">
        <v>0</v>
      </c>
      <c r="BV296" s="63">
        <v>-886695</v>
      </c>
      <c r="BW296" s="63">
        <v>-46345</v>
      </c>
      <c r="BX296" s="63">
        <v>0</v>
      </c>
      <c r="BY296" s="63">
        <v>-46345</v>
      </c>
      <c r="BZ296" s="63">
        <v>-127165</v>
      </c>
      <c r="CA296" s="63">
        <v>0</v>
      </c>
      <c r="CB296" s="63">
        <v>-127165</v>
      </c>
      <c r="CC296" s="63">
        <v>-169</v>
      </c>
      <c r="CD296" s="63">
        <v>0</v>
      </c>
      <c r="CE296" s="63">
        <v>-169</v>
      </c>
      <c r="CF296" s="63">
        <v>-42445</v>
      </c>
      <c r="CG296" s="63">
        <v>0</v>
      </c>
      <c r="CH296" s="63">
        <v>-42445</v>
      </c>
      <c r="CI296" s="63">
        <v>-115726</v>
      </c>
      <c r="CJ296" s="63">
        <v>0</v>
      </c>
      <c r="CK296" s="63">
        <v>-115726</v>
      </c>
      <c r="CL296" s="63">
        <v>-41003</v>
      </c>
      <c r="CM296" s="63">
        <v>0</v>
      </c>
      <c r="CN296" s="63">
        <v>-41003</v>
      </c>
      <c r="CO296" s="63">
        <v>0</v>
      </c>
      <c r="CP296" s="63">
        <v>0</v>
      </c>
      <c r="CQ296" s="63">
        <v>-372853</v>
      </c>
      <c r="CR296" s="63">
        <v>0</v>
      </c>
      <c r="CS296" s="63">
        <v>0</v>
      </c>
      <c r="CT296" s="63">
        <v>0</v>
      </c>
      <c r="CU296" s="63">
        <v>-372853</v>
      </c>
      <c r="CV296" s="63">
        <v>0</v>
      </c>
      <c r="CW296" s="63">
        <v>-372853</v>
      </c>
      <c r="CX296" s="63">
        <v>0</v>
      </c>
      <c r="CY296" s="63">
        <v>0</v>
      </c>
      <c r="CZ296" s="63">
        <v>0</v>
      </c>
      <c r="DA296" s="63">
        <v>-4970</v>
      </c>
      <c r="DB296" s="63">
        <v>0</v>
      </c>
      <c r="DC296" s="63">
        <v>-4970</v>
      </c>
      <c r="DD296" s="63">
        <v>-12000</v>
      </c>
      <c r="DE296" s="63">
        <v>0</v>
      </c>
      <c r="DF296" s="63">
        <v>-12000</v>
      </c>
      <c r="DG296" s="63">
        <v>-16970</v>
      </c>
      <c r="DH296" s="63">
        <v>0</v>
      </c>
      <c r="DI296" s="63">
        <v>0</v>
      </c>
      <c r="DJ296" s="63">
        <v>0</v>
      </c>
      <c r="DK296" s="63">
        <v>-16970</v>
      </c>
      <c r="DL296" s="63">
        <v>0</v>
      </c>
      <c r="DM296" s="63">
        <v>-16970</v>
      </c>
      <c r="DN296" s="63">
        <v>45784817</v>
      </c>
      <c r="DO296" s="63">
        <v>0</v>
      </c>
      <c r="DP296" s="63">
        <v>45784817</v>
      </c>
      <c r="DQ296" s="63"/>
      <c r="DR296" s="585"/>
    </row>
    <row r="297" spans="1:122" ht="12.75" x14ac:dyDescent="0.2">
      <c r="A297" s="90">
        <v>290</v>
      </c>
      <c r="B297" s="129" t="s">
        <v>427</v>
      </c>
      <c r="C297" s="130" t="s">
        <v>742</v>
      </c>
      <c r="D297" s="131" t="s">
        <v>743</v>
      </c>
      <c r="E297" s="132" t="s">
        <v>426</v>
      </c>
      <c r="F297" s="475" t="s">
        <v>808</v>
      </c>
      <c r="G297" s="63">
        <v>132713377</v>
      </c>
      <c r="H297" s="63">
        <v>9277155</v>
      </c>
      <c r="I297" s="63">
        <v>141990532</v>
      </c>
      <c r="J297" s="608">
        <v>48.4</v>
      </c>
      <c r="K297" s="63">
        <v>64233274</v>
      </c>
      <c r="L297" s="63">
        <v>4490143</v>
      </c>
      <c r="M297" s="63">
        <v>0</v>
      </c>
      <c r="N297" s="63">
        <v>0</v>
      </c>
      <c r="O297" s="63">
        <v>64233274</v>
      </c>
      <c r="P297" s="63">
        <v>4490143</v>
      </c>
      <c r="Q297" s="63">
        <v>68723417</v>
      </c>
      <c r="R297" s="63">
        <v>0</v>
      </c>
      <c r="S297" s="63">
        <v>0</v>
      </c>
      <c r="T297" s="63">
        <v>0</v>
      </c>
      <c r="U297" s="63">
        <v>0</v>
      </c>
      <c r="V297" s="63">
        <v>0</v>
      </c>
      <c r="W297" s="63">
        <v>0</v>
      </c>
      <c r="X297" s="63">
        <v>0</v>
      </c>
      <c r="Y297" s="63">
        <v>0</v>
      </c>
      <c r="Z297" s="63">
        <v>0</v>
      </c>
      <c r="AA297" s="63">
        <v>0</v>
      </c>
      <c r="AB297" s="63">
        <v>0</v>
      </c>
      <c r="AC297" s="63">
        <v>0</v>
      </c>
      <c r="AD297" s="63">
        <v>0</v>
      </c>
      <c r="AE297" s="63">
        <v>0</v>
      </c>
      <c r="AF297" s="63">
        <v>0</v>
      </c>
      <c r="AG297" s="63">
        <v>0</v>
      </c>
      <c r="AH297" s="63">
        <v>-1660491</v>
      </c>
      <c r="AI297" s="63">
        <v>-46819</v>
      </c>
      <c r="AJ297" s="63">
        <v>-1707310</v>
      </c>
      <c r="AK297" s="63">
        <v>-2807</v>
      </c>
      <c r="AL297" s="63">
        <v>0</v>
      </c>
      <c r="AM297" s="63">
        <v>-2807</v>
      </c>
      <c r="AN297" s="63">
        <v>1555823</v>
      </c>
      <c r="AO297" s="63">
        <v>108387</v>
      </c>
      <c r="AP297" s="63">
        <v>1664210</v>
      </c>
      <c r="AQ297" s="63">
        <v>-104668</v>
      </c>
      <c r="AR297" s="63">
        <v>61568</v>
      </c>
      <c r="AS297" s="63">
        <v>-43100</v>
      </c>
      <c r="AT297" s="63">
        <v>-6835756</v>
      </c>
      <c r="AU297" s="63">
        <v>-1133</v>
      </c>
      <c r="AV297" s="63">
        <v>-6836889</v>
      </c>
      <c r="AW297" s="63">
        <v>-87750</v>
      </c>
      <c r="AX297" s="63">
        <v>0</v>
      </c>
      <c r="AY297" s="63">
        <v>-87750</v>
      </c>
      <c r="AZ297" s="63">
        <v>-38218</v>
      </c>
      <c r="BA297" s="63">
        <v>0</v>
      </c>
      <c r="BB297" s="63">
        <v>-38218</v>
      </c>
      <c r="BC297" s="63">
        <v>-7066392</v>
      </c>
      <c r="BD297" s="63">
        <v>60435</v>
      </c>
      <c r="BE297" s="63">
        <v>0</v>
      </c>
      <c r="BF297" s="63">
        <v>-82000</v>
      </c>
      <c r="BG297" s="63">
        <v>-7066392</v>
      </c>
      <c r="BH297" s="63">
        <v>-21565</v>
      </c>
      <c r="BI297" s="63">
        <v>-7087957</v>
      </c>
      <c r="BJ297" s="63">
        <v>0</v>
      </c>
      <c r="BK297" s="63">
        <v>0</v>
      </c>
      <c r="BL297" s="63">
        <v>0</v>
      </c>
      <c r="BM297" s="63">
        <v>-991767</v>
      </c>
      <c r="BN297" s="63">
        <v>-92504</v>
      </c>
      <c r="BO297" s="63">
        <v>-1084271</v>
      </c>
      <c r="BP297" s="63">
        <v>-991767</v>
      </c>
      <c r="BQ297" s="63">
        <v>-92504</v>
      </c>
      <c r="BR297" s="63">
        <v>0</v>
      </c>
      <c r="BS297" s="63">
        <v>0</v>
      </c>
      <c r="BT297" s="63">
        <v>-991767</v>
      </c>
      <c r="BU297" s="63">
        <v>-92504</v>
      </c>
      <c r="BV297" s="63">
        <v>-1084271</v>
      </c>
      <c r="BW297" s="63">
        <v>-159859</v>
      </c>
      <c r="BX297" s="63">
        <v>-283</v>
      </c>
      <c r="BY297" s="63">
        <v>-160142</v>
      </c>
      <c r="BZ297" s="63">
        <v>-8533</v>
      </c>
      <c r="CA297" s="63">
        <v>0</v>
      </c>
      <c r="CB297" s="63">
        <v>-8533</v>
      </c>
      <c r="CC297" s="63">
        <v>-5484</v>
      </c>
      <c r="CD297" s="63">
        <v>0</v>
      </c>
      <c r="CE297" s="63">
        <v>-5484</v>
      </c>
      <c r="CF297" s="63">
        <v>-15021</v>
      </c>
      <c r="CG297" s="63">
        <v>0</v>
      </c>
      <c r="CH297" s="63">
        <v>-15021</v>
      </c>
      <c r="CI297" s="63">
        <v>0</v>
      </c>
      <c r="CJ297" s="63">
        <v>0</v>
      </c>
      <c r="CK297" s="63">
        <v>0</v>
      </c>
      <c r="CL297" s="63">
        <v>0</v>
      </c>
      <c r="CM297" s="63">
        <v>-521956</v>
      </c>
      <c r="CN297" s="63">
        <v>-521956</v>
      </c>
      <c r="CO297" s="63">
        <v>-521956</v>
      </c>
      <c r="CP297" s="63">
        <v>0</v>
      </c>
      <c r="CQ297" s="63">
        <v>-188897</v>
      </c>
      <c r="CR297" s="63">
        <v>-522239</v>
      </c>
      <c r="CS297" s="63">
        <v>0</v>
      </c>
      <c r="CT297" s="63">
        <v>0</v>
      </c>
      <c r="CU297" s="63">
        <v>-188897</v>
      </c>
      <c r="CV297" s="63">
        <v>-522239</v>
      </c>
      <c r="CW297" s="63">
        <v>-711136</v>
      </c>
      <c r="CX297" s="63">
        <v>0</v>
      </c>
      <c r="CY297" s="63">
        <v>0</v>
      </c>
      <c r="CZ297" s="63">
        <v>0</v>
      </c>
      <c r="DA297" s="63">
        <v>0</v>
      </c>
      <c r="DB297" s="63">
        <v>0</v>
      </c>
      <c r="DC297" s="63">
        <v>0</v>
      </c>
      <c r="DD297" s="63">
        <v>-4196</v>
      </c>
      <c r="DE297" s="63">
        <v>0</v>
      </c>
      <c r="DF297" s="63">
        <v>-4196</v>
      </c>
      <c r="DG297" s="63">
        <v>-4196</v>
      </c>
      <c r="DH297" s="63">
        <v>0</v>
      </c>
      <c r="DI297" s="63">
        <v>0</v>
      </c>
      <c r="DJ297" s="63">
        <v>0</v>
      </c>
      <c r="DK297" s="63">
        <v>-4196</v>
      </c>
      <c r="DL297" s="63">
        <v>0</v>
      </c>
      <c r="DM297" s="63">
        <v>-4196</v>
      </c>
      <c r="DN297" s="63">
        <v>55982022</v>
      </c>
      <c r="DO297" s="63">
        <v>3853835</v>
      </c>
      <c r="DP297" s="63">
        <v>59835857</v>
      </c>
      <c r="DQ297" s="63"/>
      <c r="DR297" s="587" t="s">
        <v>768</v>
      </c>
    </row>
    <row r="298" spans="1:122" ht="12.75" x14ac:dyDescent="0.2">
      <c r="A298" s="90">
        <v>291</v>
      </c>
      <c r="B298" s="129" t="s">
        <v>429</v>
      </c>
      <c r="C298" s="130" t="s">
        <v>749</v>
      </c>
      <c r="D298" s="131" t="s">
        <v>750</v>
      </c>
      <c r="E298" s="132" t="s">
        <v>428</v>
      </c>
      <c r="F298" s="475" t="s">
        <v>808</v>
      </c>
      <c r="G298" s="63">
        <v>308792405</v>
      </c>
      <c r="H298" s="63">
        <v>0</v>
      </c>
      <c r="I298" s="63">
        <v>308792405</v>
      </c>
      <c r="J298" s="608">
        <v>48.4</v>
      </c>
      <c r="K298" s="63">
        <v>149455524</v>
      </c>
      <c r="L298" s="63">
        <v>0</v>
      </c>
      <c r="M298" s="63">
        <v>0</v>
      </c>
      <c r="N298" s="63">
        <v>0</v>
      </c>
      <c r="O298" s="63">
        <v>149455524</v>
      </c>
      <c r="P298" s="63">
        <v>0</v>
      </c>
      <c r="Q298" s="63">
        <v>149455524</v>
      </c>
      <c r="R298" s="63">
        <v>0</v>
      </c>
      <c r="S298" s="63">
        <v>0</v>
      </c>
      <c r="T298" s="63">
        <v>0</v>
      </c>
      <c r="U298" s="63">
        <v>0</v>
      </c>
      <c r="V298" s="63">
        <v>0</v>
      </c>
      <c r="W298" s="63">
        <v>0</v>
      </c>
      <c r="X298" s="63">
        <v>0</v>
      </c>
      <c r="Y298" s="63">
        <v>0</v>
      </c>
      <c r="Z298" s="63">
        <v>0</v>
      </c>
      <c r="AA298" s="63">
        <v>0</v>
      </c>
      <c r="AB298" s="63">
        <v>0</v>
      </c>
      <c r="AC298" s="63">
        <v>0</v>
      </c>
      <c r="AD298" s="63">
        <v>0</v>
      </c>
      <c r="AE298" s="63">
        <v>0</v>
      </c>
      <c r="AF298" s="63">
        <v>0</v>
      </c>
      <c r="AG298" s="63">
        <v>0</v>
      </c>
      <c r="AH298" s="63">
        <v>-8000000</v>
      </c>
      <c r="AI298" s="63">
        <v>0</v>
      </c>
      <c r="AJ298" s="63">
        <v>-8000000</v>
      </c>
      <c r="AK298" s="63">
        <v>-10000</v>
      </c>
      <c r="AL298" s="63">
        <v>0</v>
      </c>
      <c r="AM298" s="63">
        <v>-10000</v>
      </c>
      <c r="AN298" s="63">
        <v>3500000</v>
      </c>
      <c r="AO298" s="63">
        <v>0</v>
      </c>
      <c r="AP298" s="63">
        <v>3500000</v>
      </c>
      <c r="AQ298" s="63">
        <v>-4500000</v>
      </c>
      <c r="AR298" s="63">
        <v>0</v>
      </c>
      <c r="AS298" s="63">
        <v>-4500000</v>
      </c>
      <c r="AT298" s="63">
        <v>-7424469</v>
      </c>
      <c r="AU298" s="63">
        <v>0</v>
      </c>
      <c r="AV298" s="63">
        <v>-7424469</v>
      </c>
      <c r="AW298" s="63">
        <v>-66386</v>
      </c>
      <c r="AX298" s="63">
        <v>0</v>
      </c>
      <c r="AY298" s="63">
        <v>-66386</v>
      </c>
      <c r="AZ298" s="63">
        <v>-9145</v>
      </c>
      <c r="BA298" s="63">
        <v>0</v>
      </c>
      <c r="BB298" s="63">
        <v>-9145</v>
      </c>
      <c r="BC298" s="63">
        <v>-12000000</v>
      </c>
      <c r="BD298" s="63">
        <v>0</v>
      </c>
      <c r="BE298" s="63">
        <v>0</v>
      </c>
      <c r="BF298" s="63">
        <v>0</v>
      </c>
      <c r="BG298" s="63">
        <v>-12000000</v>
      </c>
      <c r="BH298" s="63">
        <v>0</v>
      </c>
      <c r="BI298" s="63">
        <v>-12000000</v>
      </c>
      <c r="BJ298" s="63">
        <v>-500000</v>
      </c>
      <c r="BK298" s="63">
        <v>0</v>
      </c>
      <c r="BL298" s="63">
        <v>-500000</v>
      </c>
      <c r="BM298" s="63">
        <v>-5734537</v>
      </c>
      <c r="BN298" s="63">
        <v>0</v>
      </c>
      <c r="BO298" s="63">
        <v>-5734537</v>
      </c>
      <c r="BP298" s="63">
        <v>-6234537</v>
      </c>
      <c r="BQ298" s="63">
        <v>0</v>
      </c>
      <c r="BR298" s="63">
        <v>0</v>
      </c>
      <c r="BS298" s="63">
        <v>0</v>
      </c>
      <c r="BT298" s="63">
        <v>-6234537</v>
      </c>
      <c r="BU298" s="63">
        <v>0</v>
      </c>
      <c r="BV298" s="63">
        <v>-6234537</v>
      </c>
      <c r="BW298" s="63">
        <v>-820000</v>
      </c>
      <c r="BX298" s="63">
        <v>0</v>
      </c>
      <c r="BY298" s="63">
        <v>-820000</v>
      </c>
      <c r="BZ298" s="63">
        <v>-490000</v>
      </c>
      <c r="CA298" s="63">
        <v>0</v>
      </c>
      <c r="CB298" s="63">
        <v>-490000</v>
      </c>
      <c r="CC298" s="63">
        <v>-10000</v>
      </c>
      <c r="CD298" s="63">
        <v>0</v>
      </c>
      <c r="CE298" s="63">
        <v>-10000</v>
      </c>
      <c r="CF298" s="63">
        <v>0</v>
      </c>
      <c r="CG298" s="63">
        <v>0</v>
      </c>
      <c r="CH298" s="63">
        <v>0</v>
      </c>
      <c r="CI298" s="63">
        <v>0</v>
      </c>
      <c r="CJ298" s="63">
        <v>0</v>
      </c>
      <c r="CK298" s="63">
        <v>0</v>
      </c>
      <c r="CL298" s="63">
        <v>0</v>
      </c>
      <c r="CM298" s="63">
        <v>0</v>
      </c>
      <c r="CN298" s="63">
        <v>0</v>
      </c>
      <c r="CO298" s="63">
        <v>0</v>
      </c>
      <c r="CP298" s="63">
        <v>0</v>
      </c>
      <c r="CQ298" s="63">
        <v>-1320000</v>
      </c>
      <c r="CR298" s="63">
        <v>0</v>
      </c>
      <c r="CS298" s="63">
        <v>0</v>
      </c>
      <c r="CT298" s="63">
        <v>0</v>
      </c>
      <c r="CU298" s="63">
        <v>-1320000</v>
      </c>
      <c r="CV298" s="63">
        <v>0</v>
      </c>
      <c r="CW298" s="63">
        <v>-1320000</v>
      </c>
      <c r="CX298" s="63">
        <v>-1300</v>
      </c>
      <c r="CY298" s="63">
        <v>0</v>
      </c>
      <c r="CZ298" s="63">
        <v>-1300</v>
      </c>
      <c r="DA298" s="63">
        <v>-98700</v>
      </c>
      <c r="DB298" s="63">
        <v>0</v>
      </c>
      <c r="DC298" s="63">
        <v>-98700</v>
      </c>
      <c r="DD298" s="63">
        <v>-20000</v>
      </c>
      <c r="DE298" s="63">
        <v>0</v>
      </c>
      <c r="DF298" s="63">
        <v>-20000</v>
      </c>
      <c r="DG298" s="63">
        <v>-120000</v>
      </c>
      <c r="DH298" s="63">
        <v>0</v>
      </c>
      <c r="DI298" s="63">
        <v>0</v>
      </c>
      <c r="DJ298" s="63">
        <v>0</v>
      </c>
      <c r="DK298" s="63">
        <v>-120000</v>
      </c>
      <c r="DL298" s="63">
        <v>0</v>
      </c>
      <c r="DM298" s="63">
        <v>-120000</v>
      </c>
      <c r="DN298" s="63">
        <v>129780987</v>
      </c>
      <c r="DO298" s="63">
        <v>0</v>
      </c>
      <c r="DP298" s="63">
        <v>129780987</v>
      </c>
      <c r="DQ298" s="63"/>
      <c r="DR298" s="586"/>
    </row>
    <row r="299" spans="1:122" x14ac:dyDescent="0.2">
      <c r="A299" s="90">
        <v>292</v>
      </c>
      <c r="B299" s="129" t="s">
        <v>431</v>
      </c>
      <c r="C299" s="130" t="s">
        <v>749</v>
      </c>
      <c r="D299" s="131" t="s">
        <v>752</v>
      </c>
      <c r="E299" s="132" t="s">
        <v>430</v>
      </c>
      <c r="F299" s="475" t="s">
        <v>808</v>
      </c>
      <c r="G299" s="63">
        <v>173311417</v>
      </c>
      <c r="H299" s="63">
        <v>410700</v>
      </c>
      <c r="I299" s="63">
        <v>173722117</v>
      </c>
      <c r="J299" s="608">
        <v>48.4</v>
      </c>
      <c r="K299" s="63">
        <v>83882726</v>
      </c>
      <c r="L299" s="63">
        <v>198779</v>
      </c>
      <c r="M299" s="63">
        <v>810000</v>
      </c>
      <c r="N299" s="63">
        <v>0</v>
      </c>
      <c r="O299" s="63">
        <v>84692726</v>
      </c>
      <c r="P299" s="63">
        <v>198779</v>
      </c>
      <c r="Q299" s="63">
        <v>84891505</v>
      </c>
      <c r="R299" s="63">
        <v>0</v>
      </c>
      <c r="S299" s="63">
        <v>0</v>
      </c>
      <c r="T299" s="63">
        <v>0</v>
      </c>
      <c r="U299" s="63">
        <v>0</v>
      </c>
      <c r="V299" s="63">
        <v>0</v>
      </c>
      <c r="W299" s="63">
        <v>0</v>
      </c>
      <c r="X299" s="63">
        <v>0</v>
      </c>
      <c r="Y299" s="63">
        <v>0</v>
      </c>
      <c r="Z299" s="63">
        <v>0</v>
      </c>
      <c r="AA299" s="63">
        <v>0</v>
      </c>
      <c r="AB299" s="63">
        <v>0</v>
      </c>
      <c r="AC299" s="63">
        <v>0</v>
      </c>
      <c r="AD299" s="63">
        <v>0</v>
      </c>
      <c r="AE299" s="63">
        <v>0</v>
      </c>
      <c r="AF299" s="63">
        <v>0</v>
      </c>
      <c r="AG299" s="63">
        <v>0</v>
      </c>
      <c r="AH299" s="63">
        <v>-5877927</v>
      </c>
      <c r="AI299" s="63">
        <v>-810</v>
      </c>
      <c r="AJ299" s="63">
        <v>-5878737</v>
      </c>
      <c r="AK299" s="63">
        <v>-13268</v>
      </c>
      <c r="AL299" s="63">
        <v>0</v>
      </c>
      <c r="AM299" s="63">
        <v>-13268</v>
      </c>
      <c r="AN299" s="63">
        <v>1845081</v>
      </c>
      <c r="AO299" s="63">
        <v>5005</v>
      </c>
      <c r="AP299" s="63">
        <v>1850086</v>
      </c>
      <c r="AQ299" s="63">
        <v>-4032846</v>
      </c>
      <c r="AR299" s="63">
        <v>4195</v>
      </c>
      <c r="AS299" s="63">
        <v>-4028651</v>
      </c>
      <c r="AT299" s="63">
        <v>-4807558</v>
      </c>
      <c r="AU299" s="63">
        <v>0</v>
      </c>
      <c r="AV299" s="63">
        <v>-4807558</v>
      </c>
      <c r="AW299" s="63">
        <v>-39896</v>
      </c>
      <c r="AX299" s="63">
        <v>0</v>
      </c>
      <c r="AY299" s="63">
        <v>-39896</v>
      </c>
      <c r="AZ299" s="63">
        <v>0</v>
      </c>
      <c r="BA299" s="63">
        <v>0</v>
      </c>
      <c r="BB299" s="63">
        <v>0</v>
      </c>
      <c r="BC299" s="63">
        <v>-8880300</v>
      </c>
      <c r="BD299" s="63">
        <v>4195</v>
      </c>
      <c r="BE299" s="63">
        <v>0</v>
      </c>
      <c r="BF299" s="63">
        <v>0</v>
      </c>
      <c r="BG299" s="63">
        <v>-8880300</v>
      </c>
      <c r="BH299" s="63">
        <v>4195</v>
      </c>
      <c r="BI299" s="63">
        <v>-8876105</v>
      </c>
      <c r="BJ299" s="63">
        <v>-37092</v>
      </c>
      <c r="BK299" s="63">
        <v>0</v>
      </c>
      <c r="BL299" s="63">
        <v>-37092</v>
      </c>
      <c r="BM299" s="63">
        <v>-2124771</v>
      </c>
      <c r="BN299" s="63">
        <v>-10934</v>
      </c>
      <c r="BO299" s="63">
        <v>-2135705</v>
      </c>
      <c r="BP299" s="63">
        <v>-2161863</v>
      </c>
      <c r="BQ299" s="63">
        <v>-10934</v>
      </c>
      <c r="BR299" s="63">
        <v>0</v>
      </c>
      <c r="BS299" s="63">
        <v>0</v>
      </c>
      <c r="BT299" s="63">
        <v>-2161863</v>
      </c>
      <c r="BU299" s="63">
        <v>-10934</v>
      </c>
      <c r="BV299" s="63">
        <v>-2172797</v>
      </c>
      <c r="BW299" s="63">
        <v>-159672</v>
      </c>
      <c r="BX299" s="63">
        <v>0</v>
      </c>
      <c r="BY299" s="63">
        <v>-159672</v>
      </c>
      <c r="BZ299" s="63">
        <v>-62553</v>
      </c>
      <c r="CA299" s="63">
        <v>0</v>
      </c>
      <c r="CB299" s="63">
        <v>-62553</v>
      </c>
      <c r="CC299" s="63">
        <v>-3417</v>
      </c>
      <c r="CD299" s="63">
        <v>0</v>
      </c>
      <c r="CE299" s="63">
        <v>-3417</v>
      </c>
      <c r="CF299" s="63">
        <v>0</v>
      </c>
      <c r="CG299" s="63">
        <v>0</v>
      </c>
      <c r="CH299" s="63">
        <v>0</v>
      </c>
      <c r="CI299" s="63">
        <v>0</v>
      </c>
      <c r="CJ299" s="63">
        <v>0</v>
      </c>
      <c r="CK299" s="63">
        <v>0</v>
      </c>
      <c r="CL299" s="63">
        <v>0</v>
      </c>
      <c r="CM299" s="63">
        <v>0</v>
      </c>
      <c r="CN299" s="63">
        <v>0</v>
      </c>
      <c r="CO299" s="63">
        <v>0</v>
      </c>
      <c r="CP299" s="63">
        <v>0</v>
      </c>
      <c r="CQ299" s="63">
        <v>-225642</v>
      </c>
      <c r="CR299" s="63">
        <v>0</v>
      </c>
      <c r="CS299" s="63">
        <v>0</v>
      </c>
      <c r="CT299" s="63">
        <v>0</v>
      </c>
      <c r="CU299" s="63">
        <v>-225642</v>
      </c>
      <c r="CV299" s="63">
        <v>0</v>
      </c>
      <c r="CW299" s="63">
        <v>-225642</v>
      </c>
      <c r="CX299" s="63">
        <v>0</v>
      </c>
      <c r="CY299" s="63">
        <v>0</v>
      </c>
      <c r="CZ299" s="63">
        <v>0</v>
      </c>
      <c r="DA299" s="63">
        <v>-53317</v>
      </c>
      <c r="DB299" s="63">
        <v>0</v>
      </c>
      <c r="DC299" s="63">
        <v>-53317</v>
      </c>
      <c r="DD299" s="63">
        <v>0</v>
      </c>
      <c r="DE299" s="63">
        <v>0</v>
      </c>
      <c r="DF299" s="63">
        <v>0</v>
      </c>
      <c r="DG299" s="63">
        <v>-53317</v>
      </c>
      <c r="DH299" s="63">
        <v>0</v>
      </c>
      <c r="DI299" s="63">
        <v>0</v>
      </c>
      <c r="DJ299" s="63">
        <v>0</v>
      </c>
      <c r="DK299" s="63">
        <v>-53317</v>
      </c>
      <c r="DL299" s="63">
        <v>0</v>
      </c>
      <c r="DM299" s="63">
        <v>-53317</v>
      </c>
      <c r="DN299" s="63">
        <v>73371604</v>
      </c>
      <c r="DO299" s="63">
        <v>192040</v>
      </c>
      <c r="DP299" s="63">
        <v>73563644</v>
      </c>
      <c r="DQ299" s="63"/>
      <c r="DR299" s="585" t="s">
        <v>768</v>
      </c>
    </row>
    <row r="300" spans="1:122" x14ac:dyDescent="0.2">
      <c r="A300" s="90">
        <v>293</v>
      </c>
      <c r="B300" s="129" t="s">
        <v>433</v>
      </c>
      <c r="C300" s="130" t="s">
        <v>747</v>
      </c>
      <c r="D300" s="131" t="s">
        <v>748</v>
      </c>
      <c r="E300" s="132" t="s">
        <v>432</v>
      </c>
      <c r="F300" s="475" t="s">
        <v>808</v>
      </c>
      <c r="G300" s="63">
        <v>146322239</v>
      </c>
      <c r="H300" s="63">
        <v>0</v>
      </c>
      <c r="I300" s="63">
        <v>146322239</v>
      </c>
      <c r="J300" s="608">
        <v>48.4</v>
      </c>
      <c r="K300" s="63">
        <v>70819964</v>
      </c>
      <c r="L300" s="63">
        <v>0</v>
      </c>
      <c r="M300" s="63">
        <v>-19890</v>
      </c>
      <c r="N300" s="63">
        <v>0</v>
      </c>
      <c r="O300" s="63">
        <v>70800074</v>
      </c>
      <c r="P300" s="63">
        <v>0</v>
      </c>
      <c r="Q300" s="63">
        <v>70800074</v>
      </c>
      <c r="R300" s="63">
        <v>0</v>
      </c>
      <c r="S300" s="63">
        <v>0</v>
      </c>
      <c r="T300" s="63">
        <v>0</v>
      </c>
      <c r="U300" s="63">
        <v>0</v>
      </c>
      <c r="V300" s="63">
        <v>0</v>
      </c>
      <c r="W300" s="63">
        <v>0</v>
      </c>
      <c r="X300" s="63">
        <v>0</v>
      </c>
      <c r="Y300" s="63">
        <v>0</v>
      </c>
      <c r="Z300" s="63">
        <v>0</v>
      </c>
      <c r="AA300" s="63">
        <v>0</v>
      </c>
      <c r="AB300" s="63">
        <v>0</v>
      </c>
      <c r="AC300" s="63">
        <v>0</v>
      </c>
      <c r="AD300" s="63">
        <v>0</v>
      </c>
      <c r="AE300" s="63">
        <v>0</v>
      </c>
      <c r="AF300" s="63">
        <v>0</v>
      </c>
      <c r="AG300" s="63">
        <v>0</v>
      </c>
      <c r="AH300" s="63">
        <v>-5549441</v>
      </c>
      <c r="AI300" s="63">
        <v>0</v>
      </c>
      <c r="AJ300" s="63">
        <v>-5549441</v>
      </c>
      <c r="AK300" s="63">
        <v>-2000</v>
      </c>
      <c r="AL300" s="63">
        <v>0</v>
      </c>
      <c r="AM300" s="63">
        <v>-2000</v>
      </c>
      <c r="AN300" s="63">
        <v>1344036</v>
      </c>
      <c r="AO300" s="63">
        <v>0</v>
      </c>
      <c r="AP300" s="63">
        <v>1344036</v>
      </c>
      <c r="AQ300" s="63">
        <v>-4205405</v>
      </c>
      <c r="AR300" s="63">
        <v>0</v>
      </c>
      <c r="AS300" s="63">
        <v>-4205405</v>
      </c>
      <c r="AT300" s="63">
        <v>-4817512</v>
      </c>
      <c r="AU300" s="63">
        <v>0</v>
      </c>
      <c r="AV300" s="63">
        <v>-4817512</v>
      </c>
      <c r="AW300" s="63">
        <v>-47064</v>
      </c>
      <c r="AX300" s="63">
        <v>0</v>
      </c>
      <c r="AY300" s="63">
        <v>-47064</v>
      </c>
      <c r="AZ300" s="63">
        <v>0</v>
      </c>
      <c r="BA300" s="63">
        <v>0</v>
      </c>
      <c r="BB300" s="63">
        <v>0</v>
      </c>
      <c r="BC300" s="63">
        <v>-9069981</v>
      </c>
      <c r="BD300" s="63">
        <v>0</v>
      </c>
      <c r="BE300" s="63">
        <v>0</v>
      </c>
      <c r="BF300" s="63">
        <v>0</v>
      </c>
      <c r="BG300" s="63">
        <v>-9069981</v>
      </c>
      <c r="BH300" s="63">
        <v>0</v>
      </c>
      <c r="BI300" s="63">
        <v>-9069981</v>
      </c>
      <c r="BJ300" s="63">
        <v>-10000</v>
      </c>
      <c r="BK300" s="63">
        <v>0</v>
      </c>
      <c r="BL300" s="63">
        <v>-10000</v>
      </c>
      <c r="BM300" s="63">
        <v>-1561560</v>
      </c>
      <c r="BN300" s="63">
        <v>0</v>
      </c>
      <c r="BO300" s="63">
        <v>-1561560</v>
      </c>
      <c r="BP300" s="63">
        <v>-1571560</v>
      </c>
      <c r="BQ300" s="63">
        <v>0</v>
      </c>
      <c r="BR300" s="63">
        <v>0</v>
      </c>
      <c r="BS300" s="63">
        <v>0</v>
      </c>
      <c r="BT300" s="63">
        <v>-1571560</v>
      </c>
      <c r="BU300" s="63">
        <v>0</v>
      </c>
      <c r="BV300" s="63">
        <v>-1571560</v>
      </c>
      <c r="BW300" s="63">
        <v>-154273</v>
      </c>
      <c r="BX300" s="63">
        <v>0</v>
      </c>
      <c r="BY300" s="63">
        <v>-154273</v>
      </c>
      <c r="BZ300" s="63">
        <v>-40039</v>
      </c>
      <c r="CA300" s="63">
        <v>0</v>
      </c>
      <c r="CB300" s="63">
        <v>-40039</v>
      </c>
      <c r="CC300" s="63">
        <v>-2734</v>
      </c>
      <c r="CD300" s="63">
        <v>0</v>
      </c>
      <c r="CE300" s="63">
        <v>-2734</v>
      </c>
      <c r="CF300" s="63">
        <v>0</v>
      </c>
      <c r="CG300" s="63">
        <v>0</v>
      </c>
      <c r="CH300" s="63">
        <v>0</v>
      </c>
      <c r="CI300" s="63">
        <v>0</v>
      </c>
      <c r="CJ300" s="63">
        <v>0</v>
      </c>
      <c r="CK300" s="63">
        <v>0</v>
      </c>
      <c r="CL300" s="63">
        <v>0</v>
      </c>
      <c r="CM300" s="63">
        <v>0</v>
      </c>
      <c r="CN300" s="63">
        <v>0</v>
      </c>
      <c r="CO300" s="63">
        <v>0</v>
      </c>
      <c r="CP300" s="63">
        <v>0</v>
      </c>
      <c r="CQ300" s="63">
        <v>-197046</v>
      </c>
      <c r="CR300" s="63">
        <v>0</v>
      </c>
      <c r="CS300" s="63">
        <v>0</v>
      </c>
      <c r="CT300" s="63">
        <v>0</v>
      </c>
      <c r="CU300" s="63">
        <v>-197046</v>
      </c>
      <c r="CV300" s="63">
        <v>0</v>
      </c>
      <c r="CW300" s="63">
        <v>-197046</v>
      </c>
      <c r="CX300" s="63">
        <v>-30000</v>
      </c>
      <c r="CY300" s="63">
        <v>0</v>
      </c>
      <c r="CZ300" s="63">
        <v>-30000</v>
      </c>
      <c r="DA300" s="63">
        <v>-10000</v>
      </c>
      <c r="DB300" s="63">
        <v>0</v>
      </c>
      <c r="DC300" s="63">
        <v>-10000</v>
      </c>
      <c r="DD300" s="63">
        <v>-15000</v>
      </c>
      <c r="DE300" s="63">
        <v>0</v>
      </c>
      <c r="DF300" s="63">
        <v>-15000</v>
      </c>
      <c r="DG300" s="63">
        <v>-55000</v>
      </c>
      <c r="DH300" s="63">
        <v>0</v>
      </c>
      <c r="DI300" s="63">
        <v>0</v>
      </c>
      <c r="DJ300" s="63">
        <v>0</v>
      </c>
      <c r="DK300" s="63">
        <v>-55000</v>
      </c>
      <c r="DL300" s="63">
        <v>0</v>
      </c>
      <c r="DM300" s="63">
        <v>-55000</v>
      </c>
      <c r="DN300" s="63">
        <v>59906487</v>
      </c>
      <c r="DO300" s="63">
        <v>0</v>
      </c>
      <c r="DP300" s="63">
        <v>59906487</v>
      </c>
      <c r="DQ300" s="63"/>
      <c r="DR300" s="585"/>
    </row>
    <row r="301" spans="1:122" x14ac:dyDescent="0.2">
      <c r="A301" s="90">
        <v>294</v>
      </c>
      <c r="B301" s="129" t="s">
        <v>435</v>
      </c>
      <c r="C301" s="130" t="s">
        <v>754</v>
      </c>
      <c r="D301" s="131" t="s">
        <v>748</v>
      </c>
      <c r="E301" s="132" t="s">
        <v>434</v>
      </c>
      <c r="F301" s="475" t="s">
        <v>808</v>
      </c>
      <c r="G301" s="63">
        <v>243344408</v>
      </c>
      <c r="H301" s="63">
        <v>7679151</v>
      </c>
      <c r="I301" s="63">
        <v>251023559</v>
      </c>
      <c r="J301" s="608">
        <v>48.4</v>
      </c>
      <c r="K301" s="63">
        <v>117778693</v>
      </c>
      <c r="L301" s="63">
        <v>3716709</v>
      </c>
      <c r="M301" s="63">
        <v>0</v>
      </c>
      <c r="N301" s="63">
        <v>0</v>
      </c>
      <c r="O301" s="63">
        <v>117778693</v>
      </c>
      <c r="P301" s="63">
        <v>3716709</v>
      </c>
      <c r="Q301" s="63">
        <v>121495402</v>
      </c>
      <c r="R301" s="63">
        <v>0</v>
      </c>
      <c r="S301" s="63">
        <v>0</v>
      </c>
      <c r="T301" s="63">
        <v>0</v>
      </c>
      <c r="U301" s="63">
        <v>0</v>
      </c>
      <c r="V301" s="63">
        <v>0</v>
      </c>
      <c r="W301" s="63">
        <v>0</v>
      </c>
      <c r="X301" s="63">
        <v>0</v>
      </c>
      <c r="Y301" s="63">
        <v>0</v>
      </c>
      <c r="Z301" s="63">
        <v>0</v>
      </c>
      <c r="AA301" s="63">
        <v>0</v>
      </c>
      <c r="AB301" s="63">
        <v>0</v>
      </c>
      <c r="AC301" s="63">
        <v>0</v>
      </c>
      <c r="AD301" s="63">
        <v>0</v>
      </c>
      <c r="AE301" s="63">
        <v>0</v>
      </c>
      <c r="AF301" s="63">
        <v>0</v>
      </c>
      <c r="AG301" s="63">
        <v>0</v>
      </c>
      <c r="AH301" s="63">
        <v>-3736677</v>
      </c>
      <c r="AI301" s="63">
        <v>-142971</v>
      </c>
      <c r="AJ301" s="63">
        <v>-3879648</v>
      </c>
      <c r="AK301" s="63">
        <v>-21275</v>
      </c>
      <c r="AL301" s="63">
        <v>-1694</v>
      </c>
      <c r="AM301" s="63">
        <v>-22969</v>
      </c>
      <c r="AN301" s="63">
        <v>2503247</v>
      </c>
      <c r="AO301" s="63">
        <v>71819</v>
      </c>
      <c r="AP301" s="63">
        <v>2575066</v>
      </c>
      <c r="AQ301" s="63">
        <v>-1233430</v>
      </c>
      <c r="AR301" s="63">
        <v>-71152</v>
      </c>
      <c r="AS301" s="63">
        <v>-1304582</v>
      </c>
      <c r="AT301" s="63">
        <v>-8465715</v>
      </c>
      <c r="AU301" s="63">
        <v>-2590</v>
      </c>
      <c r="AV301" s="63">
        <v>-8468305</v>
      </c>
      <c r="AW301" s="63">
        <v>-30278</v>
      </c>
      <c r="AX301" s="63">
        <v>0</v>
      </c>
      <c r="AY301" s="63">
        <v>-30278</v>
      </c>
      <c r="AZ301" s="63">
        <v>0</v>
      </c>
      <c r="BA301" s="63">
        <v>0</v>
      </c>
      <c r="BB301" s="63">
        <v>0</v>
      </c>
      <c r="BC301" s="63">
        <v>-9729423</v>
      </c>
      <c r="BD301" s="63">
        <v>-73742</v>
      </c>
      <c r="BE301" s="63">
        <v>0</v>
      </c>
      <c r="BF301" s="63">
        <v>0</v>
      </c>
      <c r="BG301" s="63">
        <v>-9729423</v>
      </c>
      <c r="BH301" s="63">
        <v>-73742</v>
      </c>
      <c r="BI301" s="63">
        <v>-9803165</v>
      </c>
      <c r="BJ301" s="63">
        <v>-2059</v>
      </c>
      <c r="BK301" s="63">
        <v>0</v>
      </c>
      <c r="BL301" s="63">
        <v>-2059</v>
      </c>
      <c r="BM301" s="63">
        <v>-2193279</v>
      </c>
      <c r="BN301" s="63">
        <v>-760153</v>
      </c>
      <c r="BO301" s="63">
        <v>-2953432</v>
      </c>
      <c r="BP301" s="63">
        <v>-2195338</v>
      </c>
      <c r="BQ301" s="63">
        <v>-760153</v>
      </c>
      <c r="BR301" s="63">
        <v>0</v>
      </c>
      <c r="BS301" s="63">
        <v>0</v>
      </c>
      <c r="BT301" s="63">
        <v>-2195338</v>
      </c>
      <c r="BU301" s="63">
        <v>-760153</v>
      </c>
      <c r="BV301" s="63">
        <v>-2955491</v>
      </c>
      <c r="BW301" s="63">
        <v>-128276</v>
      </c>
      <c r="BX301" s="63">
        <v>0</v>
      </c>
      <c r="BY301" s="63">
        <v>-128276</v>
      </c>
      <c r="BZ301" s="63">
        <v>-695742</v>
      </c>
      <c r="CA301" s="63">
        <v>0</v>
      </c>
      <c r="CB301" s="63">
        <v>-695742</v>
      </c>
      <c r="CC301" s="63">
        <v>-1384</v>
      </c>
      <c r="CD301" s="63">
        <v>0</v>
      </c>
      <c r="CE301" s="63">
        <v>-1384</v>
      </c>
      <c r="CF301" s="63">
        <v>0</v>
      </c>
      <c r="CG301" s="63">
        <v>0</v>
      </c>
      <c r="CH301" s="63">
        <v>0</v>
      </c>
      <c r="CI301" s="63">
        <v>0</v>
      </c>
      <c r="CJ301" s="63">
        <v>0</v>
      </c>
      <c r="CK301" s="63">
        <v>0</v>
      </c>
      <c r="CL301" s="63">
        <v>0</v>
      </c>
      <c r="CM301" s="63">
        <v>0</v>
      </c>
      <c r="CN301" s="63">
        <v>0</v>
      </c>
      <c r="CO301" s="63">
        <v>0</v>
      </c>
      <c r="CP301" s="63">
        <v>0</v>
      </c>
      <c r="CQ301" s="63">
        <v>-825402</v>
      </c>
      <c r="CR301" s="63">
        <v>0</v>
      </c>
      <c r="CS301" s="63">
        <v>0</v>
      </c>
      <c r="CT301" s="63">
        <v>0</v>
      </c>
      <c r="CU301" s="63">
        <v>-825402</v>
      </c>
      <c r="CV301" s="63">
        <v>0</v>
      </c>
      <c r="CW301" s="63">
        <v>-825402</v>
      </c>
      <c r="CX301" s="63">
        <v>0</v>
      </c>
      <c r="CY301" s="63">
        <v>0</v>
      </c>
      <c r="CZ301" s="63">
        <v>0</v>
      </c>
      <c r="DA301" s="63">
        <v>-28259</v>
      </c>
      <c r="DB301" s="63">
        <v>0</v>
      </c>
      <c r="DC301" s="63">
        <v>-28259</v>
      </c>
      <c r="DD301" s="63">
        <v>-22559</v>
      </c>
      <c r="DE301" s="63">
        <v>0</v>
      </c>
      <c r="DF301" s="63">
        <v>-22559</v>
      </c>
      <c r="DG301" s="63">
        <v>-50818</v>
      </c>
      <c r="DH301" s="63">
        <v>0</v>
      </c>
      <c r="DI301" s="63">
        <v>0</v>
      </c>
      <c r="DJ301" s="63">
        <v>0</v>
      </c>
      <c r="DK301" s="63">
        <v>-50818</v>
      </c>
      <c r="DL301" s="63">
        <v>0</v>
      </c>
      <c r="DM301" s="63">
        <v>-50818</v>
      </c>
      <c r="DN301" s="63">
        <v>104977712</v>
      </c>
      <c r="DO301" s="63">
        <v>2882814</v>
      </c>
      <c r="DP301" s="63">
        <v>107860526</v>
      </c>
      <c r="DQ301" s="63"/>
      <c r="DR301" s="585" t="s">
        <v>768</v>
      </c>
    </row>
    <row r="302" spans="1:122" x14ac:dyDescent="0.2">
      <c r="A302" s="90">
        <v>295</v>
      </c>
      <c r="B302" s="129" t="s">
        <v>436</v>
      </c>
      <c r="C302" s="130" t="s">
        <v>501</v>
      </c>
      <c r="D302" s="131" t="s">
        <v>744</v>
      </c>
      <c r="E302" s="132" t="s">
        <v>514</v>
      </c>
      <c r="F302" s="475" t="s">
        <v>808</v>
      </c>
      <c r="G302" s="63">
        <v>253602434</v>
      </c>
      <c r="H302" s="63">
        <v>2366930</v>
      </c>
      <c r="I302" s="63">
        <v>255969364</v>
      </c>
      <c r="J302" s="608">
        <v>48.4</v>
      </c>
      <c r="K302" s="63">
        <v>122743578</v>
      </c>
      <c r="L302" s="63">
        <v>1145594</v>
      </c>
      <c r="M302" s="63">
        <v>0</v>
      </c>
      <c r="N302" s="63">
        <v>0</v>
      </c>
      <c r="O302" s="63">
        <v>122743578</v>
      </c>
      <c r="P302" s="63">
        <v>1145594</v>
      </c>
      <c r="Q302" s="63">
        <v>123889172</v>
      </c>
      <c r="R302" s="63">
        <v>0</v>
      </c>
      <c r="S302" s="63">
        <v>0</v>
      </c>
      <c r="T302" s="63">
        <v>0</v>
      </c>
      <c r="U302" s="63">
        <v>0</v>
      </c>
      <c r="V302" s="63">
        <v>0</v>
      </c>
      <c r="W302" s="63">
        <v>0</v>
      </c>
      <c r="X302" s="63">
        <v>0</v>
      </c>
      <c r="Y302" s="63">
        <v>0</v>
      </c>
      <c r="Z302" s="63">
        <v>0</v>
      </c>
      <c r="AA302" s="63">
        <v>0</v>
      </c>
      <c r="AB302" s="63">
        <v>0</v>
      </c>
      <c r="AC302" s="63">
        <v>0</v>
      </c>
      <c r="AD302" s="63">
        <v>0</v>
      </c>
      <c r="AE302" s="63">
        <v>0</v>
      </c>
      <c r="AF302" s="63">
        <v>0</v>
      </c>
      <c r="AG302" s="63">
        <v>0</v>
      </c>
      <c r="AH302" s="63">
        <v>-3157263</v>
      </c>
      <c r="AI302" s="63">
        <v>-2222</v>
      </c>
      <c r="AJ302" s="63">
        <v>-3159485</v>
      </c>
      <c r="AK302" s="63">
        <v>0</v>
      </c>
      <c r="AL302" s="63">
        <v>0</v>
      </c>
      <c r="AM302" s="63">
        <v>0</v>
      </c>
      <c r="AN302" s="63">
        <v>3012406</v>
      </c>
      <c r="AO302" s="63">
        <v>0</v>
      </c>
      <c r="AP302" s="63">
        <v>3012406</v>
      </c>
      <c r="AQ302" s="63">
        <v>-144857</v>
      </c>
      <c r="AR302" s="63">
        <v>-2222</v>
      </c>
      <c r="AS302" s="63">
        <v>-147079</v>
      </c>
      <c r="AT302" s="63">
        <v>-3226394</v>
      </c>
      <c r="AU302" s="63">
        <v>0</v>
      </c>
      <c r="AV302" s="63">
        <v>-3226394</v>
      </c>
      <c r="AW302" s="63">
        <v>-65365</v>
      </c>
      <c r="AX302" s="63">
        <v>0</v>
      </c>
      <c r="AY302" s="63">
        <v>-65365</v>
      </c>
      <c r="AZ302" s="63">
        <v>-813</v>
      </c>
      <c r="BA302" s="63">
        <v>0</v>
      </c>
      <c r="BB302" s="63">
        <v>-813</v>
      </c>
      <c r="BC302" s="63">
        <v>-3437429</v>
      </c>
      <c r="BD302" s="63">
        <v>-2222</v>
      </c>
      <c r="BE302" s="63">
        <v>0</v>
      </c>
      <c r="BF302" s="63">
        <v>0</v>
      </c>
      <c r="BG302" s="63">
        <v>-3437429</v>
      </c>
      <c r="BH302" s="63">
        <v>-2222</v>
      </c>
      <c r="BI302" s="63">
        <v>-3439651</v>
      </c>
      <c r="BJ302" s="63">
        <v>0</v>
      </c>
      <c r="BK302" s="63">
        <v>0</v>
      </c>
      <c r="BL302" s="63">
        <v>0</v>
      </c>
      <c r="BM302" s="63">
        <v>-1450380</v>
      </c>
      <c r="BN302" s="63">
        <v>-2116</v>
      </c>
      <c r="BO302" s="63">
        <v>-1452496</v>
      </c>
      <c r="BP302" s="63">
        <v>-1450380</v>
      </c>
      <c r="BQ302" s="63">
        <v>-2116</v>
      </c>
      <c r="BR302" s="63">
        <v>0</v>
      </c>
      <c r="BS302" s="63">
        <v>0</v>
      </c>
      <c r="BT302" s="63">
        <v>-1450380</v>
      </c>
      <c r="BU302" s="63">
        <v>-2116</v>
      </c>
      <c r="BV302" s="63">
        <v>-1452496</v>
      </c>
      <c r="BW302" s="63">
        <v>-23463</v>
      </c>
      <c r="BX302" s="63">
        <v>0</v>
      </c>
      <c r="BY302" s="63">
        <v>-23463</v>
      </c>
      <c r="BZ302" s="63">
        <v>-752055</v>
      </c>
      <c r="CA302" s="63">
        <v>0</v>
      </c>
      <c r="CB302" s="63">
        <v>-752055</v>
      </c>
      <c r="CC302" s="63">
        <v>-2087</v>
      </c>
      <c r="CD302" s="63">
        <v>0</v>
      </c>
      <c r="CE302" s="63">
        <v>-2087</v>
      </c>
      <c r="CF302" s="63">
        <v>0</v>
      </c>
      <c r="CG302" s="63">
        <v>0</v>
      </c>
      <c r="CH302" s="63">
        <v>0</v>
      </c>
      <c r="CI302" s="63">
        <v>-3557</v>
      </c>
      <c r="CJ302" s="63">
        <v>0</v>
      </c>
      <c r="CK302" s="63">
        <v>-3557</v>
      </c>
      <c r="CL302" s="63">
        <v>0</v>
      </c>
      <c r="CM302" s="63">
        <v>0</v>
      </c>
      <c r="CN302" s="63">
        <v>0</v>
      </c>
      <c r="CO302" s="63">
        <v>0</v>
      </c>
      <c r="CP302" s="63">
        <v>0</v>
      </c>
      <c r="CQ302" s="63">
        <v>-781162</v>
      </c>
      <c r="CR302" s="63">
        <v>0</v>
      </c>
      <c r="CS302" s="63">
        <v>0</v>
      </c>
      <c r="CT302" s="63">
        <v>0</v>
      </c>
      <c r="CU302" s="63">
        <v>-781162</v>
      </c>
      <c r="CV302" s="63">
        <v>0</v>
      </c>
      <c r="CW302" s="63">
        <v>-781162</v>
      </c>
      <c r="CX302" s="63">
        <v>-13622</v>
      </c>
      <c r="CY302" s="63">
        <v>0</v>
      </c>
      <c r="CZ302" s="63">
        <v>-13622</v>
      </c>
      <c r="DA302" s="63">
        <v>0</v>
      </c>
      <c r="DB302" s="63">
        <v>0</v>
      </c>
      <c r="DC302" s="63">
        <v>0</v>
      </c>
      <c r="DD302" s="63">
        <v>-12248</v>
      </c>
      <c r="DE302" s="63">
        <v>0</v>
      </c>
      <c r="DF302" s="63">
        <v>-12248</v>
      </c>
      <c r="DG302" s="63">
        <v>-25870</v>
      </c>
      <c r="DH302" s="63">
        <v>0</v>
      </c>
      <c r="DI302" s="63">
        <v>0</v>
      </c>
      <c r="DJ302" s="63">
        <v>0</v>
      </c>
      <c r="DK302" s="63">
        <v>-25870</v>
      </c>
      <c r="DL302" s="63">
        <v>0</v>
      </c>
      <c r="DM302" s="63">
        <v>-25870</v>
      </c>
      <c r="DN302" s="63">
        <v>117048737</v>
      </c>
      <c r="DO302" s="63">
        <v>1141256</v>
      </c>
      <c r="DP302" s="63">
        <v>118189993</v>
      </c>
      <c r="DQ302" s="63"/>
      <c r="DR302" s="585" t="s">
        <v>768</v>
      </c>
    </row>
    <row r="303" spans="1:122" x14ac:dyDescent="0.2">
      <c r="A303" s="90">
        <v>296</v>
      </c>
      <c r="B303" s="129" t="s">
        <v>438</v>
      </c>
      <c r="C303" s="130" t="s">
        <v>742</v>
      </c>
      <c r="D303" s="131" t="s">
        <v>752</v>
      </c>
      <c r="E303" s="132" t="s">
        <v>437</v>
      </c>
      <c r="F303" s="475" t="s">
        <v>808</v>
      </c>
      <c r="G303" s="63">
        <v>164124464</v>
      </c>
      <c r="H303" s="63">
        <v>0</v>
      </c>
      <c r="I303" s="63">
        <v>164124464</v>
      </c>
      <c r="J303" s="608">
        <v>48.4</v>
      </c>
      <c r="K303" s="63">
        <v>79436241</v>
      </c>
      <c r="L303" s="63">
        <v>0</v>
      </c>
      <c r="M303" s="63">
        <v>-2500000</v>
      </c>
      <c r="N303" s="63">
        <v>0</v>
      </c>
      <c r="O303" s="63">
        <v>76936241</v>
      </c>
      <c r="P303" s="63">
        <v>0</v>
      </c>
      <c r="Q303" s="63">
        <v>76936241</v>
      </c>
      <c r="R303" s="63">
        <v>0</v>
      </c>
      <c r="S303" s="63">
        <v>0</v>
      </c>
      <c r="T303" s="63">
        <v>0</v>
      </c>
      <c r="U303" s="63">
        <v>0</v>
      </c>
      <c r="V303" s="63">
        <v>0</v>
      </c>
      <c r="W303" s="63">
        <v>0</v>
      </c>
      <c r="X303" s="63">
        <v>0</v>
      </c>
      <c r="Y303" s="63">
        <v>0</v>
      </c>
      <c r="Z303" s="63">
        <v>0</v>
      </c>
      <c r="AA303" s="63">
        <v>0</v>
      </c>
      <c r="AB303" s="63">
        <v>0</v>
      </c>
      <c r="AC303" s="63">
        <v>0</v>
      </c>
      <c r="AD303" s="63">
        <v>0</v>
      </c>
      <c r="AE303" s="63">
        <v>0</v>
      </c>
      <c r="AF303" s="63">
        <v>0</v>
      </c>
      <c r="AG303" s="63">
        <v>0</v>
      </c>
      <c r="AH303" s="63">
        <v>-2285424.31</v>
      </c>
      <c r="AI303" s="63">
        <v>0</v>
      </c>
      <c r="AJ303" s="63">
        <v>-2285424.31</v>
      </c>
      <c r="AK303" s="63">
        <v>-15000</v>
      </c>
      <c r="AL303" s="63">
        <v>0</v>
      </c>
      <c r="AM303" s="63">
        <v>-15000</v>
      </c>
      <c r="AN303" s="63">
        <v>1877617.02</v>
      </c>
      <c r="AO303" s="63">
        <v>0</v>
      </c>
      <c r="AP303" s="63">
        <v>1877617.02</v>
      </c>
      <c r="AQ303" s="63">
        <v>-407807.29000000004</v>
      </c>
      <c r="AR303" s="63">
        <v>0</v>
      </c>
      <c r="AS303" s="63">
        <v>-407807.29000000004</v>
      </c>
      <c r="AT303" s="63">
        <v>-4137165.17</v>
      </c>
      <c r="AU303" s="63">
        <v>0</v>
      </c>
      <c r="AV303" s="63">
        <v>-4137165.17</v>
      </c>
      <c r="AW303" s="63">
        <v>-60365.62</v>
      </c>
      <c r="AX303" s="63">
        <v>0</v>
      </c>
      <c r="AY303" s="63">
        <v>-60365.62</v>
      </c>
      <c r="AZ303" s="63">
        <v>-8604.33</v>
      </c>
      <c r="BA303" s="63">
        <v>0</v>
      </c>
      <c r="BB303" s="63">
        <v>-8604.33</v>
      </c>
      <c r="BC303" s="63">
        <v>-4613942.41</v>
      </c>
      <c r="BD303" s="63">
        <v>0</v>
      </c>
      <c r="BE303" s="63">
        <v>-350000</v>
      </c>
      <c r="BF303" s="63">
        <v>0</v>
      </c>
      <c r="BG303" s="63">
        <v>-4963942.41</v>
      </c>
      <c r="BH303" s="63">
        <v>0</v>
      </c>
      <c r="BI303" s="63">
        <v>-4963942.41</v>
      </c>
      <c r="BJ303" s="63">
        <v>-100000</v>
      </c>
      <c r="BK303" s="63">
        <v>0</v>
      </c>
      <c r="BL303" s="63">
        <v>-100000</v>
      </c>
      <c r="BM303" s="63">
        <v>-1576718.86</v>
      </c>
      <c r="BN303" s="63">
        <v>0</v>
      </c>
      <c r="BO303" s="63">
        <v>-1576718.86</v>
      </c>
      <c r="BP303" s="63">
        <v>-1676718.86</v>
      </c>
      <c r="BQ303" s="63">
        <v>0</v>
      </c>
      <c r="BR303" s="63">
        <v>0</v>
      </c>
      <c r="BS303" s="63">
        <v>0</v>
      </c>
      <c r="BT303" s="63">
        <v>-1676718.86</v>
      </c>
      <c r="BU303" s="63">
        <v>0</v>
      </c>
      <c r="BV303" s="63">
        <v>-1676718.86</v>
      </c>
      <c r="BW303" s="63">
        <v>-6856.88</v>
      </c>
      <c r="BX303" s="63">
        <v>0</v>
      </c>
      <c r="BY303" s="63">
        <v>-6856.88</v>
      </c>
      <c r="BZ303" s="63">
        <v>-90893.86</v>
      </c>
      <c r="CA303" s="63">
        <v>0</v>
      </c>
      <c r="CB303" s="63">
        <v>-90893.86</v>
      </c>
      <c r="CC303" s="63">
        <v>0</v>
      </c>
      <c r="CD303" s="63">
        <v>0</v>
      </c>
      <c r="CE303" s="63">
        <v>0</v>
      </c>
      <c r="CF303" s="63">
        <v>-12418.4</v>
      </c>
      <c r="CG303" s="63">
        <v>0</v>
      </c>
      <c r="CH303" s="63">
        <v>-12418.4</v>
      </c>
      <c r="CI303" s="63">
        <v>0</v>
      </c>
      <c r="CJ303" s="63">
        <v>0</v>
      </c>
      <c r="CK303" s="63">
        <v>0</v>
      </c>
      <c r="CL303" s="63">
        <v>0</v>
      </c>
      <c r="CM303" s="63">
        <v>0</v>
      </c>
      <c r="CN303" s="63">
        <v>0</v>
      </c>
      <c r="CO303" s="63">
        <v>0</v>
      </c>
      <c r="CP303" s="63">
        <v>0</v>
      </c>
      <c r="CQ303" s="63">
        <v>-110169.14</v>
      </c>
      <c r="CR303" s="63">
        <v>0</v>
      </c>
      <c r="CS303" s="63">
        <v>0</v>
      </c>
      <c r="CT303" s="63">
        <v>0</v>
      </c>
      <c r="CU303" s="63">
        <v>-110169.14</v>
      </c>
      <c r="CV303" s="63">
        <v>0</v>
      </c>
      <c r="CW303" s="63">
        <v>-110169.14</v>
      </c>
      <c r="CX303" s="63">
        <v>0</v>
      </c>
      <c r="CY303" s="63">
        <v>0</v>
      </c>
      <c r="CZ303" s="63">
        <v>0</v>
      </c>
      <c r="DA303" s="63">
        <v>-30000</v>
      </c>
      <c r="DB303" s="63">
        <v>0</v>
      </c>
      <c r="DC303" s="63">
        <v>-30000</v>
      </c>
      <c r="DD303" s="63">
        <v>-10000</v>
      </c>
      <c r="DE303" s="63">
        <v>0</v>
      </c>
      <c r="DF303" s="63">
        <v>-10000</v>
      </c>
      <c r="DG303" s="63">
        <v>-40000</v>
      </c>
      <c r="DH303" s="63">
        <v>0</v>
      </c>
      <c r="DI303" s="63">
        <v>0</v>
      </c>
      <c r="DJ303" s="63">
        <v>0</v>
      </c>
      <c r="DK303" s="63">
        <v>-40000</v>
      </c>
      <c r="DL303" s="63">
        <v>0</v>
      </c>
      <c r="DM303" s="63">
        <v>-40000</v>
      </c>
      <c r="DN303" s="63">
        <v>70145410.590000004</v>
      </c>
      <c r="DO303" s="63">
        <v>0</v>
      </c>
      <c r="DP303" s="63">
        <v>70145410.590000004</v>
      </c>
      <c r="DQ303" s="63"/>
      <c r="DR303" s="585"/>
    </row>
    <row r="304" spans="1:122" x14ac:dyDescent="0.2">
      <c r="A304" s="90">
        <v>297</v>
      </c>
      <c r="B304" s="129" t="s">
        <v>440</v>
      </c>
      <c r="C304" s="130" t="s">
        <v>742</v>
      </c>
      <c r="D304" s="131" t="s">
        <v>746</v>
      </c>
      <c r="E304" s="132" t="s">
        <v>439</v>
      </c>
      <c r="F304" s="475" t="s">
        <v>808</v>
      </c>
      <c r="G304" s="63">
        <v>155943777</v>
      </c>
      <c r="H304" s="63">
        <v>0</v>
      </c>
      <c r="I304" s="63">
        <v>155943777</v>
      </c>
      <c r="J304" s="608">
        <v>48.4</v>
      </c>
      <c r="K304" s="63">
        <v>75476788</v>
      </c>
      <c r="L304" s="63">
        <v>0</v>
      </c>
      <c r="M304" s="63">
        <v>-4200210</v>
      </c>
      <c r="N304" s="63">
        <v>0</v>
      </c>
      <c r="O304" s="63">
        <v>71276578</v>
      </c>
      <c r="P304" s="63">
        <v>0</v>
      </c>
      <c r="Q304" s="63">
        <v>71276578</v>
      </c>
      <c r="R304" s="63">
        <v>0</v>
      </c>
      <c r="S304" s="63">
        <v>0</v>
      </c>
      <c r="T304" s="63">
        <v>0</v>
      </c>
      <c r="U304" s="63">
        <v>0</v>
      </c>
      <c r="V304" s="63">
        <v>0</v>
      </c>
      <c r="W304" s="63">
        <v>0</v>
      </c>
      <c r="X304" s="63">
        <v>0</v>
      </c>
      <c r="Y304" s="63">
        <v>0</v>
      </c>
      <c r="Z304" s="63">
        <v>0</v>
      </c>
      <c r="AA304" s="63">
        <v>0</v>
      </c>
      <c r="AB304" s="63">
        <v>0</v>
      </c>
      <c r="AC304" s="63">
        <v>0</v>
      </c>
      <c r="AD304" s="63">
        <v>0</v>
      </c>
      <c r="AE304" s="63">
        <v>0</v>
      </c>
      <c r="AF304" s="63">
        <v>0</v>
      </c>
      <c r="AG304" s="63">
        <v>0</v>
      </c>
      <c r="AH304" s="63">
        <v>-1338098</v>
      </c>
      <c r="AI304" s="63">
        <v>0</v>
      </c>
      <c r="AJ304" s="63">
        <v>-1338098</v>
      </c>
      <c r="AK304" s="63">
        <v>-2397</v>
      </c>
      <c r="AL304" s="63">
        <v>0</v>
      </c>
      <c r="AM304" s="63">
        <v>-2397</v>
      </c>
      <c r="AN304" s="63">
        <v>1893402</v>
      </c>
      <c r="AO304" s="63">
        <v>0</v>
      </c>
      <c r="AP304" s="63">
        <v>1893402</v>
      </c>
      <c r="AQ304" s="63">
        <v>555304</v>
      </c>
      <c r="AR304" s="63">
        <v>0</v>
      </c>
      <c r="AS304" s="63">
        <v>555304</v>
      </c>
      <c r="AT304" s="63">
        <v>-3108004</v>
      </c>
      <c r="AU304" s="63">
        <v>0</v>
      </c>
      <c r="AV304" s="63">
        <v>-3108004</v>
      </c>
      <c r="AW304" s="63">
        <v>0</v>
      </c>
      <c r="AX304" s="63">
        <v>0</v>
      </c>
      <c r="AY304" s="63">
        <v>0</v>
      </c>
      <c r="AZ304" s="63">
        <v>0</v>
      </c>
      <c r="BA304" s="63">
        <v>0</v>
      </c>
      <c r="BB304" s="63">
        <v>0</v>
      </c>
      <c r="BC304" s="63">
        <v>-2552700</v>
      </c>
      <c r="BD304" s="63">
        <v>0</v>
      </c>
      <c r="BE304" s="63">
        <v>0</v>
      </c>
      <c r="BF304" s="63">
        <v>0</v>
      </c>
      <c r="BG304" s="63">
        <v>-2552700</v>
      </c>
      <c r="BH304" s="63">
        <v>0</v>
      </c>
      <c r="BI304" s="63">
        <v>-2552700</v>
      </c>
      <c r="BJ304" s="63">
        <v>-13146</v>
      </c>
      <c r="BK304" s="63">
        <v>0</v>
      </c>
      <c r="BL304" s="63">
        <v>-13146</v>
      </c>
      <c r="BM304" s="63">
        <v>-3363080</v>
      </c>
      <c r="BN304" s="63">
        <v>0</v>
      </c>
      <c r="BO304" s="63">
        <v>-3363080</v>
      </c>
      <c r="BP304" s="63">
        <v>-3376226</v>
      </c>
      <c r="BQ304" s="63">
        <v>0</v>
      </c>
      <c r="BR304" s="63">
        <v>0</v>
      </c>
      <c r="BS304" s="63">
        <v>0</v>
      </c>
      <c r="BT304" s="63">
        <v>-3376226</v>
      </c>
      <c r="BU304" s="63">
        <v>0</v>
      </c>
      <c r="BV304" s="63">
        <v>-3376226</v>
      </c>
      <c r="BW304" s="63">
        <v>-278213</v>
      </c>
      <c r="BX304" s="63">
        <v>0</v>
      </c>
      <c r="BY304" s="63">
        <v>-278213</v>
      </c>
      <c r="BZ304" s="63">
        <v>-102316</v>
      </c>
      <c r="CA304" s="63">
        <v>0</v>
      </c>
      <c r="CB304" s="63">
        <v>-102316</v>
      </c>
      <c r="CC304" s="63">
        <v>0</v>
      </c>
      <c r="CD304" s="63">
        <v>0</v>
      </c>
      <c r="CE304" s="63">
        <v>0</v>
      </c>
      <c r="CF304" s="63">
        <v>0</v>
      </c>
      <c r="CG304" s="63">
        <v>0</v>
      </c>
      <c r="CH304" s="63">
        <v>0</v>
      </c>
      <c r="CI304" s="63">
        <v>0</v>
      </c>
      <c r="CJ304" s="63">
        <v>0</v>
      </c>
      <c r="CK304" s="63">
        <v>0</v>
      </c>
      <c r="CL304" s="63">
        <v>0</v>
      </c>
      <c r="CM304" s="63">
        <v>0</v>
      </c>
      <c r="CN304" s="63">
        <v>0</v>
      </c>
      <c r="CO304" s="63">
        <v>0</v>
      </c>
      <c r="CP304" s="63">
        <v>0</v>
      </c>
      <c r="CQ304" s="63">
        <v>-380529</v>
      </c>
      <c r="CR304" s="63">
        <v>0</v>
      </c>
      <c r="CS304" s="63">
        <v>0</v>
      </c>
      <c r="CT304" s="63">
        <v>0</v>
      </c>
      <c r="CU304" s="63">
        <v>-380529</v>
      </c>
      <c r="CV304" s="63">
        <v>0</v>
      </c>
      <c r="CW304" s="63">
        <v>-380529</v>
      </c>
      <c r="CX304" s="63">
        <v>0</v>
      </c>
      <c r="CY304" s="63">
        <v>0</v>
      </c>
      <c r="CZ304" s="63">
        <v>0</v>
      </c>
      <c r="DA304" s="63">
        <v>-37959</v>
      </c>
      <c r="DB304" s="63">
        <v>0</v>
      </c>
      <c r="DC304" s="63">
        <v>-37959</v>
      </c>
      <c r="DD304" s="63">
        <v>-13553</v>
      </c>
      <c r="DE304" s="63">
        <v>0</v>
      </c>
      <c r="DF304" s="63">
        <v>-13553</v>
      </c>
      <c r="DG304" s="63">
        <v>-51512</v>
      </c>
      <c r="DH304" s="63">
        <v>0</v>
      </c>
      <c r="DI304" s="63">
        <v>0</v>
      </c>
      <c r="DJ304" s="63">
        <v>0</v>
      </c>
      <c r="DK304" s="63">
        <v>-51512</v>
      </c>
      <c r="DL304" s="63">
        <v>0</v>
      </c>
      <c r="DM304" s="63">
        <v>-51512</v>
      </c>
      <c r="DN304" s="63">
        <v>64915611</v>
      </c>
      <c r="DO304" s="63">
        <v>0</v>
      </c>
      <c r="DP304" s="63">
        <v>64915611</v>
      </c>
      <c r="DQ304" s="63"/>
      <c r="DR304" s="585"/>
    </row>
    <row r="305" spans="1:122" x14ac:dyDescent="0.2">
      <c r="A305" s="90">
        <v>298</v>
      </c>
      <c r="B305" s="129" t="s">
        <v>442</v>
      </c>
      <c r="C305" s="130" t="s">
        <v>742</v>
      </c>
      <c r="D305" s="131" t="s">
        <v>746</v>
      </c>
      <c r="E305" s="132" t="s">
        <v>441</v>
      </c>
      <c r="F305" s="475" t="s">
        <v>808</v>
      </c>
      <c r="G305" s="63">
        <v>70693559</v>
      </c>
      <c r="H305" s="63">
        <v>775500</v>
      </c>
      <c r="I305" s="63">
        <v>71469059</v>
      </c>
      <c r="J305" s="608">
        <v>48.4</v>
      </c>
      <c r="K305" s="63">
        <v>34215683</v>
      </c>
      <c r="L305" s="63">
        <v>375342</v>
      </c>
      <c r="M305" s="63">
        <v>-66700</v>
      </c>
      <c r="N305" s="63">
        <v>0</v>
      </c>
      <c r="O305" s="63">
        <v>34148983</v>
      </c>
      <c r="P305" s="63">
        <v>375342</v>
      </c>
      <c r="Q305" s="63">
        <v>34524325</v>
      </c>
      <c r="R305" s="63">
        <v>0</v>
      </c>
      <c r="S305" s="63">
        <v>0</v>
      </c>
      <c r="T305" s="63">
        <v>0</v>
      </c>
      <c r="U305" s="63">
        <v>0</v>
      </c>
      <c r="V305" s="63">
        <v>0</v>
      </c>
      <c r="W305" s="63">
        <v>0</v>
      </c>
      <c r="X305" s="63">
        <v>0</v>
      </c>
      <c r="Y305" s="63">
        <v>0</v>
      </c>
      <c r="Z305" s="63">
        <v>0</v>
      </c>
      <c r="AA305" s="63">
        <v>0</v>
      </c>
      <c r="AB305" s="63">
        <v>0</v>
      </c>
      <c r="AC305" s="63">
        <v>0</v>
      </c>
      <c r="AD305" s="63">
        <v>0</v>
      </c>
      <c r="AE305" s="63">
        <v>0</v>
      </c>
      <c r="AF305" s="63">
        <v>0</v>
      </c>
      <c r="AG305" s="63">
        <v>0</v>
      </c>
      <c r="AH305" s="63">
        <v>-3309504</v>
      </c>
      <c r="AI305" s="63">
        <v>0</v>
      </c>
      <c r="AJ305" s="63">
        <v>-3309504</v>
      </c>
      <c r="AK305" s="63">
        <v>-460</v>
      </c>
      <c r="AL305" s="63">
        <v>0</v>
      </c>
      <c r="AM305" s="63">
        <v>-460</v>
      </c>
      <c r="AN305" s="63">
        <v>710550</v>
      </c>
      <c r="AO305" s="63">
        <v>8694</v>
      </c>
      <c r="AP305" s="63">
        <v>719244</v>
      </c>
      <c r="AQ305" s="63">
        <v>-2598954</v>
      </c>
      <c r="AR305" s="63">
        <v>8694</v>
      </c>
      <c r="AS305" s="63">
        <v>-2590260</v>
      </c>
      <c r="AT305" s="63">
        <v>-2202780</v>
      </c>
      <c r="AU305" s="63">
        <v>0</v>
      </c>
      <c r="AV305" s="63">
        <v>-2202780</v>
      </c>
      <c r="AW305" s="63">
        <v>-64773</v>
      </c>
      <c r="AX305" s="63">
        <v>0</v>
      </c>
      <c r="AY305" s="63">
        <v>-64773</v>
      </c>
      <c r="AZ305" s="63">
        <v>-18513</v>
      </c>
      <c r="BA305" s="63">
        <v>0</v>
      </c>
      <c r="BB305" s="63">
        <v>-18513</v>
      </c>
      <c r="BC305" s="63">
        <v>-4885020</v>
      </c>
      <c r="BD305" s="63">
        <v>8694</v>
      </c>
      <c r="BE305" s="63">
        <v>0</v>
      </c>
      <c r="BF305" s="63">
        <v>0</v>
      </c>
      <c r="BG305" s="63">
        <v>-4885020</v>
      </c>
      <c r="BH305" s="63">
        <v>8694</v>
      </c>
      <c r="BI305" s="63">
        <v>-4876326</v>
      </c>
      <c r="BJ305" s="63">
        <v>-5000</v>
      </c>
      <c r="BK305" s="63">
        <v>0</v>
      </c>
      <c r="BL305" s="63">
        <v>-5000</v>
      </c>
      <c r="BM305" s="63">
        <v>-1060262</v>
      </c>
      <c r="BN305" s="63">
        <v>0</v>
      </c>
      <c r="BO305" s="63">
        <v>-1060262</v>
      </c>
      <c r="BP305" s="63">
        <v>-1065262</v>
      </c>
      <c r="BQ305" s="63">
        <v>0</v>
      </c>
      <c r="BR305" s="63">
        <v>0</v>
      </c>
      <c r="BS305" s="63">
        <v>0</v>
      </c>
      <c r="BT305" s="63">
        <v>-1065262</v>
      </c>
      <c r="BU305" s="63">
        <v>0</v>
      </c>
      <c r="BV305" s="63">
        <v>-1065262</v>
      </c>
      <c r="BW305" s="63">
        <v>-65716</v>
      </c>
      <c r="BX305" s="63">
        <v>0</v>
      </c>
      <c r="BY305" s="63">
        <v>-65716</v>
      </c>
      <c r="BZ305" s="63">
        <v>-5400</v>
      </c>
      <c r="CA305" s="63">
        <v>0</v>
      </c>
      <c r="CB305" s="63">
        <v>-5400</v>
      </c>
      <c r="CC305" s="63">
        <v>-204</v>
      </c>
      <c r="CD305" s="63">
        <v>0</v>
      </c>
      <c r="CE305" s="63">
        <v>-204</v>
      </c>
      <c r="CF305" s="63">
        <v>0</v>
      </c>
      <c r="CG305" s="63">
        <v>0</v>
      </c>
      <c r="CH305" s="63">
        <v>0</v>
      </c>
      <c r="CI305" s="63">
        <v>0</v>
      </c>
      <c r="CJ305" s="63">
        <v>0</v>
      </c>
      <c r="CK305" s="63">
        <v>0</v>
      </c>
      <c r="CL305" s="63">
        <v>0</v>
      </c>
      <c r="CM305" s="63">
        <v>-140090</v>
      </c>
      <c r="CN305" s="63">
        <v>-140090</v>
      </c>
      <c r="CO305" s="63">
        <v>-140090</v>
      </c>
      <c r="CP305" s="63">
        <v>0</v>
      </c>
      <c r="CQ305" s="63">
        <v>-71320</v>
      </c>
      <c r="CR305" s="63">
        <v>-140090</v>
      </c>
      <c r="CS305" s="63">
        <v>0</v>
      </c>
      <c r="CT305" s="63">
        <v>0</v>
      </c>
      <c r="CU305" s="63">
        <v>-71320</v>
      </c>
      <c r="CV305" s="63">
        <v>-140090</v>
      </c>
      <c r="CW305" s="63">
        <v>-211410</v>
      </c>
      <c r="CX305" s="63">
        <v>0</v>
      </c>
      <c r="CY305" s="63">
        <v>0</v>
      </c>
      <c r="CZ305" s="63">
        <v>0</v>
      </c>
      <c r="DA305" s="63">
        <v>-11742</v>
      </c>
      <c r="DB305" s="63">
        <v>0</v>
      </c>
      <c r="DC305" s="63">
        <v>-11742</v>
      </c>
      <c r="DD305" s="63">
        <v>-4255</v>
      </c>
      <c r="DE305" s="63">
        <v>0</v>
      </c>
      <c r="DF305" s="63">
        <v>-4255</v>
      </c>
      <c r="DG305" s="63">
        <v>-15997</v>
      </c>
      <c r="DH305" s="63">
        <v>0</v>
      </c>
      <c r="DI305" s="63">
        <v>0</v>
      </c>
      <c r="DJ305" s="63">
        <v>0</v>
      </c>
      <c r="DK305" s="63">
        <v>-15997</v>
      </c>
      <c r="DL305" s="63">
        <v>0</v>
      </c>
      <c r="DM305" s="63">
        <v>-15997</v>
      </c>
      <c r="DN305" s="63">
        <v>28111384</v>
      </c>
      <c r="DO305" s="63">
        <v>243946</v>
      </c>
      <c r="DP305" s="63">
        <v>28355330</v>
      </c>
      <c r="DQ305" s="63"/>
      <c r="DR305" s="585" t="s">
        <v>768</v>
      </c>
    </row>
    <row r="306" spans="1:122" x14ac:dyDescent="0.2">
      <c r="A306" s="90">
        <v>299</v>
      </c>
      <c r="B306" s="129" t="s">
        <v>444</v>
      </c>
      <c r="C306" s="130" t="s">
        <v>742</v>
      </c>
      <c r="D306" s="131" t="s">
        <v>743</v>
      </c>
      <c r="E306" s="132" t="s">
        <v>443</v>
      </c>
      <c r="F306" s="475" t="s">
        <v>808</v>
      </c>
      <c r="G306" s="63">
        <v>95819460</v>
      </c>
      <c r="H306" s="63">
        <v>0</v>
      </c>
      <c r="I306" s="63">
        <v>95819460</v>
      </c>
      <c r="J306" s="608">
        <v>48.4</v>
      </c>
      <c r="K306" s="63">
        <v>46376619</v>
      </c>
      <c r="L306" s="63">
        <v>0</v>
      </c>
      <c r="M306" s="63">
        <v>-446000</v>
      </c>
      <c r="N306" s="63">
        <v>0</v>
      </c>
      <c r="O306" s="63">
        <v>45930619</v>
      </c>
      <c r="P306" s="63">
        <v>0</v>
      </c>
      <c r="Q306" s="63">
        <v>45930619</v>
      </c>
      <c r="R306" s="63">
        <v>0</v>
      </c>
      <c r="S306" s="63">
        <v>0</v>
      </c>
      <c r="T306" s="63">
        <v>0</v>
      </c>
      <c r="U306" s="63">
        <v>0</v>
      </c>
      <c r="V306" s="63">
        <v>0</v>
      </c>
      <c r="W306" s="63">
        <v>0</v>
      </c>
      <c r="X306" s="63">
        <v>0</v>
      </c>
      <c r="Y306" s="63">
        <v>0</v>
      </c>
      <c r="Z306" s="63">
        <v>0</v>
      </c>
      <c r="AA306" s="63">
        <v>0</v>
      </c>
      <c r="AB306" s="63">
        <v>0</v>
      </c>
      <c r="AC306" s="63">
        <v>0</v>
      </c>
      <c r="AD306" s="63">
        <v>0</v>
      </c>
      <c r="AE306" s="63">
        <v>0</v>
      </c>
      <c r="AF306" s="63">
        <v>0</v>
      </c>
      <c r="AG306" s="63">
        <v>0</v>
      </c>
      <c r="AH306" s="63">
        <v>-2231748</v>
      </c>
      <c r="AI306" s="63">
        <v>0</v>
      </c>
      <c r="AJ306" s="63">
        <v>-2231748</v>
      </c>
      <c r="AK306" s="63">
        <v>-2607</v>
      </c>
      <c r="AL306" s="63">
        <v>0</v>
      </c>
      <c r="AM306" s="63">
        <v>-2607</v>
      </c>
      <c r="AN306" s="63">
        <v>1034025</v>
      </c>
      <c r="AO306" s="63">
        <v>0</v>
      </c>
      <c r="AP306" s="63">
        <v>1034025</v>
      </c>
      <c r="AQ306" s="63">
        <v>-1197723</v>
      </c>
      <c r="AR306" s="63">
        <v>0</v>
      </c>
      <c r="AS306" s="63">
        <v>-1197723</v>
      </c>
      <c r="AT306" s="63">
        <v>-4956132</v>
      </c>
      <c r="AU306" s="63">
        <v>0</v>
      </c>
      <c r="AV306" s="63">
        <v>-4956132</v>
      </c>
      <c r="AW306" s="63">
        <v>-45008</v>
      </c>
      <c r="AX306" s="63">
        <v>0</v>
      </c>
      <c r="AY306" s="63">
        <v>-45008</v>
      </c>
      <c r="AZ306" s="63">
        <v>-7107</v>
      </c>
      <c r="BA306" s="63">
        <v>0</v>
      </c>
      <c r="BB306" s="63">
        <v>-7107</v>
      </c>
      <c r="BC306" s="63">
        <v>-6205970</v>
      </c>
      <c r="BD306" s="63">
        <v>0</v>
      </c>
      <c r="BE306" s="63">
        <v>0</v>
      </c>
      <c r="BF306" s="63">
        <v>0</v>
      </c>
      <c r="BG306" s="63">
        <v>-6205970</v>
      </c>
      <c r="BH306" s="63">
        <v>0</v>
      </c>
      <c r="BI306" s="63">
        <v>-6205970</v>
      </c>
      <c r="BJ306" s="63">
        <v>0</v>
      </c>
      <c r="BK306" s="63">
        <v>0</v>
      </c>
      <c r="BL306" s="63">
        <v>0</v>
      </c>
      <c r="BM306" s="63">
        <v>-842691</v>
      </c>
      <c r="BN306" s="63">
        <v>0</v>
      </c>
      <c r="BO306" s="63">
        <v>-842691</v>
      </c>
      <c r="BP306" s="63">
        <v>-842691</v>
      </c>
      <c r="BQ306" s="63">
        <v>0</v>
      </c>
      <c r="BR306" s="63">
        <v>0</v>
      </c>
      <c r="BS306" s="63">
        <v>0</v>
      </c>
      <c r="BT306" s="63">
        <v>-842691</v>
      </c>
      <c r="BU306" s="63">
        <v>0</v>
      </c>
      <c r="BV306" s="63">
        <v>-842691</v>
      </c>
      <c r="BW306" s="63">
        <v>-67148</v>
      </c>
      <c r="BX306" s="63">
        <v>0</v>
      </c>
      <c r="BY306" s="63">
        <v>-67148</v>
      </c>
      <c r="BZ306" s="63">
        <v>-491296</v>
      </c>
      <c r="CA306" s="63">
        <v>0</v>
      </c>
      <c r="CB306" s="63">
        <v>-491296</v>
      </c>
      <c r="CC306" s="63">
        <v>0</v>
      </c>
      <c r="CD306" s="63">
        <v>0</v>
      </c>
      <c r="CE306" s="63">
        <v>0</v>
      </c>
      <c r="CF306" s="63">
        <v>-4264</v>
      </c>
      <c r="CG306" s="63">
        <v>0</v>
      </c>
      <c r="CH306" s="63">
        <v>-4264</v>
      </c>
      <c r="CI306" s="63">
        <v>-6699</v>
      </c>
      <c r="CJ306" s="63">
        <v>0</v>
      </c>
      <c r="CK306" s="63">
        <v>-6699</v>
      </c>
      <c r="CL306" s="63">
        <v>0</v>
      </c>
      <c r="CM306" s="63">
        <v>0</v>
      </c>
      <c r="CN306" s="63">
        <v>0</v>
      </c>
      <c r="CO306" s="63">
        <v>0</v>
      </c>
      <c r="CP306" s="63">
        <v>0</v>
      </c>
      <c r="CQ306" s="63">
        <v>-569407</v>
      </c>
      <c r="CR306" s="63">
        <v>0</v>
      </c>
      <c r="CS306" s="63">
        <v>0</v>
      </c>
      <c r="CT306" s="63">
        <v>0</v>
      </c>
      <c r="CU306" s="63">
        <v>-569407</v>
      </c>
      <c r="CV306" s="63">
        <v>0</v>
      </c>
      <c r="CW306" s="63">
        <v>-569407</v>
      </c>
      <c r="CX306" s="63">
        <v>0</v>
      </c>
      <c r="CY306" s="63">
        <v>0</v>
      </c>
      <c r="CZ306" s="63">
        <v>0</v>
      </c>
      <c r="DA306" s="63">
        <v>-12960</v>
      </c>
      <c r="DB306" s="63">
        <v>0</v>
      </c>
      <c r="DC306" s="63">
        <v>-12960</v>
      </c>
      <c r="DD306" s="63">
        <v>-405</v>
      </c>
      <c r="DE306" s="63">
        <v>0</v>
      </c>
      <c r="DF306" s="63">
        <v>-405</v>
      </c>
      <c r="DG306" s="63">
        <v>-13365</v>
      </c>
      <c r="DH306" s="63">
        <v>0</v>
      </c>
      <c r="DI306" s="63">
        <v>0</v>
      </c>
      <c r="DJ306" s="63">
        <v>0</v>
      </c>
      <c r="DK306" s="63">
        <v>-13365</v>
      </c>
      <c r="DL306" s="63">
        <v>0</v>
      </c>
      <c r="DM306" s="63">
        <v>-13365</v>
      </c>
      <c r="DN306" s="63">
        <v>38299186</v>
      </c>
      <c r="DO306" s="63">
        <v>0</v>
      </c>
      <c r="DP306" s="63">
        <v>38299186</v>
      </c>
      <c r="DQ306" s="63"/>
      <c r="DR306" s="585"/>
    </row>
    <row r="307" spans="1:122" x14ac:dyDescent="0.2">
      <c r="A307" s="90">
        <v>300</v>
      </c>
      <c r="B307" s="129" t="s">
        <v>446</v>
      </c>
      <c r="C307" s="130" t="s">
        <v>742</v>
      </c>
      <c r="D307" s="131" t="s">
        <v>743</v>
      </c>
      <c r="E307" s="132" t="s">
        <v>445</v>
      </c>
      <c r="F307" s="475" t="s">
        <v>808</v>
      </c>
      <c r="G307" s="63">
        <v>81515712</v>
      </c>
      <c r="H307" s="63">
        <v>0</v>
      </c>
      <c r="I307" s="63">
        <v>81515712</v>
      </c>
      <c r="J307" s="608">
        <v>48.4</v>
      </c>
      <c r="K307" s="63">
        <v>39453605</v>
      </c>
      <c r="L307" s="63">
        <v>0</v>
      </c>
      <c r="M307" s="63">
        <v>0</v>
      </c>
      <c r="N307" s="63">
        <v>0</v>
      </c>
      <c r="O307" s="63">
        <v>39453605</v>
      </c>
      <c r="P307" s="63">
        <v>0</v>
      </c>
      <c r="Q307" s="63">
        <v>39453605</v>
      </c>
      <c r="R307" s="63">
        <v>0</v>
      </c>
      <c r="S307" s="63">
        <v>0</v>
      </c>
      <c r="T307" s="63">
        <v>0</v>
      </c>
      <c r="U307" s="63">
        <v>0</v>
      </c>
      <c r="V307" s="63">
        <v>0</v>
      </c>
      <c r="W307" s="63">
        <v>0</v>
      </c>
      <c r="X307" s="63">
        <v>0</v>
      </c>
      <c r="Y307" s="63">
        <v>0</v>
      </c>
      <c r="Z307" s="63">
        <v>0</v>
      </c>
      <c r="AA307" s="63">
        <v>0</v>
      </c>
      <c r="AB307" s="63">
        <v>0</v>
      </c>
      <c r="AC307" s="63">
        <v>0</v>
      </c>
      <c r="AD307" s="63">
        <v>0</v>
      </c>
      <c r="AE307" s="63">
        <v>0</v>
      </c>
      <c r="AF307" s="63">
        <v>0</v>
      </c>
      <c r="AG307" s="63">
        <v>0</v>
      </c>
      <c r="AH307" s="63">
        <v>-4887801</v>
      </c>
      <c r="AI307" s="63">
        <v>0</v>
      </c>
      <c r="AJ307" s="63">
        <v>-4887801</v>
      </c>
      <c r="AK307" s="63">
        <v>-2439</v>
      </c>
      <c r="AL307" s="63">
        <v>0</v>
      </c>
      <c r="AM307" s="63">
        <v>-2439</v>
      </c>
      <c r="AN307" s="63">
        <v>733330</v>
      </c>
      <c r="AO307" s="63">
        <v>0</v>
      </c>
      <c r="AP307" s="63">
        <v>733330</v>
      </c>
      <c r="AQ307" s="63">
        <v>-4154471</v>
      </c>
      <c r="AR307" s="63">
        <v>0</v>
      </c>
      <c r="AS307" s="63">
        <v>-4154471</v>
      </c>
      <c r="AT307" s="63">
        <v>-2674154</v>
      </c>
      <c r="AU307" s="63">
        <v>0</v>
      </c>
      <c r="AV307" s="63">
        <v>-2674154</v>
      </c>
      <c r="AW307" s="63">
        <v>-122963</v>
      </c>
      <c r="AX307" s="63">
        <v>0</v>
      </c>
      <c r="AY307" s="63">
        <v>-122963</v>
      </c>
      <c r="AZ307" s="63">
        <v>-68269</v>
      </c>
      <c r="BA307" s="63">
        <v>0</v>
      </c>
      <c r="BB307" s="63">
        <v>-68269</v>
      </c>
      <c r="BC307" s="63">
        <v>-7019857</v>
      </c>
      <c r="BD307" s="63">
        <v>0</v>
      </c>
      <c r="BE307" s="63">
        <v>0</v>
      </c>
      <c r="BF307" s="63">
        <v>0</v>
      </c>
      <c r="BG307" s="63">
        <v>-7019857</v>
      </c>
      <c r="BH307" s="63">
        <v>0</v>
      </c>
      <c r="BI307" s="63">
        <v>-7019857</v>
      </c>
      <c r="BJ307" s="63">
        <v>-18000</v>
      </c>
      <c r="BK307" s="63">
        <v>0</v>
      </c>
      <c r="BL307" s="63">
        <v>-18000</v>
      </c>
      <c r="BM307" s="63">
        <v>-702663</v>
      </c>
      <c r="BN307" s="63">
        <v>0</v>
      </c>
      <c r="BO307" s="63">
        <v>-702663</v>
      </c>
      <c r="BP307" s="63">
        <v>-720663</v>
      </c>
      <c r="BQ307" s="63">
        <v>0</v>
      </c>
      <c r="BR307" s="63">
        <v>0</v>
      </c>
      <c r="BS307" s="63">
        <v>0</v>
      </c>
      <c r="BT307" s="63">
        <v>-720663</v>
      </c>
      <c r="BU307" s="63">
        <v>0</v>
      </c>
      <c r="BV307" s="63">
        <v>-720663</v>
      </c>
      <c r="BW307" s="63">
        <v>-82599</v>
      </c>
      <c r="BX307" s="63">
        <v>0</v>
      </c>
      <c r="BY307" s="63">
        <v>-82599</v>
      </c>
      <c r="BZ307" s="63">
        <v>-10055</v>
      </c>
      <c r="CA307" s="63">
        <v>0</v>
      </c>
      <c r="CB307" s="63">
        <v>-10055</v>
      </c>
      <c r="CC307" s="63">
        <v>0</v>
      </c>
      <c r="CD307" s="63">
        <v>0</v>
      </c>
      <c r="CE307" s="63">
        <v>0</v>
      </c>
      <c r="CF307" s="63">
        <v>-10395</v>
      </c>
      <c r="CG307" s="63">
        <v>0</v>
      </c>
      <c r="CH307" s="63">
        <v>-10395</v>
      </c>
      <c r="CI307" s="63">
        <v>-13843</v>
      </c>
      <c r="CJ307" s="63">
        <v>0</v>
      </c>
      <c r="CK307" s="63">
        <v>-13843</v>
      </c>
      <c r="CL307" s="63">
        <v>0</v>
      </c>
      <c r="CM307" s="63">
        <v>0</v>
      </c>
      <c r="CN307" s="63">
        <v>0</v>
      </c>
      <c r="CO307" s="63">
        <v>0</v>
      </c>
      <c r="CP307" s="63">
        <v>0</v>
      </c>
      <c r="CQ307" s="63">
        <v>-116892</v>
      </c>
      <c r="CR307" s="63">
        <v>0</v>
      </c>
      <c r="CS307" s="63">
        <v>0</v>
      </c>
      <c r="CT307" s="63">
        <v>0</v>
      </c>
      <c r="CU307" s="63">
        <v>-116892</v>
      </c>
      <c r="CV307" s="63">
        <v>0</v>
      </c>
      <c r="CW307" s="63">
        <v>-116892</v>
      </c>
      <c r="CX307" s="63">
        <v>0</v>
      </c>
      <c r="CY307" s="63">
        <v>0</v>
      </c>
      <c r="CZ307" s="63">
        <v>0</v>
      </c>
      <c r="DA307" s="63">
        <v>-1536</v>
      </c>
      <c r="DB307" s="63">
        <v>0</v>
      </c>
      <c r="DC307" s="63">
        <v>-1536</v>
      </c>
      <c r="DD307" s="63">
        <v>-8913</v>
      </c>
      <c r="DE307" s="63">
        <v>0</v>
      </c>
      <c r="DF307" s="63">
        <v>-8913</v>
      </c>
      <c r="DG307" s="63">
        <v>-10449</v>
      </c>
      <c r="DH307" s="63">
        <v>0</v>
      </c>
      <c r="DI307" s="63">
        <v>0</v>
      </c>
      <c r="DJ307" s="63">
        <v>0</v>
      </c>
      <c r="DK307" s="63">
        <v>-10449</v>
      </c>
      <c r="DL307" s="63">
        <v>0</v>
      </c>
      <c r="DM307" s="63">
        <v>-10449</v>
      </c>
      <c r="DN307" s="63">
        <v>31585744</v>
      </c>
      <c r="DO307" s="63">
        <v>0</v>
      </c>
      <c r="DP307" s="63">
        <v>31585744</v>
      </c>
      <c r="DQ307" s="63"/>
      <c r="DR307" s="585"/>
    </row>
    <row r="308" spans="1:122" x14ac:dyDescent="0.2">
      <c r="A308" s="90">
        <v>301</v>
      </c>
      <c r="B308" s="129" t="s">
        <v>448</v>
      </c>
      <c r="C308" s="130" t="s">
        <v>742</v>
      </c>
      <c r="D308" s="131" t="s">
        <v>745</v>
      </c>
      <c r="E308" s="132" t="s">
        <v>447</v>
      </c>
      <c r="F308" s="475" t="s">
        <v>808</v>
      </c>
      <c r="G308" s="63">
        <v>72066552</v>
      </c>
      <c r="H308" s="63">
        <v>0</v>
      </c>
      <c r="I308" s="63">
        <v>72066552</v>
      </c>
      <c r="J308" s="608">
        <v>48.4</v>
      </c>
      <c r="K308" s="63">
        <v>34880211</v>
      </c>
      <c r="L308" s="63">
        <v>0</v>
      </c>
      <c r="M308" s="63">
        <v>-100000</v>
      </c>
      <c r="N308" s="63">
        <v>0</v>
      </c>
      <c r="O308" s="63">
        <v>34780211</v>
      </c>
      <c r="P308" s="63">
        <v>0</v>
      </c>
      <c r="Q308" s="63">
        <v>34780211</v>
      </c>
      <c r="R308" s="63">
        <v>0</v>
      </c>
      <c r="S308" s="63">
        <v>0</v>
      </c>
      <c r="T308" s="63">
        <v>0</v>
      </c>
      <c r="U308" s="63">
        <v>0</v>
      </c>
      <c r="V308" s="63">
        <v>0</v>
      </c>
      <c r="W308" s="63">
        <v>0</v>
      </c>
      <c r="X308" s="63">
        <v>0</v>
      </c>
      <c r="Y308" s="63">
        <v>0</v>
      </c>
      <c r="Z308" s="63">
        <v>0</v>
      </c>
      <c r="AA308" s="63">
        <v>0</v>
      </c>
      <c r="AB308" s="63">
        <v>0</v>
      </c>
      <c r="AC308" s="63">
        <v>0</v>
      </c>
      <c r="AD308" s="63">
        <v>0</v>
      </c>
      <c r="AE308" s="63">
        <v>0</v>
      </c>
      <c r="AF308" s="63">
        <v>0</v>
      </c>
      <c r="AG308" s="63">
        <v>0</v>
      </c>
      <c r="AH308" s="63">
        <v>-2003651</v>
      </c>
      <c r="AI308" s="63">
        <v>0</v>
      </c>
      <c r="AJ308" s="63">
        <v>-2003651</v>
      </c>
      <c r="AK308" s="63">
        <v>0</v>
      </c>
      <c r="AL308" s="63">
        <v>0</v>
      </c>
      <c r="AM308" s="63">
        <v>0</v>
      </c>
      <c r="AN308" s="63">
        <v>805474</v>
      </c>
      <c r="AO308" s="63">
        <v>0</v>
      </c>
      <c r="AP308" s="63">
        <v>805474</v>
      </c>
      <c r="AQ308" s="63">
        <v>-1198177</v>
      </c>
      <c r="AR308" s="63">
        <v>0</v>
      </c>
      <c r="AS308" s="63">
        <v>-1198177</v>
      </c>
      <c r="AT308" s="63">
        <v>-1782037</v>
      </c>
      <c r="AU308" s="63">
        <v>0</v>
      </c>
      <c r="AV308" s="63">
        <v>-1782037</v>
      </c>
      <c r="AW308" s="63">
        <v>-8428</v>
      </c>
      <c r="AX308" s="63">
        <v>0</v>
      </c>
      <c r="AY308" s="63">
        <v>-8428</v>
      </c>
      <c r="AZ308" s="63">
        <v>-4386</v>
      </c>
      <c r="BA308" s="63">
        <v>0</v>
      </c>
      <c r="BB308" s="63">
        <v>-4386</v>
      </c>
      <c r="BC308" s="63">
        <v>-2993028</v>
      </c>
      <c r="BD308" s="63">
        <v>0</v>
      </c>
      <c r="BE308" s="63">
        <v>0</v>
      </c>
      <c r="BF308" s="63">
        <v>0</v>
      </c>
      <c r="BG308" s="63">
        <v>-2993028</v>
      </c>
      <c r="BH308" s="63">
        <v>0</v>
      </c>
      <c r="BI308" s="63">
        <v>-2993028</v>
      </c>
      <c r="BJ308" s="63">
        <v>0</v>
      </c>
      <c r="BK308" s="63">
        <v>0</v>
      </c>
      <c r="BL308" s="63">
        <v>0</v>
      </c>
      <c r="BM308" s="63">
        <v>-904335</v>
      </c>
      <c r="BN308" s="63">
        <v>0</v>
      </c>
      <c r="BO308" s="63">
        <v>-904335</v>
      </c>
      <c r="BP308" s="63">
        <v>-904335</v>
      </c>
      <c r="BQ308" s="63">
        <v>0</v>
      </c>
      <c r="BR308" s="63">
        <v>0</v>
      </c>
      <c r="BS308" s="63">
        <v>0</v>
      </c>
      <c r="BT308" s="63">
        <v>-904335</v>
      </c>
      <c r="BU308" s="63">
        <v>0</v>
      </c>
      <c r="BV308" s="63">
        <v>-904335</v>
      </c>
      <c r="BW308" s="63">
        <v>-89786</v>
      </c>
      <c r="BX308" s="63">
        <v>0</v>
      </c>
      <c r="BY308" s="63">
        <v>-89786</v>
      </c>
      <c r="BZ308" s="63">
        <v>-11817</v>
      </c>
      <c r="CA308" s="63">
        <v>0</v>
      </c>
      <c r="CB308" s="63">
        <v>-11817</v>
      </c>
      <c r="CC308" s="63">
        <v>-378</v>
      </c>
      <c r="CD308" s="63">
        <v>0</v>
      </c>
      <c r="CE308" s="63">
        <v>-378</v>
      </c>
      <c r="CF308" s="63">
        <v>0</v>
      </c>
      <c r="CG308" s="63">
        <v>0</v>
      </c>
      <c r="CH308" s="63">
        <v>0</v>
      </c>
      <c r="CI308" s="63">
        <v>0</v>
      </c>
      <c r="CJ308" s="63">
        <v>0</v>
      </c>
      <c r="CK308" s="63">
        <v>0</v>
      </c>
      <c r="CL308" s="63">
        <v>0</v>
      </c>
      <c r="CM308" s="63">
        <v>0</v>
      </c>
      <c r="CN308" s="63">
        <v>0</v>
      </c>
      <c r="CO308" s="63">
        <v>0</v>
      </c>
      <c r="CP308" s="63">
        <v>0</v>
      </c>
      <c r="CQ308" s="63">
        <v>-101981</v>
      </c>
      <c r="CR308" s="63">
        <v>0</v>
      </c>
      <c r="CS308" s="63">
        <v>0</v>
      </c>
      <c r="CT308" s="63">
        <v>0</v>
      </c>
      <c r="CU308" s="63">
        <v>-101981</v>
      </c>
      <c r="CV308" s="63">
        <v>0</v>
      </c>
      <c r="CW308" s="63">
        <v>-101981</v>
      </c>
      <c r="CX308" s="63">
        <v>0</v>
      </c>
      <c r="CY308" s="63">
        <v>0</v>
      </c>
      <c r="CZ308" s="63">
        <v>0</v>
      </c>
      <c r="DA308" s="63">
        <v>-57109</v>
      </c>
      <c r="DB308" s="63">
        <v>0</v>
      </c>
      <c r="DC308" s="63">
        <v>-57109</v>
      </c>
      <c r="DD308" s="63">
        <v>0</v>
      </c>
      <c r="DE308" s="63">
        <v>0</v>
      </c>
      <c r="DF308" s="63">
        <v>0</v>
      </c>
      <c r="DG308" s="63">
        <v>-57109</v>
      </c>
      <c r="DH308" s="63">
        <v>0</v>
      </c>
      <c r="DI308" s="63">
        <v>0</v>
      </c>
      <c r="DJ308" s="63">
        <v>0</v>
      </c>
      <c r="DK308" s="63">
        <v>-57109</v>
      </c>
      <c r="DL308" s="63">
        <v>0</v>
      </c>
      <c r="DM308" s="63">
        <v>-57109</v>
      </c>
      <c r="DN308" s="63">
        <v>30723758</v>
      </c>
      <c r="DO308" s="63">
        <v>0</v>
      </c>
      <c r="DP308" s="63">
        <v>30723758</v>
      </c>
      <c r="DQ308" s="63"/>
      <c r="DR308" s="585"/>
    </row>
    <row r="309" spans="1:122" x14ac:dyDescent="0.2">
      <c r="A309" s="90">
        <v>302</v>
      </c>
      <c r="B309" s="129" t="s">
        <v>450</v>
      </c>
      <c r="C309" s="130" t="s">
        <v>742</v>
      </c>
      <c r="D309" s="131" t="s">
        <v>746</v>
      </c>
      <c r="E309" s="132" t="s">
        <v>449</v>
      </c>
      <c r="F309" s="475" t="s">
        <v>808</v>
      </c>
      <c r="G309" s="63">
        <v>141603998</v>
      </c>
      <c r="H309" s="63">
        <v>0</v>
      </c>
      <c r="I309" s="63">
        <v>141603998</v>
      </c>
      <c r="J309" s="608">
        <v>48.4</v>
      </c>
      <c r="K309" s="63">
        <v>68536335</v>
      </c>
      <c r="L309" s="63">
        <v>0</v>
      </c>
      <c r="M309" s="63">
        <v>0</v>
      </c>
      <c r="N309" s="63">
        <v>0</v>
      </c>
      <c r="O309" s="63">
        <v>68536335</v>
      </c>
      <c r="P309" s="63">
        <v>0</v>
      </c>
      <c r="Q309" s="63">
        <v>68536335</v>
      </c>
      <c r="R309" s="63">
        <v>0</v>
      </c>
      <c r="S309" s="63">
        <v>0</v>
      </c>
      <c r="T309" s="63">
        <v>0</v>
      </c>
      <c r="U309" s="63">
        <v>0</v>
      </c>
      <c r="V309" s="63">
        <v>0</v>
      </c>
      <c r="W309" s="63">
        <v>0</v>
      </c>
      <c r="X309" s="63">
        <v>0</v>
      </c>
      <c r="Y309" s="63">
        <v>0</v>
      </c>
      <c r="Z309" s="63">
        <v>0</v>
      </c>
      <c r="AA309" s="63">
        <v>0</v>
      </c>
      <c r="AB309" s="63">
        <v>0</v>
      </c>
      <c r="AC309" s="63">
        <v>0</v>
      </c>
      <c r="AD309" s="63">
        <v>0</v>
      </c>
      <c r="AE309" s="63">
        <v>0</v>
      </c>
      <c r="AF309" s="63">
        <v>0</v>
      </c>
      <c r="AG309" s="63">
        <v>0</v>
      </c>
      <c r="AH309" s="63">
        <v>-1331746</v>
      </c>
      <c r="AI309" s="63">
        <v>0</v>
      </c>
      <c r="AJ309" s="63">
        <v>-1331746</v>
      </c>
      <c r="AK309" s="63">
        <v>0</v>
      </c>
      <c r="AL309" s="63">
        <v>0</v>
      </c>
      <c r="AM309" s="63">
        <v>0</v>
      </c>
      <c r="AN309" s="63">
        <v>1705112</v>
      </c>
      <c r="AO309" s="63">
        <v>0</v>
      </c>
      <c r="AP309" s="63">
        <v>1705112</v>
      </c>
      <c r="AQ309" s="63">
        <v>373366</v>
      </c>
      <c r="AR309" s="63">
        <v>0</v>
      </c>
      <c r="AS309" s="63">
        <v>373366</v>
      </c>
      <c r="AT309" s="63">
        <v>-5652892</v>
      </c>
      <c r="AU309" s="63">
        <v>0</v>
      </c>
      <c r="AV309" s="63">
        <v>-5652892</v>
      </c>
      <c r="AW309" s="63">
        <v>-45823</v>
      </c>
      <c r="AX309" s="63">
        <v>0</v>
      </c>
      <c r="AY309" s="63">
        <v>-45823</v>
      </c>
      <c r="AZ309" s="63">
        <v>0</v>
      </c>
      <c r="BA309" s="63">
        <v>0</v>
      </c>
      <c r="BB309" s="63">
        <v>0</v>
      </c>
      <c r="BC309" s="63">
        <v>-5325349</v>
      </c>
      <c r="BD309" s="63">
        <v>0</v>
      </c>
      <c r="BE309" s="63">
        <v>-159760</v>
      </c>
      <c r="BF309" s="63">
        <v>0</v>
      </c>
      <c r="BG309" s="63">
        <v>-5485109</v>
      </c>
      <c r="BH309" s="63">
        <v>0</v>
      </c>
      <c r="BI309" s="63">
        <v>-5485109</v>
      </c>
      <c r="BJ309" s="63">
        <v>-101630</v>
      </c>
      <c r="BK309" s="63">
        <v>0</v>
      </c>
      <c r="BL309" s="63">
        <v>-101630</v>
      </c>
      <c r="BM309" s="63">
        <v>-640486</v>
      </c>
      <c r="BN309" s="63">
        <v>0</v>
      </c>
      <c r="BO309" s="63">
        <v>-640486</v>
      </c>
      <c r="BP309" s="63">
        <v>-742116</v>
      </c>
      <c r="BQ309" s="63">
        <v>0</v>
      </c>
      <c r="BR309" s="63">
        <v>-165679</v>
      </c>
      <c r="BS309" s="63">
        <v>0</v>
      </c>
      <c r="BT309" s="63">
        <v>-907795</v>
      </c>
      <c r="BU309" s="63">
        <v>0</v>
      </c>
      <c r="BV309" s="63">
        <v>-907795</v>
      </c>
      <c r="BW309" s="63">
        <v>-257372</v>
      </c>
      <c r="BX309" s="63">
        <v>0</v>
      </c>
      <c r="BY309" s="63">
        <v>-257372</v>
      </c>
      <c r="BZ309" s="63">
        <v>-48481</v>
      </c>
      <c r="CA309" s="63">
        <v>0</v>
      </c>
      <c r="CB309" s="63">
        <v>-48481</v>
      </c>
      <c r="CC309" s="63">
        <v>-4832</v>
      </c>
      <c r="CD309" s="63">
        <v>0</v>
      </c>
      <c r="CE309" s="63">
        <v>-4832</v>
      </c>
      <c r="CF309" s="63">
        <v>0</v>
      </c>
      <c r="CG309" s="63">
        <v>0</v>
      </c>
      <c r="CH309" s="63">
        <v>0</v>
      </c>
      <c r="CI309" s="63">
        <v>0</v>
      </c>
      <c r="CJ309" s="63">
        <v>0</v>
      </c>
      <c r="CK309" s="63">
        <v>0</v>
      </c>
      <c r="CL309" s="63">
        <v>0</v>
      </c>
      <c r="CM309" s="63">
        <v>0</v>
      </c>
      <c r="CN309" s="63">
        <v>0</v>
      </c>
      <c r="CO309" s="63">
        <v>0</v>
      </c>
      <c r="CP309" s="63">
        <v>0</v>
      </c>
      <c r="CQ309" s="63">
        <v>-310685</v>
      </c>
      <c r="CR309" s="63">
        <v>0</v>
      </c>
      <c r="CS309" s="63">
        <v>-9321</v>
      </c>
      <c r="CT309" s="63">
        <v>0</v>
      </c>
      <c r="CU309" s="63">
        <v>-320006</v>
      </c>
      <c r="CV309" s="63">
        <v>0</v>
      </c>
      <c r="CW309" s="63">
        <v>-320006</v>
      </c>
      <c r="CX309" s="63">
        <v>0</v>
      </c>
      <c r="CY309" s="63">
        <v>0</v>
      </c>
      <c r="CZ309" s="63">
        <v>0</v>
      </c>
      <c r="DA309" s="63">
        <v>-13108</v>
      </c>
      <c r="DB309" s="63">
        <v>0</v>
      </c>
      <c r="DC309" s="63">
        <v>-13108</v>
      </c>
      <c r="DD309" s="63">
        <v>-3612</v>
      </c>
      <c r="DE309" s="63">
        <v>0</v>
      </c>
      <c r="DF309" s="63">
        <v>-3612</v>
      </c>
      <c r="DG309" s="63">
        <v>-16720</v>
      </c>
      <c r="DH309" s="63">
        <v>0</v>
      </c>
      <c r="DI309" s="63">
        <v>-502</v>
      </c>
      <c r="DJ309" s="63">
        <v>0</v>
      </c>
      <c r="DK309" s="63">
        <v>-17222</v>
      </c>
      <c r="DL309" s="63">
        <v>0</v>
      </c>
      <c r="DM309" s="63">
        <v>-17222</v>
      </c>
      <c r="DN309" s="63">
        <v>61806203</v>
      </c>
      <c r="DO309" s="63">
        <v>0</v>
      </c>
      <c r="DP309" s="63">
        <v>61806203</v>
      </c>
      <c r="DQ309" s="63"/>
      <c r="DR309" s="585"/>
    </row>
    <row r="310" spans="1:122" x14ac:dyDescent="0.2">
      <c r="A310" s="90">
        <v>303</v>
      </c>
      <c r="B310" s="129" t="s">
        <v>451</v>
      </c>
      <c r="C310" s="130" t="s">
        <v>501</v>
      </c>
      <c r="D310" s="131" t="s">
        <v>743</v>
      </c>
      <c r="E310" s="132" t="s">
        <v>506</v>
      </c>
      <c r="F310" s="475" t="s">
        <v>808</v>
      </c>
      <c r="G310" s="63">
        <v>193348174</v>
      </c>
      <c r="H310" s="63">
        <v>0</v>
      </c>
      <c r="I310" s="63">
        <v>193348174</v>
      </c>
      <c r="J310" s="608">
        <v>48.4</v>
      </c>
      <c r="K310" s="63">
        <v>93580516</v>
      </c>
      <c r="L310" s="63">
        <v>0</v>
      </c>
      <c r="M310" s="63">
        <v>1250000</v>
      </c>
      <c r="N310" s="63">
        <v>0</v>
      </c>
      <c r="O310" s="63">
        <v>94830516</v>
      </c>
      <c r="P310" s="63">
        <v>0</v>
      </c>
      <c r="Q310" s="63">
        <v>94830516</v>
      </c>
      <c r="R310" s="63">
        <v>0</v>
      </c>
      <c r="S310" s="63">
        <v>0</v>
      </c>
      <c r="T310" s="63">
        <v>0</v>
      </c>
      <c r="U310" s="63">
        <v>0</v>
      </c>
      <c r="V310" s="63">
        <v>0</v>
      </c>
      <c r="W310" s="63">
        <v>0</v>
      </c>
      <c r="X310" s="63">
        <v>0</v>
      </c>
      <c r="Y310" s="63">
        <v>0</v>
      </c>
      <c r="Z310" s="63">
        <v>0</v>
      </c>
      <c r="AA310" s="63">
        <v>0</v>
      </c>
      <c r="AB310" s="63">
        <v>0</v>
      </c>
      <c r="AC310" s="63">
        <v>0</v>
      </c>
      <c r="AD310" s="63">
        <v>0</v>
      </c>
      <c r="AE310" s="63">
        <v>0</v>
      </c>
      <c r="AF310" s="63">
        <v>0</v>
      </c>
      <c r="AG310" s="63">
        <v>0</v>
      </c>
      <c r="AH310" s="63">
        <v>-2380658</v>
      </c>
      <c r="AI310" s="63">
        <v>0</v>
      </c>
      <c r="AJ310" s="63">
        <v>-2380658</v>
      </c>
      <c r="AK310" s="63">
        <v>-8067</v>
      </c>
      <c r="AL310" s="63">
        <v>0</v>
      </c>
      <c r="AM310" s="63">
        <v>-8067</v>
      </c>
      <c r="AN310" s="63">
        <v>2219647</v>
      </c>
      <c r="AO310" s="63">
        <v>0</v>
      </c>
      <c r="AP310" s="63">
        <v>2219647</v>
      </c>
      <c r="AQ310" s="63">
        <v>-161011</v>
      </c>
      <c r="AR310" s="63">
        <v>0</v>
      </c>
      <c r="AS310" s="63">
        <v>-161011</v>
      </c>
      <c r="AT310" s="63">
        <v>-4029751</v>
      </c>
      <c r="AU310" s="63">
        <v>0</v>
      </c>
      <c r="AV310" s="63">
        <v>-4029751</v>
      </c>
      <c r="AW310" s="63">
        <v>-71160</v>
      </c>
      <c r="AX310" s="63">
        <v>0</v>
      </c>
      <c r="AY310" s="63">
        <v>-71160</v>
      </c>
      <c r="AZ310" s="63">
        <v>-31351</v>
      </c>
      <c r="BA310" s="63">
        <v>0</v>
      </c>
      <c r="BB310" s="63">
        <v>-31351</v>
      </c>
      <c r="BC310" s="63">
        <v>-4293273</v>
      </c>
      <c r="BD310" s="63">
        <v>0</v>
      </c>
      <c r="BE310" s="63">
        <v>0</v>
      </c>
      <c r="BF310" s="63">
        <v>0</v>
      </c>
      <c r="BG310" s="63">
        <v>-4293273</v>
      </c>
      <c r="BH310" s="63">
        <v>0</v>
      </c>
      <c r="BI310" s="63">
        <v>-4293273</v>
      </c>
      <c r="BJ310" s="63">
        <v>0</v>
      </c>
      <c r="BK310" s="63">
        <v>0</v>
      </c>
      <c r="BL310" s="63">
        <v>0</v>
      </c>
      <c r="BM310" s="63">
        <v>-1091919</v>
      </c>
      <c r="BN310" s="63">
        <v>0</v>
      </c>
      <c r="BO310" s="63">
        <v>-1091919</v>
      </c>
      <c r="BP310" s="63">
        <v>-1091919</v>
      </c>
      <c r="BQ310" s="63">
        <v>0</v>
      </c>
      <c r="BR310" s="63">
        <v>0</v>
      </c>
      <c r="BS310" s="63">
        <v>0</v>
      </c>
      <c r="BT310" s="63">
        <v>-1091919</v>
      </c>
      <c r="BU310" s="63">
        <v>0</v>
      </c>
      <c r="BV310" s="63">
        <v>-1091919</v>
      </c>
      <c r="BW310" s="63">
        <v>-35298</v>
      </c>
      <c r="BX310" s="63">
        <v>0</v>
      </c>
      <c r="BY310" s="63">
        <v>-35298</v>
      </c>
      <c r="BZ310" s="63">
        <v>-29263</v>
      </c>
      <c r="CA310" s="63">
        <v>0</v>
      </c>
      <c r="CB310" s="63">
        <v>-29263</v>
      </c>
      <c r="CC310" s="63">
        <v>-15152</v>
      </c>
      <c r="CD310" s="63">
        <v>0</v>
      </c>
      <c r="CE310" s="63">
        <v>-15152</v>
      </c>
      <c r="CF310" s="63">
        <v>-8095</v>
      </c>
      <c r="CG310" s="63">
        <v>0</v>
      </c>
      <c r="CH310" s="63">
        <v>-8095</v>
      </c>
      <c r="CI310" s="63">
        <v>-39906</v>
      </c>
      <c r="CJ310" s="63">
        <v>0</v>
      </c>
      <c r="CK310" s="63">
        <v>-39906</v>
      </c>
      <c r="CL310" s="63">
        <v>0</v>
      </c>
      <c r="CM310" s="63">
        <v>0</v>
      </c>
      <c r="CN310" s="63">
        <v>0</v>
      </c>
      <c r="CO310" s="63">
        <v>0</v>
      </c>
      <c r="CP310" s="63">
        <v>0</v>
      </c>
      <c r="CQ310" s="63">
        <v>-127714</v>
      </c>
      <c r="CR310" s="63">
        <v>0</v>
      </c>
      <c r="CS310" s="63">
        <v>0</v>
      </c>
      <c r="CT310" s="63">
        <v>0</v>
      </c>
      <c r="CU310" s="63">
        <v>-127714</v>
      </c>
      <c r="CV310" s="63">
        <v>0</v>
      </c>
      <c r="CW310" s="63">
        <v>-127714</v>
      </c>
      <c r="CX310" s="63">
        <v>0</v>
      </c>
      <c r="CY310" s="63">
        <v>0</v>
      </c>
      <c r="CZ310" s="63">
        <v>0</v>
      </c>
      <c r="DA310" s="63">
        <v>0</v>
      </c>
      <c r="DB310" s="63">
        <v>0</v>
      </c>
      <c r="DC310" s="63">
        <v>0</v>
      </c>
      <c r="DD310" s="63">
        <v>0</v>
      </c>
      <c r="DE310" s="63">
        <v>0</v>
      </c>
      <c r="DF310" s="63">
        <v>0</v>
      </c>
      <c r="DG310" s="63">
        <v>0</v>
      </c>
      <c r="DH310" s="63">
        <v>0</v>
      </c>
      <c r="DI310" s="63">
        <v>0</v>
      </c>
      <c r="DJ310" s="63">
        <v>0</v>
      </c>
      <c r="DK310" s="63">
        <v>0</v>
      </c>
      <c r="DL310" s="63">
        <v>0</v>
      </c>
      <c r="DM310" s="63">
        <v>0</v>
      </c>
      <c r="DN310" s="63">
        <v>89317610</v>
      </c>
      <c r="DO310" s="63">
        <v>0</v>
      </c>
      <c r="DP310" s="63">
        <v>89317610</v>
      </c>
      <c r="DQ310" s="63"/>
      <c r="DR310" s="585"/>
    </row>
    <row r="311" spans="1:122" x14ac:dyDescent="0.2">
      <c r="A311" s="90">
        <v>304</v>
      </c>
      <c r="B311" s="129" t="s">
        <v>453</v>
      </c>
      <c r="C311" s="130" t="s">
        <v>742</v>
      </c>
      <c r="D311" s="131" t="s">
        <v>751</v>
      </c>
      <c r="E311" s="132" t="s">
        <v>452</v>
      </c>
      <c r="F311" s="475" t="s">
        <v>808</v>
      </c>
      <c r="G311" s="63">
        <v>28782201</v>
      </c>
      <c r="H311" s="63">
        <v>0</v>
      </c>
      <c r="I311" s="63">
        <v>28782201</v>
      </c>
      <c r="J311" s="608">
        <v>48.4</v>
      </c>
      <c r="K311" s="63">
        <v>13930585</v>
      </c>
      <c r="L311" s="63">
        <v>0</v>
      </c>
      <c r="M311" s="63">
        <v>0</v>
      </c>
      <c r="N311" s="63">
        <v>0</v>
      </c>
      <c r="O311" s="63">
        <v>13930585</v>
      </c>
      <c r="P311" s="63">
        <v>0</v>
      </c>
      <c r="Q311" s="63">
        <v>13930585</v>
      </c>
      <c r="R311" s="63">
        <v>0</v>
      </c>
      <c r="S311" s="63">
        <v>0</v>
      </c>
      <c r="T311" s="63">
        <v>0</v>
      </c>
      <c r="U311" s="63">
        <v>0</v>
      </c>
      <c r="V311" s="63">
        <v>0</v>
      </c>
      <c r="W311" s="63">
        <v>0</v>
      </c>
      <c r="X311" s="63">
        <v>0</v>
      </c>
      <c r="Y311" s="63">
        <v>0</v>
      </c>
      <c r="Z311" s="63">
        <v>0</v>
      </c>
      <c r="AA311" s="63">
        <v>0</v>
      </c>
      <c r="AB311" s="63">
        <v>0</v>
      </c>
      <c r="AC311" s="63">
        <v>0</v>
      </c>
      <c r="AD311" s="63">
        <v>0</v>
      </c>
      <c r="AE311" s="63">
        <v>0</v>
      </c>
      <c r="AF311" s="63">
        <v>0</v>
      </c>
      <c r="AG311" s="63">
        <v>0</v>
      </c>
      <c r="AH311" s="63">
        <v>-1699705</v>
      </c>
      <c r="AI311" s="63">
        <v>0</v>
      </c>
      <c r="AJ311" s="63">
        <v>-1699705</v>
      </c>
      <c r="AK311" s="63">
        <v>0</v>
      </c>
      <c r="AL311" s="63">
        <v>0</v>
      </c>
      <c r="AM311" s="63">
        <v>0</v>
      </c>
      <c r="AN311" s="63">
        <v>250041</v>
      </c>
      <c r="AO311" s="63">
        <v>0</v>
      </c>
      <c r="AP311" s="63">
        <v>250041</v>
      </c>
      <c r="AQ311" s="63">
        <v>-1449664</v>
      </c>
      <c r="AR311" s="63">
        <v>0</v>
      </c>
      <c r="AS311" s="63">
        <v>-1449664</v>
      </c>
      <c r="AT311" s="63">
        <v>-778232</v>
      </c>
      <c r="AU311" s="63">
        <v>0</v>
      </c>
      <c r="AV311" s="63">
        <v>-778232</v>
      </c>
      <c r="AW311" s="63">
        <v>-68880</v>
      </c>
      <c r="AX311" s="63">
        <v>0</v>
      </c>
      <c r="AY311" s="63">
        <v>-68880</v>
      </c>
      <c r="AZ311" s="63">
        <v>-44606</v>
      </c>
      <c r="BA311" s="63">
        <v>0</v>
      </c>
      <c r="BB311" s="63">
        <v>-44606</v>
      </c>
      <c r="BC311" s="63">
        <v>-2341382</v>
      </c>
      <c r="BD311" s="63">
        <v>0</v>
      </c>
      <c r="BE311" s="63">
        <v>0</v>
      </c>
      <c r="BF311" s="63">
        <v>0</v>
      </c>
      <c r="BG311" s="63">
        <v>-2341382</v>
      </c>
      <c r="BH311" s="63">
        <v>0</v>
      </c>
      <c r="BI311" s="63">
        <v>-2341382</v>
      </c>
      <c r="BJ311" s="63">
        <v>-40000</v>
      </c>
      <c r="BK311" s="63">
        <v>0</v>
      </c>
      <c r="BL311" s="63">
        <v>-40000</v>
      </c>
      <c r="BM311" s="63">
        <v>-260378</v>
      </c>
      <c r="BN311" s="63">
        <v>0</v>
      </c>
      <c r="BO311" s="63">
        <v>-260378</v>
      </c>
      <c r="BP311" s="63">
        <v>-300378</v>
      </c>
      <c r="BQ311" s="63">
        <v>0</v>
      </c>
      <c r="BR311" s="63">
        <v>0</v>
      </c>
      <c r="BS311" s="63">
        <v>0</v>
      </c>
      <c r="BT311" s="63">
        <v>-300378</v>
      </c>
      <c r="BU311" s="63">
        <v>0</v>
      </c>
      <c r="BV311" s="63">
        <v>-300378</v>
      </c>
      <c r="BW311" s="63">
        <v>-70187</v>
      </c>
      <c r="BX311" s="63">
        <v>0</v>
      </c>
      <c r="BY311" s="63">
        <v>-70187</v>
      </c>
      <c r="BZ311" s="63">
        <v>-18697</v>
      </c>
      <c r="CA311" s="63">
        <v>0</v>
      </c>
      <c r="CB311" s="63">
        <v>-18697</v>
      </c>
      <c r="CC311" s="63">
        <v>-6730</v>
      </c>
      <c r="CD311" s="63">
        <v>0</v>
      </c>
      <c r="CE311" s="63">
        <v>-6730</v>
      </c>
      <c r="CF311" s="63">
        <v>-16041</v>
      </c>
      <c r="CG311" s="63">
        <v>0</v>
      </c>
      <c r="CH311" s="63">
        <v>-16041</v>
      </c>
      <c r="CI311" s="63">
        <v>0</v>
      </c>
      <c r="CJ311" s="63">
        <v>0</v>
      </c>
      <c r="CK311" s="63">
        <v>0</v>
      </c>
      <c r="CL311" s="63">
        <v>0</v>
      </c>
      <c r="CM311" s="63">
        <v>0</v>
      </c>
      <c r="CN311" s="63">
        <v>0</v>
      </c>
      <c r="CO311" s="63">
        <v>0</v>
      </c>
      <c r="CP311" s="63">
        <v>0</v>
      </c>
      <c r="CQ311" s="63">
        <v>-111655</v>
      </c>
      <c r="CR311" s="63">
        <v>0</v>
      </c>
      <c r="CS311" s="63">
        <v>0</v>
      </c>
      <c r="CT311" s="63">
        <v>0</v>
      </c>
      <c r="CU311" s="63">
        <v>-111655</v>
      </c>
      <c r="CV311" s="63">
        <v>0</v>
      </c>
      <c r="CW311" s="63">
        <v>-111655</v>
      </c>
      <c r="CX311" s="63">
        <v>-10000</v>
      </c>
      <c r="CY311" s="63">
        <v>0</v>
      </c>
      <c r="CZ311" s="63">
        <v>-10000</v>
      </c>
      <c r="DA311" s="63">
        <v>-5000</v>
      </c>
      <c r="DB311" s="63">
        <v>0</v>
      </c>
      <c r="DC311" s="63">
        <v>-5000</v>
      </c>
      <c r="DD311" s="63">
        <v>-15381</v>
      </c>
      <c r="DE311" s="63">
        <v>0</v>
      </c>
      <c r="DF311" s="63">
        <v>-15381</v>
      </c>
      <c r="DG311" s="63">
        <v>-30381</v>
      </c>
      <c r="DH311" s="63">
        <v>0</v>
      </c>
      <c r="DI311" s="63">
        <v>0</v>
      </c>
      <c r="DJ311" s="63">
        <v>0</v>
      </c>
      <c r="DK311" s="63">
        <v>-30381</v>
      </c>
      <c r="DL311" s="63">
        <v>0</v>
      </c>
      <c r="DM311" s="63">
        <v>-30381</v>
      </c>
      <c r="DN311" s="63">
        <v>11146789</v>
      </c>
      <c r="DO311" s="63">
        <v>0</v>
      </c>
      <c r="DP311" s="63">
        <v>11146789</v>
      </c>
      <c r="DQ311" s="63"/>
      <c r="DR311" s="585"/>
    </row>
    <row r="312" spans="1:122" x14ac:dyDescent="0.2">
      <c r="A312" s="90">
        <v>305</v>
      </c>
      <c r="B312" s="129" t="s">
        <v>455</v>
      </c>
      <c r="C312" s="130" t="s">
        <v>742</v>
      </c>
      <c r="D312" s="131" t="s">
        <v>751</v>
      </c>
      <c r="E312" s="132" t="s">
        <v>454</v>
      </c>
      <c r="F312" s="475" t="s">
        <v>808</v>
      </c>
      <c r="G312" s="63">
        <v>81541151</v>
      </c>
      <c r="H312" s="63">
        <v>0</v>
      </c>
      <c r="I312" s="63">
        <v>81541151</v>
      </c>
      <c r="J312" s="608">
        <v>48.4</v>
      </c>
      <c r="K312" s="63">
        <v>39465917</v>
      </c>
      <c r="L312" s="63">
        <v>0</v>
      </c>
      <c r="M312" s="63">
        <v>0</v>
      </c>
      <c r="N312" s="63">
        <v>0</v>
      </c>
      <c r="O312" s="63">
        <v>39465917</v>
      </c>
      <c r="P312" s="63">
        <v>0</v>
      </c>
      <c r="Q312" s="63">
        <v>39465917</v>
      </c>
      <c r="R312" s="63">
        <v>0</v>
      </c>
      <c r="S312" s="63">
        <v>0</v>
      </c>
      <c r="T312" s="63">
        <v>0</v>
      </c>
      <c r="U312" s="63">
        <v>0</v>
      </c>
      <c r="V312" s="63">
        <v>0</v>
      </c>
      <c r="W312" s="63">
        <v>0</v>
      </c>
      <c r="X312" s="63">
        <v>0</v>
      </c>
      <c r="Y312" s="63">
        <v>0</v>
      </c>
      <c r="Z312" s="63">
        <v>0</v>
      </c>
      <c r="AA312" s="63">
        <v>0</v>
      </c>
      <c r="AB312" s="63">
        <v>0</v>
      </c>
      <c r="AC312" s="63">
        <v>0</v>
      </c>
      <c r="AD312" s="63">
        <v>0</v>
      </c>
      <c r="AE312" s="63">
        <v>0</v>
      </c>
      <c r="AF312" s="63">
        <v>0</v>
      </c>
      <c r="AG312" s="63">
        <v>0</v>
      </c>
      <c r="AH312" s="63">
        <v>-3947368</v>
      </c>
      <c r="AI312" s="63">
        <v>0</v>
      </c>
      <c r="AJ312" s="63">
        <v>-3947368</v>
      </c>
      <c r="AK312" s="63">
        <v>-4174</v>
      </c>
      <c r="AL312" s="63">
        <v>0</v>
      </c>
      <c r="AM312" s="63">
        <v>-4174</v>
      </c>
      <c r="AN312" s="63">
        <v>779085</v>
      </c>
      <c r="AO312" s="63">
        <v>0</v>
      </c>
      <c r="AP312" s="63">
        <v>779085</v>
      </c>
      <c r="AQ312" s="63">
        <v>-3168283</v>
      </c>
      <c r="AR312" s="63">
        <v>0</v>
      </c>
      <c r="AS312" s="63">
        <v>-3168283</v>
      </c>
      <c r="AT312" s="63">
        <v>-3227254</v>
      </c>
      <c r="AU312" s="63">
        <v>0</v>
      </c>
      <c r="AV312" s="63">
        <v>-3227254</v>
      </c>
      <c r="AW312" s="63">
        <v>-105368</v>
      </c>
      <c r="AX312" s="63">
        <v>0</v>
      </c>
      <c r="AY312" s="63">
        <v>-105368</v>
      </c>
      <c r="AZ312" s="63">
        <v>-82800</v>
      </c>
      <c r="BA312" s="63">
        <v>0</v>
      </c>
      <c r="BB312" s="63">
        <v>-82800</v>
      </c>
      <c r="BC312" s="63">
        <v>-6583705</v>
      </c>
      <c r="BD312" s="63">
        <v>0</v>
      </c>
      <c r="BE312" s="63">
        <v>0</v>
      </c>
      <c r="BF312" s="63">
        <v>0</v>
      </c>
      <c r="BG312" s="63">
        <v>-6583705</v>
      </c>
      <c r="BH312" s="63">
        <v>0</v>
      </c>
      <c r="BI312" s="63">
        <v>-6583705</v>
      </c>
      <c r="BJ312" s="63">
        <v>0</v>
      </c>
      <c r="BK312" s="63">
        <v>0</v>
      </c>
      <c r="BL312" s="63">
        <v>0</v>
      </c>
      <c r="BM312" s="63">
        <v>-858183</v>
      </c>
      <c r="BN312" s="63">
        <v>0</v>
      </c>
      <c r="BO312" s="63">
        <v>-858183</v>
      </c>
      <c r="BP312" s="63">
        <v>-858183</v>
      </c>
      <c r="BQ312" s="63">
        <v>0</v>
      </c>
      <c r="BR312" s="63">
        <v>0</v>
      </c>
      <c r="BS312" s="63">
        <v>0</v>
      </c>
      <c r="BT312" s="63">
        <v>-858183</v>
      </c>
      <c r="BU312" s="63">
        <v>0</v>
      </c>
      <c r="BV312" s="63">
        <v>-858183</v>
      </c>
      <c r="BW312" s="63">
        <v>-162841</v>
      </c>
      <c r="BX312" s="63">
        <v>0</v>
      </c>
      <c r="BY312" s="63">
        <v>-162841</v>
      </c>
      <c r="BZ312" s="63">
        <v>-7873</v>
      </c>
      <c r="CA312" s="63">
        <v>0</v>
      </c>
      <c r="CB312" s="63">
        <v>-7873</v>
      </c>
      <c r="CC312" s="63">
        <v>-1531</v>
      </c>
      <c r="CD312" s="63">
        <v>0</v>
      </c>
      <c r="CE312" s="63">
        <v>-1531</v>
      </c>
      <c r="CF312" s="63">
        <v>-54129</v>
      </c>
      <c r="CG312" s="63">
        <v>0</v>
      </c>
      <c r="CH312" s="63">
        <v>-54129</v>
      </c>
      <c r="CI312" s="63">
        <v>0</v>
      </c>
      <c r="CJ312" s="63">
        <v>0</v>
      </c>
      <c r="CK312" s="63">
        <v>0</v>
      </c>
      <c r="CL312" s="63">
        <v>0</v>
      </c>
      <c r="CM312" s="63">
        <v>0</v>
      </c>
      <c r="CN312" s="63">
        <v>0</v>
      </c>
      <c r="CO312" s="63">
        <v>0</v>
      </c>
      <c r="CP312" s="63">
        <v>0</v>
      </c>
      <c r="CQ312" s="63">
        <v>-226374</v>
      </c>
      <c r="CR312" s="63">
        <v>0</v>
      </c>
      <c r="CS312" s="63">
        <v>0</v>
      </c>
      <c r="CT312" s="63">
        <v>0</v>
      </c>
      <c r="CU312" s="63">
        <v>-226374</v>
      </c>
      <c r="CV312" s="63">
        <v>0</v>
      </c>
      <c r="CW312" s="63">
        <v>-226374</v>
      </c>
      <c r="CX312" s="63">
        <v>-5964</v>
      </c>
      <c r="CY312" s="63">
        <v>0</v>
      </c>
      <c r="CZ312" s="63">
        <v>-5964</v>
      </c>
      <c r="DA312" s="63">
        <v>-12880</v>
      </c>
      <c r="DB312" s="63">
        <v>0</v>
      </c>
      <c r="DC312" s="63">
        <v>-12880</v>
      </c>
      <c r="DD312" s="63">
        <v>-9475</v>
      </c>
      <c r="DE312" s="63">
        <v>0</v>
      </c>
      <c r="DF312" s="63">
        <v>-9475</v>
      </c>
      <c r="DG312" s="63">
        <v>-28319</v>
      </c>
      <c r="DH312" s="63">
        <v>0</v>
      </c>
      <c r="DI312" s="63">
        <v>0</v>
      </c>
      <c r="DJ312" s="63">
        <v>0</v>
      </c>
      <c r="DK312" s="63">
        <v>-28319</v>
      </c>
      <c r="DL312" s="63">
        <v>0</v>
      </c>
      <c r="DM312" s="63">
        <v>-28319</v>
      </c>
      <c r="DN312" s="63">
        <v>31769336</v>
      </c>
      <c r="DO312" s="63">
        <v>0</v>
      </c>
      <c r="DP312" s="63">
        <v>31769336</v>
      </c>
      <c r="DQ312" s="63"/>
      <c r="DR312" s="585"/>
    </row>
    <row r="313" spans="1:122" x14ac:dyDescent="0.2">
      <c r="A313" s="90">
        <v>306</v>
      </c>
      <c r="B313" s="129" t="s">
        <v>457</v>
      </c>
      <c r="C313" s="130" t="s">
        <v>742</v>
      </c>
      <c r="D313" s="131" t="s">
        <v>744</v>
      </c>
      <c r="E313" s="132" t="s">
        <v>456</v>
      </c>
      <c r="F313" s="475" t="s">
        <v>808</v>
      </c>
      <c r="G313" s="63">
        <v>80313007</v>
      </c>
      <c r="H313" s="63">
        <v>0</v>
      </c>
      <c r="I313" s="63">
        <v>80313007</v>
      </c>
      <c r="J313" s="608">
        <v>48.4</v>
      </c>
      <c r="K313" s="63">
        <v>38871495</v>
      </c>
      <c r="L313" s="63">
        <v>0</v>
      </c>
      <c r="M313" s="63">
        <v>112253</v>
      </c>
      <c r="N313" s="63">
        <v>0</v>
      </c>
      <c r="O313" s="63">
        <v>38983748</v>
      </c>
      <c r="P313" s="63">
        <v>0</v>
      </c>
      <c r="Q313" s="63">
        <v>38983748</v>
      </c>
      <c r="R313" s="63">
        <v>0</v>
      </c>
      <c r="S313" s="63">
        <v>0</v>
      </c>
      <c r="T313" s="63">
        <v>0</v>
      </c>
      <c r="U313" s="63">
        <v>0</v>
      </c>
      <c r="V313" s="63">
        <v>0</v>
      </c>
      <c r="W313" s="63">
        <v>0</v>
      </c>
      <c r="X313" s="63">
        <v>0</v>
      </c>
      <c r="Y313" s="63">
        <v>0</v>
      </c>
      <c r="Z313" s="63">
        <v>0</v>
      </c>
      <c r="AA313" s="63">
        <v>0</v>
      </c>
      <c r="AB313" s="63">
        <v>0</v>
      </c>
      <c r="AC313" s="63">
        <v>0</v>
      </c>
      <c r="AD313" s="63">
        <v>0</v>
      </c>
      <c r="AE313" s="63">
        <v>0</v>
      </c>
      <c r="AF313" s="63">
        <v>0</v>
      </c>
      <c r="AG313" s="63">
        <v>0</v>
      </c>
      <c r="AH313" s="63">
        <v>-2166124</v>
      </c>
      <c r="AI313" s="63">
        <v>0</v>
      </c>
      <c r="AJ313" s="63">
        <v>-2166124</v>
      </c>
      <c r="AK313" s="63">
        <v>-7518</v>
      </c>
      <c r="AL313" s="63">
        <v>0</v>
      </c>
      <c r="AM313" s="63">
        <v>-7518</v>
      </c>
      <c r="AN313" s="63">
        <v>889015</v>
      </c>
      <c r="AO313" s="63">
        <v>0</v>
      </c>
      <c r="AP313" s="63">
        <v>889015</v>
      </c>
      <c r="AQ313" s="63">
        <v>-1277109</v>
      </c>
      <c r="AR313" s="63">
        <v>0</v>
      </c>
      <c r="AS313" s="63">
        <v>-1277109</v>
      </c>
      <c r="AT313" s="63">
        <v>-2415195</v>
      </c>
      <c r="AU313" s="63">
        <v>0</v>
      </c>
      <c r="AV313" s="63">
        <v>-2415195</v>
      </c>
      <c r="AW313" s="63">
        <v>0</v>
      </c>
      <c r="AX313" s="63">
        <v>0</v>
      </c>
      <c r="AY313" s="63">
        <v>0</v>
      </c>
      <c r="AZ313" s="63">
        <v>-3690</v>
      </c>
      <c r="BA313" s="63">
        <v>0</v>
      </c>
      <c r="BB313" s="63">
        <v>-3690</v>
      </c>
      <c r="BC313" s="63">
        <v>-3695994</v>
      </c>
      <c r="BD313" s="63">
        <v>0</v>
      </c>
      <c r="BE313" s="63">
        <v>0</v>
      </c>
      <c r="BF313" s="63">
        <v>0</v>
      </c>
      <c r="BG313" s="63">
        <v>-3695994</v>
      </c>
      <c r="BH313" s="63">
        <v>0</v>
      </c>
      <c r="BI313" s="63">
        <v>-3695994</v>
      </c>
      <c r="BJ313" s="63">
        <v>-95000</v>
      </c>
      <c r="BK313" s="63">
        <v>0</v>
      </c>
      <c r="BL313" s="63">
        <v>-95000</v>
      </c>
      <c r="BM313" s="63">
        <v>-1195606</v>
      </c>
      <c r="BN313" s="63">
        <v>0</v>
      </c>
      <c r="BO313" s="63">
        <v>-1195606</v>
      </c>
      <c r="BP313" s="63">
        <v>-1290606</v>
      </c>
      <c r="BQ313" s="63">
        <v>0</v>
      </c>
      <c r="BR313" s="63">
        <v>-500000</v>
      </c>
      <c r="BS313" s="63">
        <v>0</v>
      </c>
      <c r="BT313" s="63">
        <v>-1790606</v>
      </c>
      <c r="BU313" s="63">
        <v>0</v>
      </c>
      <c r="BV313" s="63">
        <v>-1790606</v>
      </c>
      <c r="BW313" s="63">
        <v>-8966</v>
      </c>
      <c r="BX313" s="63">
        <v>0</v>
      </c>
      <c r="BY313" s="63">
        <v>-8966</v>
      </c>
      <c r="BZ313" s="63">
        <v>-38313</v>
      </c>
      <c r="CA313" s="63">
        <v>0</v>
      </c>
      <c r="CB313" s="63">
        <v>-38313</v>
      </c>
      <c r="CC313" s="63">
        <v>0</v>
      </c>
      <c r="CD313" s="63">
        <v>0</v>
      </c>
      <c r="CE313" s="63">
        <v>0</v>
      </c>
      <c r="CF313" s="63">
        <v>0</v>
      </c>
      <c r="CG313" s="63">
        <v>0</v>
      </c>
      <c r="CH313" s="63">
        <v>0</v>
      </c>
      <c r="CI313" s="63">
        <v>0</v>
      </c>
      <c r="CJ313" s="63">
        <v>0</v>
      </c>
      <c r="CK313" s="63">
        <v>0</v>
      </c>
      <c r="CL313" s="63">
        <v>0</v>
      </c>
      <c r="CM313" s="63">
        <v>0</v>
      </c>
      <c r="CN313" s="63">
        <v>0</v>
      </c>
      <c r="CO313" s="63">
        <v>0</v>
      </c>
      <c r="CP313" s="63">
        <v>0</v>
      </c>
      <c r="CQ313" s="63">
        <v>-47279</v>
      </c>
      <c r="CR313" s="63">
        <v>0</v>
      </c>
      <c r="CS313" s="63">
        <v>0</v>
      </c>
      <c r="CT313" s="63">
        <v>0</v>
      </c>
      <c r="CU313" s="63">
        <v>-47279</v>
      </c>
      <c r="CV313" s="63">
        <v>0</v>
      </c>
      <c r="CW313" s="63">
        <v>-47279</v>
      </c>
      <c r="CX313" s="63">
        <v>0</v>
      </c>
      <c r="CY313" s="63">
        <v>0</v>
      </c>
      <c r="CZ313" s="63">
        <v>0</v>
      </c>
      <c r="DA313" s="63">
        <v>-5000</v>
      </c>
      <c r="DB313" s="63">
        <v>0</v>
      </c>
      <c r="DC313" s="63">
        <v>-5000</v>
      </c>
      <c r="DD313" s="63">
        <v>-8617</v>
      </c>
      <c r="DE313" s="63">
        <v>0</v>
      </c>
      <c r="DF313" s="63">
        <v>-8617</v>
      </c>
      <c r="DG313" s="63">
        <v>-13617</v>
      </c>
      <c r="DH313" s="63">
        <v>0</v>
      </c>
      <c r="DI313" s="63">
        <v>0</v>
      </c>
      <c r="DJ313" s="63">
        <v>0</v>
      </c>
      <c r="DK313" s="63">
        <v>-13617</v>
      </c>
      <c r="DL313" s="63">
        <v>0</v>
      </c>
      <c r="DM313" s="63">
        <v>-13617</v>
      </c>
      <c r="DN313" s="63">
        <v>33436252</v>
      </c>
      <c r="DO313" s="63">
        <v>0</v>
      </c>
      <c r="DP313" s="63">
        <v>33436252</v>
      </c>
      <c r="DQ313" s="63"/>
      <c r="DR313" s="585"/>
    </row>
    <row r="314" spans="1:122" x14ac:dyDescent="0.2">
      <c r="A314" s="90">
        <v>307</v>
      </c>
      <c r="B314" s="129" t="s">
        <v>459</v>
      </c>
      <c r="C314" s="130" t="s">
        <v>742</v>
      </c>
      <c r="D314" s="131" t="s">
        <v>745</v>
      </c>
      <c r="E314" s="132" t="s">
        <v>458</v>
      </c>
      <c r="F314" s="475" t="s">
        <v>808</v>
      </c>
      <c r="G314" s="63">
        <v>42530731</v>
      </c>
      <c r="H314" s="63">
        <v>0</v>
      </c>
      <c r="I314" s="63">
        <v>42530731</v>
      </c>
      <c r="J314" s="608">
        <v>48.4</v>
      </c>
      <c r="K314" s="63">
        <v>20584874</v>
      </c>
      <c r="L314" s="63">
        <v>0</v>
      </c>
      <c r="M314" s="63">
        <v>0</v>
      </c>
      <c r="N314" s="63">
        <v>0</v>
      </c>
      <c r="O314" s="63">
        <v>20584874</v>
      </c>
      <c r="P314" s="63">
        <v>0</v>
      </c>
      <c r="Q314" s="63">
        <v>20584874</v>
      </c>
      <c r="R314" s="63">
        <v>0</v>
      </c>
      <c r="S314" s="63">
        <v>0</v>
      </c>
      <c r="T314" s="63">
        <v>0</v>
      </c>
      <c r="U314" s="63">
        <v>0</v>
      </c>
      <c r="V314" s="63">
        <v>0</v>
      </c>
      <c r="W314" s="63">
        <v>0</v>
      </c>
      <c r="X314" s="63">
        <v>0</v>
      </c>
      <c r="Y314" s="63">
        <v>0</v>
      </c>
      <c r="Z314" s="63">
        <v>0</v>
      </c>
      <c r="AA314" s="63">
        <v>0</v>
      </c>
      <c r="AB314" s="63">
        <v>0</v>
      </c>
      <c r="AC314" s="63">
        <v>0</v>
      </c>
      <c r="AD314" s="63">
        <v>0</v>
      </c>
      <c r="AE314" s="63">
        <v>0</v>
      </c>
      <c r="AF314" s="63">
        <v>0</v>
      </c>
      <c r="AG314" s="63">
        <v>0</v>
      </c>
      <c r="AH314" s="63">
        <v>-1799647</v>
      </c>
      <c r="AI314" s="63">
        <v>0</v>
      </c>
      <c r="AJ314" s="63">
        <v>-1799647</v>
      </c>
      <c r="AK314" s="63">
        <v>0</v>
      </c>
      <c r="AL314" s="63">
        <v>0</v>
      </c>
      <c r="AM314" s="63">
        <v>0</v>
      </c>
      <c r="AN314" s="63">
        <v>437023</v>
      </c>
      <c r="AO314" s="63">
        <v>0</v>
      </c>
      <c r="AP314" s="63">
        <v>437023</v>
      </c>
      <c r="AQ314" s="63">
        <v>-1362624</v>
      </c>
      <c r="AR314" s="63">
        <v>0</v>
      </c>
      <c r="AS314" s="63">
        <v>-1362624</v>
      </c>
      <c r="AT314" s="63">
        <v>-1418269</v>
      </c>
      <c r="AU314" s="63">
        <v>0</v>
      </c>
      <c r="AV314" s="63">
        <v>-1418269</v>
      </c>
      <c r="AW314" s="63">
        <v>-36092</v>
      </c>
      <c r="AX314" s="63">
        <v>0</v>
      </c>
      <c r="AY314" s="63">
        <v>-36092</v>
      </c>
      <c r="AZ314" s="63">
        <v>-35549</v>
      </c>
      <c r="BA314" s="63">
        <v>0</v>
      </c>
      <c r="BB314" s="63">
        <v>-35549</v>
      </c>
      <c r="BC314" s="63">
        <v>-2852534</v>
      </c>
      <c r="BD314" s="63">
        <v>0</v>
      </c>
      <c r="BE314" s="63">
        <v>0</v>
      </c>
      <c r="BF314" s="63">
        <v>0</v>
      </c>
      <c r="BG314" s="63">
        <v>-2852534</v>
      </c>
      <c r="BH314" s="63">
        <v>0</v>
      </c>
      <c r="BI314" s="63">
        <v>-2852534</v>
      </c>
      <c r="BJ314" s="63">
        <v>0</v>
      </c>
      <c r="BK314" s="63">
        <v>0</v>
      </c>
      <c r="BL314" s="63">
        <v>0</v>
      </c>
      <c r="BM314" s="63">
        <v>-486630</v>
      </c>
      <c r="BN314" s="63">
        <v>0</v>
      </c>
      <c r="BO314" s="63">
        <v>-486630</v>
      </c>
      <c r="BP314" s="63">
        <v>-486630</v>
      </c>
      <c r="BQ314" s="63">
        <v>0</v>
      </c>
      <c r="BR314" s="63">
        <v>0</v>
      </c>
      <c r="BS314" s="63">
        <v>0</v>
      </c>
      <c r="BT314" s="63">
        <v>-486630</v>
      </c>
      <c r="BU314" s="63">
        <v>0</v>
      </c>
      <c r="BV314" s="63">
        <v>-486630</v>
      </c>
      <c r="BW314" s="63">
        <v>-30817</v>
      </c>
      <c r="BX314" s="63">
        <v>0</v>
      </c>
      <c r="BY314" s="63">
        <v>-30817</v>
      </c>
      <c r="BZ314" s="63">
        <v>-12089</v>
      </c>
      <c r="CA314" s="63">
        <v>0</v>
      </c>
      <c r="CB314" s="63">
        <v>-12089</v>
      </c>
      <c r="CC314" s="63">
        <v>-723</v>
      </c>
      <c r="CD314" s="63">
        <v>0</v>
      </c>
      <c r="CE314" s="63">
        <v>-723</v>
      </c>
      <c r="CF314" s="63">
        <v>-6312</v>
      </c>
      <c r="CG314" s="63">
        <v>0</v>
      </c>
      <c r="CH314" s="63">
        <v>-6312</v>
      </c>
      <c r="CI314" s="63">
        <v>-245</v>
      </c>
      <c r="CJ314" s="63">
        <v>0</v>
      </c>
      <c r="CK314" s="63">
        <v>-245</v>
      </c>
      <c r="CL314" s="63">
        <v>0</v>
      </c>
      <c r="CM314" s="63">
        <v>0</v>
      </c>
      <c r="CN314" s="63">
        <v>0</v>
      </c>
      <c r="CO314" s="63">
        <v>0</v>
      </c>
      <c r="CP314" s="63">
        <v>0</v>
      </c>
      <c r="CQ314" s="63">
        <v>-50186</v>
      </c>
      <c r="CR314" s="63">
        <v>0</v>
      </c>
      <c r="CS314" s="63">
        <v>0</v>
      </c>
      <c r="CT314" s="63">
        <v>0</v>
      </c>
      <c r="CU314" s="63">
        <v>-50186</v>
      </c>
      <c r="CV314" s="63">
        <v>0</v>
      </c>
      <c r="CW314" s="63">
        <v>-50186</v>
      </c>
      <c r="CX314" s="63">
        <v>-60758</v>
      </c>
      <c r="CY314" s="63">
        <v>0</v>
      </c>
      <c r="CZ314" s="63">
        <v>-60758</v>
      </c>
      <c r="DA314" s="63">
        <v>-9319</v>
      </c>
      <c r="DB314" s="63">
        <v>0</v>
      </c>
      <c r="DC314" s="63">
        <v>-9319</v>
      </c>
      <c r="DD314" s="63">
        <v>0</v>
      </c>
      <c r="DE314" s="63">
        <v>0</v>
      </c>
      <c r="DF314" s="63">
        <v>0</v>
      </c>
      <c r="DG314" s="63">
        <v>-70077</v>
      </c>
      <c r="DH314" s="63">
        <v>0</v>
      </c>
      <c r="DI314" s="63">
        <v>0</v>
      </c>
      <c r="DJ314" s="63">
        <v>0</v>
      </c>
      <c r="DK314" s="63">
        <v>-70077</v>
      </c>
      <c r="DL314" s="63">
        <v>0</v>
      </c>
      <c r="DM314" s="63">
        <v>-70077</v>
      </c>
      <c r="DN314" s="63">
        <v>17125447</v>
      </c>
      <c r="DO314" s="63">
        <v>0</v>
      </c>
      <c r="DP314" s="63">
        <v>17125447</v>
      </c>
      <c r="DQ314" s="63"/>
      <c r="DR314" s="585"/>
    </row>
    <row r="315" spans="1:122" ht="12.75" x14ac:dyDescent="0.2">
      <c r="A315" s="90">
        <v>308</v>
      </c>
      <c r="B315" s="129" t="s">
        <v>461</v>
      </c>
      <c r="C315" s="130" t="s">
        <v>742</v>
      </c>
      <c r="D315" s="131" t="s">
        <v>743</v>
      </c>
      <c r="E315" s="132" t="s">
        <v>460</v>
      </c>
      <c r="F315" s="475" t="s">
        <v>808</v>
      </c>
      <c r="G315" s="63">
        <v>81750587</v>
      </c>
      <c r="H315" s="63">
        <v>0</v>
      </c>
      <c r="I315" s="63">
        <v>81750587</v>
      </c>
      <c r="J315" s="608">
        <v>48.4</v>
      </c>
      <c r="K315" s="63">
        <v>39567284</v>
      </c>
      <c r="L315" s="63">
        <v>0</v>
      </c>
      <c r="M315" s="63">
        <v>155561</v>
      </c>
      <c r="N315" s="63">
        <v>0</v>
      </c>
      <c r="O315" s="63">
        <v>39722845</v>
      </c>
      <c r="P315" s="63">
        <v>0</v>
      </c>
      <c r="Q315" s="63">
        <v>39722845</v>
      </c>
      <c r="R315" s="63">
        <v>0</v>
      </c>
      <c r="S315" s="63">
        <v>0</v>
      </c>
      <c r="T315" s="63">
        <v>0</v>
      </c>
      <c r="U315" s="63">
        <v>0</v>
      </c>
      <c r="V315" s="63">
        <v>0</v>
      </c>
      <c r="W315" s="63">
        <v>0</v>
      </c>
      <c r="X315" s="63">
        <v>0</v>
      </c>
      <c r="Y315" s="63">
        <v>0</v>
      </c>
      <c r="Z315" s="63">
        <v>0</v>
      </c>
      <c r="AA315" s="63">
        <v>0</v>
      </c>
      <c r="AB315" s="63">
        <v>0</v>
      </c>
      <c r="AC315" s="63">
        <v>0</v>
      </c>
      <c r="AD315" s="63">
        <v>0</v>
      </c>
      <c r="AE315" s="63">
        <v>0</v>
      </c>
      <c r="AF315" s="63">
        <v>0</v>
      </c>
      <c r="AG315" s="63">
        <v>0</v>
      </c>
      <c r="AH315" s="63">
        <v>-2545704</v>
      </c>
      <c r="AI315" s="63">
        <v>0</v>
      </c>
      <c r="AJ315" s="63">
        <v>-2545704</v>
      </c>
      <c r="AK315" s="63">
        <v>-8438</v>
      </c>
      <c r="AL315" s="63">
        <v>0</v>
      </c>
      <c r="AM315" s="63">
        <v>-8438</v>
      </c>
      <c r="AN315" s="63">
        <v>851925</v>
      </c>
      <c r="AO315" s="63">
        <v>0</v>
      </c>
      <c r="AP315" s="63">
        <v>851925</v>
      </c>
      <c r="AQ315" s="63">
        <v>-1693779</v>
      </c>
      <c r="AR315" s="63">
        <v>0</v>
      </c>
      <c r="AS315" s="63">
        <v>-1693779</v>
      </c>
      <c r="AT315" s="63">
        <v>-2502216</v>
      </c>
      <c r="AU315" s="63">
        <v>0</v>
      </c>
      <c r="AV315" s="63">
        <v>-2502216</v>
      </c>
      <c r="AW315" s="63">
        <v>-61702</v>
      </c>
      <c r="AX315" s="63">
        <v>0</v>
      </c>
      <c r="AY315" s="63">
        <v>-61702</v>
      </c>
      <c r="AZ315" s="63">
        <v>-44250</v>
      </c>
      <c r="BA315" s="63">
        <v>0</v>
      </c>
      <c r="BB315" s="63">
        <v>-44250</v>
      </c>
      <c r="BC315" s="63">
        <v>-4301947</v>
      </c>
      <c r="BD315" s="63">
        <v>0</v>
      </c>
      <c r="BE315" s="63">
        <v>0</v>
      </c>
      <c r="BF315" s="63">
        <v>0</v>
      </c>
      <c r="BG315" s="63">
        <v>-4301947</v>
      </c>
      <c r="BH315" s="63">
        <v>0</v>
      </c>
      <c r="BI315" s="63">
        <v>-4301947</v>
      </c>
      <c r="BJ315" s="63">
        <v>0</v>
      </c>
      <c r="BK315" s="63">
        <v>0</v>
      </c>
      <c r="BL315" s="63">
        <v>0</v>
      </c>
      <c r="BM315" s="63">
        <v>-587104</v>
      </c>
      <c r="BN315" s="63">
        <v>0</v>
      </c>
      <c r="BO315" s="63">
        <v>-587104</v>
      </c>
      <c r="BP315" s="63">
        <v>-587104</v>
      </c>
      <c r="BQ315" s="63">
        <v>0</v>
      </c>
      <c r="BR315" s="63">
        <v>0</v>
      </c>
      <c r="BS315" s="63">
        <v>0</v>
      </c>
      <c r="BT315" s="63">
        <v>-587104</v>
      </c>
      <c r="BU315" s="63">
        <v>0</v>
      </c>
      <c r="BV315" s="63">
        <v>-587104</v>
      </c>
      <c r="BW315" s="63">
        <v>-79600</v>
      </c>
      <c r="BX315" s="63">
        <v>0</v>
      </c>
      <c r="BY315" s="63">
        <v>-79600</v>
      </c>
      <c r="BZ315" s="63">
        <v>0</v>
      </c>
      <c r="CA315" s="63">
        <v>0</v>
      </c>
      <c r="CB315" s="63">
        <v>0</v>
      </c>
      <c r="CC315" s="63">
        <v>0</v>
      </c>
      <c r="CD315" s="63">
        <v>0</v>
      </c>
      <c r="CE315" s="63">
        <v>0</v>
      </c>
      <c r="CF315" s="63">
        <v>-1802</v>
      </c>
      <c r="CG315" s="63">
        <v>0</v>
      </c>
      <c r="CH315" s="63">
        <v>-1802</v>
      </c>
      <c r="CI315" s="63">
        <v>0</v>
      </c>
      <c r="CJ315" s="63">
        <v>0</v>
      </c>
      <c r="CK315" s="63">
        <v>0</v>
      </c>
      <c r="CL315" s="63">
        <v>0</v>
      </c>
      <c r="CM315" s="63">
        <v>0</v>
      </c>
      <c r="CN315" s="63">
        <v>0</v>
      </c>
      <c r="CO315" s="63">
        <v>0</v>
      </c>
      <c r="CP315" s="63">
        <v>0</v>
      </c>
      <c r="CQ315" s="63">
        <v>-81402</v>
      </c>
      <c r="CR315" s="63">
        <v>0</v>
      </c>
      <c r="CS315" s="63">
        <v>0</v>
      </c>
      <c r="CT315" s="63">
        <v>0</v>
      </c>
      <c r="CU315" s="63">
        <v>-81402</v>
      </c>
      <c r="CV315" s="63">
        <v>0</v>
      </c>
      <c r="CW315" s="63">
        <v>-81402</v>
      </c>
      <c r="CX315" s="63">
        <v>0</v>
      </c>
      <c r="CY315" s="63">
        <v>0</v>
      </c>
      <c r="CZ315" s="63">
        <v>0</v>
      </c>
      <c r="DA315" s="63">
        <v>-3520</v>
      </c>
      <c r="DB315" s="63">
        <v>0</v>
      </c>
      <c r="DC315" s="63">
        <v>-3520</v>
      </c>
      <c r="DD315" s="63">
        <v>-5704</v>
      </c>
      <c r="DE315" s="63">
        <v>0</v>
      </c>
      <c r="DF315" s="63">
        <v>-5704</v>
      </c>
      <c r="DG315" s="63">
        <v>-9224</v>
      </c>
      <c r="DH315" s="63">
        <v>0</v>
      </c>
      <c r="DI315" s="63">
        <v>0</v>
      </c>
      <c r="DJ315" s="63">
        <v>0</v>
      </c>
      <c r="DK315" s="63">
        <v>-9224</v>
      </c>
      <c r="DL315" s="63">
        <v>0</v>
      </c>
      <c r="DM315" s="63">
        <v>-9224</v>
      </c>
      <c r="DN315" s="63">
        <v>34743168</v>
      </c>
      <c r="DO315" s="63">
        <v>0</v>
      </c>
      <c r="DP315" s="63">
        <v>34743168</v>
      </c>
      <c r="DQ315" s="63"/>
      <c r="DR315" s="586"/>
    </row>
    <row r="316" spans="1:122" x14ac:dyDescent="0.2">
      <c r="A316" s="90">
        <v>309</v>
      </c>
      <c r="B316" s="129" t="s">
        <v>463</v>
      </c>
      <c r="C316" s="130" t="s">
        <v>742</v>
      </c>
      <c r="D316" s="131" t="s">
        <v>751</v>
      </c>
      <c r="E316" s="132" t="s">
        <v>462</v>
      </c>
      <c r="F316" s="475" t="s">
        <v>808</v>
      </c>
      <c r="G316" s="63">
        <v>28333291</v>
      </c>
      <c r="H316" s="63">
        <v>0</v>
      </c>
      <c r="I316" s="63">
        <v>28333291</v>
      </c>
      <c r="J316" s="608">
        <v>48.4</v>
      </c>
      <c r="K316" s="63">
        <v>13713313</v>
      </c>
      <c r="L316" s="63">
        <v>0</v>
      </c>
      <c r="M316" s="63">
        <v>-29550</v>
      </c>
      <c r="N316" s="63">
        <v>0</v>
      </c>
      <c r="O316" s="63">
        <v>13683763</v>
      </c>
      <c r="P316" s="63">
        <v>0</v>
      </c>
      <c r="Q316" s="63">
        <v>13683763</v>
      </c>
      <c r="R316" s="63">
        <v>0</v>
      </c>
      <c r="S316" s="63">
        <v>0</v>
      </c>
      <c r="T316" s="63">
        <v>0</v>
      </c>
      <c r="U316" s="63">
        <v>0</v>
      </c>
      <c r="V316" s="63">
        <v>0</v>
      </c>
      <c r="W316" s="63">
        <v>0</v>
      </c>
      <c r="X316" s="63">
        <v>0</v>
      </c>
      <c r="Y316" s="63">
        <v>0</v>
      </c>
      <c r="Z316" s="63">
        <v>0</v>
      </c>
      <c r="AA316" s="63">
        <v>0</v>
      </c>
      <c r="AB316" s="63">
        <v>0</v>
      </c>
      <c r="AC316" s="63">
        <v>0</v>
      </c>
      <c r="AD316" s="63">
        <v>0</v>
      </c>
      <c r="AE316" s="63">
        <v>0</v>
      </c>
      <c r="AF316" s="63">
        <v>0</v>
      </c>
      <c r="AG316" s="63">
        <v>0</v>
      </c>
      <c r="AH316" s="63">
        <v>-1418498</v>
      </c>
      <c r="AI316" s="63">
        <v>0</v>
      </c>
      <c r="AJ316" s="63">
        <v>-1418498</v>
      </c>
      <c r="AK316" s="63">
        <v>-2000</v>
      </c>
      <c r="AL316" s="63">
        <v>0</v>
      </c>
      <c r="AM316" s="63">
        <v>-2000</v>
      </c>
      <c r="AN316" s="63">
        <v>281258</v>
      </c>
      <c r="AO316" s="63">
        <v>0</v>
      </c>
      <c r="AP316" s="63">
        <v>281258</v>
      </c>
      <c r="AQ316" s="63">
        <v>-1137240</v>
      </c>
      <c r="AR316" s="63">
        <v>0</v>
      </c>
      <c r="AS316" s="63">
        <v>-1137240</v>
      </c>
      <c r="AT316" s="63">
        <v>-631796</v>
      </c>
      <c r="AU316" s="63">
        <v>0</v>
      </c>
      <c r="AV316" s="63">
        <v>-631796</v>
      </c>
      <c r="AW316" s="63">
        <v>-11751</v>
      </c>
      <c r="AX316" s="63">
        <v>0</v>
      </c>
      <c r="AY316" s="63">
        <v>-11751</v>
      </c>
      <c r="AZ316" s="63">
        <v>-45459</v>
      </c>
      <c r="BA316" s="63">
        <v>0</v>
      </c>
      <c r="BB316" s="63">
        <v>-45459</v>
      </c>
      <c r="BC316" s="63">
        <v>-1826246</v>
      </c>
      <c r="BD316" s="63">
        <v>0</v>
      </c>
      <c r="BE316" s="63">
        <v>-33000</v>
      </c>
      <c r="BF316" s="63">
        <v>0</v>
      </c>
      <c r="BG316" s="63">
        <v>-1859246</v>
      </c>
      <c r="BH316" s="63">
        <v>0</v>
      </c>
      <c r="BI316" s="63">
        <v>-1859246</v>
      </c>
      <c r="BJ316" s="63">
        <v>0</v>
      </c>
      <c r="BK316" s="63">
        <v>0</v>
      </c>
      <c r="BL316" s="63">
        <v>0</v>
      </c>
      <c r="BM316" s="63">
        <v>-92145</v>
      </c>
      <c r="BN316" s="63">
        <v>0</v>
      </c>
      <c r="BO316" s="63">
        <v>-92145</v>
      </c>
      <c r="BP316" s="63">
        <v>-92145</v>
      </c>
      <c r="BQ316" s="63">
        <v>0</v>
      </c>
      <c r="BR316" s="63">
        <v>-100000</v>
      </c>
      <c r="BS316" s="63">
        <v>0</v>
      </c>
      <c r="BT316" s="63">
        <v>-192145</v>
      </c>
      <c r="BU316" s="63">
        <v>0</v>
      </c>
      <c r="BV316" s="63">
        <v>-192145</v>
      </c>
      <c r="BW316" s="63">
        <v>-32431</v>
      </c>
      <c r="BX316" s="63">
        <v>0</v>
      </c>
      <c r="BY316" s="63">
        <v>-32431</v>
      </c>
      <c r="BZ316" s="63">
        <v>-83663</v>
      </c>
      <c r="CA316" s="63">
        <v>0</v>
      </c>
      <c r="CB316" s="63">
        <v>-83663</v>
      </c>
      <c r="CC316" s="63">
        <v>-2898</v>
      </c>
      <c r="CD316" s="63">
        <v>0</v>
      </c>
      <c r="CE316" s="63">
        <v>-2898</v>
      </c>
      <c r="CF316" s="63">
        <v>-49066</v>
      </c>
      <c r="CG316" s="63">
        <v>0</v>
      </c>
      <c r="CH316" s="63">
        <v>-49066</v>
      </c>
      <c r="CI316" s="63">
        <v>-52764</v>
      </c>
      <c r="CJ316" s="63">
        <v>0</v>
      </c>
      <c r="CK316" s="63">
        <v>-52764</v>
      </c>
      <c r="CL316" s="63">
        <v>-38111</v>
      </c>
      <c r="CM316" s="63">
        <v>0</v>
      </c>
      <c r="CN316" s="63">
        <v>-38111</v>
      </c>
      <c r="CO316" s="63">
        <v>0</v>
      </c>
      <c r="CP316" s="63">
        <v>0</v>
      </c>
      <c r="CQ316" s="63">
        <v>-258933</v>
      </c>
      <c r="CR316" s="63">
        <v>0</v>
      </c>
      <c r="CS316" s="63">
        <v>40000</v>
      </c>
      <c r="CT316" s="63">
        <v>0</v>
      </c>
      <c r="CU316" s="63">
        <v>-218933</v>
      </c>
      <c r="CV316" s="63">
        <v>0</v>
      </c>
      <c r="CW316" s="63">
        <v>-218933</v>
      </c>
      <c r="CX316" s="63">
        <v>-18734</v>
      </c>
      <c r="CY316" s="63">
        <v>0</v>
      </c>
      <c r="CZ316" s="63">
        <v>-18734</v>
      </c>
      <c r="DA316" s="63">
        <v>0</v>
      </c>
      <c r="DB316" s="63">
        <v>0</v>
      </c>
      <c r="DC316" s="63">
        <v>0</v>
      </c>
      <c r="DD316" s="63">
        <v>-14500</v>
      </c>
      <c r="DE316" s="63">
        <v>0</v>
      </c>
      <c r="DF316" s="63">
        <v>-14500</v>
      </c>
      <c r="DG316" s="63">
        <v>-33234</v>
      </c>
      <c r="DH316" s="63">
        <v>0</v>
      </c>
      <c r="DI316" s="63">
        <v>0</v>
      </c>
      <c r="DJ316" s="63">
        <v>0</v>
      </c>
      <c r="DK316" s="63">
        <v>-33234</v>
      </c>
      <c r="DL316" s="63">
        <v>0</v>
      </c>
      <c r="DM316" s="63">
        <v>-33234</v>
      </c>
      <c r="DN316" s="63">
        <v>11380205</v>
      </c>
      <c r="DO316" s="63">
        <v>0</v>
      </c>
      <c r="DP316" s="63">
        <v>11380205</v>
      </c>
      <c r="DQ316" s="63"/>
      <c r="DR316" s="585"/>
    </row>
    <row r="317" spans="1:122" x14ac:dyDescent="0.2">
      <c r="A317" s="90">
        <v>310</v>
      </c>
      <c r="B317" s="129" t="s">
        <v>465</v>
      </c>
      <c r="C317" s="130" t="s">
        <v>754</v>
      </c>
      <c r="D317" s="131" t="s">
        <v>748</v>
      </c>
      <c r="E317" s="132" t="s">
        <v>464</v>
      </c>
      <c r="F317" s="475" t="s">
        <v>808</v>
      </c>
      <c r="G317" s="63">
        <v>4116232821</v>
      </c>
      <c r="H317" s="63">
        <v>0</v>
      </c>
      <c r="I317" s="63">
        <v>4116232821</v>
      </c>
      <c r="J317" s="608">
        <v>48.4</v>
      </c>
      <c r="K317" s="63">
        <v>1992256685</v>
      </c>
      <c r="L317" s="63">
        <v>0</v>
      </c>
      <c r="M317" s="63">
        <v>0</v>
      </c>
      <c r="N317" s="63">
        <v>0</v>
      </c>
      <c r="O317" s="63">
        <v>1992256685</v>
      </c>
      <c r="P317" s="63">
        <v>0</v>
      </c>
      <c r="Q317" s="63">
        <v>1992256685</v>
      </c>
      <c r="R317" s="63">
        <v>0</v>
      </c>
      <c r="S317" s="63">
        <v>0</v>
      </c>
      <c r="T317" s="63">
        <v>0</v>
      </c>
      <c r="U317" s="63">
        <v>0</v>
      </c>
      <c r="V317" s="63">
        <v>0</v>
      </c>
      <c r="W317" s="63">
        <v>0</v>
      </c>
      <c r="X317" s="63">
        <v>0</v>
      </c>
      <c r="Y317" s="63">
        <v>0</v>
      </c>
      <c r="Z317" s="63">
        <v>0</v>
      </c>
      <c r="AA317" s="63">
        <v>0</v>
      </c>
      <c r="AB317" s="63">
        <v>0</v>
      </c>
      <c r="AC317" s="63">
        <v>0</v>
      </c>
      <c r="AD317" s="63">
        <v>0</v>
      </c>
      <c r="AE317" s="63">
        <v>0</v>
      </c>
      <c r="AF317" s="63">
        <v>0</v>
      </c>
      <c r="AG317" s="63">
        <v>0</v>
      </c>
      <c r="AH317" s="63">
        <v>-2205563</v>
      </c>
      <c r="AI317" s="63">
        <v>0</v>
      </c>
      <c r="AJ317" s="63">
        <v>-2205563</v>
      </c>
      <c r="AK317" s="63">
        <v>0</v>
      </c>
      <c r="AL317" s="63">
        <v>0</v>
      </c>
      <c r="AM317" s="63">
        <v>0</v>
      </c>
      <c r="AN317" s="63">
        <v>51807595</v>
      </c>
      <c r="AO317" s="63">
        <v>0</v>
      </c>
      <c r="AP317" s="63">
        <v>51807595</v>
      </c>
      <c r="AQ317" s="63">
        <v>49602032</v>
      </c>
      <c r="AR317" s="63">
        <v>0</v>
      </c>
      <c r="AS317" s="63">
        <v>49602032</v>
      </c>
      <c r="AT317" s="63">
        <v>-64010872</v>
      </c>
      <c r="AU317" s="63">
        <v>0</v>
      </c>
      <c r="AV317" s="63">
        <v>-64010872</v>
      </c>
      <c r="AW317" s="63">
        <v>-23458</v>
      </c>
      <c r="AX317" s="63">
        <v>0</v>
      </c>
      <c r="AY317" s="63">
        <v>-23458</v>
      </c>
      <c r="AZ317" s="63">
        <v>0</v>
      </c>
      <c r="BA317" s="63">
        <v>0</v>
      </c>
      <c r="BB317" s="63">
        <v>0</v>
      </c>
      <c r="BC317" s="63">
        <v>-14432298</v>
      </c>
      <c r="BD317" s="63">
        <v>0</v>
      </c>
      <c r="BE317" s="63">
        <v>0</v>
      </c>
      <c r="BF317" s="63">
        <v>0</v>
      </c>
      <c r="BG317" s="63">
        <v>-14432298</v>
      </c>
      <c r="BH317" s="63">
        <v>0</v>
      </c>
      <c r="BI317" s="63">
        <v>-14432298</v>
      </c>
      <c r="BJ317" s="63">
        <v>-264736</v>
      </c>
      <c r="BK317" s="63">
        <v>0</v>
      </c>
      <c r="BL317" s="63">
        <v>-264736</v>
      </c>
      <c r="BM317" s="63">
        <v>-123479181</v>
      </c>
      <c r="BN317" s="63">
        <v>0</v>
      </c>
      <c r="BO317" s="63">
        <v>-123479181</v>
      </c>
      <c r="BP317" s="63">
        <v>-123743917</v>
      </c>
      <c r="BQ317" s="63">
        <v>0</v>
      </c>
      <c r="BR317" s="63">
        <v>0</v>
      </c>
      <c r="BS317" s="63">
        <v>0</v>
      </c>
      <c r="BT317" s="63">
        <v>-123743917</v>
      </c>
      <c r="BU317" s="63">
        <v>0</v>
      </c>
      <c r="BV317" s="63">
        <v>-123743917</v>
      </c>
      <c r="BW317" s="63">
        <v>-352716</v>
      </c>
      <c r="BX317" s="63">
        <v>0</v>
      </c>
      <c r="BY317" s="63">
        <v>-352716</v>
      </c>
      <c r="BZ317" s="63">
        <v>-18874</v>
      </c>
      <c r="CA317" s="63">
        <v>0</v>
      </c>
      <c r="CB317" s="63">
        <v>-18874</v>
      </c>
      <c r="CC317" s="63">
        <v>-5865</v>
      </c>
      <c r="CD317" s="63">
        <v>0</v>
      </c>
      <c r="CE317" s="63">
        <v>-5865</v>
      </c>
      <c r="CF317" s="63">
        <v>0</v>
      </c>
      <c r="CG317" s="63">
        <v>0</v>
      </c>
      <c r="CH317" s="63">
        <v>0</v>
      </c>
      <c r="CI317" s="63">
        <v>0</v>
      </c>
      <c r="CJ317" s="63">
        <v>0</v>
      </c>
      <c r="CK317" s="63">
        <v>0</v>
      </c>
      <c r="CL317" s="63">
        <v>0</v>
      </c>
      <c r="CM317" s="63">
        <v>0</v>
      </c>
      <c r="CN317" s="63">
        <v>0</v>
      </c>
      <c r="CO317" s="63">
        <v>0</v>
      </c>
      <c r="CP317" s="63">
        <v>0</v>
      </c>
      <c r="CQ317" s="63">
        <v>-377455</v>
      </c>
      <c r="CR317" s="63">
        <v>0</v>
      </c>
      <c r="CS317" s="63">
        <v>0</v>
      </c>
      <c r="CT317" s="63">
        <v>0</v>
      </c>
      <c r="CU317" s="63">
        <v>-377455</v>
      </c>
      <c r="CV317" s="63">
        <v>0</v>
      </c>
      <c r="CW317" s="63">
        <v>-377455</v>
      </c>
      <c r="CX317" s="63">
        <v>0</v>
      </c>
      <c r="CY317" s="63">
        <v>0</v>
      </c>
      <c r="CZ317" s="63">
        <v>0</v>
      </c>
      <c r="DA317" s="63">
        <v>-182837</v>
      </c>
      <c r="DB317" s="63">
        <v>0</v>
      </c>
      <c r="DC317" s="63">
        <v>-182837</v>
      </c>
      <c r="DD317" s="63">
        <v>-15539</v>
      </c>
      <c r="DE317" s="63">
        <v>0</v>
      </c>
      <c r="DF317" s="63">
        <v>-15539</v>
      </c>
      <c r="DG317" s="63">
        <v>-198376</v>
      </c>
      <c r="DH317" s="63">
        <v>0</v>
      </c>
      <c r="DI317" s="63">
        <v>0</v>
      </c>
      <c r="DJ317" s="63">
        <v>0</v>
      </c>
      <c r="DK317" s="63">
        <v>-198376</v>
      </c>
      <c r="DL317" s="63">
        <v>0</v>
      </c>
      <c r="DM317" s="63">
        <v>-198376</v>
      </c>
      <c r="DN317" s="63">
        <v>1853504639</v>
      </c>
      <c r="DO317" s="63">
        <v>0</v>
      </c>
      <c r="DP317" s="63">
        <v>1853504639</v>
      </c>
      <c r="DQ317" s="63"/>
      <c r="DR317" s="585"/>
    </row>
    <row r="318" spans="1:122" x14ac:dyDescent="0.2">
      <c r="A318" s="90">
        <v>311</v>
      </c>
      <c r="B318" s="129" t="s">
        <v>466</v>
      </c>
      <c r="C318" s="130" t="s">
        <v>742</v>
      </c>
      <c r="D318" s="131" t="s">
        <v>751</v>
      </c>
      <c r="E318" s="132" t="s">
        <v>526</v>
      </c>
      <c r="F318" s="475" t="s">
        <v>808</v>
      </c>
      <c r="G318" s="63">
        <v>44188294</v>
      </c>
      <c r="H318" s="63">
        <v>0</v>
      </c>
      <c r="I318" s="63">
        <v>44188294</v>
      </c>
      <c r="J318" s="608">
        <v>48.4</v>
      </c>
      <c r="K318" s="63">
        <v>21387134</v>
      </c>
      <c r="L318" s="63">
        <v>0</v>
      </c>
      <c r="M318" s="63">
        <v>0</v>
      </c>
      <c r="N318" s="63">
        <v>0</v>
      </c>
      <c r="O318" s="63">
        <v>21387134</v>
      </c>
      <c r="P318" s="63">
        <v>0</v>
      </c>
      <c r="Q318" s="63">
        <v>21387134</v>
      </c>
      <c r="R318" s="63">
        <v>0</v>
      </c>
      <c r="S318" s="63">
        <v>0</v>
      </c>
      <c r="T318" s="63">
        <v>0</v>
      </c>
      <c r="U318" s="63">
        <v>0</v>
      </c>
      <c r="V318" s="63">
        <v>0</v>
      </c>
      <c r="W318" s="63">
        <v>0</v>
      </c>
      <c r="X318" s="63">
        <v>0</v>
      </c>
      <c r="Y318" s="63">
        <v>0</v>
      </c>
      <c r="Z318" s="63">
        <v>0</v>
      </c>
      <c r="AA318" s="63">
        <v>0</v>
      </c>
      <c r="AB318" s="63">
        <v>0</v>
      </c>
      <c r="AC318" s="63">
        <v>0</v>
      </c>
      <c r="AD318" s="63">
        <v>0</v>
      </c>
      <c r="AE318" s="63">
        <v>0</v>
      </c>
      <c r="AF318" s="63">
        <v>0</v>
      </c>
      <c r="AG318" s="63">
        <v>0</v>
      </c>
      <c r="AH318" s="63">
        <v>-1616773</v>
      </c>
      <c r="AI318" s="63">
        <v>0</v>
      </c>
      <c r="AJ318" s="63">
        <v>-1616773</v>
      </c>
      <c r="AK318" s="63">
        <v>-1525</v>
      </c>
      <c r="AL318" s="63">
        <v>0</v>
      </c>
      <c r="AM318" s="63">
        <v>-1525</v>
      </c>
      <c r="AN318" s="63">
        <v>465487</v>
      </c>
      <c r="AO318" s="63">
        <v>0</v>
      </c>
      <c r="AP318" s="63">
        <v>465487</v>
      </c>
      <c r="AQ318" s="63">
        <v>-1151286</v>
      </c>
      <c r="AR318" s="63">
        <v>0</v>
      </c>
      <c r="AS318" s="63">
        <v>-1151286</v>
      </c>
      <c r="AT318" s="63">
        <v>-1207454</v>
      </c>
      <c r="AU318" s="63">
        <v>0</v>
      </c>
      <c r="AV318" s="63">
        <v>-1207454</v>
      </c>
      <c r="AW318" s="63">
        <v>-73725</v>
      </c>
      <c r="AX318" s="63">
        <v>0</v>
      </c>
      <c r="AY318" s="63">
        <v>-73725</v>
      </c>
      <c r="AZ318" s="63">
        <v>0</v>
      </c>
      <c r="BA318" s="63">
        <v>0</v>
      </c>
      <c r="BB318" s="63">
        <v>0</v>
      </c>
      <c r="BC318" s="63">
        <v>-2432465</v>
      </c>
      <c r="BD318" s="63">
        <v>0</v>
      </c>
      <c r="BE318" s="63">
        <v>0</v>
      </c>
      <c r="BF318" s="63">
        <v>0</v>
      </c>
      <c r="BG318" s="63">
        <v>-2432465</v>
      </c>
      <c r="BH318" s="63">
        <v>0</v>
      </c>
      <c r="BI318" s="63">
        <v>-2432465</v>
      </c>
      <c r="BJ318" s="63">
        <v>0</v>
      </c>
      <c r="BK318" s="63">
        <v>0</v>
      </c>
      <c r="BL318" s="63">
        <v>0</v>
      </c>
      <c r="BM318" s="63">
        <v>-650750</v>
      </c>
      <c r="BN318" s="63">
        <v>0</v>
      </c>
      <c r="BO318" s="63">
        <v>-650750</v>
      </c>
      <c r="BP318" s="63">
        <v>-650750</v>
      </c>
      <c r="BQ318" s="63">
        <v>0</v>
      </c>
      <c r="BR318" s="63">
        <v>0</v>
      </c>
      <c r="BS318" s="63">
        <v>0</v>
      </c>
      <c r="BT318" s="63">
        <v>-650750</v>
      </c>
      <c r="BU318" s="63">
        <v>0</v>
      </c>
      <c r="BV318" s="63">
        <v>-650750</v>
      </c>
      <c r="BW318" s="63">
        <v>-26316</v>
      </c>
      <c r="BX318" s="63">
        <v>0</v>
      </c>
      <c r="BY318" s="63">
        <v>-26316</v>
      </c>
      <c r="BZ318" s="63">
        <v>-98300</v>
      </c>
      <c r="CA318" s="63">
        <v>0</v>
      </c>
      <c r="CB318" s="63">
        <v>-98300</v>
      </c>
      <c r="CC318" s="63">
        <v>0</v>
      </c>
      <c r="CD318" s="63">
        <v>0</v>
      </c>
      <c r="CE318" s="63">
        <v>0</v>
      </c>
      <c r="CF318" s="63">
        <v>0</v>
      </c>
      <c r="CG318" s="63">
        <v>0</v>
      </c>
      <c r="CH318" s="63">
        <v>0</v>
      </c>
      <c r="CI318" s="63">
        <v>0</v>
      </c>
      <c r="CJ318" s="63">
        <v>0</v>
      </c>
      <c r="CK318" s="63">
        <v>0</v>
      </c>
      <c r="CL318" s="63">
        <v>0</v>
      </c>
      <c r="CM318" s="63">
        <v>0</v>
      </c>
      <c r="CN318" s="63">
        <v>0</v>
      </c>
      <c r="CO318" s="63">
        <v>0</v>
      </c>
      <c r="CP318" s="63">
        <v>0</v>
      </c>
      <c r="CQ318" s="63">
        <v>-124616</v>
      </c>
      <c r="CR318" s="63">
        <v>0</v>
      </c>
      <c r="CS318" s="63">
        <v>0</v>
      </c>
      <c r="CT318" s="63">
        <v>0</v>
      </c>
      <c r="CU318" s="63">
        <v>-124616</v>
      </c>
      <c r="CV318" s="63">
        <v>0</v>
      </c>
      <c r="CW318" s="63">
        <v>-124616</v>
      </c>
      <c r="CX318" s="63">
        <v>0</v>
      </c>
      <c r="CY318" s="63">
        <v>0</v>
      </c>
      <c r="CZ318" s="63">
        <v>0</v>
      </c>
      <c r="DA318" s="63">
        <v>0</v>
      </c>
      <c r="DB318" s="63">
        <v>0</v>
      </c>
      <c r="DC318" s="63">
        <v>0</v>
      </c>
      <c r="DD318" s="63">
        <v>-11</v>
      </c>
      <c r="DE318" s="63">
        <v>0</v>
      </c>
      <c r="DF318" s="63">
        <v>-11</v>
      </c>
      <c r="DG318" s="63">
        <v>-11</v>
      </c>
      <c r="DH318" s="63">
        <v>0</v>
      </c>
      <c r="DI318" s="63">
        <v>0</v>
      </c>
      <c r="DJ318" s="63">
        <v>0</v>
      </c>
      <c r="DK318" s="63">
        <v>-11</v>
      </c>
      <c r="DL318" s="63">
        <v>0</v>
      </c>
      <c r="DM318" s="63">
        <v>-11</v>
      </c>
      <c r="DN318" s="63">
        <v>18179292</v>
      </c>
      <c r="DO318" s="63">
        <v>0</v>
      </c>
      <c r="DP318" s="63">
        <v>18179292</v>
      </c>
      <c r="DQ318" s="63"/>
      <c r="DR318" s="585"/>
    </row>
    <row r="319" spans="1:122" x14ac:dyDescent="0.2">
      <c r="A319" s="90">
        <v>312</v>
      </c>
      <c r="B319" s="133" t="s">
        <v>468</v>
      </c>
      <c r="C319" s="134" t="s">
        <v>749</v>
      </c>
      <c r="D319" s="135" t="s">
        <v>744</v>
      </c>
      <c r="E319" s="136" t="s">
        <v>467</v>
      </c>
      <c r="F319" s="475" t="s">
        <v>808</v>
      </c>
      <c r="G319" s="63">
        <v>207584490</v>
      </c>
      <c r="H319" s="63">
        <v>0</v>
      </c>
      <c r="I319" s="63">
        <v>207584490</v>
      </c>
      <c r="J319" s="608">
        <v>48.4</v>
      </c>
      <c r="K319" s="63">
        <v>100470893</v>
      </c>
      <c r="L319" s="63">
        <v>0</v>
      </c>
      <c r="M319" s="63">
        <v>0</v>
      </c>
      <c r="N319" s="63">
        <v>0</v>
      </c>
      <c r="O319" s="63">
        <v>100470893</v>
      </c>
      <c r="P319" s="63">
        <v>0</v>
      </c>
      <c r="Q319" s="63">
        <v>100470893</v>
      </c>
      <c r="R319" s="63">
        <v>0</v>
      </c>
      <c r="S319" s="63">
        <v>0</v>
      </c>
      <c r="T319" s="63">
        <v>0</v>
      </c>
      <c r="U319" s="63">
        <v>0</v>
      </c>
      <c r="V319" s="63">
        <v>0</v>
      </c>
      <c r="W319" s="63">
        <v>0</v>
      </c>
      <c r="X319" s="63">
        <v>0</v>
      </c>
      <c r="Y319" s="63">
        <v>0</v>
      </c>
      <c r="Z319" s="63">
        <v>0</v>
      </c>
      <c r="AA319" s="63">
        <v>0</v>
      </c>
      <c r="AB319" s="63">
        <v>0</v>
      </c>
      <c r="AC319" s="63">
        <v>0</v>
      </c>
      <c r="AD319" s="63">
        <v>0</v>
      </c>
      <c r="AE319" s="63">
        <v>0</v>
      </c>
      <c r="AF319" s="63">
        <v>0</v>
      </c>
      <c r="AG319" s="63">
        <v>0</v>
      </c>
      <c r="AH319" s="63">
        <v>-7052363</v>
      </c>
      <c r="AI319" s="63">
        <v>0</v>
      </c>
      <c r="AJ319" s="63">
        <v>-7052363</v>
      </c>
      <c r="AK319" s="63">
        <v>-33201</v>
      </c>
      <c r="AL319" s="63">
        <v>0</v>
      </c>
      <c r="AM319" s="63">
        <v>-33201</v>
      </c>
      <c r="AN319" s="63">
        <v>2245784</v>
      </c>
      <c r="AO319" s="63">
        <v>0</v>
      </c>
      <c r="AP319" s="63">
        <v>2245784</v>
      </c>
      <c r="AQ319" s="63">
        <v>-4806579</v>
      </c>
      <c r="AR319" s="63">
        <v>0</v>
      </c>
      <c r="AS319" s="63">
        <v>-4806579</v>
      </c>
      <c r="AT319" s="63">
        <v>-5362625</v>
      </c>
      <c r="AU319" s="63">
        <v>0</v>
      </c>
      <c r="AV319" s="63">
        <v>-5362625</v>
      </c>
      <c r="AW319" s="63">
        <v>-155214</v>
      </c>
      <c r="AX319" s="63">
        <v>0</v>
      </c>
      <c r="AY319" s="63">
        <v>-155214</v>
      </c>
      <c r="AZ319" s="63">
        <v>0</v>
      </c>
      <c r="BA319" s="63">
        <v>0</v>
      </c>
      <c r="BB319" s="63">
        <v>0</v>
      </c>
      <c r="BC319" s="63">
        <v>-10324418</v>
      </c>
      <c r="BD319" s="63">
        <v>0</v>
      </c>
      <c r="BE319" s="63">
        <v>0</v>
      </c>
      <c r="BF319" s="63">
        <v>0</v>
      </c>
      <c r="BG319" s="63">
        <v>-10324418</v>
      </c>
      <c r="BH319" s="63">
        <v>0</v>
      </c>
      <c r="BI319" s="63">
        <v>-10324418</v>
      </c>
      <c r="BJ319" s="63">
        <v>-52556</v>
      </c>
      <c r="BK319" s="63">
        <v>0</v>
      </c>
      <c r="BL319" s="63">
        <v>-52556</v>
      </c>
      <c r="BM319" s="63">
        <v>-4064118</v>
      </c>
      <c r="BN319" s="63">
        <v>0</v>
      </c>
      <c r="BO319" s="63">
        <v>-4064118</v>
      </c>
      <c r="BP319" s="63">
        <v>-4116674</v>
      </c>
      <c r="BQ319" s="63">
        <v>0</v>
      </c>
      <c r="BR319" s="63">
        <v>0</v>
      </c>
      <c r="BS319" s="63">
        <v>0</v>
      </c>
      <c r="BT319" s="63">
        <v>-4116674</v>
      </c>
      <c r="BU319" s="63">
        <v>0</v>
      </c>
      <c r="BV319" s="63">
        <v>-4116674</v>
      </c>
      <c r="BW319" s="63">
        <v>-741113</v>
      </c>
      <c r="BX319" s="63">
        <v>0</v>
      </c>
      <c r="BY319" s="63">
        <v>-741113</v>
      </c>
      <c r="BZ319" s="63">
        <v>-403384</v>
      </c>
      <c r="CA319" s="63">
        <v>0</v>
      </c>
      <c r="CB319" s="63">
        <v>-403384</v>
      </c>
      <c r="CC319" s="63">
        <v>-20680</v>
      </c>
      <c r="CD319" s="63">
        <v>0</v>
      </c>
      <c r="CE319" s="63">
        <v>-20680</v>
      </c>
      <c r="CF319" s="63">
        <v>0</v>
      </c>
      <c r="CG319" s="63">
        <v>0</v>
      </c>
      <c r="CH319" s="63">
        <v>0</v>
      </c>
      <c r="CI319" s="63">
        <v>0</v>
      </c>
      <c r="CJ319" s="63">
        <v>0</v>
      </c>
      <c r="CK319" s="63">
        <v>0</v>
      </c>
      <c r="CL319" s="63">
        <v>0</v>
      </c>
      <c r="CM319" s="63">
        <v>0</v>
      </c>
      <c r="CN319" s="63">
        <v>0</v>
      </c>
      <c r="CO319" s="63">
        <v>0</v>
      </c>
      <c r="CP319" s="63">
        <v>0</v>
      </c>
      <c r="CQ319" s="63">
        <v>-1165177</v>
      </c>
      <c r="CR319" s="63">
        <v>0</v>
      </c>
      <c r="CS319" s="63">
        <v>0</v>
      </c>
      <c r="CT319" s="63">
        <v>0</v>
      </c>
      <c r="CU319" s="63">
        <v>-1165177</v>
      </c>
      <c r="CV319" s="63">
        <v>0</v>
      </c>
      <c r="CW319" s="63">
        <v>-1165177</v>
      </c>
      <c r="CX319" s="63">
        <v>0</v>
      </c>
      <c r="CY319" s="63">
        <v>0</v>
      </c>
      <c r="CZ319" s="63">
        <v>0</v>
      </c>
      <c r="DA319" s="63">
        <v>-84900</v>
      </c>
      <c r="DB319" s="63">
        <v>0</v>
      </c>
      <c r="DC319" s="63">
        <v>-84900</v>
      </c>
      <c r="DD319" s="63">
        <v>0</v>
      </c>
      <c r="DE319" s="63">
        <v>0</v>
      </c>
      <c r="DF319" s="63">
        <v>0</v>
      </c>
      <c r="DG319" s="63">
        <v>-84900</v>
      </c>
      <c r="DH319" s="63">
        <v>0</v>
      </c>
      <c r="DI319" s="63">
        <v>0</v>
      </c>
      <c r="DJ319" s="63">
        <v>0</v>
      </c>
      <c r="DK319" s="63">
        <v>-84900</v>
      </c>
      <c r="DL319" s="63">
        <v>0</v>
      </c>
      <c r="DM319" s="63">
        <v>-84900</v>
      </c>
      <c r="DN319" s="63">
        <v>84779724</v>
      </c>
      <c r="DO319" s="63">
        <v>0</v>
      </c>
      <c r="DP319" s="63">
        <v>84779724</v>
      </c>
      <c r="DQ319" s="63"/>
      <c r="DR319" s="585"/>
    </row>
    <row r="320" spans="1:122" x14ac:dyDescent="0.2">
      <c r="A320" s="90">
        <v>313</v>
      </c>
      <c r="B320" s="129" t="s">
        <v>470</v>
      </c>
      <c r="C320" s="130" t="s">
        <v>501</v>
      </c>
      <c r="D320" s="131" t="s">
        <v>751</v>
      </c>
      <c r="E320" s="132" t="s">
        <v>469</v>
      </c>
      <c r="F320" s="475" t="s">
        <v>808</v>
      </c>
      <c r="G320" s="63">
        <v>361996777</v>
      </c>
      <c r="H320" s="63">
        <v>0</v>
      </c>
      <c r="I320" s="63">
        <v>361996777</v>
      </c>
      <c r="J320" s="608">
        <v>48.4</v>
      </c>
      <c r="K320" s="63">
        <v>175206440</v>
      </c>
      <c r="L320" s="63">
        <v>0</v>
      </c>
      <c r="M320" s="63">
        <v>-4645105</v>
      </c>
      <c r="N320" s="63">
        <v>0</v>
      </c>
      <c r="O320" s="63">
        <v>170561335</v>
      </c>
      <c r="P320" s="63">
        <v>0</v>
      </c>
      <c r="Q320" s="63">
        <v>170561335</v>
      </c>
      <c r="R320" s="63">
        <v>0</v>
      </c>
      <c r="S320" s="63">
        <v>0</v>
      </c>
      <c r="T320" s="63">
        <v>0</v>
      </c>
      <c r="U320" s="63">
        <v>0</v>
      </c>
      <c r="V320" s="63">
        <v>0</v>
      </c>
      <c r="W320" s="63">
        <v>0</v>
      </c>
      <c r="X320" s="63">
        <v>0</v>
      </c>
      <c r="Y320" s="63">
        <v>0</v>
      </c>
      <c r="Z320" s="63">
        <v>0</v>
      </c>
      <c r="AA320" s="63">
        <v>0</v>
      </c>
      <c r="AB320" s="63">
        <v>0</v>
      </c>
      <c r="AC320" s="63">
        <v>0</v>
      </c>
      <c r="AD320" s="63">
        <v>0</v>
      </c>
      <c r="AE320" s="63">
        <v>0</v>
      </c>
      <c r="AF320" s="63">
        <v>0</v>
      </c>
      <c r="AG320" s="63">
        <v>0</v>
      </c>
      <c r="AH320" s="63">
        <v>-10140269</v>
      </c>
      <c r="AI320" s="63">
        <v>0</v>
      </c>
      <c r="AJ320" s="63">
        <v>-10140269</v>
      </c>
      <c r="AK320" s="63">
        <v>-26575</v>
      </c>
      <c r="AL320" s="63">
        <v>0</v>
      </c>
      <c r="AM320" s="63">
        <v>-26575</v>
      </c>
      <c r="AN320" s="63">
        <v>3924668</v>
      </c>
      <c r="AO320" s="63">
        <v>0</v>
      </c>
      <c r="AP320" s="63">
        <v>3924668</v>
      </c>
      <c r="AQ320" s="63">
        <v>-6215601</v>
      </c>
      <c r="AR320" s="63">
        <v>0</v>
      </c>
      <c r="AS320" s="63">
        <v>-6215601</v>
      </c>
      <c r="AT320" s="63">
        <v>-10797611</v>
      </c>
      <c r="AU320" s="63">
        <v>0</v>
      </c>
      <c r="AV320" s="63">
        <v>-10797611</v>
      </c>
      <c r="AW320" s="63">
        <v>-190824</v>
      </c>
      <c r="AX320" s="63">
        <v>0</v>
      </c>
      <c r="AY320" s="63">
        <v>-190824</v>
      </c>
      <c r="AZ320" s="63">
        <v>-248256</v>
      </c>
      <c r="BA320" s="63">
        <v>0</v>
      </c>
      <c r="BB320" s="63">
        <v>-248256</v>
      </c>
      <c r="BC320" s="63">
        <v>-17452292</v>
      </c>
      <c r="BD320" s="63">
        <v>0</v>
      </c>
      <c r="BE320" s="63">
        <v>-414626</v>
      </c>
      <c r="BF320" s="63">
        <v>0</v>
      </c>
      <c r="BG320" s="63">
        <v>-17866918</v>
      </c>
      <c r="BH320" s="63">
        <v>0</v>
      </c>
      <c r="BI320" s="63">
        <v>-17866918</v>
      </c>
      <c r="BJ320" s="63">
        <v>-80000</v>
      </c>
      <c r="BK320" s="63">
        <v>0</v>
      </c>
      <c r="BL320" s="63">
        <v>-80000</v>
      </c>
      <c r="BM320" s="63">
        <v>-2681781</v>
      </c>
      <c r="BN320" s="63">
        <v>0</v>
      </c>
      <c r="BO320" s="63">
        <v>-2681781</v>
      </c>
      <c r="BP320" s="63">
        <v>-2761781</v>
      </c>
      <c r="BQ320" s="63">
        <v>0</v>
      </c>
      <c r="BR320" s="63">
        <v>-178432</v>
      </c>
      <c r="BS320" s="63">
        <v>0</v>
      </c>
      <c r="BT320" s="63">
        <v>-2940213</v>
      </c>
      <c r="BU320" s="63">
        <v>0</v>
      </c>
      <c r="BV320" s="63">
        <v>-2940213</v>
      </c>
      <c r="BW320" s="63">
        <v>-292960</v>
      </c>
      <c r="BX320" s="63">
        <v>0</v>
      </c>
      <c r="BY320" s="63">
        <v>-292960</v>
      </c>
      <c r="BZ320" s="63">
        <v>-55323</v>
      </c>
      <c r="CA320" s="63">
        <v>0</v>
      </c>
      <c r="CB320" s="63">
        <v>-55323</v>
      </c>
      <c r="CC320" s="63">
        <v>0</v>
      </c>
      <c r="CD320" s="63">
        <v>0</v>
      </c>
      <c r="CE320" s="63">
        <v>0</v>
      </c>
      <c r="CF320" s="63">
        <v>-253982</v>
      </c>
      <c r="CG320" s="63">
        <v>0</v>
      </c>
      <c r="CH320" s="63">
        <v>-253982</v>
      </c>
      <c r="CI320" s="63">
        <v>0</v>
      </c>
      <c r="CJ320" s="63">
        <v>0</v>
      </c>
      <c r="CK320" s="63">
        <v>0</v>
      </c>
      <c r="CL320" s="63">
        <v>-15000</v>
      </c>
      <c r="CM320" s="63">
        <v>0</v>
      </c>
      <c r="CN320" s="63">
        <v>-15000</v>
      </c>
      <c r="CO320" s="63">
        <v>0</v>
      </c>
      <c r="CP320" s="63">
        <v>0</v>
      </c>
      <c r="CQ320" s="63">
        <v>-617265</v>
      </c>
      <c r="CR320" s="63">
        <v>0</v>
      </c>
      <c r="CS320" s="63">
        <v>4156</v>
      </c>
      <c r="CT320" s="63">
        <v>0</v>
      </c>
      <c r="CU320" s="63">
        <v>-613109</v>
      </c>
      <c r="CV320" s="63">
        <v>0</v>
      </c>
      <c r="CW320" s="63">
        <v>-613109</v>
      </c>
      <c r="CX320" s="63">
        <v>-116621</v>
      </c>
      <c r="CY320" s="63">
        <v>0</v>
      </c>
      <c r="CZ320" s="63">
        <v>-116621</v>
      </c>
      <c r="DA320" s="63">
        <v>-40605</v>
      </c>
      <c r="DB320" s="63">
        <v>0</v>
      </c>
      <c r="DC320" s="63">
        <v>-40605</v>
      </c>
      <c r="DD320" s="63">
        <v>0</v>
      </c>
      <c r="DE320" s="63">
        <v>0</v>
      </c>
      <c r="DF320" s="63">
        <v>0</v>
      </c>
      <c r="DG320" s="63">
        <v>-157226</v>
      </c>
      <c r="DH320" s="63">
        <v>0</v>
      </c>
      <c r="DI320" s="63">
        <v>-11175</v>
      </c>
      <c r="DJ320" s="63">
        <v>0</v>
      </c>
      <c r="DK320" s="63">
        <v>-168401</v>
      </c>
      <c r="DL320" s="63">
        <v>0</v>
      </c>
      <c r="DM320" s="63">
        <v>-168401</v>
      </c>
      <c r="DN320" s="63">
        <v>148972694</v>
      </c>
      <c r="DO320" s="63">
        <v>0</v>
      </c>
      <c r="DP320" s="63">
        <v>148972694</v>
      </c>
      <c r="DQ320" s="63"/>
      <c r="DR320" s="585"/>
    </row>
    <row r="321" spans="1:122" x14ac:dyDescent="0.2">
      <c r="A321" s="90">
        <v>314</v>
      </c>
      <c r="B321" s="129" t="s">
        <v>472</v>
      </c>
      <c r="C321" s="130" t="s">
        <v>742</v>
      </c>
      <c r="D321" s="131" t="s">
        <v>743</v>
      </c>
      <c r="E321" s="132" t="s">
        <v>471</v>
      </c>
      <c r="F321" s="475" t="s">
        <v>808</v>
      </c>
      <c r="G321" s="63">
        <v>134582353</v>
      </c>
      <c r="H321" s="63">
        <v>0</v>
      </c>
      <c r="I321" s="63">
        <v>134582353</v>
      </c>
      <c r="J321" s="608">
        <v>48.4</v>
      </c>
      <c r="K321" s="63">
        <v>65137859</v>
      </c>
      <c r="L321" s="63">
        <v>0</v>
      </c>
      <c r="M321" s="63">
        <v>0</v>
      </c>
      <c r="N321" s="63">
        <v>0</v>
      </c>
      <c r="O321" s="63">
        <v>65137859</v>
      </c>
      <c r="P321" s="63">
        <v>0</v>
      </c>
      <c r="Q321" s="63">
        <v>65137859</v>
      </c>
      <c r="R321" s="63">
        <v>0</v>
      </c>
      <c r="S321" s="63">
        <v>0</v>
      </c>
      <c r="T321" s="63">
        <v>0</v>
      </c>
      <c r="U321" s="63">
        <v>0</v>
      </c>
      <c r="V321" s="63">
        <v>0</v>
      </c>
      <c r="W321" s="63">
        <v>0</v>
      </c>
      <c r="X321" s="63">
        <v>0</v>
      </c>
      <c r="Y321" s="63">
        <v>0</v>
      </c>
      <c r="Z321" s="63">
        <v>0</v>
      </c>
      <c r="AA321" s="63">
        <v>0</v>
      </c>
      <c r="AB321" s="63">
        <v>0</v>
      </c>
      <c r="AC321" s="63">
        <v>0</v>
      </c>
      <c r="AD321" s="63">
        <v>0</v>
      </c>
      <c r="AE321" s="63">
        <v>0</v>
      </c>
      <c r="AF321" s="63">
        <v>0</v>
      </c>
      <c r="AG321" s="63">
        <v>0</v>
      </c>
      <c r="AH321" s="63">
        <v>-2790955</v>
      </c>
      <c r="AI321" s="63">
        <v>0</v>
      </c>
      <c r="AJ321" s="63">
        <v>-2790955</v>
      </c>
      <c r="AK321" s="63">
        <v>-3480</v>
      </c>
      <c r="AL321" s="63">
        <v>0</v>
      </c>
      <c r="AM321" s="63">
        <v>-3480</v>
      </c>
      <c r="AN321" s="63">
        <v>1766120</v>
      </c>
      <c r="AO321" s="63">
        <v>0</v>
      </c>
      <c r="AP321" s="63">
        <v>1766120</v>
      </c>
      <c r="AQ321" s="63">
        <v>-1024835</v>
      </c>
      <c r="AR321" s="63">
        <v>0</v>
      </c>
      <c r="AS321" s="63">
        <v>-1024835</v>
      </c>
      <c r="AT321" s="63">
        <v>-3425811</v>
      </c>
      <c r="AU321" s="63">
        <v>0</v>
      </c>
      <c r="AV321" s="63">
        <v>-3425811</v>
      </c>
      <c r="AW321" s="63">
        <v>-45375</v>
      </c>
      <c r="AX321" s="63">
        <v>0</v>
      </c>
      <c r="AY321" s="63">
        <v>-45375</v>
      </c>
      <c r="AZ321" s="63">
        <v>-13678</v>
      </c>
      <c r="BA321" s="63">
        <v>0</v>
      </c>
      <c r="BB321" s="63">
        <v>-13678</v>
      </c>
      <c r="BC321" s="63">
        <v>-4509699</v>
      </c>
      <c r="BD321" s="63">
        <v>0</v>
      </c>
      <c r="BE321" s="63">
        <v>-98919</v>
      </c>
      <c r="BF321" s="63">
        <v>0</v>
      </c>
      <c r="BG321" s="63">
        <v>-4608618</v>
      </c>
      <c r="BH321" s="63">
        <v>0</v>
      </c>
      <c r="BI321" s="63">
        <v>-4608618</v>
      </c>
      <c r="BJ321" s="63">
        <v>-45030</v>
      </c>
      <c r="BK321" s="63">
        <v>0</v>
      </c>
      <c r="BL321" s="63">
        <v>-45030</v>
      </c>
      <c r="BM321" s="63">
        <v>-1219407</v>
      </c>
      <c r="BN321" s="63">
        <v>0</v>
      </c>
      <c r="BO321" s="63">
        <v>-1219407</v>
      </c>
      <c r="BP321" s="63">
        <v>-1264437</v>
      </c>
      <c r="BQ321" s="63">
        <v>0</v>
      </c>
      <c r="BR321" s="63">
        <v>-134976</v>
      </c>
      <c r="BS321" s="63">
        <v>0</v>
      </c>
      <c r="BT321" s="63">
        <v>-1399413</v>
      </c>
      <c r="BU321" s="63">
        <v>0</v>
      </c>
      <c r="BV321" s="63">
        <v>-1399413</v>
      </c>
      <c r="BW321" s="63">
        <v>-67257</v>
      </c>
      <c r="BX321" s="63">
        <v>0</v>
      </c>
      <c r="BY321" s="63">
        <v>-67257</v>
      </c>
      <c r="BZ321" s="63">
        <v>-188031</v>
      </c>
      <c r="CA321" s="63">
        <v>0</v>
      </c>
      <c r="CB321" s="63">
        <v>-188031</v>
      </c>
      <c r="CC321" s="63">
        <v>-4120</v>
      </c>
      <c r="CD321" s="63">
        <v>0</v>
      </c>
      <c r="CE321" s="63">
        <v>-4120</v>
      </c>
      <c r="CF321" s="63">
        <v>-7422</v>
      </c>
      <c r="CG321" s="63">
        <v>0</v>
      </c>
      <c r="CH321" s="63">
        <v>-7422</v>
      </c>
      <c r="CI321" s="63">
        <v>-7571</v>
      </c>
      <c r="CJ321" s="63">
        <v>0</v>
      </c>
      <c r="CK321" s="63">
        <v>-7571</v>
      </c>
      <c r="CL321" s="63">
        <v>0</v>
      </c>
      <c r="CM321" s="63">
        <v>0</v>
      </c>
      <c r="CN321" s="63">
        <v>0</v>
      </c>
      <c r="CO321" s="63">
        <v>0</v>
      </c>
      <c r="CP321" s="63">
        <v>0</v>
      </c>
      <c r="CQ321" s="63">
        <v>-274401</v>
      </c>
      <c r="CR321" s="63">
        <v>0</v>
      </c>
      <c r="CS321" s="63">
        <v>0</v>
      </c>
      <c r="CT321" s="63">
        <v>0</v>
      </c>
      <c r="CU321" s="63">
        <v>-274401</v>
      </c>
      <c r="CV321" s="63">
        <v>0</v>
      </c>
      <c r="CW321" s="63">
        <v>-274401</v>
      </c>
      <c r="CX321" s="63">
        <v>0</v>
      </c>
      <c r="CY321" s="63">
        <v>0</v>
      </c>
      <c r="CZ321" s="63">
        <v>0</v>
      </c>
      <c r="DA321" s="63">
        <v>-5025</v>
      </c>
      <c r="DB321" s="63">
        <v>0</v>
      </c>
      <c r="DC321" s="63">
        <v>-5025</v>
      </c>
      <c r="DD321" s="63">
        <v>-15345</v>
      </c>
      <c r="DE321" s="63">
        <v>0</v>
      </c>
      <c r="DF321" s="63">
        <v>-15345</v>
      </c>
      <c r="DG321" s="63">
        <v>-20370</v>
      </c>
      <c r="DH321" s="63">
        <v>0</v>
      </c>
      <c r="DI321" s="63">
        <v>0</v>
      </c>
      <c r="DJ321" s="63">
        <v>0</v>
      </c>
      <c r="DK321" s="63">
        <v>-20370</v>
      </c>
      <c r="DL321" s="63">
        <v>0</v>
      </c>
      <c r="DM321" s="63">
        <v>-20370</v>
      </c>
      <c r="DN321" s="63">
        <v>58835057</v>
      </c>
      <c r="DO321" s="63">
        <v>0</v>
      </c>
      <c r="DP321" s="63">
        <v>58835057</v>
      </c>
      <c r="DQ321" s="63"/>
      <c r="DR321" s="585"/>
    </row>
    <row r="322" spans="1:122" x14ac:dyDescent="0.2">
      <c r="A322" s="90">
        <v>315</v>
      </c>
      <c r="B322" s="129" t="s">
        <v>473</v>
      </c>
      <c r="C322" s="130" t="s">
        <v>501</v>
      </c>
      <c r="D322" s="131" t="s">
        <v>743</v>
      </c>
      <c r="E322" s="132" t="s">
        <v>509</v>
      </c>
      <c r="F322" s="475" t="s">
        <v>808</v>
      </c>
      <c r="G322" s="63">
        <v>190506150</v>
      </c>
      <c r="H322" s="63">
        <v>0</v>
      </c>
      <c r="I322" s="63">
        <v>190506150</v>
      </c>
      <c r="J322" s="608">
        <v>48.4</v>
      </c>
      <c r="K322" s="63">
        <v>92204977</v>
      </c>
      <c r="L322" s="63">
        <v>0</v>
      </c>
      <c r="M322" s="63">
        <v>1087785</v>
      </c>
      <c r="N322" s="63">
        <v>0</v>
      </c>
      <c r="O322" s="63">
        <v>93292762</v>
      </c>
      <c r="P322" s="63">
        <v>0</v>
      </c>
      <c r="Q322" s="63">
        <v>93292762</v>
      </c>
      <c r="R322" s="63">
        <v>0</v>
      </c>
      <c r="S322" s="63">
        <v>0</v>
      </c>
      <c r="T322" s="63">
        <v>0</v>
      </c>
      <c r="U322" s="63">
        <v>0</v>
      </c>
      <c r="V322" s="63">
        <v>0</v>
      </c>
      <c r="W322" s="63">
        <v>0</v>
      </c>
      <c r="X322" s="63">
        <v>0</v>
      </c>
      <c r="Y322" s="63">
        <v>0</v>
      </c>
      <c r="Z322" s="63">
        <v>0</v>
      </c>
      <c r="AA322" s="63">
        <v>0</v>
      </c>
      <c r="AB322" s="63">
        <v>0</v>
      </c>
      <c r="AC322" s="63">
        <v>0</v>
      </c>
      <c r="AD322" s="63">
        <v>0</v>
      </c>
      <c r="AE322" s="63">
        <v>0</v>
      </c>
      <c r="AF322" s="63">
        <v>0</v>
      </c>
      <c r="AG322" s="63">
        <v>0</v>
      </c>
      <c r="AH322" s="63">
        <v>-1797002</v>
      </c>
      <c r="AI322" s="63">
        <v>0</v>
      </c>
      <c r="AJ322" s="63">
        <v>-1797002</v>
      </c>
      <c r="AK322" s="63">
        <v>0</v>
      </c>
      <c r="AL322" s="63">
        <v>0</v>
      </c>
      <c r="AM322" s="63">
        <v>0</v>
      </c>
      <c r="AN322" s="63">
        <v>2244606</v>
      </c>
      <c r="AO322" s="63">
        <v>0</v>
      </c>
      <c r="AP322" s="63">
        <v>2244606</v>
      </c>
      <c r="AQ322" s="63">
        <v>447604</v>
      </c>
      <c r="AR322" s="63">
        <v>0</v>
      </c>
      <c r="AS322" s="63">
        <v>447604</v>
      </c>
      <c r="AT322" s="63">
        <v>-6288733</v>
      </c>
      <c r="AU322" s="63">
        <v>0</v>
      </c>
      <c r="AV322" s="63">
        <v>-6288733</v>
      </c>
      <c r="AW322" s="63">
        <v>-80000</v>
      </c>
      <c r="AX322" s="63">
        <v>0</v>
      </c>
      <c r="AY322" s="63">
        <v>-80000</v>
      </c>
      <c r="AZ322" s="63">
        <v>-6188</v>
      </c>
      <c r="BA322" s="63">
        <v>0</v>
      </c>
      <c r="BB322" s="63">
        <v>-6188</v>
      </c>
      <c r="BC322" s="63">
        <v>-5927317</v>
      </c>
      <c r="BD322" s="63">
        <v>0</v>
      </c>
      <c r="BE322" s="63">
        <v>0</v>
      </c>
      <c r="BF322" s="63">
        <v>0</v>
      </c>
      <c r="BG322" s="63">
        <v>-5927317</v>
      </c>
      <c r="BH322" s="63">
        <v>0</v>
      </c>
      <c r="BI322" s="63">
        <v>-5927317</v>
      </c>
      <c r="BJ322" s="63">
        <v>-39923</v>
      </c>
      <c r="BK322" s="63">
        <v>0</v>
      </c>
      <c r="BL322" s="63">
        <v>-39923</v>
      </c>
      <c r="BM322" s="63">
        <v>-2545895</v>
      </c>
      <c r="BN322" s="63">
        <v>0</v>
      </c>
      <c r="BO322" s="63">
        <v>-2545895</v>
      </c>
      <c r="BP322" s="63">
        <v>-2585818</v>
      </c>
      <c r="BQ322" s="63">
        <v>0</v>
      </c>
      <c r="BR322" s="63">
        <v>0</v>
      </c>
      <c r="BS322" s="63">
        <v>0</v>
      </c>
      <c r="BT322" s="63">
        <v>-2585818</v>
      </c>
      <c r="BU322" s="63">
        <v>0</v>
      </c>
      <c r="BV322" s="63">
        <v>-2585818</v>
      </c>
      <c r="BW322" s="63">
        <v>-365896</v>
      </c>
      <c r="BX322" s="63">
        <v>0</v>
      </c>
      <c r="BY322" s="63">
        <v>-365896</v>
      </c>
      <c r="BZ322" s="63">
        <v>-135518</v>
      </c>
      <c r="CA322" s="63">
        <v>0</v>
      </c>
      <c r="CB322" s="63">
        <v>-135518</v>
      </c>
      <c r="CC322" s="63">
        <v>-20000</v>
      </c>
      <c r="CD322" s="63">
        <v>0</v>
      </c>
      <c r="CE322" s="63">
        <v>-20000</v>
      </c>
      <c r="CF322" s="63">
        <v>0</v>
      </c>
      <c r="CG322" s="63">
        <v>0</v>
      </c>
      <c r="CH322" s="63">
        <v>0</v>
      </c>
      <c r="CI322" s="63">
        <v>-15921</v>
      </c>
      <c r="CJ322" s="63">
        <v>0</v>
      </c>
      <c r="CK322" s="63">
        <v>-15921</v>
      </c>
      <c r="CL322" s="63">
        <v>-74602</v>
      </c>
      <c r="CM322" s="63">
        <v>0</v>
      </c>
      <c r="CN322" s="63">
        <v>-74602</v>
      </c>
      <c r="CO322" s="63">
        <v>0</v>
      </c>
      <c r="CP322" s="63">
        <v>0</v>
      </c>
      <c r="CQ322" s="63">
        <v>-611937</v>
      </c>
      <c r="CR322" s="63">
        <v>0</v>
      </c>
      <c r="CS322" s="63">
        <v>0</v>
      </c>
      <c r="CT322" s="63">
        <v>0</v>
      </c>
      <c r="CU322" s="63">
        <v>-611937</v>
      </c>
      <c r="CV322" s="63">
        <v>0</v>
      </c>
      <c r="CW322" s="63">
        <v>-611937</v>
      </c>
      <c r="CX322" s="63">
        <v>0</v>
      </c>
      <c r="CY322" s="63">
        <v>0</v>
      </c>
      <c r="CZ322" s="63">
        <v>0</v>
      </c>
      <c r="DA322" s="63">
        <v>-127325</v>
      </c>
      <c r="DB322" s="63">
        <v>0</v>
      </c>
      <c r="DC322" s="63">
        <v>-127325</v>
      </c>
      <c r="DD322" s="63">
        <v>-29321</v>
      </c>
      <c r="DE322" s="63">
        <v>0</v>
      </c>
      <c r="DF322" s="63">
        <v>-29321</v>
      </c>
      <c r="DG322" s="63">
        <v>-156646</v>
      </c>
      <c r="DH322" s="63">
        <v>0</v>
      </c>
      <c r="DI322" s="63">
        <v>0</v>
      </c>
      <c r="DJ322" s="63">
        <v>0</v>
      </c>
      <c r="DK322" s="63">
        <v>-156646</v>
      </c>
      <c r="DL322" s="63">
        <v>0</v>
      </c>
      <c r="DM322" s="63">
        <v>-156646</v>
      </c>
      <c r="DN322" s="63">
        <v>84011044</v>
      </c>
      <c r="DO322" s="63">
        <v>0</v>
      </c>
      <c r="DP322" s="63">
        <v>84011044</v>
      </c>
      <c r="DQ322" s="63"/>
      <c r="DR322" s="585"/>
    </row>
    <row r="323" spans="1:122" x14ac:dyDescent="0.2">
      <c r="A323" s="90">
        <v>316</v>
      </c>
      <c r="B323" s="129" t="s">
        <v>475</v>
      </c>
      <c r="C323" s="130" t="s">
        <v>749</v>
      </c>
      <c r="D323" s="131" t="s">
        <v>744</v>
      </c>
      <c r="E323" s="132" t="s">
        <v>474</v>
      </c>
      <c r="F323" s="475" t="s">
        <v>808</v>
      </c>
      <c r="G323" s="63">
        <v>178881445</v>
      </c>
      <c r="H323" s="63">
        <v>2512750</v>
      </c>
      <c r="I323" s="63">
        <v>181394195</v>
      </c>
      <c r="J323" s="608">
        <v>48.4</v>
      </c>
      <c r="K323" s="63">
        <v>86578619</v>
      </c>
      <c r="L323" s="63">
        <v>1216171</v>
      </c>
      <c r="M323" s="63">
        <v>250000</v>
      </c>
      <c r="N323" s="63">
        <v>250000</v>
      </c>
      <c r="O323" s="63">
        <v>86828619</v>
      </c>
      <c r="P323" s="63">
        <v>1466171</v>
      </c>
      <c r="Q323" s="63">
        <v>88294790</v>
      </c>
      <c r="R323" s="63">
        <v>0</v>
      </c>
      <c r="S323" s="63">
        <v>0</v>
      </c>
      <c r="T323" s="63">
        <v>0</v>
      </c>
      <c r="U323" s="63">
        <v>0</v>
      </c>
      <c r="V323" s="63">
        <v>0</v>
      </c>
      <c r="W323" s="63">
        <v>0</v>
      </c>
      <c r="X323" s="63">
        <v>0</v>
      </c>
      <c r="Y323" s="63">
        <v>0</v>
      </c>
      <c r="Z323" s="63">
        <v>0</v>
      </c>
      <c r="AA323" s="63">
        <v>0</v>
      </c>
      <c r="AB323" s="63">
        <v>0</v>
      </c>
      <c r="AC323" s="63">
        <v>0</v>
      </c>
      <c r="AD323" s="63">
        <v>0</v>
      </c>
      <c r="AE323" s="63">
        <v>0</v>
      </c>
      <c r="AF323" s="63">
        <v>0</v>
      </c>
      <c r="AG323" s="63">
        <v>0</v>
      </c>
      <c r="AH323" s="63">
        <v>-6424286</v>
      </c>
      <c r="AI323" s="63">
        <v>-55465</v>
      </c>
      <c r="AJ323" s="63">
        <v>-6479751</v>
      </c>
      <c r="AK323" s="63">
        <v>-14759</v>
      </c>
      <c r="AL323" s="63">
        <v>0</v>
      </c>
      <c r="AM323" s="63">
        <v>-14759</v>
      </c>
      <c r="AN323" s="63">
        <v>1924347</v>
      </c>
      <c r="AO323" s="63">
        <v>17563</v>
      </c>
      <c r="AP323" s="63">
        <v>1941910</v>
      </c>
      <c r="AQ323" s="63">
        <v>-4499939</v>
      </c>
      <c r="AR323" s="63">
        <v>-37902</v>
      </c>
      <c r="AS323" s="63">
        <v>-4537841</v>
      </c>
      <c r="AT323" s="63">
        <v>-4436324</v>
      </c>
      <c r="AU323" s="63">
        <v>-97054</v>
      </c>
      <c r="AV323" s="63">
        <v>-4533378</v>
      </c>
      <c r="AW323" s="63">
        <v>-29721</v>
      </c>
      <c r="AX323" s="63">
        <v>0</v>
      </c>
      <c r="AY323" s="63">
        <v>-29721</v>
      </c>
      <c r="AZ323" s="63">
        <v>-596</v>
      </c>
      <c r="BA323" s="63">
        <v>0</v>
      </c>
      <c r="BB323" s="63">
        <v>-596</v>
      </c>
      <c r="BC323" s="63">
        <v>-8966580</v>
      </c>
      <c r="BD323" s="63">
        <v>-134956</v>
      </c>
      <c r="BE323" s="63">
        <v>0</v>
      </c>
      <c r="BF323" s="63">
        <v>0</v>
      </c>
      <c r="BG323" s="63">
        <v>-8966580</v>
      </c>
      <c r="BH323" s="63">
        <v>-134956</v>
      </c>
      <c r="BI323" s="63">
        <v>-9101536</v>
      </c>
      <c r="BJ323" s="63">
        <v>-150000</v>
      </c>
      <c r="BK323" s="63">
        <v>0</v>
      </c>
      <c r="BL323" s="63">
        <v>-150000</v>
      </c>
      <c r="BM323" s="63">
        <v>-2046138</v>
      </c>
      <c r="BN323" s="63">
        <v>0</v>
      </c>
      <c r="BO323" s="63">
        <v>-2046138</v>
      </c>
      <c r="BP323" s="63">
        <v>-2196138</v>
      </c>
      <c r="BQ323" s="63">
        <v>0</v>
      </c>
      <c r="BR323" s="63">
        <v>-1400000</v>
      </c>
      <c r="BS323" s="63">
        <v>0</v>
      </c>
      <c r="BT323" s="63">
        <v>-3596138</v>
      </c>
      <c r="BU323" s="63">
        <v>0</v>
      </c>
      <c r="BV323" s="63">
        <v>-3596138</v>
      </c>
      <c r="BW323" s="63">
        <v>-487319</v>
      </c>
      <c r="BX323" s="63">
        <v>0</v>
      </c>
      <c r="BY323" s="63">
        <v>-487319</v>
      </c>
      <c r="BZ323" s="63">
        <v>-139477</v>
      </c>
      <c r="CA323" s="63">
        <v>0</v>
      </c>
      <c r="CB323" s="63">
        <v>-139477</v>
      </c>
      <c r="CC323" s="63">
        <v>-7430</v>
      </c>
      <c r="CD323" s="63">
        <v>0</v>
      </c>
      <c r="CE323" s="63">
        <v>-7430</v>
      </c>
      <c r="CF323" s="63">
        <v>0</v>
      </c>
      <c r="CG323" s="63">
        <v>0</v>
      </c>
      <c r="CH323" s="63">
        <v>0</v>
      </c>
      <c r="CI323" s="63">
        <v>0</v>
      </c>
      <c r="CJ323" s="63">
        <v>0</v>
      </c>
      <c r="CK323" s="63">
        <v>0</v>
      </c>
      <c r="CL323" s="63">
        <v>0</v>
      </c>
      <c r="CM323" s="63">
        <v>0</v>
      </c>
      <c r="CN323" s="63">
        <v>0</v>
      </c>
      <c r="CO323" s="63">
        <v>0</v>
      </c>
      <c r="CP323" s="63">
        <v>0</v>
      </c>
      <c r="CQ323" s="63">
        <v>-634226</v>
      </c>
      <c r="CR323" s="63">
        <v>0</v>
      </c>
      <c r="CS323" s="63">
        <v>0</v>
      </c>
      <c r="CT323" s="63">
        <v>0</v>
      </c>
      <c r="CU323" s="63">
        <v>-634226</v>
      </c>
      <c r="CV323" s="63">
        <v>0</v>
      </c>
      <c r="CW323" s="63">
        <v>-634226</v>
      </c>
      <c r="CX323" s="63">
        <v>-50000</v>
      </c>
      <c r="CY323" s="63">
        <v>0</v>
      </c>
      <c r="CZ323" s="63">
        <v>-50000</v>
      </c>
      <c r="DA323" s="63">
        <v>-22800</v>
      </c>
      <c r="DB323" s="63">
        <v>0</v>
      </c>
      <c r="DC323" s="63">
        <v>-22800</v>
      </c>
      <c r="DD323" s="63">
        <v>-6524</v>
      </c>
      <c r="DE323" s="63">
        <v>0</v>
      </c>
      <c r="DF323" s="63">
        <v>-6524</v>
      </c>
      <c r="DG323" s="63">
        <v>-79324</v>
      </c>
      <c r="DH323" s="63">
        <v>0</v>
      </c>
      <c r="DI323" s="63">
        <v>0</v>
      </c>
      <c r="DJ323" s="63">
        <v>0</v>
      </c>
      <c r="DK323" s="63">
        <v>-79324</v>
      </c>
      <c r="DL323" s="63">
        <v>0</v>
      </c>
      <c r="DM323" s="63">
        <v>-79324</v>
      </c>
      <c r="DN323" s="63">
        <v>73552351</v>
      </c>
      <c r="DO323" s="63">
        <v>1331215</v>
      </c>
      <c r="DP323" s="63">
        <v>74883566</v>
      </c>
      <c r="DQ323" s="63"/>
      <c r="DR323" s="585" t="s">
        <v>768</v>
      </c>
    </row>
    <row r="324" spans="1:122" x14ac:dyDescent="0.2">
      <c r="A324" s="90">
        <v>317</v>
      </c>
      <c r="B324" s="129" t="s">
        <v>477</v>
      </c>
      <c r="C324" s="130" t="s">
        <v>742</v>
      </c>
      <c r="D324" s="131" t="s">
        <v>743</v>
      </c>
      <c r="E324" s="132" t="s">
        <v>476</v>
      </c>
      <c r="F324" s="475" t="s">
        <v>808</v>
      </c>
      <c r="G324" s="63">
        <v>111611112</v>
      </c>
      <c r="H324" s="63">
        <v>0</v>
      </c>
      <c r="I324" s="63">
        <v>111611112</v>
      </c>
      <c r="J324" s="608">
        <v>48.4</v>
      </c>
      <c r="K324" s="63">
        <v>54019778</v>
      </c>
      <c r="L324" s="63">
        <v>0</v>
      </c>
      <c r="M324" s="63">
        <v>0</v>
      </c>
      <c r="N324" s="63">
        <v>0</v>
      </c>
      <c r="O324" s="63">
        <v>54019778</v>
      </c>
      <c r="P324" s="63">
        <v>0</v>
      </c>
      <c r="Q324" s="63">
        <v>54019778</v>
      </c>
      <c r="R324" s="63">
        <v>0</v>
      </c>
      <c r="S324" s="63">
        <v>0</v>
      </c>
      <c r="T324" s="63">
        <v>0</v>
      </c>
      <c r="U324" s="63">
        <v>0</v>
      </c>
      <c r="V324" s="63">
        <v>0</v>
      </c>
      <c r="W324" s="63">
        <v>0</v>
      </c>
      <c r="X324" s="63">
        <v>0</v>
      </c>
      <c r="Y324" s="63">
        <v>0</v>
      </c>
      <c r="Z324" s="63">
        <v>0</v>
      </c>
      <c r="AA324" s="63">
        <v>0</v>
      </c>
      <c r="AB324" s="63">
        <v>0</v>
      </c>
      <c r="AC324" s="63">
        <v>0</v>
      </c>
      <c r="AD324" s="63">
        <v>0</v>
      </c>
      <c r="AE324" s="63">
        <v>0</v>
      </c>
      <c r="AF324" s="63">
        <v>0</v>
      </c>
      <c r="AG324" s="63">
        <v>0</v>
      </c>
      <c r="AH324" s="63">
        <v>-1133869</v>
      </c>
      <c r="AI324" s="63">
        <v>0</v>
      </c>
      <c r="AJ324" s="63">
        <v>-1133869</v>
      </c>
      <c r="AK324" s="63">
        <v>0</v>
      </c>
      <c r="AL324" s="63">
        <v>0</v>
      </c>
      <c r="AM324" s="63">
        <v>0</v>
      </c>
      <c r="AN324" s="63">
        <v>1324983</v>
      </c>
      <c r="AO324" s="63">
        <v>0</v>
      </c>
      <c r="AP324" s="63">
        <v>1324983</v>
      </c>
      <c r="AQ324" s="63">
        <v>191114</v>
      </c>
      <c r="AR324" s="63">
        <v>0</v>
      </c>
      <c r="AS324" s="63">
        <v>191114</v>
      </c>
      <c r="AT324" s="63">
        <v>-2839848</v>
      </c>
      <c r="AU324" s="63">
        <v>0</v>
      </c>
      <c r="AV324" s="63">
        <v>-2839848</v>
      </c>
      <c r="AW324" s="63">
        <v>0</v>
      </c>
      <c r="AX324" s="63">
        <v>0</v>
      </c>
      <c r="AY324" s="63">
        <v>0</v>
      </c>
      <c r="AZ324" s="63">
        <v>-714</v>
      </c>
      <c r="BA324" s="63">
        <v>0</v>
      </c>
      <c r="BB324" s="63">
        <v>-714</v>
      </c>
      <c r="BC324" s="63">
        <v>-2649448</v>
      </c>
      <c r="BD324" s="63">
        <v>0</v>
      </c>
      <c r="BE324" s="63">
        <v>0</v>
      </c>
      <c r="BF324" s="63">
        <v>0</v>
      </c>
      <c r="BG324" s="63">
        <v>-2649448</v>
      </c>
      <c r="BH324" s="63">
        <v>0</v>
      </c>
      <c r="BI324" s="63">
        <v>-2649448</v>
      </c>
      <c r="BJ324" s="63">
        <v>0</v>
      </c>
      <c r="BK324" s="63">
        <v>0</v>
      </c>
      <c r="BL324" s="63">
        <v>0</v>
      </c>
      <c r="BM324" s="63">
        <v>-1491943</v>
      </c>
      <c r="BN324" s="63">
        <v>0</v>
      </c>
      <c r="BO324" s="63">
        <v>-1491943</v>
      </c>
      <c r="BP324" s="63">
        <v>-1491943</v>
      </c>
      <c r="BQ324" s="63">
        <v>0</v>
      </c>
      <c r="BR324" s="63">
        <v>0</v>
      </c>
      <c r="BS324" s="63">
        <v>0</v>
      </c>
      <c r="BT324" s="63">
        <v>-1491943</v>
      </c>
      <c r="BU324" s="63">
        <v>0</v>
      </c>
      <c r="BV324" s="63">
        <v>-1491943</v>
      </c>
      <c r="BW324" s="63">
        <v>-363476</v>
      </c>
      <c r="BX324" s="63">
        <v>0</v>
      </c>
      <c r="BY324" s="63">
        <v>-363476</v>
      </c>
      <c r="BZ324" s="63">
        <v>-65858</v>
      </c>
      <c r="CA324" s="63">
        <v>0</v>
      </c>
      <c r="CB324" s="63">
        <v>-65858</v>
      </c>
      <c r="CC324" s="63">
        <v>0</v>
      </c>
      <c r="CD324" s="63">
        <v>0</v>
      </c>
      <c r="CE324" s="63">
        <v>0</v>
      </c>
      <c r="CF324" s="63">
        <v>0</v>
      </c>
      <c r="CG324" s="63">
        <v>0</v>
      </c>
      <c r="CH324" s="63">
        <v>0</v>
      </c>
      <c r="CI324" s="63">
        <v>0</v>
      </c>
      <c r="CJ324" s="63">
        <v>0</v>
      </c>
      <c r="CK324" s="63">
        <v>0</v>
      </c>
      <c r="CL324" s="63">
        <v>-267477</v>
      </c>
      <c r="CM324" s="63">
        <v>0</v>
      </c>
      <c r="CN324" s="63">
        <v>-267477</v>
      </c>
      <c r="CO324" s="63">
        <v>0</v>
      </c>
      <c r="CP324" s="63">
        <v>0</v>
      </c>
      <c r="CQ324" s="63">
        <v>-696811</v>
      </c>
      <c r="CR324" s="63">
        <v>0</v>
      </c>
      <c r="CS324" s="63">
        <v>0</v>
      </c>
      <c r="CT324" s="63">
        <v>0</v>
      </c>
      <c r="CU324" s="63">
        <v>-696811</v>
      </c>
      <c r="CV324" s="63">
        <v>0</v>
      </c>
      <c r="CW324" s="63">
        <v>-696811</v>
      </c>
      <c r="CX324" s="63">
        <v>0</v>
      </c>
      <c r="CY324" s="63">
        <v>0</v>
      </c>
      <c r="CZ324" s="63">
        <v>0</v>
      </c>
      <c r="DA324" s="63">
        <v>-4070</v>
      </c>
      <c r="DB324" s="63">
        <v>0</v>
      </c>
      <c r="DC324" s="63">
        <v>-4070</v>
      </c>
      <c r="DD324" s="63">
        <v>0</v>
      </c>
      <c r="DE324" s="63">
        <v>0</v>
      </c>
      <c r="DF324" s="63">
        <v>0</v>
      </c>
      <c r="DG324" s="63">
        <v>-4070</v>
      </c>
      <c r="DH324" s="63">
        <v>0</v>
      </c>
      <c r="DI324" s="63">
        <v>0</v>
      </c>
      <c r="DJ324" s="63">
        <v>0</v>
      </c>
      <c r="DK324" s="63">
        <v>-4070</v>
      </c>
      <c r="DL324" s="63">
        <v>0</v>
      </c>
      <c r="DM324" s="63">
        <v>-4070</v>
      </c>
      <c r="DN324" s="63">
        <v>49177506</v>
      </c>
      <c r="DO324" s="63">
        <v>0</v>
      </c>
      <c r="DP324" s="63">
        <v>49177506</v>
      </c>
      <c r="DQ324" s="63"/>
      <c r="DR324" s="585"/>
    </row>
    <row r="325" spans="1:122" x14ac:dyDescent="0.2">
      <c r="A325" s="90">
        <v>318</v>
      </c>
      <c r="B325" s="129" t="s">
        <v>478</v>
      </c>
      <c r="C325" s="130" t="s">
        <v>501</v>
      </c>
      <c r="D325" s="131" t="s">
        <v>743</v>
      </c>
      <c r="E325" s="132" t="s">
        <v>510</v>
      </c>
      <c r="F325" s="475" t="s">
        <v>808</v>
      </c>
      <c r="G325" s="63">
        <v>138315006</v>
      </c>
      <c r="H325" s="63">
        <v>0</v>
      </c>
      <c r="I325" s="63">
        <v>138315006</v>
      </c>
      <c r="J325" s="608">
        <v>48.4</v>
      </c>
      <c r="K325" s="63">
        <v>66944463</v>
      </c>
      <c r="L325" s="63">
        <v>0</v>
      </c>
      <c r="M325" s="63">
        <v>-500000</v>
      </c>
      <c r="N325" s="63">
        <v>0</v>
      </c>
      <c r="O325" s="63">
        <v>66444463</v>
      </c>
      <c r="P325" s="63">
        <v>0</v>
      </c>
      <c r="Q325" s="63">
        <v>66444463</v>
      </c>
      <c r="R325" s="63">
        <v>0</v>
      </c>
      <c r="S325" s="63">
        <v>0</v>
      </c>
      <c r="T325" s="63">
        <v>0</v>
      </c>
      <c r="U325" s="63">
        <v>0</v>
      </c>
      <c r="V325" s="63">
        <v>0</v>
      </c>
      <c r="W325" s="63">
        <v>0</v>
      </c>
      <c r="X325" s="63">
        <v>0</v>
      </c>
      <c r="Y325" s="63">
        <v>0</v>
      </c>
      <c r="Z325" s="63">
        <v>0</v>
      </c>
      <c r="AA325" s="63">
        <v>0</v>
      </c>
      <c r="AB325" s="63">
        <v>0</v>
      </c>
      <c r="AC325" s="63">
        <v>0</v>
      </c>
      <c r="AD325" s="63">
        <v>0</v>
      </c>
      <c r="AE325" s="63">
        <v>0</v>
      </c>
      <c r="AF325" s="63">
        <v>0</v>
      </c>
      <c r="AG325" s="63">
        <v>0</v>
      </c>
      <c r="AH325" s="63">
        <v>-1906249</v>
      </c>
      <c r="AI325" s="63">
        <v>0</v>
      </c>
      <c r="AJ325" s="63">
        <v>-1906249</v>
      </c>
      <c r="AK325" s="63">
        <v>-8660</v>
      </c>
      <c r="AL325" s="63">
        <v>0</v>
      </c>
      <c r="AM325" s="63">
        <v>-8660</v>
      </c>
      <c r="AN325" s="63">
        <v>1636675</v>
      </c>
      <c r="AO325" s="63">
        <v>0</v>
      </c>
      <c r="AP325" s="63">
        <v>1636675</v>
      </c>
      <c r="AQ325" s="63">
        <v>-269574</v>
      </c>
      <c r="AR325" s="63">
        <v>0</v>
      </c>
      <c r="AS325" s="63">
        <v>-269574</v>
      </c>
      <c r="AT325" s="63">
        <v>-5474834</v>
      </c>
      <c r="AU325" s="63">
        <v>0</v>
      </c>
      <c r="AV325" s="63">
        <v>-5474834</v>
      </c>
      <c r="AW325" s="63">
        <v>-55817</v>
      </c>
      <c r="AX325" s="63">
        <v>0</v>
      </c>
      <c r="AY325" s="63">
        <v>-55817</v>
      </c>
      <c r="AZ325" s="63">
        <v>-5404</v>
      </c>
      <c r="BA325" s="63">
        <v>0</v>
      </c>
      <c r="BB325" s="63">
        <v>-5404</v>
      </c>
      <c r="BC325" s="63">
        <v>-5805629</v>
      </c>
      <c r="BD325" s="63">
        <v>0</v>
      </c>
      <c r="BE325" s="63">
        <v>500000</v>
      </c>
      <c r="BF325" s="63">
        <v>0</v>
      </c>
      <c r="BG325" s="63">
        <v>-5305629</v>
      </c>
      <c r="BH325" s="63">
        <v>0</v>
      </c>
      <c r="BI325" s="63">
        <v>-5305629</v>
      </c>
      <c r="BJ325" s="63">
        <v>-26001</v>
      </c>
      <c r="BK325" s="63">
        <v>0</v>
      </c>
      <c r="BL325" s="63">
        <v>-26001</v>
      </c>
      <c r="BM325" s="63">
        <v>-2416397</v>
      </c>
      <c r="BN325" s="63">
        <v>0</v>
      </c>
      <c r="BO325" s="63">
        <v>-2416397</v>
      </c>
      <c r="BP325" s="63">
        <v>-2442398</v>
      </c>
      <c r="BQ325" s="63">
        <v>0</v>
      </c>
      <c r="BR325" s="63">
        <v>0</v>
      </c>
      <c r="BS325" s="63">
        <v>0</v>
      </c>
      <c r="BT325" s="63">
        <v>-2442398</v>
      </c>
      <c r="BU325" s="63">
        <v>0</v>
      </c>
      <c r="BV325" s="63">
        <v>-2442398</v>
      </c>
      <c r="BW325" s="63">
        <v>-7300</v>
      </c>
      <c r="BX325" s="63">
        <v>0</v>
      </c>
      <c r="BY325" s="63">
        <v>-7300</v>
      </c>
      <c r="BZ325" s="63">
        <v>-52424</v>
      </c>
      <c r="CA325" s="63">
        <v>0</v>
      </c>
      <c r="CB325" s="63">
        <v>-52424</v>
      </c>
      <c r="CC325" s="63">
        <v>-452</v>
      </c>
      <c r="CD325" s="63">
        <v>0</v>
      </c>
      <c r="CE325" s="63">
        <v>-452</v>
      </c>
      <c r="CF325" s="63">
        <v>-845</v>
      </c>
      <c r="CG325" s="63">
        <v>0</v>
      </c>
      <c r="CH325" s="63">
        <v>-845</v>
      </c>
      <c r="CI325" s="63">
        <v>0</v>
      </c>
      <c r="CJ325" s="63">
        <v>0</v>
      </c>
      <c r="CK325" s="63">
        <v>0</v>
      </c>
      <c r="CL325" s="63">
        <v>-16967</v>
      </c>
      <c r="CM325" s="63">
        <v>0</v>
      </c>
      <c r="CN325" s="63">
        <v>-16967</v>
      </c>
      <c r="CO325" s="63">
        <v>0</v>
      </c>
      <c r="CP325" s="63">
        <v>0</v>
      </c>
      <c r="CQ325" s="63">
        <v>-77988</v>
      </c>
      <c r="CR325" s="63">
        <v>0</v>
      </c>
      <c r="CS325" s="63">
        <v>-5000</v>
      </c>
      <c r="CT325" s="63">
        <v>0</v>
      </c>
      <c r="CU325" s="63">
        <v>-82988</v>
      </c>
      <c r="CV325" s="63">
        <v>0</v>
      </c>
      <c r="CW325" s="63">
        <v>-82988</v>
      </c>
      <c r="CX325" s="63">
        <v>0</v>
      </c>
      <c r="CY325" s="63">
        <v>0</v>
      </c>
      <c r="CZ325" s="63">
        <v>0</v>
      </c>
      <c r="DA325" s="63">
        <v>-36364</v>
      </c>
      <c r="DB325" s="63">
        <v>0</v>
      </c>
      <c r="DC325" s="63">
        <v>-36364</v>
      </c>
      <c r="DD325" s="63">
        <v>-2076</v>
      </c>
      <c r="DE325" s="63">
        <v>0</v>
      </c>
      <c r="DF325" s="63">
        <v>-2076</v>
      </c>
      <c r="DG325" s="63">
        <v>-38440</v>
      </c>
      <c r="DH325" s="63">
        <v>0</v>
      </c>
      <c r="DI325" s="63">
        <v>-6000</v>
      </c>
      <c r="DJ325" s="63">
        <v>0</v>
      </c>
      <c r="DK325" s="63">
        <v>-44440</v>
      </c>
      <c r="DL325" s="63">
        <v>0</v>
      </c>
      <c r="DM325" s="63">
        <v>-44440</v>
      </c>
      <c r="DN325" s="63">
        <v>58569008</v>
      </c>
      <c r="DO325" s="63">
        <v>0</v>
      </c>
      <c r="DP325" s="63">
        <v>58569008</v>
      </c>
      <c r="DQ325" s="63"/>
      <c r="DR325" s="585"/>
    </row>
    <row r="326" spans="1:122" x14ac:dyDescent="0.2">
      <c r="A326" s="90">
        <v>319</v>
      </c>
      <c r="B326" s="129" t="s">
        <v>480</v>
      </c>
      <c r="C326" s="130" t="s">
        <v>749</v>
      </c>
      <c r="D326" s="131" t="s">
        <v>752</v>
      </c>
      <c r="E326" s="132" t="s">
        <v>479</v>
      </c>
      <c r="F326" s="475" t="s">
        <v>808</v>
      </c>
      <c r="G326" s="63">
        <v>192192955</v>
      </c>
      <c r="H326" s="63">
        <v>0</v>
      </c>
      <c r="I326" s="63">
        <v>192192955</v>
      </c>
      <c r="J326" s="608">
        <v>48.4</v>
      </c>
      <c r="K326" s="63">
        <v>93021390</v>
      </c>
      <c r="L326" s="63">
        <v>0</v>
      </c>
      <c r="M326" s="63">
        <v>0</v>
      </c>
      <c r="N326" s="63">
        <v>0</v>
      </c>
      <c r="O326" s="63">
        <v>93021390</v>
      </c>
      <c r="P326" s="63">
        <v>0</v>
      </c>
      <c r="Q326" s="63">
        <v>93021390</v>
      </c>
      <c r="R326" s="63">
        <v>0</v>
      </c>
      <c r="S326" s="63">
        <v>0</v>
      </c>
      <c r="T326" s="63">
        <v>0</v>
      </c>
      <c r="U326" s="63">
        <v>0</v>
      </c>
      <c r="V326" s="63">
        <v>0</v>
      </c>
      <c r="W326" s="63">
        <v>0</v>
      </c>
      <c r="X326" s="63">
        <v>0</v>
      </c>
      <c r="Y326" s="63">
        <v>0</v>
      </c>
      <c r="Z326" s="63">
        <v>0</v>
      </c>
      <c r="AA326" s="63">
        <v>0</v>
      </c>
      <c r="AB326" s="63">
        <v>0</v>
      </c>
      <c r="AC326" s="63">
        <v>0</v>
      </c>
      <c r="AD326" s="63">
        <v>0</v>
      </c>
      <c r="AE326" s="63">
        <v>0</v>
      </c>
      <c r="AF326" s="63">
        <v>0</v>
      </c>
      <c r="AG326" s="63">
        <v>0</v>
      </c>
      <c r="AH326" s="63">
        <v>-5675524</v>
      </c>
      <c r="AI326" s="63">
        <v>0</v>
      </c>
      <c r="AJ326" s="63">
        <v>-5675524</v>
      </c>
      <c r="AK326" s="63">
        <v>-15278</v>
      </c>
      <c r="AL326" s="63">
        <v>0</v>
      </c>
      <c r="AM326" s="63">
        <v>-15278</v>
      </c>
      <c r="AN326" s="63">
        <v>2096438</v>
      </c>
      <c r="AO326" s="63">
        <v>0</v>
      </c>
      <c r="AP326" s="63">
        <v>2096438</v>
      </c>
      <c r="AQ326" s="63">
        <v>-3579086</v>
      </c>
      <c r="AR326" s="63">
        <v>0</v>
      </c>
      <c r="AS326" s="63">
        <v>-3579086</v>
      </c>
      <c r="AT326" s="63">
        <v>-4819606</v>
      </c>
      <c r="AU326" s="63">
        <v>0</v>
      </c>
      <c r="AV326" s="63">
        <v>-4819606</v>
      </c>
      <c r="AW326" s="63">
        <v>-19969</v>
      </c>
      <c r="AX326" s="63">
        <v>0</v>
      </c>
      <c r="AY326" s="63">
        <v>-19969</v>
      </c>
      <c r="AZ326" s="63">
        <v>0</v>
      </c>
      <c r="BA326" s="63">
        <v>0</v>
      </c>
      <c r="BB326" s="63">
        <v>0</v>
      </c>
      <c r="BC326" s="63">
        <v>-8418661</v>
      </c>
      <c r="BD326" s="63">
        <v>0</v>
      </c>
      <c r="BE326" s="63">
        <v>0</v>
      </c>
      <c r="BF326" s="63">
        <v>0</v>
      </c>
      <c r="BG326" s="63">
        <v>-8418661</v>
      </c>
      <c r="BH326" s="63">
        <v>0</v>
      </c>
      <c r="BI326" s="63">
        <v>-8418661</v>
      </c>
      <c r="BJ326" s="63">
        <v>0</v>
      </c>
      <c r="BK326" s="63">
        <v>0</v>
      </c>
      <c r="BL326" s="63">
        <v>0</v>
      </c>
      <c r="BM326" s="63">
        <v>-3347437</v>
      </c>
      <c r="BN326" s="63">
        <v>0</v>
      </c>
      <c r="BO326" s="63">
        <v>-3347437</v>
      </c>
      <c r="BP326" s="63">
        <v>-3347437</v>
      </c>
      <c r="BQ326" s="63">
        <v>0</v>
      </c>
      <c r="BR326" s="63">
        <v>0</v>
      </c>
      <c r="BS326" s="63">
        <v>0</v>
      </c>
      <c r="BT326" s="63">
        <v>-3347437</v>
      </c>
      <c r="BU326" s="63">
        <v>0</v>
      </c>
      <c r="BV326" s="63">
        <v>-3347437</v>
      </c>
      <c r="BW326" s="63">
        <v>-243055</v>
      </c>
      <c r="BX326" s="63">
        <v>0</v>
      </c>
      <c r="BY326" s="63">
        <v>-243055</v>
      </c>
      <c r="BZ326" s="63">
        <v>-385194</v>
      </c>
      <c r="CA326" s="63">
        <v>0</v>
      </c>
      <c r="CB326" s="63">
        <v>-385194</v>
      </c>
      <c r="CC326" s="63">
        <v>-2594</v>
      </c>
      <c r="CD326" s="63">
        <v>0</v>
      </c>
      <c r="CE326" s="63">
        <v>-2594</v>
      </c>
      <c r="CF326" s="63">
        <v>0</v>
      </c>
      <c r="CG326" s="63">
        <v>0</v>
      </c>
      <c r="CH326" s="63">
        <v>0</v>
      </c>
      <c r="CI326" s="63">
        <v>0</v>
      </c>
      <c r="CJ326" s="63">
        <v>0</v>
      </c>
      <c r="CK326" s="63">
        <v>0</v>
      </c>
      <c r="CL326" s="63">
        <v>0</v>
      </c>
      <c r="CM326" s="63">
        <v>0</v>
      </c>
      <c r="CN326" s="63">
        <v>0</v>
      </c>
      <c r="CO326" s="63">
        <v>0</v>
      </c>
      <c r="CP326" s="63">
        <v>0</v>
      </c>
      <c r="CQ326" s="63">
        <v>-630843</v>
      </c>
      <c r="CR326" s="63">
        <v>0</v>
      </c>
      <c r="CS326" s="63">
        <v>0</v>
      </c>
      <c r="CT326" s="63">
        <v>0</v>
      </c>
      <c r="CU326" s="63">
        <v>-630843</v>
      </c>
      <c r="CV326" s="63">
        <v>0</v>
      </c>
      <c r="CW326" s="63">
        <v>-630843</v>
      </c>
      <c r="CX326" s="63">
        <v>-5964</v>
      </c>
      <c r="CY326" s="63">
        <v>0</v>
      </c>
      <c r="CZ326" s="63">
        <v>-5964</v>
      </c>
      <c r="DA326" s="63">
        <v>-25286</v>
      </c>
      <c r="DB326" s="63">
        <v>0</v>
      </c>
      <c r="DC326" s="63">
        <v>-25286</v>
      </c>
      <c r="DD326" s="63">
        <v>0</v>
      </c>
      <c r="DE326" s="63">
        <v>0</v>
      </c>
      <c r="DF326" s="63">
        <v>0</v>
      </c>
      <c r="DG326" s="63">
        <v>-31250</v>
      </c>
      <c r="DH326" s="63">
        <v>0</v>
      </c>
      <c r="DI326" s="63">
        <v>0</v>
      </c>
      <c r="DJ326" s="63">
        <v>0</v>
      </c>
      <c r="DK326" s="63">
        <v>-31250</v>
      </c>
      <c r="DL326" s="63">
        <v>0</v>
      </c>
      <c r="DM326" s="63">
        <v>-31250</v>
      </c>
      <c r="DN326" s="63">
        <v>80593199</v>
      </c>
      <c r="DO326" s="63">
        <v>0</v>
      </c>
      <c r="DP326" s="63">
        <v>80593199</v>
      </c>
      <c r="DQ326" s="63"/>
      <c r="DR326" s="585" t="s">
        <v>768</v>
      </c>
    </row>
    <row r="327" spans="1:122" x14ac:dyDescent="0.2">
      <c r="A327" s="90">
        <v>320</v>
      </c>
      <c r="B327" s="129" t="s">
        <v>482</v>
      </c>
      <c r="C327" s="130" t="s">
        <v>742</v>
      </c>
      <c r="D327" s="131" t="s">
        <v>752</v>
      </c>
      <c r="E327" s="132" t="s">
        <v>481</v>
      </c>
      <c r="F327" s="475" t="s">
        <v>808</v>
      </c>
      <c r="G327" s="63">
        <v>101470065</v>
      </c>
      <c r="H327" s="63">
        <v>0</v>
      </c>
      <c r="I327" s="63">
        <v>101470065</v>
      </c>
      <c r="J327" s="608">
        <v>48.4</v>
      </c>
      <c r="K327" s="63">
        <v>49111511</v>
      </c>
      <c r="L327" s="63">
        <v>0</v>
      </c>
      <c r="M327" s="63">
        <v>-300000</v>
      </c>
      <c r="N327" s="63">
        <v>0</v>
      </c>
      <c r="O327" s="63">
        <v>48811511</v>
      </c>
      <c r="P327" s="63">
        <v>0</v>
      </c>
      <c r="Q327" s="63">
        <v>48811511</v>
      </c>
      <c r="R327" s="63">
        <v>0</v>
      </c>
      <c r="S327" s="63">
        <v>0</v>
      </c>
      <c r="T327" s="63">
        <v>0</v>
      </c>
      <c r="U327" s="63">
        <v>0</v>
      </c>
      <c r="V327" s="63">
        <v>0</v>
      </c>
      <c r="W327" s="63">
        <v>0</v>
      </c>
      <c r="X327" s="63">
        <v>0</v>
      </c>
      <c r="Y327" s="63">
        <v>0</v>
      </c>
      <c r="Z327" s="63">
        <v>0</v>
      </c>
      <c r="AA327" s="63">
        <v>0</v>
      </c>
      <c r="AB327" s="63">
        <v>0</v>
      </c>
      <c r="AC327" s="63">
        <v>0</v>
      </c>
      <c r="AD327" s="63">
        <v>0</v>
      </c>
      <c r="AE327" s="63">
        <v>0</v>
      </c>
      <c r="AF327" s="63">
        <v>0</v>
      </c>
      <c r="AG327" s="63">
        <v>0</v>
      </c>
      <c r="AH327" s="63">
        <v>-1880793</v>
      </c>
      <c r="AI327" s="63">
        <v>0</v>
      </c>
      <c r="AJ327" s="63">
        <v>-1880793</v>
      </c>
      <c r="AK327" s="63">
        <v>-6244</v>
      </c>
      <c r="AL327" s="63">
        <v>0</v>
      </c>
      <c r="AM327" s="63">
        <v>-6244</v>
      </c>
      <c r="AN327" s="63">
        <v>1162483</v>
      </c>
      <c r="AO327" s="63">
        <v>0</v>
      </c>
      <c r="AP327" s="63">
        <v>1162483</v>
      </c>
      <c r="AQ327" s="63">
        <v>-718310</v>
      </c>
      <c r="AR327" s="63">
        <v>0</v>
      </c>
      <c r="AS327" s="63">
        <v>-718310</v>
      </c>
      <c r="AT327" s="63">
        <v>-3874717</v>
      </c>
      <c r="AU327" s="63">
        <v>0</v>
      </c>
      <c r="AV327" s="63">
        <v>-3874717</v>
      </c>
      <c r="AW327" s="63">
        <v>-18190</v>
      </c>
      <c r="AX327" s="63">
        <v>0</v>
      </c>
      <c r="AY327" s="63">
        <v>-18190</v>
      </c>
      <c r="AZ327" s="63">
        <v>0</v>
      </c>
      <c r="BA327" s="63">
        <v>0</v>
      </c>
      <c r="BB327" s="63">
        <v>0</v>
      </c>
      <c r="BC327" s="63">
        <v>-4611217</v>
      </c>
      <c r="BD327" s="63">
        <v>0</v>
      </c>
      <c r="BE327" s="63">
        <v>-300000</v>
      </c>
      <c r="BF327" s="63">
        <v>0</v>
      </c>
      <c r="BG327" s="63">
        <v>-4911217</v>
      </c>
      <c r="BH327" s="63">
        <v>0</v>
      </c>
      <c r="BI327" s="63">
        <v>-4911217</v>
      </c>
      <c r="BJ327" s="63">
        <v>-76685</v>
      </c>
      <c r="BK327" s="63">
        <v>0</v>
      </c>
      <c r="BL327" s="63">
        <v>-76685</v>
      </c>
      <c r="BM327" s="63">
        <v>-1235535</v>
      </c>
      <c r="BN327" s="63">
        <v>0</v>
      </c>
      <c r="BO327" s="63">
        <v>-1235535</v>
      </c>
      <c r="BP327" s="63">
        <v>-1312220</v>
      </c>
      <c r="BQ327" s="63">
        <v>0</v>
      </c>
      <c r="BR327" s="63">
        <v>-400000</v>
      </c>
      <c r="BS327" s="63">
        <v>0</v>
      </c>
      <c r="BT327" s="63">
        <v>-1712220</v>
      </c>
      <c r="BU327" s="63">
        <v>0</v>
      </c>
      <c r="BV327" s="63">
        <v>-1712220</v>
      </c>
      <c r="BW327" s="63">
        <v>-213430</v>
      </c>
      <c r="BX327" s="63">
        <v>0</v>
      </c>
      <c r="BY327" s="63">
        <v>-213430</v>
      </c>
      <c r="BZ327" s="63">
        <v>-12602</v>
      </c>
      <c r="CA327" s="63">
        <v>0</v>
      </c>
      <c r="CB327" s="63">
        <v>-12602</v>
      </c>
      <c r="CC327" s="63">
        <v>-4548</v>
      </c>
      <c r="CD327" s="63">
        <v>0</v>
      </c>
      <c r="CE327" s="63">
        <v>-4548</v>
      </c>
      <c r="CF327" s="63">
        <v>0</v>
      </c>
      <c r="CG327" s="63">
        <v>0</v>
      </c>
      <c r="CH327" s="63">
        <v>0</v>
      </c>
      <c r="CI327" s="63">
        <v>0</v>
      </c>
      <c r="CJ327" s="63">
        <v>0</v>
      </c>
      <c r="CK327" s="63">
        <v>0</v>
      </c>
      <c r="CL327" s="63">
        <v>0</v>
      </c>
      <c r="CM327" s="63">
        <v>0</v>
      </c>
      <c r="CN327" s="63">
        <v>0</v>
      </c>
      <c r="CO327" s="63">
        <v>0</v>
      </c>
      <c r="CP327" s="63">
        <v>0</v>
      </c>
      <c r="CQ327" s="63">
        <v>-230580</v>
      </c>
      <c r="CR327" s="63">
        <v>0</v>
      </c>
      <c r="CS327" s="63">
        <v>0</v>
      </c>
      <c r="CT327" s="63">
        <v>0</v>
      </c>
      <c r="CU327" s="63">
        <v>-230580</v>
      </c>
      <c r="CV327" s="63">
        <v>0</v>
      </c>
      <c r="CW327" s="63">
        <v>-230580</v>
      </c>
      <c r="CX327" s="63">
        <v>-50570</v>
      </c>
      <c r="CY327" s="63">
        <v>0</v>
      </c>
      <c r="CZ327" s="63">
        <v>-50570</v>
      </c>
      <c r="DA327" s="63">
        <v>-46363</v>
      </c>
      <c r="DB327" s="63">
        <v>0</v>
      </c>
      <c r="DC327" s="63">
        <v>-46363</v>
      </c>
      <c r="DD327" s="63">
        <v>-6710</v>
      </c>
      <c r="DE327" s="63">
        <v>0</v>
      </c>
      <c r="DF327" s="63">
        <v>-6710</v>
      </c>
      <c r="DG327" s="63">
        <v>-103643</v>
      </c>
      <c r="DH327" s="63">
        <v>0</v>
      </c>
      <c r="DI327" s="63">
        <v>0</v>
      </c>
      <c r="DJ327" s="63">
        <v>0</v>
      </c>
      <c r="DK327" s="63">
        <v>-103643</v>
      </c>
      <c r="DL327" s="63">
        <v>0</v>
      </c>
      <c r="DM327" s="63">
        <v>-103643</v>
      </c>
      <c r="DN327" s="63">
        <v>41853851</v>
      </c>
      <c r="DO327" s="63">
        <v>0</v>
      </c>
      <c r="DP327" s="63">
        <v>41853851</v>
      </c>
      <c r="DQ327" s="63"/>
      <c r="DR327" s="585"/>
    </row>
    <row r="328" spans="1:122" x14ac:dyDescent="0.2">
      <c r="A328" s="90">
        <v>321</v>
      </c>
      <c r="B328" s="129" t="s">
        <v>484</v>
      </c>
      <c r="C328" s="130" t="s">
        <v>742</v>
      </c>
      <c r="D328" s="131" t="s">
        <v>743</v>
      </c>
      <c r="E328" s="132" t="s">
        <v>483</v>
      </c>
      <c r="F328" s="475" t="s">
        <v>808</v>
      </c>
      <c r="G328" s="63">
        <v>78007322</v>
      </c>
      <c r="H328" s="63">
        <v>0</v>
      </c>
      <c r="I328" s="63">
        <v>78007322</v>
      </c>
      <c r="J328" s="608">
        <v>48.4</v>
      </c>
      <c r="K328" s="63">
        <v>37755544</v>
      </c>
      <c r="L328" s="63">
        <v>0</v>
      </c>
      <c r="M328" s="63">
        <v>161525</v>
      </c>
      <c r="N328" s="63">
        <v>0</v>
      </c>
      <c r="O328" s="63">
        <v>37917069</v>
      </c>
      <c r="P328" s="63">
        <v>0</v>
      </c>
      <c r="Q328" s="63">
        <v>37917069</v>
      </c>
      <c r="R328" s="63">
        <v>0</v>
      </c>
      <c r="S328" s="63">
        <v>0</v>
      </c>
      <c r="T328" s="63">
        <v>0</v>
      </c>
      <c r="U328" s="63">
        <v>0</v>
      </c>
      <c r="V328" s="63">
        <v>0</v>
      </c>
      <c r="W328" s="63">
        <v>0</v>
      </c>
      <c r="X328" s="63">
        <v>0</v>
      </c>
      <c r="Y328" s="63">
        <v>0</v>
      </c>
      <c r="Z328" s="63">
        <v>0</v>
      </c>
      <c r="AA328" s="63">
        <v>0</v>
      </c>
      <c r="AB328" s="63">
        <v>0</v>
      </c>
      <c r="AC328" s="63">
        <v>0</v>
      </c>
      <c r="AD328" s="63">
        <v>0</v>
      </c>
      <c r="AE328" s="63">
        <v>0</v>
      </c>
      <c r="AF328" s="63">
        <v>0</v>
      </c>
      <c r="AG328" s="63">
        <v>0</v>
      </c>
      <c r="AH328" s="63">
        <v>-2152512</v>
      </c>
      <c r="AI328" s="63">
        <v>0</v>
      </c>
      <c r="AJ328" s="63">
        <v>-2152512</v>
      </c>
      <c r="AK328" s="63">
        <v>0</v>
      </c>
      <c r="AL328" s="63">
        <v>0</v>
      </c>
      <c r="AM328" s="63">
        <v>0</v>
      </c>
      <c r="AN328" s="63">
        <v>854155</v>
      </c>
      <c r="AO328" s="63">
        <v>0</v>
      </c>
      <c r="AP328" s="63">
        <v>854155</v>
      </c>
      <c r="AQ328" s="63">
        <v>-1298357</v>
      </c>
      <c r="AR328" s="63">
        <v>0</v>
      </c>
      <c r="AS328" s="63">
        <v>-1298357</v>
      </c>
      <c r="AT328" s="63">
        <v>-2404494</v>
      </c>
      <c r="AU328" s="63">
        <v>0</v>
      </c>
      <c r="AV328" s="63">
        <v>-2404494</v>
      </c>
      <c r="AW328" s="63">
        <v>-40118</v>
      </c>
      <c r="AX328" s="63">
        <v>0</v>
      </c>
      <c r="AY328" s="63">
        <v>-40118</v>
      </c>
      <c r="AZ328" s="63">
        <v>0</v>
      </c>
      <c r="BA328" s="63">
        <v>0</v>
      </c>
      <c r="BB328" s="63">
        <v>0</v>
      </c>
      <c r="BC328" s="63">
        <v>-3742969</v>
      </c>
      <c r="BD328" s="63">
        <v>0</v>
      </c>
      <c r="BE328" s="63">
        <v>-86677</v>
      </c>
      <c r="BF328" s="63">
        <v>0</v>
      </c>
      <c r="BG328" s="63">
        <v>-3829646</v>
      </c>
      <c r="BH328" s="63">
        <v>0</v>
      </c>
      <c r="BI328" s="63">
        <v>-3829646</v>
      </c>
      <c r="BJ328" s="63">
        <v>0</v>
      </c>
      <c r="BK328" s="63">
        <v>0</v>
      </c>
      <c r="BL328" s="63">
        <v>0</v>
      </c>
      <c r="BM328" s="63">
        <v>-592004</v>
      </c>
      <c r="BN328" s="63">
        <v>0</v>
      </c>
      <c r="BO328" s="63">
        <v>-592004</v>
      </c>
      <c r="BP328" s="63">
        <v>-592004</v>
      </c>
      <c r="BQ328" s="63">
        <v>0</v>
      </c>
      <c r="BR328" s="63">
        <v>0</v>
      </c>
      <c r="BS328" s="63">
        <v>0</v>
      </c>
      <c r="BT328" s="63">
        <v>-592004</v>
      </c>
      <c r="BU328" s="63">
        <v>0</v>
      </c>
      <c r="BV328" s="63">
        <v>-592004</v>
      </c>
      <c r="BW328" s="63">
        <v>-173870</v>
      </c>
      <c r="BX328" s="63">
        <v>0</v>
      </c>
      <c r="BY328" s="63">
        <v>-173870</v>
      </c>
      <c r="BZ328" s="63">
        <v>-4199</v>
      </c>
      <c r="CA328" s="63">
        <v>0</v>
      </c>
      <c r="CB328" s="63">
        <v>-4199</v>
      </c>
      <c r="CC328" s="63">
        <v>-534</v>
      </c>
      <c r="CD328" s="63">
        <v>0</v>
      </c>
      <c r="CE328" s="63">
        <v>-534</v>
      </c>
      <c r="CF328" s="63">
        <v>0</v>
      </c>
      <c r="CG328" s="63">
        <v>0</v>
      </c>
      <c r="CH328" s="63">
        <v>0</v>
      </c>
      <c r="CI328" s="63">
        <v>0</v>
      </c>
      <c r="CJ328" s="63">
        <v>0</v>
      </c>
      <c r="CK328" s="63">
        <v>0</v>
      </c>
      <c r="CL328" s="63">
        <v>0</v>
      </c>
      <c r="CM328" s="63">
        <v>0</v>
      </c>
      <c r="CN328" s="63">
        <v>0</v>
      </c>
      <c r="CO328" s="63">
        <v>0</v>
      </c>
      <c r="CP328" s="63">
        <v>0</v>
      </c>
      <c r="CQ328" s="63">
        <v>-178603</v>
      </c>
      <c r="CR328" s="63">
        <v>0</v>
      </c>
      <c r="CS328" s="63">
        <v>-21669</v>
      </c>
      <c r="CT328" s="63">
        <v>0</v>
      </c>
      <c r="CU328" s="63">
        <v>-200272</v>
      </c>
      <c r="CV328" s="63">
        <v>0</v>
      </c>
      <c r="CW328" s="63">
        <v>-200272</v>
      </c>
      <c r="CX328" s="63">
        <v>0</v>
      </c>
      <c r="CY328" s="63">
        <v>0</v>
      </c>
      <c r="CZ328" s="63">
        <v>0</v>
      </c>
      <c r="DA328" s="63">
        <v>-31781</v>
      </c>
      <c r="DB328" s="63">
        <v>0</v>
      </c>
      <c r="DC328" s="63">
        <v>-31781</v>
      </c>
      <c r="DD328" s="63">
        <v>-7367</v>
      </c>
      <c r="DE328" s="63">
        <v>0</v>
      </c>
      <c r="DF328" s="63">
        <v>-7367</v>
      </c>
      <c r="DG328" s="63">
        <v>-39148</v>
      </c>
      <c r="DH328" s="63">
        <v>0</v>
      </c>
      <c r="DI328" s="63">
        <v>0</v>
      </c>
      <c r="DJ328" s="63">
        <v>0</v>
      </c>
      <c r="DK328" s="63">
        <v>-39148</v>
      </c>
      <c r="DL328" s="63">
        <v>0</v>
      </c>
      <c r="DM328" s="63">
        <v>-39148</v>
      </c>
      <c r="DN328" s="63">
        <v>33255999</v>
      </c>
      <c r="DO328" s="63">
        <v>0</v>
      </c>
      <c r="DP328" s="63">
        <v>33255999</v>
      </c>
      <c r="DQ328" s="63"/>
      <c r="DR328" s="585"/>
    </row>
    <row r="329" spans="1:122" x14ac:dyDescent="0.2">
      <c r="A329" s="90">
        <v>322</v>
      </c>
      <c r="B329" s="129" t="s">
        <v>486</v>
      </c>
      <c r="C329" s="130" t="s">
        <v>742</v>
      </c>
      <c r="D329" s="131" t="s">
        <v>752</v>
      </c>
      <c r="E329" s="132" t="s">
        <v>485</v>
      </c>
      <c r="F329" s="475" t="s">
        <v>808</v>
      </c>
      <c r="G329" s="63">
        <v>98974174</v>
      </c>
      <c r="H329" s="63">
        <v>0</v>
      </c>
      <c r="I329" s="63">
        <v>98974174</v>
      </c>
      <c r="J329" s="608">
        <v>48.4</v>
      </c>
      <c r="K329" s="63">
        <v>47903500</v>
      </c>
      <c r="L329" s="63">
        <v>0</v>
      </c>
      <c r="M329" s="63">
        <v>-300000</v>
      </c>
      <c r="N329" s="63">
        <v>0</v>
      </c>
      <c r="O329" s="63">
        <v>47603500</v>
      </c>
      <c r="P329" s="63">
        <v>0</v>
      </c>
      <c r="Q329" s="63">
        <v>47603500</v>
      </c>
      <c r="R329" s="63">
        <v>0</v>
      </c>
      <c r="S329" s="63">
        <v>0</v>
      </c>
      <c r="T329" s="63">
        <v>0</v>
      </c>
      <c r="U329" s="63">
        <v>0</v>
      </c>
      <c r="V329" s="63">
        <v>0</v>
      </c>
      <c r="W329" s="63">
        <v>0</v>
      </c>
      <c r="X329" s="63">
        <v>0</v>
      </c>
      <c r="Y329" s="63">
        <v>0</v>
      </c>
      <c r="Z329" s="63">
        <v>0</v>
      </c>
      <c r="AA329" s="63">
        <v>0</v>
      </c>
      <c r="AB329" s="63">
        <v>0</v>
      </c>
      <c r="AC329" s="63">
        <v>0</v>
      </c>
      <c r="AD329" s="63">
        <v>0</v>
      </c>
      <c r="AE329" s="63">
        <v>0</v>
      </c>
      <c r="AF329" s="63">
        <v>0</v>
      </c>
      <c r="AG329" s="63">
        <v>0</v>
      </c>
      <c r="AH329" s="63">
        <v>-3202255</v>
      </c>
      <c r="AI329" s="63">
        <v>0</v>
      </c>
      <c r="AJ329" s="63">
        <v>-3202255</v>
      </c>
      <c r="AK329" s="63">
        <v>-10221</v>
      </c>
      <c r="AL329" s="63">
        <v>0</v>
      </c>
      <c r="AM329" s="63">
        <v>-10221</v>
      </c>
      <c r="AN329" s="63">
        <v>1062564</v>
      </c>
      <c r="AO329" s="63">
        <v>0</v>
      </c>
      <c r="AP329" s="63">
        <v>1062564</v>
      </c>
      <c r="AQ329" s="63">
        <v>-2139691</v>
      </c>
      <c r="AR329" s="63">
        <v>0</v>
      </c>
      <c r="AS329" s="63">
        <v>-2139691</v>
      </c>
      <c r="AT329" s="63">
        <v>-1901866</v>
      </c>
      <c r="AU329" s="63">
        <v>0</v>
      </c>
      <c r="AV329" s="63">
        <v>-1901866</v>
      </c>
      <c r="AW329" s="63">
        <v>-50102</v>
      </c>
      <c r="AX329" s="63">
        <v>0</v>
      </c>
      <c r="AY329" s="63">
        <v>-50102</v>
      </c>
      <c r="AZ329" s="63">
        <v>-66972</v>
      </c>
      <c r="BA329" s="63">
        <v>0</v>
      </c>
      <c r="BB329" s="63">
        <v>-66972</v>
      </c>
      <c r="BC329" s="63">
        <v>-4158631</v>
      </c>
      <c r="BD329" s="63">
        <v>0</v>
      </c>
      <c r="BE329" s="63">
        <v>-300000</v>
      </c>
      <c r="BF329" s="63">
        <v>0</v>
      </c>
      <c r="BG329" s="63">
        <v>-4458631</v>
      </c>
      <c r="BH329" s="63">
        <v>0</v>
      </c>
      <c r="BI329" s="63">
        <v>-4458631</v>
      </c>
      <c r="BJ329" s="63">
        <v>-215000</v>
      </c>
      <c r="BK329" s="63">
        <v>0</v>
      </c>
      <c r="BL329" s="63">
        <v>-215000</v>
      </c>
      <c r="BM329" s="63">
        <v>-1018893</v>
      </c>
      <c r="BN329" s="63">
        <v>0</v>
      </c>
      <c r="BO329" s="63">
        <v>-1018893</v>
      </c>
      <c r="BP329" s="63">
        <v>-1233893</v>
      </c>
      <c r="BQ329" s="63">
        <v>0</v>
      </c>
      <c r="BR329" s="63">
        <v>-300000</v>
      </c>
      <c r="BS329" s="63">
        <v>0</v>
      </c>
      <c r="BT329" s="63">
        <v>-1533893</v>
      </c>
      <c r="BU329" s="63">
        <v>0</v>
      </c>
      <c r="BV329" s="63">
        <v>-1533893</v>
      </c>
      <c r="BW329" s="63">
        <v>-201801</v>
      </c>
      <c r="BX329" s="63">
        <v>0</v>
      </c>
      <c r="BY329" s="63">
        <v>-201801</v>
      </c>
      <c r="BZ329" s="63">
        <v>-64380</v>
      </c>
      <c r="CA329" s="63">
        <v>0</v>
      </c>
      <c r="CB329" s="63">
        <v>-64380</v>
      </c>
      <c r="CC329" s="63">
        <v>-12022</v>
      </c>
      <c r="CD329" s="63">
        <v>0</v>
      </c>
      <c r="CE329" s="63">
        <v>-12022</v>
      </c>
      <c r="CF329" s="63">
        <v>-47519</v>
      </c>
      <c r="CG329" s="63">
        <v>0</v>
      </c>
      <c r="CH329" s="63">
        <v>-47519</v>
      </c>
      <c r="CI329" s="63">
        <v>-25310</v>
      </c>
      <c r="CJ329" s="63">
        <v>0</v>
      </c>
      <c r="CK329" s="63">
        <v>-25310</v>
      </c>
      <c r="CL329" s="63">
        <v>0</v>
      </c>
      <c r="CM329" s="63">
        <v>0</v>
      </c>
      <c r="CN329" s="63">
        <v>0</v>
      </c>
      <c r="CO329" s="63">
        <v>0</v>
      </c>
      <c r="CP329" s="63">
        <v>0</v>
      </c>
      <c r="CQ329" s="63">
        <v>-351032</v>
      </c>
      <c r="CR329" s="63">
        <v>0</v>
      </c>
      <c r="CS329" s="63">
        <v>0</v>
      </c>
      <c r="CT329" s="63">
        <v>0</v>
      </c>
      <c r="CU329" s="63">
        <v>-351032</v>
      </c>
      <c r="CV329" s="63">
        <v>0</v>
      </c>
      <c r="CW329" s="63">
        <v>-351032</v>
      </c>
      <c r="CX329" s="63">
        <v>0</v>
      </c>
      <c r="CY329" s="63">
        <v>0</v>
      </c>
      <c r="CZ329" s="63">
        <v>0</v>
      </c>
      <c r="DA329" s="63">
        <v>-30389</v>
      </c>
      <c r="DB329" s="63">
        <v>0</v>
      </c>
      <c r="DC329" s="63">
        <v>-30389</v>
      </c>
      <c r="DD329" s="63">
        <v>-11118</v>
      </c>
      <c r="DE329" s="63">
        <v>0</v>
      </c>
      <c r="DF329" s="63">
        <v>-11118</v>
      </c>
      <c r="DG329" s="63">
        <v>-41507</v>
      </c>
      <c r="DH329" s="63">
        <v>0</v>
      </c>
      <c r="DI329" s="63">
        <v>0</v>
      </c>
      <c r="DJ329" s="63">
        <v>0</v>
      </c>
      <c r="DK329" s="63">
        <v>-41507</v>
      </c>
      <c r="DL329" s="63">
        <v>0</v>
      </c>
      <c r="DM329" s="63">
        <v>-41507</v>
      </c>
      <c r="DN329" s="63">
        <v>41218437</v>
      </c>
      <c r="DO329" s="63">
        <v>0</v>
      </c>
      <c r="DP329" s="63">
        <v>41218437</v>
      </c>
      <c r="DQ329" s="63"/>
      <c r="DR329" s="585"/>
    </row>
    <row r="330" spans="1:122" x14ac:dyDescent="0.2">
      <c r="A330" s="90">
        <v>323</v>
      </c>
      <c r="B330" s="129" t="s">
        <v>488</v>
      </c>
      <c r="C330" s="130" t="s">
        <v>742</v>
      </c>
      <c r="D330" s="131" t="s">
        <v>743</v>
      </c>
      <c r="E330" s="132" t="s">
        <v>487</v>
      </c>
      <c r="F330" s="475" t="s">
        <v>808</v>
      </c>
      <c r="G330" s="63">
        <v>171575959</v>
      </c>
      <c r="H330" s="63">
        <v>0</v>
      </c>
      <c r="I330" s="63">
        <v>171575959</v>
      </c>
      <c r="J330" s="608">
        <v>48.4</v>
      </c>
      <c r="K330" s="63">
        <v>83042764</v>
      </c>
      <c r="L330" s="63">
        <v>0</v>
      </c>
      <c r="M330" s="63">
        <v>300000</v>
      </c>
      <c r="N330" s="63">
        <v>0</v>
      </c>
      <c r="O330" s="63">
        <v>83342764</v>
      </c>
      <c r="P330" s="63">
        <v>0</v>
      </c>
      <c r="Q330" s="63">
        <v>83342764</v>
      </c>
      <c r="R330" s="63">
        <v>0</v>
      </c>
      <c r="S330" s="63">
        <v>0</v>
      </c>
      <c r="T330" s="63">
        <v>0</v>
      </c>
      <c r="U330" s="63">
        <v>0</v>
      </c>
      <c r="V330" s="63">
        <v>0</v>
      </c>
      <c r="W330" s="63">
        <v>0</v>
      </c>
      <c r="X330" s="63">
        <v>0</v>
      </c>
      <c r="Y330" s="63">
        <v>0</v>
      </c>
      <c r="Z330" s="63">
        <v>0</v>
      </c>
      <c r="AA330" s="63">
        <v>0</v>
      </c>
      <c r="AB330" s="63">
        <v>0</v>
      </c>
      <c r="AC330" s="63">
        <v>0</v>
      </c>
      <c r="AD330" s="63">
        <v>0</v>
      </c>
      <c r="AE330" s="63">
        <v>0</v>
      </c>
      <c r="AF330" s="63">
        <v>0</v>
      </c>
      <c r="AG330" s="63">
        <v>0</v>
      </c>
      <c r="AH330" s="63">
        <v>-2397443</v>
      </c>
      <c r="AI330" s="63">
        <v>0</v>
      </c>
      <c r="AJ330" s="63">
        <v>-2397443</v>
      </c>
      <c r="AK330" s="63">
        <v>-13494</v>
      </c>
      <c r="AL330" s="63">
        <v>0</v>
      </c>
      <c r="AM330" s="63">
        <v>-13494</v>
      </c>
      <c r="AN330" s="63">
        <v>1968980</v>
      </c>
      <c r="AO330" s="63">
        <v>0</v>
      </c>
      <c r="AP330" s="63">
        <v>1968980</v>
      </c>
      <c r="AQ330" s="63">
        <v>-428463</v>
      </c>
      <c r="AR330" s="63">
        <v>0</v>
      </c>
      <c r="AS330" s="63">
        <v>-428463</v>
      </c>
      <c r="AT330" s="63">
        <v>-4264387</v>
      </c>
      <c r="AU330" s="63">
        <v>0</v>
      </c>
      <c r="AV330" s="63">
        <v>-4264387</v>
      </c>
      <c r="AW330" s="63">
        <v>-50147</v>
      </c>
      <c r="AX330" s="63">
        <v>0</v>
      </c>
      <c r="AY330" s="63">
        <v>-50147</v>
      </c>
      <c r="AZ330" s="63">
        <v>-17755</v>
      </c>
      <c r="BA330" s="63">
        <v>0</v>
      </c>
      <c r="BB330" s="63">
        <v>-17755</v>
      </c>
      <c r="BC330" s="63">
        <v>-4760752</v>
      </c>
      <c r="BD330" s="63">
        <v>0</v>
      </c>
      <c r="BE330" s="63">
        <v>0</v>
      </c>
      <c r="BF330" s="63">
        <v>0</v>
      </c>
      <c r="BG330" s="63">
        <v>-4760752</v>
      </c>
      <c r="BH330" s="63">
        <v>0</v>
      </c>
      <c r="BI330" s="63">
        <v>-4760752</v>
      </c>
      <c r="BJ330" s="63">
        <v>0</v>
      </c>
      <c r="BK330" s="63">
        <v>0</v>
      </c>
      <c r="BL330" s="63">
        <v>0</v>
      </c>
      <c r="BM330" s="63">
        <v>-2828055</v>
      </c>
      <c r="BN330" s="63">
        <v>0</v>
      </c>
      <c r="BO330" s="63">
        <v>-2828055</v>
      </c>
      <c r="BP330" s="63">
        <v>-2828055</v>
      </c>
      <c r="BQ330" s="63">
        <v>0</v>
      </c>
      <c r="BR330" s="63">
        <v>0</v>
      </c>
      <c r="BS330" s="63">
        <v>0</v>
      </c>
      <c r="BT330" s="63">
        <v>-2828055</v>
      </c>
      <c r="BU330" s="63">
        <v>0</v>
      </c>
      <c r="BV330" s="63">
        <v>-2828055</v>
      </c>
      <c r="BW330" s="63">
        <v>-90883</v>
      </c>
      <c r="BX330" s="63">
        <v>0</v>
      </c>
      <c r="BY330" s="63">
        <v>-90883</v>
      </c>
      <c r="BZ330" s="63">
        <v>-68497</v>
      </c>
      <c r="CA330" s="63">
        <v>0</v>
      </c>
      <c r="CB330" s="63">
        <v>-68497</v>
      </c>
      <c r="CC330" s="63">
        <v>-3636</v>
      </c>
      <c r="CD330" s="63">
        <v>0</v>
      </c>
      <c r="CE330" s="63">
        <v>-3636</v>
      </c>
      <c r="CF330" s="63">
        <v>-1404</v>
      </c>
      <c r="CG330" s="63">
        <v>0</v>
      </c>
      <c r="CH330" s="63">
        <v>-1404</v>
      </c>
      <c r="CI330" s="63">
        <v>-19955</v>
      </c>
      <c r="CJ330" s="63">
        <v>0</v>
      </c>
      <c r="CK330" s="63">
        <v>-19955</v>
      </c>
      <c r="CL330" s="63">
        <v>0</v>
      </c>
      <c r="CM330" s="63">
        <v>0</v>
      </c>
      <c r="CN330" s="63">
        <v>0</v>
      </c>
      <c r="CO330" s="63">
        <v>0</v>
      </c>
      <c r="CP330" s="63">
        <v>0</v>
      </c>
      <c r="CQ330" s="63">
        <v>-184375</v>
      </c>
      <c r="CR330" s="63">
        <v>0</v>
      </c>
      <c r="CS330" s="63">
        <v>0</v>
      </c>
      <c r="CT330" s="63">
        <v>0</v>
      </c>
      <c r="CU330" s="63">
        <v>-184375</v>
      </c>
      <c r="CV330" s="63">
        <v>0</v>
      </c>
      <c r="CW330" s="63">
        <v>-184375</v>
      </c>
      <c r="CX330" s="63">
        <v>0</v>
      </c>
      <c r="CY330" s="63">
        <v>0</v>
      </c>
      <c r="CZ330" s="63">
        <v>0</v>
      </c>
      <c r="DA330" s="63">
        <v>-9020</v>
      </c>
      <c r="DB330" s="63">
        <v>0</v>
      </c>
      <c r="DC330" s="63">
        <v>-9020</v>
      </c>
      <c r="DD330" s="63">
        <v>-21793</v>
      </c>
      <c r="DE330" s="63">
        <v>0</v>
      </c>
      <c r="DF330" s="63">
        <v>-21793</v>
      </c>
      <c r="DG330" s="63">
        <v>-30813</v>
      </c>
      <c r="DH330" s="63">
        <v>0</v>
      </c>
      <c r="DI330" s="63">
        <v>0</v>
      </c>
      <c r="DJ330" s="63">
        <v>0</v>
      </c>
      <c r="DK330" s="63">
        <v>-30813</v>
      </c>
      <c r="DL330" s="63">
        <v>0</v>
      </c>
      <c r="DM330" s="63">
        <v>-30813</v>
      </c>
      <c r="DN330" s="63">
        <v>75538769</v>
      </c>
      <c r="DO330" s="63">
        <v>0</v>
      </c>
      <c r="DP330" s="63">
        <v>75538769</v>
      </c>
      <c r="DQ330" s="63"/>
      <c r="DR330" s="585"/>
    </row>
    <row r="331" spans="1:122" x14ac:dyDescent="0.2">
      <c r="A331" s="90">
        <v>324</v>
      </c>
      <c r="B331" s="129" t="s">
        <v>490</v>
      </c>
      <c r="C331" s="130" t="s">
        <v>742</v>
      </c>
      <c r="D331" s="131" t="s">
        <v>744</v>
      </c>
      <c r="E331" s="132" t="s">
        <v>489</v>
      </c>
      <c r="F331" s="475" t="s">
        <v>808</v>
      </c>
      <c r="G331" s="63">
        <v>62934719</v>
      </c>
      <c r="H331" s="63">
        <v>6015070</v>
      </c>
      <c r="I331" s="63">
        <v>68949789</v>
      </c>
      <c r="J331" s="608">
        <v>48.4</v>
      </c>
      <c r="K331" s="63">
        <v>30460404</v>
      </c>
      <c r="L331" s="63">
        <v>2911294</v>
      </c>
      <c r="M331" s="63">
        <v>0</v>
      </c>
      <c r="N331" s="63">
        <v>0</v>
      </c>
      <c r="O331" s="63">
        <v>30460404</v>
      </c>
      <c r="P331" s="63">
        <v>2911294</v>
      </c>
      <c r="Q331" s="63">
        <v>33371698</v>
      </c>
      <c r="R331" s="63">
        <v>0</v>
      </c>
      <c r="S331" s="63">
        <v>0</v>
      </c>
      <c r="T331" s="63">
        <v>0</v>
      </c>
      <c r="U331" s="63">
        <v>0</v>
      </c>
      <c r="V331" s="63">
        <v>0</v>
      </c>
      <c r="W331" s="63">
        <v>0</v>
      </c>
      <c r="X331" s="63">
        <v>0</v>
      </c>
      <c r="Y331" s="63">
        <v>0</v>
      </c>
      <c r="Z331" s="63">
        <v>0</v>
      </c>
      <c r="AA331" s="63">
        <v>0</v>
      </c>
      <c r="AB331" s="63">
        <v>0</v>
      </c>
      <c r="AC331" s="63">
        <v>0</v>
      </c>
      <c r="AD331" s="63">
        <v>0</v>
      </c>
      <c r="AE331" s="63">
        <v>0</v>
      </c>
      <c r="AF331" s="63">
        <v>0</v>
      </c>
      <c r="AG331" s="63">
        <v>0</v>
      </c>
      <c r="AH331" s="63">
        <v>-3021018</v>
      </c>
      <c r="AI331" s="63">
        <v>-21276</v>
      </c>
      <c r="AJ331" s="63">
        <v>-3042294</v>
      </c>
      <c r="AK331" s="63">
        <v>-10594</v>
      </c>
      <c r="AL331" s="63">
        <v>0</v>
      </c>
      <c r="AM331" s="63">
        <v>-10594</v>
      </c>
      <c r="AN331" s="63">
        <v>613776</v>
      </c>
      <c r="AO331" s="63">
        <v>76005</v>
      </c>
      <c r="AP331" s="63">
        <v>689781</v>
      </c>
      <c r="AQ331" s="63">
        <v>-2407242</v>
      </c>
      <c r="AR331" s="63">
        <v>54729</v>
      </c>
      <c r="AS331" s="63">
        <v>-2352513</v>
      </c>
      <c r="AT331" s="63">
        <v>-1752372</v>
      </c>
      <c r="AU331" s="63">
        <v>-7952</v>
      </c>
      <c r="AV331" s="63">
        <v>-1760324</v>
      </c>
      <c r="AW331" s="63">
        <v>-29528</v>
      </c>
      <c r="AX331" s="63">
        <v>0</v>
      </c>
      <c r="AY331" s="63">
        <v>-29528</v>
      </c>
      <c r="AZ331" s="63">
        <v>-2847</v>
      </c>
      <c r="BA331" s="63">
        <v>0</v>
      </c>
      <c r="BB331" s="63">
        <v>-2847</v>
      </c>
      <c r="BC331" s="63">
        <v>-4191989</v>
      </c>
      <c r="BD331" s="63">
        <v>46777</v>
      </c>
      <c r="BE331" s="63">
        <v>0</v>
      </c>
      <c r="BF331" s="63">
        <v>0</v>
      </c>
      <c r="BG331" s="63">
        <v>-4191989</v>
      </c>
      <c r="BH331" s="63">
        <v>46777</v>
      </c>
      <c r="BI331" s="63">
        <v>-4145212</v>
      </c>
      <c r="BJ331" s="63">
        <v>0</v>
      </c>
      <c r="BK331" s="63">
        <v>0</v>
      </c>
      <c r="BL331" s="63">
        <v>0</v>
      </c>
      <c r="BM331" s="63">
        <v>-506259</v>
      </c>
      <c r="BN331" s="63">
        <v>-25222</v>
      </c>
      <c r="BO331" s="63">
        <v>-531481</v>
      </c>
      <c r="BP331" s="63">
        <v>-506259</v>
      </c>
      <c r="BQ331" s="63">
        <v>-25222</v>
      </c>
      <c r="BR331" s="63">
        <v>0</v>
      </c>
      <c r="BS331" s="63">
        <v>0</v>
      </c>
      <c r="BT331" s="63">
        <v>-506259</v>
      </c>
      <c r="BU331" s="63">
        <v>-25222</v>
      </c>
      <c r="BV331" s="63">
        <v>-531481</v>
      </c>
      <c r="BW331" s="63">
        <v>-3298</v>
      </c>
      <c r="BX331" s="63">
        <v>0</v>
      </c>
      <c r="BY331" s="63">
        <v>-3298</v>
      </c>
      <c r="BZ331" s="63">
        <v>-79955</v>
      </c>
      <c r="CA331" s="63">
        <v>0</v>
      </c>
      <c r="CB331" s="63">
        <v>-79955</v>
      </c>
      <c r="CC331" s="63">
        <v>0</v>
      </c>
      <c r="CD331" s="63">
        <v>0</v>
      </c>
      <c r="CE331" s="63">
        <v>0</v>
      </c>
      <c r="CF331" s="63">
        <v>-40</v>
      </c>
      <c r="CG331" s="63">
        <v>0</v>
      </c>
      <c r="CH331" s="63">
        <v>-40</v>
      </c>
      <c r="CI331" s="63">
        <v>0</v>
      </c>
      <c r="CJ331" s="63">
        <v>0</v>
      </c>
      <c r="CK331" s="63">
        <v>0</v>
      </c>
      <c r="CL331" s="63">
        <v>0</v>
      </c>
      <c r="CM331" s="63">
        <v>0</v>
      </c>
      <c r="CN331" s="63">
        <v>0</v>
      </c>
      <c r="CO331" s="63">
        <v>0</v>
      </c>
      <c r="CP331" s="63">
        <v>0</v>
      </c>
      <c r="CQ331" s="63">
        <v>-83293</v>
      </c>
      <c r="CR331" s="63">
        <v>0</v>
      </c>
      <c r="CS331" s="63">
        <v>0</v>
      </c>
      <c r="CT331" s="63">
        <v>0</v>
      </c>
      <c r="CU331" s="63">
        <v>-83293</v>
      </c>
      <c r="CV331" s="63">
        <v>0</v>
      </c>
      <c r="CW331" s="63">
        <v>-83293</v>
      </c>
      <c r="CX331" s="63">
        <v>0</v>
      </c>
      <c r="CY331" s="63">
        <v>0</v>
      </c>
      <c r="CZ331" s="63">
        <v>0</v>
      </c>
      <c r="DA331" s="63">
        <v>-1908</v>
      </c>
      <c r="DB331" s="63">
        <v>0</v>
      </c>
      <c r="DC331" s="63">
        <v>-1908</v>
      </c>
      <c r="DD331" s="63">
        <v>-10000</v>
      </c>
      <c r="DE331" s="63">
        <v>0</v>
      </c>
      <c r="DF331" s="63">
        <v>-10000</v>
      </c>
      <c r="DG331" s="63">
        <v>-11908</v>
      </c>
      <c r="DH331" s="63">
        <v>0</v>
      </c>
      <c r="DI331" s="63">
        <v>0</v>
      </c>
      <c r="DJ331" s="63">
        <v>0</v>
      </c>
      <c r="DK331" s="63">
        <v>-11908</v>
      </c>
      <c r="DL331" s="63">
        <v>0</v>
      </c>
      <c r="DM331" s="63">
        <v>-11908</v>
      </c>
      <c r="DN331" s="63">
        <v>25666955</v>
      </c>
      <c r="DO331" s="63">
        <v>2932849</v>
      </c>
      <c r="DP331" s="63">
        <v>28599804</v>
      </c>
      <c r="DQ331" s="63"/>
      <c r="DR331" s="585" t="s">
        <v>768</v>
      </c>
    </row>
    <row r="332" spans="1:122" ht="12.75" x14ac:dyDescent="0.2">
      <c r="A332" s="90">
        <v>325</v>
      </c>
      <c r="B332" s="129" t="s">
        <v>492</v>
      </c>
      <c r="C332" s="130" t="s">
        <v>742</v>
      </c>
      <c r="D332" s="131" t="s">
        <v>752</v>
      </c>
      <c r="E332" s="132" t="s">
        <v>491</v>
      </c>
      <c r="F332" s="475" t="s">
        <v>808</v>
      </c>
      <c r="G332" s="63">
        <v>73807627</v>
      </c>
      <c r="H332" s="63">
        <v>0</v>
      </c>
      <c r="I332" s="63">
        <v>73807627</v>
      </c>
      <c r="J332" s="608">
        <v>48.4</v>
      </c>
      <c r="K332" s="63">
        <v>35722891</v>
      </c>
      <c r="L332" s="63">
        <v>0</v>
      </c>
      <c r="M332" s="63">
        <v>-400000</v>
      </c>
      <c r="N332" s="63">
        <v>0</v>
      </c>
      <c r="O332" s="63">
        <v>35322891</v>
      </c>
      <c r="P332" s="63">
        <v>0</v>
      </c>
      <c r="Q332" s="63">
        <v>35322891</v>
      </c>
      <c r="R332" s="63">
        <v>0</v>
      </c>
      <c r="S332" s="63">
        <v>0</v>
      </c>
      <c r="T332" s="63">
        <v>0</v>
      </c>
      <c r="U332" s="63">
        <v>0</v>
      </c>
      <c r="V332" s="63">
        <v>0</v>
      </c>
      <c r="W332" s="63">
        <v>0</v>
      </c>
      <c r="X332" s="63">
        <v>0</v>
      </c>
      <c r="Y332" s="63">
        <v>0</v>
      </c>
      <c r="Z332" s="63">
        <v>0</v>
      </c>
      <c r="AA332" s="63">
        <v>0</v>
      </c>
      <c r="AB332" s="63">
        <v>0</v>
      </c>
      <c r="AC332" s="63">
        <v>0</v>
      </c>
      <c r="AD332" s="63">
        <v>0</v>
      </c>
      <c r="AE332" s="63">
        <v>0</v>
      </c>
      <c r="AF332" s="63">
        <v>0</v>
      </c>
      <c r="AG332" s="63">
        <v>0</v>
      </c>
      <c r="AH332" s="63">
        <v>-2249413</v>
      </c>
      <c r="AI332" s="63">
        <v>0</v>
      </c>
      <c r="AJ332" s="63">
        <v>-2249413</v>
      </c>
      <c r="AK332" s="63">
        <v>0</v>
      </c>
      <c r="AL332" s="63">
        <v>0</v>
      </c>
      <c r="AM332" s="63">
        <v>0</v>
      </c>
      <c r="AN332" s="63">
        <v>796757</v>
      </c>
      <c r="AO332" s="63">
        <v>0</v>
      </c>
      <c r="AP332" s="63">
        <v>796757</v>
      </c>
      <c r="AQ332" s="63">
        <v>-1452656</v>
      </c>
      <c r="AR332" s="63">
        <v>0</v>
      </c>
      <c r="AS332" s="63">
        <v>-1452656</v>
      </c>
      <c r="AT332" s="63">
        <v>-1982990</v>
      </c>
      <c r="AU332" s="63">
        <v>0</v>
      </c>
      <c r="AV332" s="63">
        <v>-1982990</v>
      </c>
      <c r="AW332" s="63">
        <v>-49551</v>
      </c>
      <c r="AX332" s="63">
        <v>0</v>
      </c>
      <c r="AY332" s="63">
        <v>-49551</v>
      </c>
      <c r="AZ332" s="63">
        <v>-10263</v>
      </c>
      <c r="BA332" s="63">
        <v>0</v>
      </c>
      <c r="BB332" s="63">
        <v>-10263</v>
      </c>
      <c r="BC332" s="63">
        <v>-3495460</v>
      </c>
      <c r="BD332" s="63">
        <v>0</v>
      </c>
      <c r="BE332" s="63">
        <v>-100000</v>
      </c>
      <c r="BF332" s="63">
        <v>0</v>
      </c>
      <c r="BG332" s="63">
        <v>-3595460</v>
      </c>
      <c r="BH332" s="63">
        <v>0</v>
      </c>
      <c r="BI332" s="63">
        <v>-3595460</v>
      </c>
      <c r="BJ332" s="63">
        <v>-125000</v>
      </c>
      <c r="BK332" s="63">
        <v>0</v>
      </c>
      <c r="BL332" s="63">
        <v>-125000</v>
      </c>
      <c r="BM332" s="63">
        <v>-1249031</v>
      </c>
      <c r="BN332" s="63">
        <v>0</v>
      </c>
      <c r="BO332" s="63">
        <v>-1249031</v>
      </c>
      <c r="BP332" s="63">
        <v>-1374031</v>
      </c>
      <c r="BQ332" s="63">
        <v>0</v>
      </c>
      <c r="BR332" s="63">
        <v>-150000</v>
      </c>
      <c r="BS332" s="63">
        <v>0</v>
      </c>
      <c r="BT332" s="63">
        <v>-1524031</v>
      </c>
      <c r="BU332" s="63">
        <v>0</v>
      </c>
      <c r="BV332" s="63">
        <v>-1524031</v>
      </c>
      <c r="BW332" s="63">
        <v>-85853</v>
      </c>
      <c r="BX332" s="63">
        <v>0</v>
      </c>
      <c r="BY332" s="63">
        <v>-85853</v>
      </c>
      <c r="BZ332" s="63">
        <v>-99109</v>
      </c>
      <c r="CA332" s="63">
        <v>0</v>
      </c>
      <c r="CB332" s="63">
        <v>-99109</v>
      </c>
      <c r="CC332" s="63">
        <v>0</v>
      </c>
      <c r="CD332" s="63">
        <v>0</v>
      </c>
      <c r="CE332" s="63">
        <v>0</v>
      </c>
      <c r="CF332" s="63">
        <v>-2840</v>
      </c>
      <c r="CG332" s="63">
        <v>0</v>
      </c>
      <c r="CH332" s="63">
        <v>-2840</v>
      </c>
      <c r="CI332" s="63">
        <v>0</v>
      </c>
      <c r="CJ332" s="63">
        <v>0</v>
      </c>
      <c r="CK332" s="63">
        <v>0</v>
      </c>
      <c r="CL332" s="63">
        <v>0</v>
      </c>
      <c r="CM332" s="63">
        <v>0</v>
      </c>
      <c r="CN332" s="63">
        <v>0</v>
      </c>
      <c r="CO332" s="63">
        <v>0</v>
      </c>
      <c r="CP332" s="63">
        <v>0</v>
      </c>
      <c r="CQ332" s="63">
        <v>-187802</v>
      </c>
      <c r="CR332" s="63">
        <v>0</v>
      </c>
      <c r="CS332" s="63">
        <v>0</v>
      </c>
      <c r="CT332" s="63">
        <v>0</v>
      </c>
      <c r="CU332" s="63">
        <v>-187802</v>
      </c>
      <c r="CV332" s="63">
        <v>0</v>
      </c>
      <c r="CW332" s="63">
        <v>-187802</v>
      </c>
      <c r="CX332" s="63">
        <v>0</v>
      </c>
      <c r="CY332" s="63">
        <v>0</v>
      </c>
      <c r="CZ332" s="63">
        <v>0</v>
      </c>
      <c r="DA332" s="63">
        <v>0</v>
      </c>
      <c r="DB332" s="63">
        <v>0</v>
      </c>
      <c r="DC332" s="63">
        <v>0</v>
      </c>
      <c r="DD332" s="63">
        <v>-259</v>
      </c>
      <c r="DE332" s="63">
        <v>0</v>
      </c>
      <c r="DF332" s="63">
        <v>-259</v>
      </c>
      <c r="DG332" s="63">
        <v>-259</v>
      </c>
      <c r="DH332" s="63">
        <v>0</v>
      </c>
      <c r="DI332" s="63">
        <v>0</v>
      </c>
      <c r="DJ332" s="63">
        <v>0</v>
      </c>
      <c r="DK332" s="63">
        <v>-259</v>
      </c>
      <c r="DL332" s="63">
        <v>0</v>
      </c>
      <c r="DM332" s="63">
        <v>-259</v>
      </c>
      <c r="DN332" s="63">
        <v>30015339</v>
      </c>
      <c r="DO332" s="63">
        <v>0</v>
      </c>
      <c r="DP332" s="63">
        <v>30015339</v>
      </c>
      <c r="DQ332" s="63"/>
      <c r="DR332" s="184"/>
    </row>
    <row r="333" spans="1:122" ht="13.5" thickBot="1" x14ac:dyDescent="0.25">
      <c r="A333" s="90">
        <v>326</v>
      </c>
      <c r="B333" s="129" t="s">
        <v>493</v>
      </c>
      <c r="C333" s="130" t="s">
        <v>501</v>
      </c>
      <c r="D333" s="131" t="s">
        <v>750</v>
      </c>
      <c r="E333" s="132" t="s">
        <v>544</v>
      </c>
      <c r="F333" s="475" t="s">
        <v>808</v>
      </c>
      <c r="G333" s="63">
        <v>247653926</v>
      </c>
      <c r="H333" s="63">
        <v>0</v>
      </c>
      <c r="I333" s="63">
        <v>247653926</v>
      </c>
      <c r="J333" s="608">
        <v>48.4</v>
      </c>
      <c r="K333" s="63">
        <v>119864500</v>
      </c>
      <c r="L333" s="63">
        <v>0</v>
      </c>
      <c r="M333" s="63">
        <v>250000</v>
      </c>
      <c r="N333" s="63">
        <v>0</v>
      </c>
      <c r="O333" s="63">
        <v>120114500</v>
      </c>
      <c r="P333" s="63">
        <v>0</v>
      </c>
      <c r="Q333" s="63">
        <v>120114500</v>
      </c>
      <c r="R333" s="63">
        <v>0</v>
      </c>
      <c r="S333" s="63">
        <v>0</v>
      </c>
      <c r="T333" s="63">
        <v>0</v>
      </c>
      <c r="U333" s="63">
        <v>0</v>
      </c>
      <c r="V333" s="63">
        <v>0</v>
      </c>
      <c r="W333" s="63">
        <v>0</v>
      </c>
      <c r="X333" s="63">
        <v>0</v>
      </c>
      <c r="Y333" s="63">
        <v>0</v>
      </c>
      <c r="Z333" s="63">
        <v>0</v>
      </c>
      <c r="AA333" s="63">
        <v>0</v>
      </c>
      <c r="AB333" s="63">
        <v>0</v>
      </c>
      <c r="AC333" s="63">
        <v>0</v>
      </c>
      <c r="AD333" s="63">
        <v>0</v>
      </c>
      <c r="AE333" s="63">
        <v>0</v>
      </c>
      <c r="AF333" s="63">
        <v>0</v>
      </c>
      <c r="AG333" s="63">
        <v>0</v>
      </c>
      <c r="AH333" s="63">
        <v>-3604333</v>
      </c>
      <c r="AI333" s="63">
        <v>0</v>
      </c>
      <c r="AJ333" s="63">
        <v>-3604333</v>
      </c>
      <c r="AK333" s="63">
        <v>-27222</v>
      </c>
      <c r="AL333" s="63">
        <v>0</v>
      </c>
      <c r="AM333" s="63">
        <v>-27222</v>
      </c>
      <c r="AN333" s="63">
        <v>2933517</v>
      </c>
      <c r="AO333" s="63">
        <v>0</v>
      </c>
      <c r="AP333" s="63">
        <v>2933517</v>
      </c>
      <c r="AQ333" s="63">
        <v>-670816</v>
      </c>
      <c r="AR333" s="63">
        <v>0</v>
      </c>
      <c r="AS333" s="63">
        <v>-670816</v>
      </c>
      <c r="AT333" s="63">
        <v>-8986740</v>
      </c>
      <c r="AU333" s="63">
        <v>0</v>
      </c>
      <c r="AV333" s="63">
        <v>-8986740</v>
      </c>
      <c r="AW333" s="63">
        <v>-160000</v>
      </c>
      <c r="AX333" s="63">
        <v>0</v>
      </c>
      <c r="AY333" s="63">
        <v>-160000</v>
      </c>
      <c r="AZ333" s="63">
        <v>-8460</v>
      </c>
      <c r="BA333" s="63">
        <v>0</v>
      </c>
      <c r="BB333" s="63">
        <v>-8460</v>
      </c>
      <c r="BC333" s="63">
        <v>-9826016</v>
      </c>
      <c r="BD333" s="63">
        <v>0</v>
      </c>
      <c r="BE333" s="63">
        <v>0</v>
      </c>
      <c r="BF333" s="63">
        <v>0</v>
      </c>
      <c r="BG333" s="63">
        <v>-9826016</v>
      </c>
      <c r="BH333" s="63">
        <v>0</v>
      </c>
      <c r="BI333" s="63">
        <v>-9826016</v>
      </c>
      <c r="BJ333" s="63">
        <v>-50000</v>
      </c>
      <c r="BK333" s="63">
        <v>0</v>
      </c>
      <c r="BL333" s="63">
        <v>-50000</v>
      </c>
      <c r="BM333" s="63">
        <v>-3350000</v>
      </c>
      <c r="BN333" s="63">
        <v>0</v>
      </c>
      <c r="BO333" s="63">
        <v>-3350000</v>
      </c>
      <c r="BP333" s="63">
        <v>-3400000</v>
      </c>
      <c r="BQ333" s="63">
        <v>0</v>
      </c>
      <c r="BR333" s="63">
        <v>0</v>
      </c>
      <c r="BS333" s="63">
        <v>0</v>
      </c>
      <c r="BT333" s="63">
        <v>-3400000</v>
      </c>
      <c r="BU333" s="63">
        <v>0</v>
      </c>
      <c r="BV333" s="63">
        <v>-3400000</v>
      </c>
      <c r="BW333" s="63">
        <v>-70000</v>
      </c>
      <c r="BX333" s="63">
        <v>0</v>
      </c>
      <c r="BY333" s="63">
        <v>-70000</v>
      </c>
      <c r="BZ333" s="63">
        <v>-9710</v>
      </c>
      <c r="CA333" s="63">
        <v>0</v>
      </c>
      <c r="CB333" s="63">
        <v>-9710</v>
      </c>
      <c r="CC333" s="63">
        <v>-20999</v>
      </c>
      <c r="CD333" s="63">
        <v>0</v>
      </c>
      <c r="CE333" s="63">
        <v>-20999</v>
      </c>
      <c r="CF333" s="63">
        <v>-3180</v>
      </c>
      <c r="CG333" s="63">
        <v>0</v>
      </c>
      <c r="CH333" s="63">
        <v>-3180</v>
      </c>
      <c r="CI333" s="63">
        <v>-34050</v>
      </c>
      <c r="CJ333" s="63">
        <v>0</v>
      </c>
      <c r="CK333" s="63">
        <v>-34050</v>
      </c>
      <c r="CL333" s="63">
        <v>-19992</v>
      </c>
      <c r="CM333" s="63">
        <v>0</v>
      </c>
      <c r="CN333" s="63">
        <v>-19992</v>
      </c>
      <c r="CO333" s="63">
        <v>0</v>
      </c>
      <c r="CP333" s="63">
        <v>0</v>
      </c>
      <c r="CQ333" s="63">
        <v>-157931</v>
      </c>
      <c r="CR333" s="63">
        <v>0</v>
      </c>
      <c r="CS333" s="63">
        <v>0</v>
      </c>
      <c r="CT333" s="63">
        <v>0</v>
      </c>
      <c r="CU333" s="63">
        <v>-157931</v>
      </c>
      <c r="CV333" s="63">
        <v>0</v>
      </c>
      <c r="CW333" s="63">
        <v>-157931</v>
      </c>
      <c r="CX333" s="63">
        <v>-71827</v>
      </c>
      <c r="CY333" s="63">
        <v>0</v>
      </c>
      <c r="CZ333" s="63">
        <v>-71827</v>
      </c>
      <c r="DA333" s="63">
        <v>-142756</v>
      </c>
      <c r="DB333" s="63">
        <v>0</v>
      </c>
      <c r="DC333" s="63">
        <v>-142756</v>
      </c>
      <c r="DD333" s="63">
        <v>0</v>
      </c>
      <c r="DE333" s="63">
        <v>0</v>
      </c>
      <c r="DF333" s="63">
        <v>0</v>
      </c>
      <c r="DG333" s="63">
        <v>-214583</v>
      </c>
      <c r="DH333" s="63">
        <v>0</v>
      </c>
      <c r="DI333" s="63">
        <v>0</v>
      </c>
      <c r="DJ333" s="63">
        <v>0</v>
      </c>
      <c r="DK333" s="63">
        <v>-214583</v>
      </c>
      <c r="DL333" s="63">
        <v>0</v>
      </c>
      <c r="DM333" s="63">
        <v>-214583</v>
      </c>
      <c r="DN333" s="63">
        <v>106515970</v>
      </c>
      <c r="DO333" s="63">
        <v>0</v>
      </c>
      <c r="DP333" s="63">
        <v>106515970</v>
      </c>
      <c r="DQ333" s="63"/>
      <c r="DR333" s="185"/>
    </row>
    <row r="334" spans="1:122" ht="13.5" thickBot="1" x14ac:dyDescent="0.25">
      <c r="A334" s="90">
        <v>327</v>
      </c>
      <c r="B334" s="179"/>
      <c r="C334" s="179"/>
      <c r="D334" s="181" t="s">
        <v>746</v>
      </c>
      <c r="E334" s="82" t="s">
        <v>738</v>
      </c>
      <c r="F334" s="476" t="s">
        <v>808</v>
      </c>
      <c r="G334" s="97">
        <f t="shared" ref="G334:BR334" si="0">SUM(G8:G333)</f>
        <v>56975864420</v>
      </c>
      <c r="H334" s="97">
        <f t="shared" si="0"/>
        <v>389369356</v>
      </c>
      <c r="I334" s="97">
        <f t="shared" si="0"/>
        <v>57365233776</v>
      </c>
      <c r="J334" s="609">
        <v>48.4</v>
      </c>
      <c r="K334" s="97">
        <f t="shared" si="0"/>
        <v>27576318386</v>
      </c>
      <c r="L334" s="97">
        <f t="shared" si="0"/>
        <v>188454773</v>
      </c>
      <c r="M334" s="97">
        <f t="shared" si="0"/>
        <v>-27627781</v>
      </c>
      <c r="N334" s="97">
        <f t="shared" si="0"/>
        <v>7477577</v>
      </c>
      <c r="O334" s="97">
        <f t="shared" si="0"/>
        <v>27548690605</v>
      </c>
      <c r="P334" s="97">
        <f t="shared" si="0"/>
        <v>195932350</v>
      </c>
      <c r="Q334" s="97">
        <f t="shared" si="0"/>
        <v>27744622955</v>
      </c>
      <c r="R334" s="97">
        <f t="shared" si="0"/>
        <v>0</v>
      </c>
      <c r="S334" s="97">
        <f t="shared" si="0"/>
        <v>0</v>
      </c>
      <c r="T334" s="97">
        <f t="shared" si="0"/>
        <v>0</v>
      </c>
      <c r="U334" s="97">
        <f t="shared" si="0"/>
        <v>0</v>
      </c>
      <c r="V334" s="97">
        <f t="shared" si="0"/>
        <v>0</v>
      </c>
      <c r="W334" s="97">
        <f t="shared" si="0"/>
        <v>0</v>
      </c>
      <c r="X334" s="97">
        <f t="shared" si="0"/>
        <v>0</v>
      </c>
      <c r="Y334" s="97">
        <f t="shared" si="0"/>
        <v>0</v>
      </c>
      <c r="Z334" s="97">
        <f t="shared" si="0"/>
        <v>0</v>
      </c>
      <c r="AA334" s="97">
        <f t="shared" si="0"/>
        <v>0</v>
      </c>
      <c r="AB334" s="97">
        <f t="shared" si="0"/>
        <v>0</v>
      </c>
      <c r="AC334" s="97">
        <f t="shared" si="0"/>
        <v>0</v>
      </c>
      <c r="AD334" s="97">
        <f t="shared" si="0"/>
        <v>0</v>
      </c>
      <c r="AE334" s="97">
        <f t="shared" si="0"/>
        <v>0</v>
      </c>
      <c r="AF334" s="97">
        <f t="shared" si="0"/>
        <v>0</v>
      </c>
      <c r="AG334" s="97">
        <f t="shared" si="0"/>
        <v>0</v>
      </c>
      <c r="AH334" s="97">
        <f t="shared" si="0"/>
        <v>-1126658404.8099999</v>
      </c>
      <c r="AI334" s="97">
        <f t="shared" si="0"/>
        <v>-2442829.59</v>
      </c>
      <c r="AJ334" s="97">
        <f t="shared" si="0"/>
        <v>-1129101234.3999999</v>
      </c>
      <c r="AK334" s="97">
        <f t="shared" si="0"/>
        <v>-2281413.3640000001</v>
      </c>
      <c r="AL334" s="97">
        <f t="shared" si="0"/>
        <v>-7344</v>
      </c>
      <c r="AM334" s="97">
        <f t="shared" si="0"/>
        <v>-2288757.3640000001</v>
      </c>
      <c r="AN334" s="97">
        <f t="shared" si="0"/>
        <v>644061556.9993999</v>
      </c>
      <c r="AO334" s="97">
        <f t="shared" si="0"/>
        <v>4318973.3499999996</v>
      </c>
      <c r="AP334" s="97">
        <f t="shared" si="0"/>
        <v>648380530.34940004</v>
      </c>
      <c r="AQ334" s="97">
        <f t="shared" si="0"/>
        <v>-482596847.81060004</v>
      </c>
      <c r="AR334" s="97">
        <f t="shared" si="0"/>
        <v>1876143.76</v>
      </c>
      <c r="AS334" s="97">
        <f t="shared" si="0"/>
        <v>-480720704.05060005</v>
      </c>
      <c r="AT334" s="97">
        <f t="shared" si="0"/>
        <v>-1568703081.9586999</v>
      </c>
      <c r="AU334" s="97">
        <f t="shared" si="0"/>
        <v>-5828372</v>
      </c>
      <c r="AV334" s="97">
        <f t="shared" si="0"/>
        <v>-1574531453.9586999</v>
      </c>
      <c r="AW334" s="97">
        <f t="shared" si="0"/>
        <v>-20777214.120000001</v>
      </c>
      <c r="AX334" s="97">
        <f t="shared" si="0"/>
        <v>0</v>
      </c>
      <c r="AY334" s="97">
        <f t="shared" si="0"/>
        <v>-20777214.120000001</v>
      </c>
      <c r="AZ334" s="97">
        <f t="shared" si="0"/>
        <v>-6006331.7299999995</v>
      </c>
      <c r="BA334" s="97">
        <f t="shared" si="0"/>
        <v>0</v>
      </c>
      <c r="BB334" s="97">
        <f t="shared" si="0"/>
        <v>-6006331.7299999995</v>
      </c>
      <c r="BC334" s="97">
        <f t="shared" si="0"/>
        <v>-2078083475.6193001</v>
      </c>
      <c r="BD334" s="97">
        <f t="shared" si="0"/>
        <v>-3952228.24</v>
      </c>
      <c r="BE334" s="97">
        <f t="shared" si="0"/>
        <v>-41508557</v>
      </c>
      <c r="BF334" s="97">
        <f t="shared" si="0"/>
        <v>-386500</v>
      </c>
      <c r="BG334" s="97">
        <f t="shared" si="0"/>
        <v>-2119592032.6193001</v>
      </c>
      <c r="BH334" s="97">
        <f t="shared" si="0"/>
        <v>-4338728.24</v>
      </c>
      <c r="BI334" s="97">
        <f t="shared" si="0"/>
        <v>-2123930760.8593001</v>
      </c>
      <c r="BJ334" s="97">
        <f t="shared" si="0"/>
        <v>-26758230.969999999</v>
      </c>
      <c r="BK334" s="97">
        <f t="shared" si="0"/>
        <v>-371980</v>
      </c>
      <c r="BL334" s="97">
        <f t="shared" si="0"/>
        <v>-27130210.969999999</v>
      </c>
      <c r="BM334" s="97">
        <f t="shared" si="0"/>
        <v>-821683382.49000001</v>
      </c>
      <c r="BN334" s="97">
        <f t="shared" si="0"/>
        <v>-16138292.629999999</v>
      </c>
      <c r="BO334" s="97">
        <f t="shared" si="0"/>
        <v>-837821675.12</v>
      </c>
      <c r="BP334" s="97">
        <f t="shared" si="0"/>
        <v>-848441613.46000004</v>
      </c>
      <c r="BQ334" s="97">
        <f t="shared" si="0"/>
        <v>-16510272.629999999</v>
      </c>
      <c r="BR334" s="97">
        <f t="shared" si="0"/>
        <v>-43857429</v>
      </c>
      <c r="BS334" s="97">
        <f t="shared" ref="BS334:DP334" si="1">SUM(BS8:BS333)</f>
        <v>-179104</v>
      </c>
      <c r="BT334" s="97">
        <f t="shared" si="1"/>
        <v>-892299042.45999992</v>
      </c>
      <c r="BU334" s="97">
        <f t="shared" si="1"/>
        <v>-16689376.629999999</v>
      </c>
      <c r="BV334" s="97">
        <f t="shared" si="1"/>
        <v>-908988419.09000003</v>
      </c>
      <c r="BW334" s="97">
        <f t="shared" si="1"/>
        <v>-45597965.020000003</v>
      </c>
      <c r="BX334" s="97">
        <f t="shared" si="1"/>
        <v>-22828</v>
      </c>
      <c r="BY334" s="97">
        <f t="shared" si="1"/>
        <v>-45620793.020000011</v>
      </c>
      <c r="BZ334" s="97">
        <f t="shared" si="1"/>
        <v>-35641629.620000005</v>
      </c>
      <c r="CA334" s="97">
        <f t="shared" si="1"/>
        <v>-345152</v>
      </c>
      <c r="CB334" s="97">
        <f t="shared" si="1"/>
        <v>-35986781.620000005</v>
      </c>
      <c r="CC334" s="97">
        <f t="shared" si="1"/>
        <v>-1372126.98</v>
      </c>
      <c r="CD334" s="97">
        <f t="shared" si="1"/>
        <v>0</v>
      </c>
      <c r="CE334" s="97">
        <f t="shared" si="1"/>
        <v>-1372126.98</v>
      </c>
      <c r="CF334" s="97">
        <f t="shared" si="1"/>
        <v>-2948783.7099999995</v>
      </c>
      <c r="CG334" s="97">
        <f t="shared" si="1"/>
        <v>0</v>
      </c>
      <c r="CH334" s="97">
        <f t="shared" si="1"/>
        <v>-2948783.7099999995</v>
      </c>
      <c r="CI334" s="97">
        <f t="shared" si="1"/>
        <v>-1560194.45</v>
      </c>
      <c r="CJ334" s="97">
        <f t="shared" si="1"/>
        <v>0</v>
      </c>
      <c r="CK334" s="97">
        <f t="shared" si="1"/>
        <v>-1560194.45</v>
      </c>
      <c r="CL334" s="97">
        <f t="shared" si="1"/>
        <v>-7855731</v>
      </c>
      <c r="CM334" s="97">
        <f t="shared" si="1"/>
        <v>-10719994</v>
      </c>
      <c r="CN334" s="97">
        <f t="shared" si="1"/>
        <v>-18575725</v>
      </c>
      <c r="CO334" s="97">
        <f t="shared" si="1"/>
        <v>-10536290</v>
      </c>
      <c r="CP334" s="97">
        <f t="shared" si="1"/>
        <v>-2867831</v>
      </c>
      <c r="CQ334" s="97">
        <f t="shared" si="1"/>
        <v>-94976430.780000001</v>
      </c>
      <c r="CR334" s="97">
        <f t="shared" si="1"/>
        <v>-11087974</v>
      </c>
      <c r="CS334" s="97">
        <f t="shared" si="1"/>
        <v>-3702558</v>
      </c>
      <c r="CT334" s="97">
        <f t="shared" si="1"/>
        <v>-356482</v>
      </c>
      <c r="CU334" s="97">
        <f t="shared" si="1"/>
        <v>-98678988.780000001</v>
      </c>
      <c r="CV334" s="97">
        <f t="shared" si="1"/>
        <v>-11444456</v>
      </c>
      <c r="CW334" s="97">
        <f t="shared" si="1"/>
        <v>-110123444.78</v>
      </c>
      <c r="CX334" s="97">
        <f t="shared" si="1"/>
        <v>-7264536</v>
      </c>
      <c r="CY334" s="97">
        <f t="shared" si="1"/>
        <v>-404156</v>
      </c>
      <c r="CZ334" s="97">
        <f t="shared" si="1"/>
        <v>-7668692</v>
      </c>
      <c r="DA334" s="97">
        <f t="shared" si="1"/>
        <v>-9909111.0099999998</v>
      </c>
      <c r="DB334" s="97">
        <f t="shared" si="1"/>
        <v>-73695</v>
      </c>
      <c r="DC334" s="97">
        <f t="shared" si="1"/>
        <v>-9982806.0099999998</v>
      </c>
      <c r="DD334" s="97">
        <f t="shared" si="1"/>
        <v>-7263091.9500000002</v>
      </c>
      <c r="DE334" s="97">
        <f t="shared" si="1"/>
        <v>0</v>
      </c>
      <c r="DF334" s="97">
        <f t="shared" si="1"/>
        <v>-7263091.9500000002</v>
      </c>
      <c r="DG334" s="97">
        <f t="shared" si="1"/>
        <v>-24436738.960000001</v>
      </c>
      <c r="DH334" s="97">
        <f t="shared" si="1"/>
        <v>-477851</v>
      </c>
      <c r="DI334" s="97">
        <f t="shared" si="1"/>
        <v>-1654313</v>
      </c>
      <c r="DJ334" s="97">
        <f t="shared" si="1"/>
        <v>-7500</v>
      </c>
      <c r="DK334" s="97">
        <f t="shared" si="1"/>
        <v>-26091051.960000001</v>
      </c>
      <c r="DL334" s="97">
        <f t="shared" si="1"/>
        <v>-485351</v>
      </c>
      <c r="DM334" s="97">
        <f t="shared" si="1"/>
        <v>-26576402.960000001</v>
      </c>
      <c r="DN334" s="97">
        <f t="shared" si="1"/>
        <v>24412029489.180698</v>
      </c>
      <c r="DO334" s="97">
        <f t="shared" si="1"/>
        <v>162974438.13</v>
      </c>
      <c r="DP334" s="97">
        <f t="shared" si="1"/>
        <v>24575003927.310703</v>
      </c>
      <c r="DR334" s="81" t="s">
        <v>768</v>
      </c>
    </row>
    <row r="335" spans="1:122" x14ac:dyDescent="0.2">
      <c r="D335" s="137"/>
      <c r="E335" s="138"/>
      <c r="F335" s="138"/>
      <c r="G335" s="80"/>
      <c r="H335" s="60"/>
      <c r="I335" s="60"/>
    </row>
    <row r="336" spans="1:122" x14ac:dyDescent="0.2">
      <c r="D336" s="137"/>
      <c r="E336" s="138"/>
      <c r="F336" s="138"/>
    </row>
    <row r="337" spans="4:6" x14ac:dyDescent="0.2">
      <c r="D337" s="137"/>
      <c r="E337" s="138"/>
      <c r="F337" s="138"/>
    </row>
    <row r="338" spans="4:6" x14ac:dyDescent="0.2">
      <c r="D338" s="137"/>
      <c r="E338" s="138"/>
      <c r="F338" s="138"/>
    </row>
    <row r="339" spans="4:6" x14ac:dyDescent="0.2">
      <c r="D339" s="137"/>
      <c r="E339" s="138"/>
      <c r="F339" s="138"/>
    </row>
  </sheetData>
  <sortState ref="A8:DS333">
    <sortCondition ref="A8:A333"/>
  </sortState>
  <mergeCells count="41">
    <mergeCell ref="DD2:DF2"/>
    <mergeCell ref="DG2:DH2"/>
    <mergeCell ref="BM2:BO2"/>
    <mergeCell ref="BP2:BQ2"/>
    <mergeCell ref="AZ2:BB2"/>
    <mergeCell ref="BC2:BD2"/>
    <mergeCell ref="BE2:BF2"/>
    <mergeCell ref="BG2:BI2"/>
    <mergeCell ref="BJ2:BL2"/>
    <mergeCell ref="DN2:DP2"/>
    <mergeCell ref="DI2:DJ2"/>
    <mergeCell ref="BW2:BY2"/>
    <mergeCell ref="BT2:BV2"/>
    <mergeCell ref="BR2:BS2"/>
    <mergeCell ref="DK2:DM2"/>
    <mergeCell ref="BZ2:CB2"/>
    <mergeCell ref="CC2:CE2"/>
    <mergeCell ref="CF2:CH2"/>
    <mergeCell ref="CI2:CK2"/>
    <mergeCell ref="CL2:CN2"/>
    <mergeCell ref="CQ2:CR2"/>
    <mergeCell ref="CS2:CT2"/>
    <mergeCell ref="CU2:CW2"/>
    <mergeCell ref="CX2:CZ2"/>
    <mergeCell ref="DA2:DC2"/>
    <mergeCell ref="AW2:AY2"/>
    <mergeCell ref="AT2:AV2"/>
    <mergeCell ref="AQ2:AS2"/>
    <mergeCell ref="AN2:AP2"/>
    <mergeCell ref="AK2:AM2"/>
    <mergeCell ref="G2:I2"/>
    <mergeCell ref="AH2:AJ2"/>
    <mergeCell ref="AE2:AG2"/>
    <mergeCell ref="AB2:AD2"/>
    <mergeCell ref="Z2:AA2"/>
    <mergeCell ref="X2:Y2"/>
    <mergeCell ref="U2:W2"/>
    <mergeCell ref="R2:T2"/>
    <mergeCell ref="O2:Q2"/>
    <mergeCell ref="M2:N2"/>
    <mergeCell ref="K2:L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B339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5" x14ac:dyDescent="0.2"/>
  <cols>
    <col min="1" max="1" width="7.28515625" style="201" customWidth="1"/>
    <col min="2" max="2" width="8.42578125" style="8" customWidth="1"/>
    <col min="3" max="3" width="5.5703125" style="8" customWidth="1"/>
    <col min="4" max="4" width="8.140625" style="8" hidden="1" customWidth="1"/>
    <col min="5" max="5" width="27.5703125" style="8" bestFit="1" customWidth="1"/>
    <col min="6" max="6" width="27.5703125" style="8" customWidth="1"/>
    <col min="7" max="40" width="14.7109375" style="100" customWidth="1"/>
    <col min="41" max="41" width="9.140625" style="100"/>
    <col min="42" max="42" width="10.28515625" style="107" bestFit="1" customWidth="1"/>
    <col min="43" max="43" width="42.5703125" style="161" bestFit="1" customWidth="1"/>
    <col min="44" max="44" width="37.140625" style="161" bestFit="1" customWidth="1"/>
    <col min="45" max="45" width="20.5703125" style="161" bestFit="1" customWidth="1"/>
    <col min="46" max="46" width="9.140625" style="100"/>
    <col min="47" max="47" width="9.140625" style="590"/>
    <col min="48" max="48" width="36" style="591" bestFit="1" customWidth="1"/>
    <col min="49" max="49" width="37.140625" style="591" bestFit="1" customWidth="1"/>
    <col min="50" max="50" width="9.140625" style="591"/>
    <col min="51" max="54" width="9.140625" style="590"/>
    <col min="55" max="16384" width="9.140625" style="100"/>
  </cols>
  <sheetData>
    <row r="1" spans="1:54" ht="16.5" thickBot="1" x14ac:dyDescent="0.25">
      <c r="A1" s="202"/>
      <c r="B1" s="122"/>
      <c r="C1" s="24"/>
      <c r="D1" s="61"/>
      <c r="E1" s="94"/>
      <c r="F1" s="346"/>
      <c r="G1" s="114"/>
      <c r="H1" s="113"/>
      <c r="I1" s="113"/>
      <c r="AA1" s="112"/>
    </row>
    <row r="2" spans="1:54" s="111" customFormat="1" ht="28.5" customHeight="1" thickBot="1" x14ac:dyDescent="0.25">
      <c r="A2" s="148"/>
      <c r="B2" s="95"/>
      <c r="C2" s="25"/>
      <c r="D2" s="62"/>
      <c r="E2" s="94"/>
      <c r="F2" s="707" t="s">
        <v>906</v>
      </c>
      <c r="G2" s="737"/>
      <c r="H2" s="737"/>
      <c r="I2" s="737"/>
      <c r="J2" s="738"/>
      <c r="K2" s="717" t="s">
        <v>907</v>
      </c>
      <c r="L2" s="747"/>
      <c r="M2" s="747"/>
      <c r="N2" s="747"/>
      <c r="O2" s="352"/>
      <c r="P2" s="739" t="s">
        <v>871</v>
      </c>
      <c r="Q2" s="737"/>
      <c r="R2" s="737"/>
      <c r="S2" s="737"/>
      <c r="T2" s="740"/>
      <c r="U2" s="739" t="s">
        <v>923</v>
      </c>
      <c r="V2" s="737"/>
      <c r="W2" s="737"/>
      <c r="X2" s="737"/>
      <c r="Y2" s="740"/>
      <c r="Z2" s="739" t="s">
        <v>924</v>
      </c>
      <c r="AA2" s="737"/>
      <c r="AB2" s="737"/>
      <c r="AC2" s="737"/>
      <c r="AD2" s="740"/>
      <c r="AE2" s="739" t="s">
        <v>925</v>
      </c>
      <c r="AF2" s="745"/>
      <c r="AG2" s="746"/>
      <c r="AH2" s="741" t="s">
        <v>926</v>
      </c>
      <c r="AI2" s="741"/>
      <c r="AJ2" s="742"/>
      <c r="AK2" s="741" t="s">
        <v>243</v>
      </c>
      <c r="AL2" s="742"/>
      <c r="AM2" s="743"/>
      <c r="AN2" s="744"/>
      <c r="AP2" s="162" t="s">
        <v>737</v>
      </c>
      <c r="AQ2" s="579" t="s">
        <v>803</v>
      </c>
      <c r="AR2" s="580" t="s">
        <v>804</v>
      </c>
      <c r="AS2" s="580" t="s">
        <v>1009</v>
      </c>
      <c r="AU2" s="592"/>
      <c r="AV2" s="591"/>
      <c r="AW2" s="591"/>
      <c r="AX2" s="591"/>
      <c r="AY2" s="592"/>
      <c r="AZ2" s="592"/>
      <c r="BA2" s="592"/>
      <c r="BB2" s="592"/>
    </row>
    <row r="3" spans="1:54" ht="13.5" thickBot="1" x14ac:dyDescent="0.25">
      <c r="A3" s="203">
        <v>1</v>
      </c>
      <c r="B3" s="26">
        <v>2</v>
      </c>
      <c r="C3" s="26">
        <v>3</v>
      </c>
      <c r="D3" s="123">
        <v>4</v>
      </c>
      <c r="E3" s="26">
        <v>5</v>
      </c>
      <c r="F3" s="142">
        <v>6</v>
      </c>
      <c r="G3" s="142">
        <v>7</v>
      </c>
      <c r="H3" s="26">
        <v>8</v>
      </c>
      <c r="I3" s="142">
        <v>9</v>
      </c>
      <c r="J3" s="142">
        <v>10</v>
      </c>
      <c r="K3" s="26">
        <v>11</v>
      </c>
      <c r="L3" s="142">
        <v>12</v>
      </c>
      <c r="M3" s="142">
        <v>13</v>
      </c>
      <c r="N3" s="26">
        <v>14</v>
      </c>
      <c r="O3" s="142">
        <v>15</v>
      </c>
      <c r="P3" s="142">
        <v>16</v>
      </c>
      <c r="Q3" s="26">
        <v>17</v>
      </c>
      <c r="R3" s="142">
        <v>18</v>
      </c>
      <c r="S3" s="142">
        <v>19</v>
      </c>
      <c r="T3" s="26">
        <v>20</v>
      </c>
      <c r="U3" s="142">
        <v>21</v>
      </c>
      <c r="V3" s="142">
        <v>22</v>
      </c>
      <c r="W3" s="26">
        <v>23</v>
      </c>
      <c r="X3" s="142">
        <v>24</v>
      </c>
      <c r="Y3" s="142">
        <v>25</v>
      </c>
      <c r="Z3" s="26">
        <v>26</v>
      </c>
      <c r="AA3" s="142">
        <v>27</v>
      </c>
      <c r="AB3" s="142">
        <v>28</v>
      </c>
      <c r="AC3" s="26">
        <v>29</v>
      </c>
      <c r="AD3" s="142">
        <v>30</v>
      </c>
      <c r="AE3" s="142">
        <v>31</v>
      </c>
      <c r="AF3" s="26">
        <v>32</v>
      </c>
      <c r="AG3" s="142">
        <v>33</v>
      </c>
      <c r="AH3" s="142">
        <v>34</v>
      </c>
      <c r="AI3" s="26">
        <v>35</v>
      </c>
      <c r="AJ3" s="142">
        <v>36</v>
      </c>
      <c r="AK3" s="142">
        <v>37</v>
      </c>
      <c r="AL3" s="26">
        <v>38</v>
      </c>
      <c r="AM3" s="142">
        <v>39</v>
      </c>
      <c r="AN3" s="142">
        <v>40</v>
      </c>
      <c r="AO3" s="111"/>
      <c r="AP3" s="159">
        <v>42</v>
      </c>
      <c r="AQ3" s="159">
        <v>43</v>
      </c>
      <c r="AR3" s="159">
        <v>44</v>
      </c>
      <c r="AS3" s="159">
        <v>45</v>
      </c>
    </row>
    <row r="4" spans="1:54" ht="13.5" thickBot="1" x14ac:dyDescent="0.25">
      <c r="A4" s="203"/>
      <c r="B4" s="124"/>
      <c r="C4" s="27"/>
      <c r="D4" s="62"/>
      <c r="E4" s="94"/>
      <c r="F4" s="378"/>
      <c r="G4" s="378"/>
      <c r="H4" s="379"/>
      <c r="I4" s="379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380"/>
      <c r="X4" s="380"/>
      <c r="Y4" s="380"/>
      <c r="Z4" s="380"/>
      <c r="AA4" s="381"/>
      <c r="AB4" s="381"/>
      <c r="AC4" s="381"/>
      <c r="AD4" s="381"/>
      <c r="AE4" s="381"/>
      <c r="AF4" s="381"/>
      <c r="AG4" s="381"/>
      <c r="AH4" s="381"/>
      <c r="AI4" s="381"/>
      <c r="AJ4" s="381"/>
      <c r="AK4" s="381"/>
      <c r="AL4" s="381"/>
      <c r="AM4" s="381"/>
      <c r="AN4" s="381"/>
      <c r="AO4" s="111"/>
      <c r="AP4" s="110"/>
      <c r="AQ4" s="581"/>
      <c r="AR4" s="581"/>
      <c r="AS4" s="581"/>
    </row>
    <row r="5" spans="1:54" s="107" customFormat="1" ht="13.5" thickBot="1" x14ac:dyDescent="0.25">
      <c r="A5" s="203"/>
      <c r="B5" s="177" t="s">
        <v>602</v>
      </c>
      <c r="C5" s="177" t="s">
        <v>740</v>
      </c>
      <c r="D5" s="177" t="s">
        <v>741</v>
      </c>
      <c r="E5" s="177" t="s">
        <v>601</v>
      </c>
      <c r="F5" s="109">
        <v>1</v>
      </c>
      <c r="G5" s="109">
        <v>1</v>
      </c>
      <c r="H5" s="109">
        <v>1</v>
      </c>
      <c r="I5" s="109">
        <v>1</v>
      </c>
      <c r="J5" s="109">
        <v>1</v>
      </c>
      <c r="K5" s="109">
        <v>2</v>
      </c>
      <c r="L5" s="109">
        <v>2</v>
      </c>
      <c r="M5" s="109">
        <v>2</v>
      </c>
      <c r="N5" s="109">
        <v>2</v>
      </c>
      <c r="O5" s="109">
        <v>2</v>
      </c>
      <c r="P5" s="109">
        <v>3</v>
      </c>
      <c r="Q5" s="109">
        <v>3</v>
      </c>
      <c r="R5" s="109">
        <v>3</v>
      </c>
      <c r="S5" s="109">
        <v>3</v>
      </c>
      <c r="T5" s="109">
        <v>3</v>
      </c>
      <c r="U5" s="109">
        <v>4</v>
      </c>
      <c r="V5" s="109">
        <v>4</v>
      </c>
      <c r="W5" s="109">
        <v>4</v>
      </c>
      <c r="X5" s="109">
        <v>4</v>
      </c>
      <c r="Y5" s="109">
        <v>4</v>
      </c>
      <c r="Z5" s="109">
        <v>5</v>
      </c>
      <c r="AA5" s="109">
        <v>5</v>
      </c>
      <c r="AB5" s="109">
        <v>5</v>
      </c>
      <c r="AC5" s="109">
        <v>5</v>
      </c>
      <c r="AD5" s="109">
        <v>5</v>
      </c>
      <c r="AE5" s="109">
        <v>6</v>
      </c>
      <c r="AF5" s="109">
        <v>6</v>
      </c>
      <c r="AG5" s="109"/>
      <c r="AH5" s="109">
        <v>7</v>
      </c>
      <c r="AI5" s="109"/>
      <c r="AJ5" s="109">
        <v>7</v>
      </c>
      <c r="AK5" s="109">
        <v>8</v>
      </c>
      <c r="AL5" s="109">
        <v>8</v>
      </c>
      <c r="AM5" s="109"/>
      <c r="AN5" s="109">
        <v>8</v>
      </c>
      <c r="AO5" s="111"/>
      <c r="AP5" s="186" t="s">
        <v>808</v>
      </c>
      <c r="AQ5" s="186" t="s">
        <v>808</v>
      </c>
      <c r="AR5" s="186" t="s">
        <v>808</v>
      </c>
      <c r="AS5" s="186" t="s">
        <v>808</v>
      </c>
      <c r="AU5" s="593"/>
      <c r="AV5" s="593"/>
      <c r="AW5" s="593"/>
      <c r="AX5" s="593"/>
      <c r="AY5" s="593"/>
      <c r="AZ5" s="593"/>
      <c r="BA5" s="593"/>
      <c r="BB5" s="593"/>
    </row>
    <row r="6" spans="1:54" s="107" customFormat="1" ht="13.5" thickBot="1" x14ac:dyDescent="0.25">
      <c r="A6" s="204"/>
      <c r="B6" s="126"/>
      <c r="C6" s="92"/>
      <c r="D6" s="127"/>
      <c r="E6" s="92"/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1</v>
      </c>
      <c r="L6" s="108">
        <v>2</v>
      </c>
      <c r="M6" s="108">
        <v>3</v>
      </c>
      <c r="N6" s="108">
        <v>4</v>
      </c>
      <c r="O6" s="108">
        <v>5</v>
      </c>
      <c r="P6" s="108">
        <v>1</v>
      </c>
      <c r="Q6" s="108">
        <v>2</v>
      </c>
      <c r="R6" s="108">
        <v>3</v>
      </c>
      <c r="S6" s="108">
        <v>4</v>
      </c>
      <c r="T6" s="108">
        <v>5</v>
      </c>
      <c r="U6" s="108">
        <v>1</v>
      </c>
      <c r="V6" s="108">
        <v>2</v>
      </c>
      <c r="W6" s="108">
        <v>3</v>
      </c>
      <c r="X6" s="108">
        <v>4</v>
      </c>
      <c r="Y6" s="108">
        <v>5</v>
      </c>
      <c r="Z6" s="108">
        <v>1</v>
      </c>
      <c r="AA6" s="108">
        <v>2</v>
      </c>
      <c r="AB6" s="108">
        <v>3</v>
      </c>
      <c r="AC6" s="108">
        <v>4</v>
      </c>
      <c r="AD6" s="108">
        <v>5</v>
      </c>
      <c r="AE6" s="108">
        <v>1</v>
      </c>
      <c r="AF6" s="108">
        <v>2</v>
      </c>
      <c r="AG6" s="108">
        <v>3</v>
      </c>
      <c r="AH6" s="108">
        <v>4</v>
      </c>
      <c r="AI6" s="108">
        <v>5</v>
      </c>
      <c r="AJ6" s="108">
        <v>1</v>
      </c>
      <c r="AK6" s="108">
        <v>2</v>
      </c>
      <c r="AL6" s="108">
        <v>3</v>
      </c>
      <c r="AM6" s="108">
        <v>4</v>
      </c>
      <c r="AN6" s="108">
        <v>5</v>
      </c>
      <c r="AO6" s="111"/>
      <c r="AP6" s="186" t="s">
        <v>808</v>
      </c>
      <c r="AQ6" s="186" t="s">
        <v>808</v>
      </c>
      <c r="AR6" s="186" t="s">
        <v>808</v>
      </c>
      <c r="AS6" s="186" t="s">
        <v>808</v>
      </c>
      <c r="AU6" s="593"/>
      <c r="AV6" s="593"/>
      <c r="AW6" s="593"/>
      <c r="AX6" s="593"/>
      <c r="AY6" s="593"/>
      <c r="AZ6" s="593"/>
      <c r="BA6" s="593"/>
      <c r="BB6" s="593"/>
    </row>
    <row r="7" spans="1:54" ht="13.5" thickBot="1" x14ac:dyDescent="0.25">
      <c r="A7" s="205"/>
      <c r="B7" s="89"/>
      <c r="C7" s="88"/>
      <c r="D7" s="87"/>
      <c r="E7" s="128"/>
      <c r="F7" s="128"/>
      <c r="G7" s="106"/>
      <c r="H7" s="105"/>
      <c r="I7" s="105"/>
      <c r="J7" s="103"/>
      <c r="K7" s="104"/>
      <c r="L7" s="104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P7" s="102"/>
      <c r="AQ7" s="582"/>
      <c r="AR7" s="582"/>
      <c r="AS7" s="582"/>
    </row>
    <row r="8" spans="1:54" x14ac:dyDescent="0.2">
      <c r="A8" s="201">
        <v>1</v>
      </c>
      <c r="B8" s="129" t="s">
        <v>604</v>
      </c>
      <c r="C8" s="130" t="s">
        <v>742</v>
      </c>
      <c r="D8" s="131" t="s">
        <v>743</v>
      </c>
      <c r="E8" s="132" t="s">
        <v>603</v>
      </c>
      <c r="F8" s="63">
        <v>19623552</v>
      </c>
      <c r="G8" s="63">
        <v>0</v>
      </c>
      <c r="H8" s="63">
        <v>0</v>
      </c>
      <c r="I8" s="63">
        <v>0</v>
      </c>
      <c r="J8" s="63">
        <v>19623552</v>
      </c>
      <c r="K8" s="63">
        <v>-196200</v>
      </c>
      <c r="L8" s="63">
        <v>0</v>
      </c>
      <c r="M8" s="63">
        <v>0</v>
      </c>
      <c r="N8" s="63">
        <v>0</v>
      </c>
      <c r="O8" s="63">
        <v>-196200</v>
      </c>
      <c r="P8" s="63">
        <v>-470700</v>
      </c>
      <c r="Q8" s="63">
        <v>0</v>
      </c>
      <c r="R8" s="63">
        <v>0</v>
      </c>
      <c r="S8" s="63">
        <v>0</v>
      </c>
      <c r="T8" s="63">
        <v>-470700</v>
      </c>
      <c r="U8" s="63">
        <v>18956652</v>
      </c>
      <c r="V8" s="63">
        <v>0</v>
      </c>
      <c r="W8" s="63">
        <v>0</v>
      </c>
      <c r="X8" s="63">
        <v>0</v>
      </c>
      <c r="Y8" s="63">
        <v>18956652</v>
      </c>
      <c r="Z8" s="63">
        <v>0</v>
      </c>
      <c r="AA8" s="63">
        <v>0</v>
      </c>
      <c r="AB8" s="63">
        <v>0</v>
      </c>
      <c r="AC8" s="63">
        <v>0</v>
      </c>
      <c r="AD8" s="63">
        <v>0</v>
      </c>
      <c r="AE8" s="63">
        <v>0</v>
      </c>
      <c r="AF8" s="63">
        <v>0</v>
      </c>
      <c r="AG8" s="63">
        <v>0</v>
      </c>
      <c r="AH8" s="63">
        <v>0</v>
      </c>
      <c r="AI8" s="63">
        <v>0</v>
      </c>
      <c r="AJ8" s="63">
        <v>0</v>
      </c>
      <c r="AK8" s="63">
        <v>0</v>
      </c>
      <c r="AL8" s="63">
        <v>0</v>
      </c>
      <c r="AM8" s="63">
        <v>0</v>
      </c>
      <c r="AN8" s="63">
        <v>0</v>
      </c>
      <c r="AP8" s="533">
        <v>0</v>
      </c>
      <c r="AQ8" s="533">
        <v>0</v>
      </c>
      <c r="AR8" s="533">
        <v>0</v>
      </c>
      <c r="AS8" s="533">
        <v>0</v>
      </c>
      <c r="AT8" s="534"/>
      <c r="AU8" s="594"/>
      <c r="AV8" s="595"/>
      <c r="AW8" s="595"/>
      <c r="AX8" s="595"/>
    </row>
    <row r="9" spans="1:54" x14ac:dyDescent="0.2">
      <c r="A9" s="201">
        <v>2</v>
      </c>
      <c r="B9" s="129" t="s">
        <v>606</v>
      </c>
      <c r="C9" s="130" t="s">
        <v>742</v>
      </c>
      <c r="D9" s="131" t="s">
        <v>744</v>
      </c>
      <c r="E9" s="132" t="s">
        <v>605</v>
      </c>
      <c r="F9" s="63">
        <v>28802342</v>
      </c>
      <c r="G9" s="63">
        <v>0</v>
      </c>
      <c r="H9" s="63">
        <v>0</v>
      </c>
      <c r="I9" s="63">
        <v>0</v>
      </c>
      <c r="J9" s="63">
        <v>28802342</v>
      </c>
      <c r="K9" s="63">
        <v>-203844</v>
      </c>
      <c r="L9" s="63">
        <v>0</v>
      </c>
      <c r="M9" s="63">
        <v>0</v>
      </c>
      <c r="N9" s="63">
        <v>0</v>
      </c>
      <c r="O9" s="63">
        <v>-203844</v>
      </c>
      <c r="P9" s="63">
        <v>-192944</v>
      </c>
      <c r="Q9" s="63">
        <v>0</v>
      </c>
      <c r="R9" s="63">
        <v>0</v>
      </c>
      <c r="S9" s="63">
        <v>0</v>
      </c>
      <c r="T9" s="63">
        <v>-192944</v>
      </c>
      <c r="U9" s="63">
        <v>28405554</v>
      </c>
      <c r="V9" s="63">
        <v>0</v>
      </c>
      <c r="W9" s="63">
        <v>0</v>
      </c>
      <c r="X9" s="63">
        <v>0</v>
      </c>
      <c r="Y9" s="63">
        <v>28405554</v>
      </c>
      <c r="Z9" s="63">
        <v>425597</v>
      </c>
      <c r="AA9" s="63">
        <v>0</v>
      </c>
      <c r="AB9" s="63">
        <v>0</v>
      </c>
      <c r="AC9" s="63">
        <v>0</v>
      </c>
      <c r="AD9" s="63">
        <v>425597</v>
      </c>
      <c r="AE9" s="63">
        <v>0</v>
      </c>
      <c r="AF9" s="63">
        <v>0</v>
      </c>
      <c r="AG9" s="63">
        <v>0</v>
      </c>
      <c r="AH9" s="63">
        <v>0</v>
      </c>
      <c r="AI9" s="63">
        <v>0</v>
      </c>
      <c r="AJ9" s="63">
        <v>0</v>
      </c>
      <c r="AK9" s="63">
        <v>0</v>
      </c>
      <c r="AL9" s="63">
        <v>0</v>
      </c>
      <c r="AM9" s="63">
        <v>0</v>
      </c>
      <c r="AN9" s="63">
        <v>0</v>
      </c>
      <c r="AP9" s="533">
        <v>0</v>
      </c>
      <c r="AQ9" s="533">
        <v>0</v>
      </c>
      <c r="AR9" s="533">
        <v>0</v>
      </c>
      <c r="AS9" s="533">
        <v>0</v>
      </c>
      <c r="AT9" s="534"/>
      <c r="AU9" s="594"/>
      <c r="AV9" s="595"/>
      <c r="AW9" s="595"/>
      <c r="AX9" s="595"/>
    </row>
    <row r="10" spans="1:54" x14ac:dyDescent="0.2">
      <c r="A10" s="201">
        <v>3</v>
      </c>
      <c r="B10" s="129" t="s">
        <v>608</v>
      </c>
      <c r="C10" s="130" t="s">
        <v>742</v>
      </c>
      <c r="D10" s="131" t="s">
        <v>745</v>
      </c>
      <c r="E10" s="132" t="s">
        <v>607</v>
      </c>
      <c r="F10" s="63">
        <v>32797459</v>
      </c>
      <c r="G10" s="63">
        <v>0</v>
      </c>
      <c r="H10" s="63">
        <v>0</v>
      </c>
      <c r="I10" s="63">
        <v>0</v>
      </c>
      <c r="J10" s="63">
        <v>32797459</v>
      </c>
      <c r="K10" s="63">
        <v>-282700</v>
      </c>
      <c r="L10" s="63">
        <v>0</v>
      </c>
      <c r="M10" s="63">
        <v>0</v>
      </c>
      <c r="N10" s="63">
        <v>0</v>
      </c>
      <c r="O10" s="63">
        <v>-282700</v>
      </c>
      <c r="P10" s="63">
        <v>-1436700</v>
      </c>
      <c r="Q10" s="63">
        <v>0</v>
      </c>
      <c r="R10" s="63">
        <v>0</v>
      </c>
      <c r="S10" s="63">
        <v>0</v>
      </c>
      <c r="T10" s="63">
        <v>-1436700</v>
      </c>
      <c r="U10" s="63">
        <v>31078059</v>
      </c>
      <c r="V10" s="63">
        <v>0</v>
      </c>
      <c r="W10" s="63">
        <v>0</v>
      </c>
      <c r="X10" s="63">
        <v>0</v>
      </c>
      <c r="Y10" s="63">
        <v>31078059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63">
        <v>0</v>
      </c>
      <c r="AF10" s="63">
        <v>0</v>
      </c>
      <c r="AG10" s="63">
        <v>0</v>
      </c>
      <c r="AH10" s="63">
        <v>0</v>
      </c>
      <c r="AI10" s="63">
        <v>0</v>
      </c>
      <c r="AJ10" s="63">
        <v>0</v>
      </c>
      <c r="AK10" s="63">
        <v>0</v>
      </c>
      <c r="AL10" s="63">
        <v>0</v>
      </c>
      <c r="AM10" s="63">
        <v>0</v>
      </c>
      <c r="AN10" s="63">
        <v>0</v>
      </c>
      <c r="AP10" s="533">
        <v>0</v>
      </c>
      <c r="AQ10" s="533">
        <v>0</v>
      </c>
      <c r="AR10" s="533">
        <v>0</v>
      </c>
      <c r="AS10" s="533">
        <v>0</v>
      </c>
      <c r="AT10" s="534"/>
      <c r="AU10" s="594"/>
      <c r="AV10" s="595"/>
      <c r="AW10" s="596"/>
      <c r="AX10" s="595"/>
    </row>
    <row r="11" spans="1:54" x14ac:dyDescent="0.2">
      <c r="A11" s="201">
        <v>4</v>
      </c>
      <c r="B11" s="129" t="s">
        <v>610</v>
      </c>
      <c r="C11" s="130" t="s">
        <v>742</v>
      </c>
      <c r="D11" s="131" t="s">
        <v>743</v>
      </c>
      <c r="E11" s="132" t="s">
        <v>609</v>
      </c>
      <c r="F11" s="63">
        <v>36550940</v>
      </c>
      <c r="G11" s="63">
        <v>0</v>
      </c>
      <c r="H11" s="63">
        <v>0</v>
      </c>
      <c r="I11" s="63">
        <v>0</v>
      </c>
      <c r="J11" s="63">
        <v>36550940</v>
      </c>
      <c r="K11" s="63">
        <v>-370000</v>
      </c>
      <c r="L11" s="63">
        <v>0</v>
      </c>
      <c r="M11" s="63">
        <v>0</v>
      </c>
      <c r="N11" s="63">
        <v>0</v>
      </c>
      <c r="O11" s="63">
        <v>-370000</v>
      </c>
      <c r="P11" s="63">
        <v>-1210000</v>
      </c>
      <c r="Q11" s="63">
        <v>0</v>
      </c>
      <c r="R11" s="63">
        <v>0</v>
      </c>
      <c r="S11" s="63">
        <v>0</v>
      </c>
      <c r="T11" s="63">
        <v>-1210000</v>
      </c>
      <c r="U11" s="63">
        <v>34970940</v>
      </c>
      <c r="V11" s="63">
        <v>0</v>
      </c>
      <c r="W11" s="63">
        <v>0</v>
      </c>
      <c r="X11" s="63">
        <v>0</v>
      </c>
      <c r="Y11" s="63">
        <v>34970940</v>
      </c>
      <c r="Z11" s="63">
        <v>0</v>
      </c>
      <c r="AA11" s="63">
        <v>0</v>
      </c>
      <c r="AB11" s="63">
        <v>0</v>
      </c>
      <c r="AC11" s="63">
        <v>0</v>
      </c>
      <c r="AD11" s="63">
        <v>0</v>
      </c>
      <c r="AE11" s="63">
        <v>0</v>
      </c>
      <c r="AF11" s="63">
        <v>0</v>
      </c>
      <c r="AG11" s="63">
        <v>0</v>
      </c>
      <c r="AH11" s="63">
        <v>0</v>
      </c>
      <c r="AI11" s="63">
        <v>0</v>
      </c>
      <c r="AJ11" s="63">
        <v>0</v>
      </c>
      <c r="AK11" s="63">
        <v>0</v>
      </c>
      <c r="AL11" s="63">
        <v>0</v>
      </c>
      <c r="AM11" s="63">
        <v>0</v>
      </c>
      <c r="AN11" s="63">
        <v>0</v>
      </c>
      <c r="AP11" s="533">
        <v>0</v>
      </c>
      <c r="AQ11" s="533">
        <v>0</v>
      </c>
      <c r="AR11" s="533">
        <v>0</v>
      </c>
      <c r="AS11" s="533">
        <v>0</v>
      </c>
      <c r="AT11" s="534"/>
      <c r="AU11" s="594"/>
      <c r="AV11" s="595"/>
      <c r="AW11" s="595"/>
      <c r="AX11" s="595"/>
    </row>
    <row r="12" spans="1:54" x14ac:dyDescent="0.2">
      <c r="A12" s="201">
        <v>5</v>
      </c>
      <c r="B12" s="129" t="s">
        <v>612</v>
      </c>
      <c r="C12" s="130" t="s">
        <v>742</v>
      </c>
      <c r="D12" s="131" t="s">
        <v>745</v>
      </c>
      <c r="E12" s="132" t="s">
        <v>611</v>
      </c>
      <c r="F12" s="63">
        <v>35433691</v>
      </c>
      <c r="G12" s="63">
        <v>0</v>
      </c>
      <c r="H12" s="63">
        <v>0</v>
      </c>
      <c r="I12" s="63">
        <v>0</v>
      </c>
      <c r="J12" s="63">
        <v>35433691</v>
      </c>
      <c r="K12" s="63">
        <v>-300000</v>
      </c>
      <c r="L12" s="63">
        <v>0</v>
      </c>
      <c r="M12" s="63">
        <v>0</v>
      </c>
      <c r="N12" s="63">
        <v>0</v>
      </c>
      <c r="O12" s="63">
        <v>-300000</v>
      </c>
      <c r="P12" s="63">
        <v>-100000</v>
      </c>
      <c r="Q12" s="63">
        <v>0</v>
      </c>
      <c r="R12" s="63">
        <v>0</v>
      </c>
      <c r="S12" s="63">
        <v>0</v>
      </c>
      <c r="T12" s="63">
        <v>-100000</v>
      </c>
      <c r="U12" s="63">
        <v>35033691</v>
      </c>
      <c r="V12" s="63">
        <v>0</v>
      </c>
      <c r="W12" s="63">
        <v>0</v>
      </c>
      <c r="X12" s="63">
        <v>0</v>
      </c>
      <c r="Y12" s="63">
        <v>35033691</v>
      </c>
      <c r="Z12" s="63">
        <v>0</v>
      </c>
      <c r="AA12" s="63">
        <v>0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3">
        <v>0</v>
      </c>
      <c r="AH12" s="63">
        <v>0</v>
      </c>
      <c r="AI12" s="63">
        <v>0</v>
      </c>
      <c r="AJ12" s="63">
        <v>0</v>
      </c>
      <c r="AK12" s="63">
        <v>0</v>
      </c>
      <c r="AL12" s="63">
        <v>0</v>
      </c>
      <c r="AM12" s="63">
        <v>0</v>
      </c>
      <c r="AN12" s="63">
        <v>0</v>
      </c>
      <c r="AP12" s="533">
        <v>0</v>
      </c>
      <c r="AQ12" s="533">
        <v>0</v>
      </c>
      <c r="AR12" s="533">
        <v>0</v>
      </c>
      <c r="AS12" s="533">
        <v>0</v>
      </c>
      <c r="AT12" s="534"/>
      <c r="AU12" s="597"/>
      <c r="AV12" s="598"/>
      <c r="AW12" s="598"/>
      <c r="AX12" s="598"/>
    </row>
    <row r="13" spans="1:54" x14ac:dyDescent="0.2">
      <c r="A13" s="201">
        <v>6</v>
      </c>
      <c r="B13" s="129" t="s">
        <v>614</v>
      </c>
      <c r="C13" s="130" t="s">
        <v>742</v>
      </c>
      <c r="D13" s="131" t="s">
        <v>743</v>
      </c>
      <c r="E13" s="132" t="s">
        <v>613</v>
      </c>
      <c r="F13" s="63">
        <v>49312952</v>
      </c>
      <c r="G13" s="63">
        <v>0</v>
      </c>
      <c r="H13" s="63">
        <v>0</v>
      </c>
      <c r="I13" s="63">
        <v>0</v>
      </c>
      <c r="J13" s="63">
        <v>49312952</v>
      </c>
      <c r="K13" s="63">
        <v>-500000</v>
      </c>
      <c r="L13" s="63">
        <v>0</v>
      </c>
      <c r="M13" s="63">
        <v>0</v>
      </c>
      <c r="N13" s="63">
        <v>0</v>
      </c>
      <c r="O13" s="63">
        <v>-500000</v>
      </c>
      <c r="P13" s="63">
        <v>-538000</v>
      </c>
      <c r="Q13" s="63">
        <v>0</v>
      </c>
      <c r="R13" s="63">
        <v>0</v>
      </c>
      <c r="S13" s="63">
        <v>0</v>
      </c>
      <c r="T13" s="63">
        <v>-538000</v>
      </c>
      <c r="U13" s="63">
        <v>48274952</v>
      </c>
      <c r="V13" s="63">
        <v>0</v>
      </c>
      <c r="W13" s="63">
        <v>0</v>
      </c>
      <c r="X13" s="63">
        <v>0</v>
      </c>
      <c r="Y13" s="63">
        <v>48274952</v>
      </c>
      <c r="Z13" s="63">
        <v>54000</v>
      </c>
      <c r="AA13" s="63">
        <v>0</v>
      </c>
      <c r="AB13" s="63">
        <v>0</v>
      </c>
      <c r="AC13" s="63">
        <v>0</v>
      </c>
      <c r="AD13" s="63">
        <v>54000</v>
      </c>
      <c r="AE13" s="63">
        <v>0</v>
      </c>
      <c r="AF13" s="63">
        <v>0</v>
      </c>
      <c r="AG13" s="63">
        <v>0</v>
      </c>
      <c r="AH13" s="63">
        <v>0</v>
      </c>
      <c r="AI13" s="63">
        <v>0</v>
      </c>
      <c r="AJ13" s="63">
        <v>0</v>
      </c>
      <c r="AK13" s="63">
        <v>0</v>
      </c>
      <c r="AL13" s="63">
        <v>0</v>
      </c>
      <c r="AM13" s="63">
        <v>0</v>
      </c>
      <c r="AN13" s="63">
        <v>0</v>
      </c>
      <c r="AP13" s="533">
        <v>0</v>
      </c>
      <c r="AQ13" s="533">
        <v>0</v>
      </c>
      <c r="AR13" s="533">
        <v>0</v>
      </c>
      <c r="AS13" s="533">
        <v>0</v>
      </c>
      <c r="AT13" s="534"/>
      <c r="AU13" s="594"/>
      <c r="AV13" s="595"/>
      <c r="AW13" s="595"/>
      <c r="AX13" s="595"/>
    </row>
    <row r="14" spans="1:54" x14ac:dyDescent="0.2">
      <c r="A14" s="201">
        <v>7</v>
      </c>
      <c r="B14" s="129" t="s">
        <v>616</v>
      </c>
      <c r="C14" s="130" t="s">
        <v>742</v>
      </c>
      <c r="D14" s="131" t="s">
        <v>743</v>
      </c>
      <c r="E14" s="132" t="s">
        <v>615</v>
      </c>
      <c r="F14" s="63">
        <v>51726287</v>
      </c>
      <c r="G14" s="63">
        <v>25047</v>
      </c>
      <c r="H14" s="63">
        <v>0</v>
      </c>
      <c r="I14" s="63">
        <v>0</v>
      </c>
      <c r="J14" s="63">
        <v>51751334</v>
      </c>
      <c r="K14" s="63">
        <v>-120000</v>
      </c>
      <c r="L14" s="63">
        <v>0</v>
      </c>
      <c r="M14" s="63">
        <v>0</v>
      </c>
      <c r="N14" s="63">
        <v>0</v>
      </c>
      <c r="O14" s="63">
        <v>-120000</v>
      </c>
      <c r="P14" s="63">
        <v>-225000</v>
      </c>
      <c r="Q14" s="63">
        <v>0</v>
      </c>
      <c r="R14" s="63">
        <v>0</v>
      </c>
      <c r="S14" s="63">
        <v>0</v>
      </c>
      <c r="T14" s="63">
        <v>-225000</v>
      </c>
      <c r="U14" s="63">
        <v>51381287</v>
      </c>
      <c r="V14" s="63">
        <v>25047</v>
      </c>
      <c r="W14" s="63">
        <v>0</v>
      </c>
      <c r="X14" s="63">
        <v>0</v>
      </c>
      <c r="Y14" s="63">
        <v>51406334</v>
      </c>
      <c r="Z14" s="63">
        <v>0</v>
      </c>
      <c r="AA14" s="63">
        <v>0</v>
      </c>
      <c r="AB14" s="63">
        <v>0</v>
      </c>
      <c r="AC14" s="63">
        <v>0</v>
      </c>
      <c r="AD14" s="63">
        <v>0</v>
      </c>
      <c r="AE14" s="63">
        <v>0</v>
      </c>
      <c r="AF14" s="63">
        <v>0</v>
      </c>
      <c r="AG14" s="63">
        <v>0</v>
      </c>
      <c r="AH14" s="63">
        <v>0</v>
      </c>
      <c r="AI14" s="63">
        <v>0</v>
      </c>
      <c r="AJ14" s="63">
        <v>0</v>
      </c>
      <c r="AK14" s="63">
        <v>25047</v>
      </c>
      <c r="AL14" s="63">
        <v>0</v>
      </c>
      <c r="AM14" s="63">
        <v>0</v>
      </c>
      <c r="AN14" s="63">
        <v>25047</v>
      </c>
      <c r="AP14" s="533" t="s">
        <v>768</v>
      </c>
      <c r="AQ14" s="533" t="s">
        <v>615</v>
      </c>
      <c r="AR14" s="533">
        <v>0</v>
      </c>
      <c r="AS14" s="533">
        <v>0</v>
      </c>
      <c r="AT14" s="534"/>
      <c r="AU14" s="594"/>
      <c r="AV14" s="599"/>
      <c r="AW14" s="595"/>
      <c r="AX14" s="595"/>
    </row>
    <row r="15" spans="1:54" x14ac:dyDescent="0.2">
      <c r="A15" s="201">
        <v>8</v>
      </c>
      <c r="B15" s="129" t="s">
        <v>618</v>
      </c>
      <c r="C15" s="130" t="s">
        <v>742</v>
      </c>
      <c r="D15" s="131" t="s">
        <v>746</v>
      </c>
      <c r="E15" s="132" t="s">
        <v>617</v>
      </c>
      <c r="F15" s="63">
        <v>24568670</v>
      </c>
      <c r="G15" s="63">
        <v>0</v>
      </c>
      <c r="H15" s="63">
        <v>0</v>
      </c>
      <c r="I15" s="63">
        <v>0</v>
      </c>
      <c r="J15" s="63">
        <v>24568670</v>
      </c>
      <c r="K15" s="63">
        <v>-125000</v>
      </c>
      <c r="L15" s="63">
        <v>0</v>
      </c>
      <c r="M15" s="63">
        <v>0</v>
      </c>
      <c r="N15" s="63">
        <v>0</v>
      </c>
      <c r="O15" s="63">
        <v>-125000</v>
      </c>
      <c r="P15" s="63">
        <v>-474100</v>
      </c>
      <c r="Q15" s="63">
        <v>0</v>
      </c>
      <c r="R15" s="63">
        <v>0</v>
      </c>
      <c r="S15" s="63">
        <v>0</v>
      </c>
      <c r="T15" s="63">
        <v>-474100</v>
      </c>
      <c r="U15" s="63">
        <v>23969570</v>
      </c>
      <c r="V15" s="63">
        <v>0</v>
      </c>
      <c r="W15" s="63">
        <v>0</v>
      </c>
      <c r="X15" s="63">
        <v>0</v>
      </c>
      <c r="Y15" s="63">
        <v>23969570</v>
      </c>
      <c r="Z15" s="63">
        <v>0</v>
      </c>
      <c r="AA15" s="63">
        <v>0</v>
      </c>
      <c r="AB15" s="63">
        <v>0</v>
      </c>
      <c r="AC15" s="63">
        <v>0</v>
      </c>
      <c r="AD15" s="63">
        <v>0</v>
      </c>
      <c r="AE15" s="63">
        <v>0</v>
      </c>
      <c r="AF15" s="63">
        <v>0</v>
      </c>
      <c r="AG15" s="63">
        <v>0</v>
      </c>
      <c r="AH15" s="63">
        <v>0</v>
      </c>
      <c r="AI15" s="63">
        <v>0</v>
      </c>
      <c r="AJ15" s="63">
        <v>0</v>
      </c>
      <c r="AK15" s="63">
        <v>0</v>
      </c>
      <c r="AL15" s="63">
        <v>0</v>
      </c>
      <c r="AM15" s="63">
        <v>0</v>
      </c>
      <c r="AN15" s="63">
        <v>0</v>
      </c>
      <c r="AP15" s="533">
        <v>0</v>
      </c>
      <c r="AQ15" s="533">
        <v>0</v>
      </c>
      <c r="AR15" s="533">
        <v>0</v>
      </c>
      <c r="AS15" s="533">
        <v>0</v>
      </c>
      <c r="AT15" s="534"/>
      <c r="AU15" s="594"/>
      <c r="AV15" s="599"/>
      <c r="AW15" s="595"/>
      <c r="AX15" s="595"/>
    </row>
    <row r="16" spans="1:54" x14ac:dyDescent="0.2">
      <c r="A16" s="201">
        <v>9</v>
      </c>
      <c r="B16" s="129" t="s">
        <v>619</v>
      </c>
      <c r="C16" s="130" t="s">
        <v>747</v>
      </c>
      <c r="D16" s="131" t="s">
        <v>748</v>
      </c>
      <c r="E16" s="132" t="s">
        <v>554</v>
      </c>
      <c r="F16" s="63">
        <v>59228873</v>
      </c>
      <c r="G16" s="63">
        <v>0</v>
      </c>
      <c r="H16" s="63">
        <v>0</v>
      </c>
      <c r="I16" s="63">
        <v>0</v>
      </c>
      <c r="J16" s="63">
        <v>59228873</v>
      </c>
      <c r="K16" s="63">
        <v>-1184577</v>
      </c>
      <c r="L16" s="63">
        <v>0</v>
      </c>
      <c r="M16" s="63">
        <v>0</v>
      </c>
      <c r="N16" s="63">
        <v>0</v>
      </c>
      <c r="O16" s="63">
        <v>-1184577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58044296</v>
      </c>
      <c r="V16" s="63">
        <v>0</v>
      </c>
      <c r="W16" s="63">
        <v>0</v>
      </c>
      <c r="X16" s="63">
        <v>0</v>
      </c>
      <c r="Y16" s="63">
        <v>58044296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P16" s="533">
        <v>0</v>
      </c>
      <c r="AQ16" s="533">
        <v>0</v>
      </c>
      <c r="AR16" s="533">
        <v>0</v>
      </c>
      <c r="AS16" s="533">
        <v>0</v>
      </c>
      <c r="AT16" s="534"/>
      <c r="AU16" s="594"/>
      <c r="AV16" s="595"/>
      <c r="AW16" s="595"/>
      <c r="AX16" s="595"/>
    </row>
    <row r="17" spans="1:50" x14ac:dyDescent="0.2">
      <c r="A17" s="201">
        <v>10</v>
      </c>
      <c r="B17" s="129" t="s">
        <v>621</v>
      </c>
      <c r="C17" s="130" t="s">
        <v>747</v>
      </c>
      <c r="D17" s="131" t="s">
        <v>748</v>
      </c>
      <c r="E17" s="132" t="s">
        <v>620</v>
      </c>
      <c r="F17" s="63">
        <v>115115936</v>
      </c>
      <c r="G17" s="63">
        <v>0</v>
      </c>
      <c r="H17" s="63">
        <v>0</v>
      </c>
      <c r="I17" s="63">
        <v>0</v>
      </c>
      <c r="J17" s="63">
        <v>115115936</v>
      </c>
      <c r="K17" s="63">
        <v>-1726739</v>
      </c>
      <c r="L17" s="63">
        <v>0</v>
      </c>
      <c r="M17" s="63">
        <v>0</v>
      </c>
      <c r="N17" s="63">
        <v>0</v>
      </c>
      <c r="O17" s="63">
        <v>-1726739</v>
      </c>
      <c r="P17" s="63">
        <v>-2683000</v>
      </c>
      <c r="Q17" s="63">
        <v>0</v>
      </c>
      <c r="R17" s="63">
        <v>0</v>
      </c>
      <c r="S17" s="63">
        <v>0</v>
      </c>
      <c r="T17" s="63">
        <v>-2683000</v>
      </c>
      <c r="U17" s="63">
        <v>110706197</v>
      </c>
      <c r="V17" s="63">
        <v>0</v>
      </c>
      <c r="W17" s="63">
        <v>0</v>
      </c>
      <c r="X17" s="63">
        <v>0</v>
      </c>
      <c r="Y17" s="63">
        <v>110706197</v>
      </c>
      <c r="Z17" s="63">
        <v>0</v>
      </c>
      <c r="AA17" s="63">
        <v>0</v>
      </c>
      <c r="AB17" s="63">
        <v>0</v>
      </c>
      <c r="AC17" s="63">
        <v>0</v>
      </c>
      <c r="AD17" s="63">
        <v>0</v>
      </c>
      <c r="AE17" s="63">
        <v>0</v>
      </c>
      <c r="AF17" s="63">
        <v>0</v>
      </c>
      <c r="AG17" s="63">
        <v>0</v>
      </c>
      <c r="AH17" s="63">
        <v>0</v>
      </c>
      <c r="AI17" s="63">
        <v>0</v>
      </c>
      <c r="AJ17" s="63">
        <v>0</v>
      </c>
      <c r="AK17" s="63">
        <v>0</v>
      </c>
      <c r="AL17" s="63">
        <v>0</v>
      </c>
      <c r="AM17" s="63">
        <v>0</v>
      </c>
      <c r="AN17" s="63">
        <v>0</v>
      </c>
      <c r="AP17" s="533">
        <v>0</v>
      </c>
      <c r="AQ17" s="533">
        <v>0</v>
      </c>
      <c r="AR17" s="533">
        <v>0</v>
      </c>
      <c r="AS17" s="533">
        <v>0</v>
      </c>
      <c r="AT17" s="534"/>
      <c r="AU17" s="594"/>
      <c r="AV17" s="595"/>
      <c r="AW17" s="595"/>
      <c r="AX17" s="595"/>
    </row>
    <row r="18" spans="1:50" x14ac:dyDescent="0.2">
      <c r="A18" s="201">
        <v>11</v>
      </c>
      <c r="B18" s="129" t="s">
        <v>623</v>
      </c>
      <c r="C18" s="130" t="s">
        <v>749</v>
      </c>
      <c r="D18" s="131" t="s">
        <v>750</v>
      </c>
      <c r="E18" s="132" t="s">
        <v>622</v>
      </c>
      <c r="F18" s="63">
        <v>55429147</v>
      </c>
      <c r="G18" s="63">
        <v>342230</v>
      </c>
      <c r="H18" s="63">
        <v>0</v>
      </c>
      <c r="I18" s="63">
        <v>0</v>
      </c>
      <c r="J18" s="63">
        <v>55771377</v>
      </c>
      <c r="K18" s="63">
        <v>-1816891</v>
      </c>
      <c r="L18" s="63">
        <v>0</v>
      </c>
      <c r="M18" s="63">
        <v>0</v>
      </c>
      <c r="N18" s="63">
        <v>0</v>
      </c>
      <c r="O18" s="63">
        <v>-1816891</v>
      </c>
      <c r="P18" s="63">
        <v>-1810791</v>
      </c>
      <c r="Q18" s="63">
        <v>0</v>
      </c>
      <c r="R18" s="63">
        <v>0</v>
      </c>
      <c r="S18" s="63">
        <v>0</v>
      </c>
      <c r="T18" s="63">
        <v>-1810791</v>
      </c>
      <c r="U18" s="63">
        <v>51801465</v>
      </c>
      <c r="V18" s="63">
        <v>342230</v>
      </c>
      <c r="W18" s="63">
        <v>0</v>
      </c>
      <c r="X18" s="63">
        <v>0</v>
      </c>
      <c r="Y18" s="63">
        <v>52143695</v>
      </c>
      <c r="Z18" s="63">
        <v>52000</v>
      </c>
      <c r="AA18" s="63">
        <v>0</v>
      </c>
      <c r="AB18" s="63">
        <v>0</v>
      </c>
      <c r="AC18" s="63">
        <v>0</v>
      </c>
      <c r="AD18" s="63">
        <v>52000</v>
      </c>
      <c r="AE18" s="63">
        <v>0</v>
      </c>
      <c r="AF18" s="63">
        <v>0</v>
      </c>
      <c r="AG18" s="63">
        <v>0</v>
      </c>
      <c r="AH18" s="63">
        <v>89845</v>
      </c>
      <c r="AI18" s="63">
        <v>0</v>
      </c>
      <c r="AJ18" s="63">
        <v>0</v>
      </c>
      <c r="AK18" s="63">
        <v>252385</v>
      </c>
      <c r="AL18" s="63">
        <v>0</v>
      </c>
      <c r="AM18" s="63">
        <v>0</v>
      </c>
      <c r="AN18" s="63">
        <v>252385</v>
      </c>
      <c r="AP18" s="533" t="s">
        <v>768</v>
      </c>
      <c r="AQ18" s="533" t="s">
        <v>769</v>
      </c>
      <c r="AR18" s="533">
        <v>0</v>
      </c>
      <c r="AS18" s="533">
        <v>0</v>
      </c>
      <c r="AT18" s="534"/>
      <c r="AU18" s="594"/>
      <c r="AV18" s="595"/>
      <c r="AW18" s="595"/>
      <c r="AX18" s="595"/>
    </row>
    <row r="19" spans="1:50" x14ac:dyDescent="0.2">
      <c r="A19" s="201">
        <v>12</v>
      </c>
      <c r="B19" s="129" t="s">
        <v>625</v>
      </c>
      <c r="C19" s="130" t="s">
        <v>742</v>
      </c>
      <c r="D19" s="131" t="s">
        <v>744</v>
      </c>
      <c r="E19" s="132" t="s">
        <v>624</v>
      </c>
      <c r="F19" s="63">
        <v>24370896</v>
      </c>
      <c r="G19" s="63">
        <v>0</v>
      </c>
      <c r="H19" s="63">
        <v>0</v>
      </c>
      <c r="I19" s="63">
        <v>0</v>
      </c>
      <c r="J19" s="63">
        <v>24370896</v>
      </c>
      <c r="K19" s="63">
        <v>-125000</v>
      </c>
      <c r="L19" s="63">
        <v>0</v>
      </c>
      <c r="M19" s="63">
        <v>0</v>
      </c>
      <c r="N19" s="63">
        <v>0</v>
      </c>
      <c r="O19" s="63">
        <v>-125000</v>
      </c>
      <c r="P19" s="63">
        <v>-150000</v>
      </c>
      <c r="Q19" s="63">
        <v>0</v>
      </c>
      <c r="R19" s="63">
        <v>0</v>
      </c>
      <c r="S19" s="63">
        <v>0</v>
      </c>
      <c r="T19" s="63">
        <v>-150000</v>
      </c>
      <c r="U19" s="63">
        <v>24095896</v>
      </c>
      <c r="V19" s="63">
        <v>0</v>
      </c>
      <c r="W19" s="63">
        <v>0</v>
      </c>
      <c r="X19" s="63">
        <v>0</v>
      </c>
      <c r="Y19" s="63">
        <v>24095896</v>
      </c>
      <c r="Z19" s="63">
        <v>27500</v>
      </c>
      <c r="AA19" s="63">
        <v>0</v>
      </c>
      <c r="AB19" s="63">
        <v>0</v>
      </c>
      <c r="AC19" s="63">
        <v>0</v>
      </c>
      <c r="AD19" s="63">
        <v>27500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P19" s="533">
        <v>0</v>
      </c>
      <c r="AQ19" s="533">
        <v>0</v>
      </c>
      <c r="AR19" s="533">
        <v>0</v>
      </c>
      <c r="AS19" s="533">
        <v>0</v>
      </c>
      <c r="AT19" s="534"/>
      <c r="AU19" s="594"/>
      <c r="AV19" s="595"/>
      <c r="AW19" s="595"/>
      <c r="AX19" s="595"/>
    </row>
    <row r="20" spans="1:50" x14ac:dyDescent="0.2">
      <c r="A20" s="201">
        <v>13</v>
      </c>
      <c r="B20" s="129" t="s">
        <v>627</v>
      </c>
      <c r="C20" s="130" t="s">
        <v>742</v>
      </c>
      <c r="D20" s="131" t="s">
        <v>746</v>
      </c>
      <c r="E20" s="132" t="s">
        <v>626</v>
      </c>
      <c r="F20" s="63">
        <v>86783204</v>
      </c>
      <c r="G20" s="63">
        <v>0</v>
      </c>
      <c r="H20" s="63">
        <v>0</v>
      </c>
      <c r="I20" s="63">
        <v>0</v>
      </c>
      <c r="J20" s="63">
        <v>86783204</v>
      </c>
      <c r="K20" s="63">
        <v>-473201</v>
      </c>
      <c r="L20" s="63">
        <v>0</v>
      </c>
      <c r="M20" s="63">
        <v>0</v>
      </c>
      <c r="N20" s="63">
        <v>0</v>
      </c>
      <c r="O20" s="63">
        <v>-473201</v>
      </c>
      <c r="P20" s="63">
        <v>-3161787</v>
      </c>
      <c r="Q20" s="63">
        <v>0</v>
      </c>
      <c r="R20" s="63">
        <v>0</v>
      </c>
      <c r="S20" s="63">
        <v>0</v>
      </c>
      <c r="T20" s="63">
        <v>-3161787</v>
      </c>
      <c r="U20" s="63">
        <v>83148216</v>
      </c>
      <c r="V20" s="63">
        <v>0</v>
      </c>
      <c r="W20" s="63">
        <v>0</v>
      </c>
      <c r="X20" s="63">
        <v>0</v>
      </c>
      <c r="Y20" s="63">
        <v>83148216</v>
      </c>
      <c r="Z20" s="63">
        <v>19937</v>
      </c>
      <c r="AA20" s="63">
        <v>0</v>
      </c>
      <c r="AB20" s="63">
        <v>0</v>
      </c>
      <c r="AC20" s="63">
        <v>0</v>
      </c>
      <c r="AD20" s="63">
        <v>19937</v>
      </c>
      <c r="AE20" s="63">
        <v>0</v>
      </c>
      <c r="AF20" s="63">
        <v>0</v>
      </c>
      <c r="AG20" s="63">
        <v>0</v>
      </c>
      <c r="AH20" s="63">
        <v>0</v>
      </c>
      <c r="AI20" s="63">
        <v>0</v>
      </c>
      <c r="AJ20" s="63">
        <v>0</v>
      </c>
      <c r="AK20" s="63">
        <v>0</v>
      </c>
      <c r="AL20" s="63">
        <v>0</v>
      </c>
      <c r="AM20" s="63">
        <v>0</v>
      </c>
      <c r="AN20" s="63">
        <v>0</v>
      </c>
      <c r="AP20" s="533">
        <v>0</v>
      </c>
      <c r="AQ20" s="533">
        <v>0</v>
      </c>
      <c r="AR20" s="533">
        <v>0</v>
      </c>
      <c r="AS20" s="533">
        <v>0</v>
      </c>
      <c r="AT20" s="534"/>
      <c r="AU20" s="594"/>
      <c r="AV20" s="595"/>
      <c r="AW20" s="595"/>
      <c r="AX20" s="595"/>
    </row>
    <row r="21" spans="1:50" x14ac:dyDescent="0.2">
      <c r="A21" s="201">
        <v>14</v>
      </c>
      <c r="B21" s="129" t="s">
        <v>629</v>
      </c>
      <c r="C21" s="130" t="s">
        <v>742</v>
      </c>
      <c r="D21" s="131" t="s">
        <v>743</v>
      </c>
      <c r="E21" s="132" t="s">
        <v>628</v>
      </c>
      <c r="F21" s="63">
        <v>78374849</v>
      </c>
      <c r="G21" s="63">
        <v>0</v>
      </c>
      <c r="H21" s="63">
        <v>0</v>
      </c>
      <c r="I21" s="63">
        <v>0</v>
      </c>
      <c r="J21" s="63">
        <v>78374849</v>
      </c>
      <c r="K21" s="63">
        <v>-400000</v>
      </c>
      <c r="L21" s="63">
        <v>0</v>
      </c>
      <c r="M21" s="63">
        <v>0</v>
      </c>
      <c r="N21" s="63">
        <v>0</v>
      </c>
      <c r="O21" s="63">
        <v>-400000</v>
      </c>
      <c r="P21" s="63">
        <v>-1000000</v>
      </c>
      <c r="Q21" s="63">
        <v>0</v>
      </c>
      <c r="R21" s="63">
        <v>0</v>
      </c>
      <c r="S21" s="63">
        <v>0</v>
      </c>
      <c r="T21" s="63">
        <v>-1000000</v>
      </c>
      <c r="U21" s="63">
        <v>76974849</v>
      </c>
      <c r="V21" s="63">
        <v>0</v>
      </c>
      <c r="W21" s="63">
        <v>0</v>
      </c>
      <c r="X21" s="63">
        <v>0</v>
      </c>
      <c r="Y21" s="63">
        <v>76974849</v>
      </c>
      <c r="Z21" s="63">
        <v>312383</v>
      </c>
      <c r="AA21" s="63">
        <v>0</v>
      </c>
      <c r="AB21" s="63">
        <v>0</v>
      </c>
      <c r="AC21" s="63">
        <v>0</v>
      </c>
      <c r="AD21" s="63">
        <v>312383</v>
      </c>
      <c r="AE21" s="63">
        <v>0</v>
      </c>
      <c r="AF21" s="63">
        <v>0</v>
      </c>
      <c r="AG21" s="63">
        <v>0</v>
      </c>
      <c r="AH21" s="63">
        <v>0</v>
      </c>
      <c r="AI21" s="63">
        <v>0</v>
      </c>
      <c r="AJ21" s="63">
        <v>0</v>
      </c>
      <c r="AK21" s="63">
        <v>0</v>
      </c>
      <c r="AL21" s="63">
        <v>0</v>
      </c>
      <c r="AM21" s="63">
        <v>0</v>
      </c>
      <c r="AN21" s="63">
        <v>0</v>
      </c>
      <c r="AP21" s="533">
        <v>0</v>
      </c>
      <c r="AQ21" s="533">
        <v>0</v>
      </c>
      <c r="AR21" s="533">
        <v>0</v>
      </c>
      <c r="AS21" s="533">
        <v>0</v>
      </c>
      <c r="AT21" s="534"/>
      <c r="AU21" s="594"/>
      <c r="AV21" s="599"/>
      <c r="AW21" s="595"/>
      <c r="AX21" s="595"/>
    </row>
    <row r="22" spans="1:50" x14ac:dyDescent="0.2">
      <c r="A22" s="201">
        <v>15</v>
      </c>
      <c r="B22" s="129" t="s">
        <v>631</v>
      </c>
      <c r="C22" s="130" t="s">
        <v>742</v>
      </c>
      <c r="D22" s="131" t="s">
        <v>745</v>
      </c>
      <c r="E22" s="132" t="s">
        <v>630</v>
      </c>
      <c r="F22" s="63">
        <v>52026210</v>
      </c>
      <c r="G22" s="63">
        <v>0</v>
      </c>
      <c r="H22" s="63">
        <v>0</v>
      </c>
      <c r="I22" s="63">
        <v>0</v>
      </c>
      <c r="J22" s="63">
        <v>52026210</v>
      </c>
      <c r="K22" s="63">
        <v>-518520</v>
      </c>
      <c r="L22" s="63">
        <v>0</v>
      </c>
      <c r="M22" s="63">
        <v>0</v>
      </c>
      <c r="N22" s="63">
        <v>0</v>
      </c>
      <c r="O22" s="63">
        <v>-518520</v>
      </c>
      <c r="P22" s="63">
        <v>-1456980</v>
      </c>
      <c r="Q22" s="63">
        <v>0</v>
      </c>
      <c r="R22" s="63">
        <v>0</v>
      </c>
      <c r="S22" s="63">
        <v>0</v>
      </c>
      <c r="T22" s="63">
        <v>-1456980</v>
      </c>
      <c r="U22" s="63">
        <v>50050710</v>
      </c>
      <c r="V22" s="63">
        <v>0</v>
      </c>
      <c r="W22" s="63">
        <v>0</v>
      </c>
      <c r="X22" s="63">
        <v>0</v>
      </c>
      <c r="Y22" s="63">
        <v>50050710</v>
      </c>
      <c r="Z22" s="63">
        <v>485070</v>
      </c>
      <c r="AA22" s="63">
        <v>0</v>
      </c>
      <c r="AB22" s="63">
        <v>0</v>
      </c>
      <c r="AC22" s="63">
        <v>0</v>
      </c>
      <c r="AD22" s="63">
        <v>485070</v>
      </c>
      <c r="AE22" s="63">
        <v>0</v>
      </c>
      <c r="AF22" s="63">
        <v>0</v>
      </c>
      <c r="AG22" s="63">
        <v>0</v>
      </c>
      <c r="AH22" s="63">
        <v>0</v>
      </c>
      <c r="AI22" s="63">
        <v>0</v>
      </c>
      <c r="AJ22" s="63">
        <v>0</v>
      </c>
      <c r="AK22" s="63">
        <v>0</v>
      </c>
      <c r="AL22" s="63">
        <v>0</v>
      </c>
      <c r="AM22" s="63">
        <v>0</v>
      </c>
      <c r="AN22" s="63">
        <v>0</v>
      </c>
      <c r="AP22" s="533">
        <v>0</v>
      </c>
      <c r="AQ22" s="533">
        <v>0</v>
      </c>
      <c r="AR22" s="533">
        <v>0</v>
      </c>
      <c r="AS22" s="533">
        <v>0</v>
      </c>
      <c r="AT22" s="534"/>
      <c r="AU22" s="594"/>
      <c r="AV22" s="595"/>
      <c r="AW22" s="595"/>
      <c r="AX22" s="595"/>
    </row>
    <row r="23" spans="1:50" x14ac:dyDescent="0.2">
      <c r="A23" s="201">
        <v>16</v>
      </c>
      <c r="B23" s="129" t="s">
        <v>633</v>
      </c>
      <c r="C23" s="130" t="s">
        <v>501</v>
      </c>
      <c r="D23" s="131" t="s">
        <v>751</v>
      </c>
      <c r="E23" s="132" t="s">
        <v>632</v>
      </c>
      <c r="F23" s="63">
        <v>63239305</v>
      </c>
      <c r="G23" s="63">
        <v>5732189</v>
      </c>
      <c r="H23" s="63">
        <v>0</v>
      </c>
      <c r="I23" s="63">
        <v>0</v>
      </c>
      <c r="J23" s="63">
        <v>68971494</v>
      </c>
      <c r="K23" s="63">
        <v>-468902</v>
      </c>
      <c r="L23" s="63">
        <v>-42503</v>
      </c>
      <c r="M23" s="63">
        <v>0</v>
      </c>
      <c r="N23" s="63">
        <v>0</v>
      </c>
      <c r="O23" s="63">
        <v>-511405</v>
      </c>
      <c r="P23" s="63">
        <v>-1229150</v>
      </c>
      <c r="Q23" s="63">
        <v>-172327</v>
      </c>
      <c r="R23" s="63">
        <v>0</v>
      </c>
      <c r="S23" s="63">
        <v>0</v>
      </c>
      <c r="T23" s="63">
        <v>-1401477</v>
      </c>
      <c r="U23" s="63">
        <v>61541253</v>
      </c>
      <c r="V23" s="63">
        <v>5517359</v>
      </c>
      <c r="W23" s="63">
        <v>0</v>
      </c>
      <c r="X23" s="63">
        <v>0</v>
      </c>
      <c r="Y23" s="63">
        <v>67058612</v>
      </c>
      <c r="Z23" s="63">
        <v>29000</v>
      </c>
      <c r="AA23" s="63">
        <v>0</v>
      </c>
      <c r="AB23" s="63">
        <v>0</v>
      </c>
      <c r="AC23" s="63">
        <v>0</v>
      </c>
      <c r="AD23" s="63">
        <v>29000</v>
      </c>
      <c r="AE23" s="63">
        <v>0</v>
      </c>
      <c r="AF23" s="63">
        <v>0</v>
      </c>
      <c r="AG23" s="63">
        <v>0</v>
      </c>
      <c r="AH23" s="63">
        <v>4927042</v>
      </c>
      <c r="AI23" s="63">
        <v>0</v>
      </c>
      <c r="AJ23" s="63">
        <v>0</v>
      </c>
      <c r="AK23" s="63">
        <v>590317</v>
      </c>
      <c r="AL23" s="63">
        <v>0</v>
      </c>
      <c r="AM23" s="63">
        <v>0</v>
      </c>
      <c r="AN23" s="63">
        <v>590317</v>
      </c>
      <c r="AP23" s="533" t="s">
        <v>768</v>
      </c>
      <c r="AQ23" s="533" t="s">
        <v>770</v>
      </c>
      <c r="AR23" s="533">
        <v>0</v>
      </c>
      <c r="AS23" s="533">
        <v>0</v>
      </c>
      <c r="AT23" s="534"/>
      <c r="AU23" s="594"/>
      <c r="AV23" s="600"/>
      <c r="AW23" s="599"/>
      <c r="AX23" s="595"/>
    </row>
    <row r="24" spans="1:50" x14ac:dyDescent="0.2">
      <c r="A24" s="201">
        <v>17</v>
      </c>
      <c r="B24" s="129" t="s">
        <v>635</v>
      </c>
      <c r="C24" s="130" t="s">
        <v>501</v>
      </c>
      <c r="D24" s="131" t="s">
        <v>746</v>
      </c>
      <c r="E24" s="132" t="s">
        <v>634</v>
      </c>
      <c r="F24" s="63">
        <v>68584896</v>
      </c>
      <c r="G24" s="63">
        <v>0</v>
      </c>
      <c r="H24" s="63">
        <v>0</v>
      </c>
      <c r="I24" s="63">
        <v>0</v>
      </c>
      <c r="J24" s="63">
        <v>68584896</v>
      </c>
      <c r="K24" s="63">
        <v>-716000</v>
      </c>
      <c r="L24" s="63">
        <v>0</v>
      </c>
      <c r="M24" s="63">
        <v>0</v>
      </c>
      <c r="N24" s="63">
        <v>0</v>
      </c>
      <c r="O24" s="63">
        <v>-716000</v>
      </c>
      <c r="P24" s="63">
        <v>-1262156</v>
      </c>
      <c r="Q24" s="63">
        <v>0</v>
      </c>
      <c r="R24" s="63">
        <v>0</v>
      </c>
      <c r="S24" s="63">
        <v>0</v>
      </c>
      <c r="T24" s="63">
        <v>-1262156</v>
      </c>
      <c r="U24" s="63">
        <v>66606740</v>
      </c>
      <c r="V24" s="63">
        <v>0</v>
      </c>
      <c r="W24" s="63">
        <v>0</v>
      </c>
      <c r="X24" s="63">
        <v>0</v>
      </c>
      <c r="Y24" s="63">
        <v>66606740</v>
      </c>
      <c r="Z24" s="63">
        <v>0</v>
      </c>
      <c r="AA24" s="63">
        <v>0</v>
      </c>
      <c r="AB24" s="63">
        <v>0</v>
      </c>
      <c r="AC24" s="63">
        <v>0</v>
      </c>
      <c r="AD24" s="63">
        <v>0</v>
      </c>
      <c r="AE24" s="63">
        <v>0</v>
      </c>
      <c r="AF24" s="63">
        <v>0</v>
      </c>
      <c r="AG24" s="63">
        <v>0</v>
      </c>
      <c r="AH24" s="63">
        <v>0</v>
      </c>
      <c r="AI24" s="63">
        <v>0</v>
      </c>
      <c r="AJ24" s="63">
        <v>0</v>
      </c>
      <c r="AK24" s="63">
        <v>0</v>
      </c>
      <c r="AL24" s="63">
        <v>0</v>
      </c>
      <c r="AM24" s="63">
        <v>0</v>
      </c>
      <c r="AN24" s="63">
        <v>0</v>
      </c>
      <c r="AP24" s="533">
        <v>0</v>
      </c>
      <c r="AQ24" s="533">
        <v>0</v>
      </c>
      <c r="AR24" s="533">
        <v>0</v>
      </c>
      <c r="AS24" s="533">
        <v>0</v>
      </c>
      <c r="AT24" s="534"/>
      <c r="AU24" s="594"/>
      <c r="AV24" s="595"/>
      <c r="AW24" s="595"/>
      <c r="AX24" s="595"/>
    </row>
    <row r="25" spans="1:50" x14ac:dyDescent="0.2">
      <c r="A25" s="201">
        <v>18</v>
      </c>
      <c r="B25" s="129" t="s">
        <v>637</v>
      </c>
      <c r="C25" s="130" t="s">
        <v>747</v>
      </c>
      <c r="D25" s="131" t="s">
        <v>748</v>
      </c>
      <c r="E25" s="132" t="s">
        <v>636</v>
      </c>
      <c r="F25" s="63">
        <v>73001949</v>
      </c>
      <c r="G25" s="63">
        <v>0</v>
      </c>
      <c r="H25" s="63">
        <v>0</v>
      </c>
      <c r="I25" s="63">
        <v>0</v>
      </c>
      <c r="J25" s="63">
        <v>73001949</v>
      </c>
      <c r="K25" s="63">
        <v>-300000</v>
      </c>
      <c r="L25" s="63">
        <v>0</v>
      </c>
      <c r="M25" s="63">
        <v>0</v>
      </c>
      <c r="N25" s="63">
        <v>0</v>
      </c>
      <c r="O25" s="63">
        <v>-300000</v>
      </c>
      <c r="P25" s="63">
        <v>-700000</v>
      </c>
      <c r="Q25" s="63">
        <v>0</v>
      </c>
      <c r="R25" s="63">
        <v>0</v>
      </c>
      <c r="S25" s="63">
        <v>0</v>
      </c>
      <c r="T25" s="63">
        <v>-700000</v>
      </c>
      <c r="U25" s="63">
        <v>72001949</v>
      </c>
      <c r="V25" s="63">
        <v>0</v>
      </c>
      <c r="W25" s="63">
        <v>0</v>
      </c>
      <c r="X25" s="63">
        <v>0</v>
      </c>
      <c r="Y25" s="63">
        <v>72001949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63">
        <v>0</v>
      </c>
      <c r="AK25" s="63">
        <v>0</v>
      </c>
      <c r="AL25" s="63">
        <v>0</v>
      </c>
      <c r="AM25" s="63">
        <v>0</v>
      </c>
      <c r="AN25" s="63">
        <v>0</v>
      </c>
      <c r="AP25" s="533">
        <v>0</v>
      </c>
      <c r="AQ25" s="533">
        <v>0</v>
      </c>
      <c r="AR25" s="533">
        <v>0</v>
      </c>
      <c r="AS25" s="533">
        <v>0</v>
      </c>
      <c r="AT25" s="534"/>
      <c r="AU25" s="594"/>
      <c r="AV25" s="595"/>
      <c r="AW25" s="595"/>
      <c r="AX25" s="595"/>
    </row>
    <row r="26" spans="1:50" x14ac:dyDescent="0.2">
      <c r="A26" s="201">
        <v>19</v>
      </c>
      <c r="B26" s="129" t="s">
        <v>639</v>
      </c>
      <c r="C26" s="130" t="s">
        <v>749</v>
      </c>
      <c r="D26" s="131" t="s">
        <v>752</v>
      </c>
      <c r="E26" s="132" t="s">
        <v>638</v>
      </c>
      <c r="F26" s="63">
        <v>430194169</v>
      </c>
      <c r="G26" s="63">
        <v>10241112</v>
      </c>
      <c r="H26" s="63">
        <v>6579664</v>
      </c>
      <c r="I26" s="63">
        <v>0</v>
      </c>
      <c r="J26" s="63">
        <v>447014945</v>
      </c>
      <c r="K26" s="63">
        <v>-9825010</v>
      </c>
      <c r="L26" s="63">
        <v>-123622</v>
      </c>
      <c r="M26" s="63">
        <v>0</v>
      </c>
      <c r="N26" s="63">
        <v>0</v>
      </c>
      <c r="O26" s="63">
        <v>-9948632</v>
      </c>
      <c r="P26" s="63">
        <v>-9000000</v>
      </c>
      <c r="Q26" s="63">
        <v>-187000</v>
      </c>
      <c r="R26" s="63">
        <v>0</v>
      </c>
      <c r="S26" s="63">
        <v>0</v>
      </c>
      <c r="T26" s="63">
        <v>-9187000</v>
      </c>
      <c r="U26" s="63">
        <v>411369159</v>
      </c>
      <c r="V26" s="63">
        <v>9930490</v>
      </c>
      <c r="W26" s="63">
        <v>6579664</v>
      </c>
      <c r="X26" s="63">
        <v>0</v>
      </c>
      <c r="Y26" s="63">
        <v>427879313</v>
      </c>
      <c r="Z26" s="63">
        <v>0</v>
      </c>
      <c r="AA26" s="63">
        <v>0</v>
      </c>
      <c r="AB26" s="63">
        <v>0</v>
      </c>
      <c r="AC26" s="63">
        <v>0</v>
      </c>
      <c r="AD26" s="63">
        <v>0</v>
      </c>
      <c r="AE26" s="63">
        <v>0</v>
      </c>
      <c r="AF26" s="63">
        <v>0</v>
      </c>
      <c r="AG26" s="63">
        <v>0</v>
      </c>
      <c r="AH26" s="63">
        <v>4060102</v>
      </c>
      <c r="AI26" s="63">
        <v>6579664</v>
      </c>
      <c r="AJ26" s="63">
        <v>0</v>
      </c>
      <c r="AK26" s="63">
        <v>5870388</v>
      </c>
      <c r="AL26" s="63">
        <v>0</v>
      </c>
      <c r="AM26" s="63">
        <v>0</v>
      </c>
      <c r="AN26" s="63">
        <v>5870388</v>
      </c>
      <c r="AP26" s="533" t="s">
        <v>768</v>
      </c>
      <c r="AQ26" s="533" t="s">
        <v>771</v>
      </c>
      <c r="AR26" s="533" t="s">
        <v>987</v>
      </c>
      <c r="AS26" s="533">
        <v>0</v>
      </c>
      <c r="AT26" s="534"/>
      <c r="AU26" s="594"/>
      <c r="AV26" s="595"/>
      <c r="AW26" s="595"/>
      <c r="AX26" s="595"/>
    </row>
    <row r="27" spans="1:50" x14ac:dyDescent="0.2">
      <c r="A27" s="201">
        <v>20</v>
      </c>
      <c r="B27" s="129" t="s">
        <v>641</v>
      </c>
      <c r="C27" s="130" t="s">
        <v>742</v>
      </c>
      <c r="D27" s="131" t="s">
        <v>745</v>
      </c>
      <c r="E27" s="132" t="s">
        <v>640</v>
      </c>
      <c r="F27" s="63">
        <v>43282321</v>
      </c>
      <c r="G27" s="63">
        <v>0</v>
      </c>
      <c r="H27" s="63">
        <v>0</v>
      </c>
      <c r="I27" s="63">
        <v>0</v>
      </c>
      <c r="J27" s="63">
        <v>43282321</v>
      </c>
      <c r="K27" s="63">
        <v>-100000</v>
      </c>
      <c r="L27" s="63">
        <v>0</v>
      </c>
      <c r="M27" s="63">
        <v>0</v>
      </c>
      <c r="N27" s="63">
        <v>0</v>
      </c>
      <c r="O27" s="63">
        <v>-100000</v>
      </c>
      <c r="P27" s="63">
        <v>-250000</v>
      </c>
      <c r="Q27" s="63">
        <v>0</v>
      </c>
      <c r="R27" s="63">
        <v>0</v>
      </c>
      <c r="S27" s="63">
        <v>0</v>
      </c>
      <c r="T27" s="63">
        <v>-250000</v>
      </c>
      <c r="U27" s="63">
        <v>42932321</v>
      </c>
      <c r="V27" s="63">
        <v>0</v>
      </c>
      <c r="W27" s="63">
        <v>0</v>
      </c>
      <c r="X27" s="63">
        <v>0</v>
      </c>
      <c r="Y27" s="63">
        <v>42932321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  <c r="AH27" s="63">
        <v>0</v>
      </c>
      <c r="AI27" s="63">
        <v>0</v>
      </c>
      <c r="AJ27" s="63">
        <v>0</v>
      </c>
      <c r="AK27" s="63">
        <v>0</v>
      </c>
      <c r="AL27" s="63">
        <v>0</v>
      </c>
      <c r="AM27" s="63">
        <v>0</v>
      </c>
      <c r="AN27" s="63">
        <v>0</v>
      </c>
      <c r="AP27" s="533">
        <v>0</v>
      </c>
      <c r="AQ27" s="533">
        <v>0</v>
      </c>
      <c r="AR27" s="533">
        <v>0</v>
      </c>
      <c r="AS27" s="533">
        <v>0</v>
      </c>
      <c r="AT27" s="534"/>
      <c r="AU27" s="594"/>
      <c r="AV27" s="595"/>
      <c r="AW27" s="595"/>
      <c r="AX27" s="595"/>
    </row>
    <row r="28" spans="1:50" x14ac:dyDescent="0.2">
      <c r="A28" s="201">
        <v>21</v>
      </c>
      <c r="B28" s="129" t="s">
        <v>642</v>
      </c>
      <c r="C28" s="130" t="s">
        <v>501</v>
      </c>
      <c r="D28" s="131" t="s">
        <v>744</v>
      </c>
      <c r="E28" s="132" t="s">
        <v>538</v>
      </c>
      <c r="F28" s="63">
        <v>50146407</v>
      </c>
      <c r="G28" s="63">
        <v>0</v>
      </c>
      <c r="H28" s="63">
        <v>0</v>
      </c>
      <c r="I28" s="63">
        <v>0</v>
      </c>
      <c r="J28" s="63">
        <v>50146407</v>
      </c>
      <c r="K28" s="63">
        <v>-600000</v>
      </c>
      <c r="L28" s="63">
        <v>0</v>
      </c>
      <c r="M28" s="63">
        <v>0</v>
      </c>
      <c r="N28" s="63">
        <v>0</v>
      </c>
      <c r="O28" s="63">
        <v>-600000</v>
      </c>
      <c r="P28" s="63">
        <v>-2500000</v>
      </c>
      <c r="Q28" s="63">
        <v>0</v>
      </c>
      <c r="R28" s="63">
        <v>0</v>
      </c>
      <c r="S28" s="63">
        <v>0</v>
      </c>
      <c r="T28" s="63">
        <v>-2500000</v>
      </c>
      <c r="U28" s="63">
        <v>47046407</v>
      </c>
      <c r="V28" s="63">
        <v>0</v>
      </c>
      <c r="W28" s="63">
        <v>0</v>
      </c>
      <c r="X28" s="63">
        <v>0</v>
      </c>
      <c r="Y28" s="63">
        <v>47046407</v>
      </c>
      <c r="Z28" s="63">
        <v>0</v>
      </c>
      <c r="AA28" s="63">
        <v>0</v>
      </c>
      <c r="AB28" s="63">
        <v>0</v>
      </c>
      <c r="AC28" s="63">
        <v>0</v>
      </c>
      <c r="AD28" s="63">
        <v>0</v>
      </c>
      <c r="AE28" s="63">
        <v>0</v>
      </c>
      <c r="AF28" s="63">
        <v>0</v>
      </c>
      <c r="AG28" s="63">
        <v>0</v>
      </c>
      <c r="AH28" s="63">
        <v>0</v>
      </c>
      <c r="AI28" s="63">
        <v>0</v>
      </c>
      <c r="AJ28" s="63">
        <v>0</v>
      </c>
      <c r="AK28" s="63">
        <v>0</v>
      </c>
      <c r="AL28" s="63">
        <v>0</v>
      </c>
      <c r="AM28" s="63">
        <v>0</v>
      </c>
      <c r="AN28" s="63">
        <v>0</v>
      </c>
      <c r="AP28" s="533">
        <v>0</v>
      </c>
      <c r="AQ28" s="533">
        <v>0</v>
      </c>
      <c r="AR28" s="533">
        <v>0</v>
      </c>
      <c r="AS28" s="533">
        <v>0</v>
      </c>
      <c r="AT28" s="534"/>
      <c r="AU28" s="594"/>
      <c r="AV28" s="595"/>
      <c r="AW28" s="595"/>
      <c r="AX28" s="595"/>
    </row>
    <row r="29" spans="1:50" x14ac:dyDescent="0.2">
      <c r="A29" s="201">
        <v>22</v>
      </c>
      <c r="B29" s="129" t="s">
        <v>643</v>
      </c>
      <c r="C29" s="130" t="s">
        <v>501</v>
      </c>
      <c r="D29" s="131" t="s">
        <v>744</v>
      </c>
      <c r="E29" s="132" t="s">
        <v>539</v>
      </c>
      <c r="F29" s="63">
        <v>52528446</v>
      </c>
      <c r="G29" s="63">
        <v>0</v>
      </c>
      <c r="H29" s="63">
        <v>0</v>
      </c>
      <c r="I29" s="63">
        <v>0</v>
      </c>
      <c r="J29" s="63">
        <v>52528446</v>
      </c>
      <c r="K29" s="63">
        <v>-2000000</v>
      </c>
      <c r="L29" s="63">
        <v>0</v>
      </c>
      <c r="M29" s="63">
        <v>0</v>
      </c>
      <c r="N29" s="63">
        <v>0</v>
      </c>
      <c r="O29" s="63">
        <v>-2000000</v>
      </c>
      <c r="P29" s="63">
        <v>-1200000</v>
      </c>
      <c r="Q29" s="63">
        <v>0</v>
      </c>
      <c r="R29" s="63">
        <v>0</v>
      </c>
      <c r="S29" s="63">
        <v>0</v>
      </c>
      <c r="T29" s="63">
        <v>-1200000</v>
      </c>
      <c r="U29" s="63">
        <v>49328446</v>
      </c>
      <c r="V29" s="63">
        <v>0</v>
      </c>
      <c r="W29" s="63">
        <v>0</v>
      </c>
      <c r="X29" s="63">
        <v>0</v>
      </c>
      <c r="Y29" s="63">
        <v>49328446</v>
      </c>
      <c r="Z29" s="63">
        <v>0</v>
      </c>
      <c r="AA29" s="63">
        <v>0</v>
      </c>
      <c r="AB29" s="63">
        <v>0</v>
      </c>
      <c r="AC29" s="63">
        <v>0</v>
      </c>
      <c r="AD29" s="63">
        <v>0</v>
      </c>
      <c r="AE29" s="63">
        <v>0</v>
      </c>
      <c r="AF29" s="63">
        <v>0</v>
      </c>
      <c r="AG29" s="63">
        <v>0</v>
      </c>
      <c r="AH29" s="63">
        <v>0</v>
      </c>
      <c r="AI29" s="63">
        <v>0</v>
      </c>
      <c r="AJ29" s="63">
        <v>0</v>
      </c>
      <c r="AK29" s="63">
        <v>0</v>
      </c>
      <c r="AL29" s="63">
        <v>0</v>
      </c>
      <c r="AM29" s="63">
        <v>0</v>
      </c>
      <c r="AN29" s="63">
        <v>0</v>
      </c>
      <c r="AP29" s="533">
        <v>0</v>
      </c>
      <c r="AQ29" s="533">
        <v>0</v>
      </c>
      <c r="AR29" s="533">
        <v>0</v>
      </c>
      <c r="AS29" s="533">
        <v>0</v>
      </c>
      <c r="AT29" s="534"/>
      <c r="AU29" s="594"/>
      <c r="AV29" s="595"/>
      <c r="AW29" s="595"/>
      <c r="AX29" s="595"/>
    </row>
    <row r="30" spans="1:50" x14ac:dyDescent="0.2">
      <c r="A30" s="201">
        <v>23</v>
      </c>
      <c r="B30" s="129" t="s">
        <v>645</v>
      </c>
      <c r="C30" s="130" t="s">
        <v>742</v>
      </c>
      <c r="D30" s="131" t="s">
        <v>745</v>
      </c>
      <c r="E30" s="132" t="s">
        <v>644</v>
      </c>
      <c r="F30" s="63">
        <v>24850326</v>
      </c>
      <c r="G30" s="63">
        <v>0</v>
      </c>
      <c r="H30" s="63">
        <v>0</v>
      </c>
      <c r="I30" s="63">
        <v>0</v>
      </c>
      <c r="J30" s="63">
        <v>24850326</v>
      </c>
      <c r="K30" s="63">
        <v>-248503</v>
      </c>
      <c r="L30" s="63">
        <v>0</v>
      </c>
      <c r="M30" s="63">
        <v>0</v>
      </c>
      <c r="N30" s="63">
        <v>0</v>
      </c>
      <c r="O30" s="63">
        <v>-248503</v>
      </c>
      <c r="P30" s="63">
        <v>-858675</v>
      </c>
      <c r="Q30" s="63">
        <v>0</v>
      </c>
      <c r="R30" s="63">
        <v>0</v>
      </c>
      <c r="S30" s="63">
        <v>0</v>
      </c>
      <c r="T30" s="63">
        <v>-858675</v>
      </c>
      <c r="U30" s="63">
        <v>23743148</v>
      </c>
      <c r="V30" s="63">
        <v>0</v>
      </c>
      <c r="W30" s="63">
        <v>0</v>
      </c>
      <c r="X30" s="63">
        <v>0</v>
      </c>
      <c r="Y30" s="63">
        <v>23743148</v>
      </c>
      <c r="Z30" s="63">
        <v>21005</v>
      </c>
      <c r="AA30" s="63">
        <v>0</v>
      </c>
      <c r="AB30" s="63">
        <v>0</v>
      </c>
      <c r="AC30" s="63">
        <v>0</v>
      </c>
      <c r="AD30" s="63">
        <v>21005</v>
      </c>
      <c r="AE30" s="63">
        <v>0</v>
      </c>
      <c r="AF30" s="63">
        <v>0</v>
      </c>
      <c r="AG30" s="63">
        <v>0</v>
      </c>
      <c r="AH30" s="63">
        <v>0</v>
      </c>
      <c r="AI30" s="63">
        <v>0</v>
      </c>
      <c r="AJ30" s="63">
        <v>0</v>
      </c>
      <c r="AK30" s="63">
        <v>0</v>
      </c>
      <c r="AL30" s="63">
        <v>0</v>
      </c>
      <c r="AM30" s="63">
        <v>0</v>
      </c>
      <c r="AN30" s="63">
        <v>0</v>
      </c>
      <c r="AP30" s="533">
        <v>0</v>
      </c>
      <c r="AQ30" s="533">
        <v>0</v>
      </c>
      <c r="AR30" s="533">
        <v>0</v>
      </c>
      <c r="AS30" s="533">
        <v>0</v>
      </c>
      <c r="AT30" s="534"/>
      <c r="AU30" s="594"/>
      <c r="AV30" s="595"/>
      <c r="AW30" s="595"/>
      <c r="AX30" s="595"/>
    </row>
    <row r="31" spans="1:50" x14ac:dyDescent="0.2">
      <c r="A31" s="201">
        <v>24</v>
      </c>
      <c r="B31" s="129" t="s">
        <v>647</v>
      </c>
      <c r="C31" s="130" t="s">
        <v>749</v>
      </c>
      <c r="D31" s="131" t="s">
        <v>744</v>
      </c>
      <c r="E31" s="132" t="s">
        <v>646</v>
      </c>
      <c r="F31" s="63">
        <v>93702301</v>
      </c>
      <c r="G31" s="63">
        <v>0</v>
      </c>
      <c r="H31" s="63">
        <v>0</v>
      </c>
      <c r="I31" s="63">
        <v>0</v>
      </c>
      <c r="J31" s="63">
        <v>93702301</v>
      </c>
      <c r="K31" s="63">
        <v>-500000</v>
      </c>
      <c r="L31" s="63">
        <v>0</v>
      </c>
      <c r="M31" s="63">
        <v>0</v>
      </c>
      <c r="N31" s="63">
        <v>0</v>
      </c>
      <c r="O31" s="63">
        <v>-500000</v>
      </c>
      <c r="P31" s="63">
        <v>-890000</v>
      </c>
      <c r="Q31" s="63">
        <v>0</v>
      </c>
      <c r="R31" s="63">
        <v>0</v>
      </c>
      <c r="S31" s="63">
        <v>0</v>
      </c>
      <c r="T31" s="63">
        <v>-890000</v>
      </c>
      <c r="U31" s="63">
        <v>92312301</v>
      </c>
      <c r="V31" s="63">
        <v>0</v>
      </c>
      <c r="W31" s="63">
        <v>0</v>
      </c>
      <c r="X31" s="63">
        <v>0</v>
      </c>
      <c r="Y31" s="63">
        <v>92312301</v>
      </c>
      <c r="Z31" s="63">
        <v>0</v>
      </c>
      <c r="AA31" s="63">
        <v>0</v>
      </c>
      <c r="AB31" s="63">
        <v>0</v>
      </c>
      <c r="AC31" s="63">
        <v>0</v>
      </c>
      <c r="AD31" s="63">
        <v>0</v>
      </c>
      <c r="AE31" s="63">
        <v>0</v>
      </c>
      <c r="AF31" s="63">
        <v>0</v>
      </c>
      <c r="AG31" s="63">
        <v>0</v>
      </c>
      <c r="AH31" s="63">
        <v>0</v>
      </c>
      <c r="AI31" s="63">
        <v>0</v>
      </c>
      <c r="AJ31" s="63">
        <v>0</v>
      </c>
      <c r="AK31" s="63">
        <v>0</v>
      </c>
      <c r="AL31" s="63">
        <v>0</v>
      </c>
      <c r="AM31" s="63">
        <v>0</v>
      </c>
      <c r="AN31" s="63">
        <v>0</v>
      </c>
      <c r="AP31" s="533">
        <v>0</v>
      </c>
      <c r="AQ31" s="533">
        <v>0</v>
      </c>
      <c r="AR31" s="533">
        <v>0</v>
      </c>
      <c r="AS31" s="533">
        <v>0</v>
      </c>
      <c r="AT31" s="534"/>
      <c r="AU31" s="594"/>
      <c r="AV31" s="595"/>
      <c r="AW31" s="595"/>
      <c r="AX31" s="595"/>
    </row>
    <row r="32" spans="1:50" x14ac:dyDescent="0.2">
      <c r="A32" s="201">
        <v>25</v>
      </c>
      <c r="B32" s="129" t="s">
        <v>649</v>
      </c>
      <c r="C32" s="130" t="s">
        <v>742</v>
      </c>
      <c r="D32" s="131" t="s">
        <v>745</v>
      </c>
      <c r="E32" s="132" t="s">
        <v>648</v>
      </c>
      <c r="F32" s="63">
        <v>20573713</v>
      </c>
      <c r="G32" s="63">
        <v>0</v>
      </c>
      <c r="H32" s="63">
        <v>0</v>
      </c>
      <c r="I32" s="63">
        <v>0</v>
      </c>
      <c r="J32" s="63">
        <v>20573713</v>
      </c>
      <c r="K32" s="63">
        <v>-200000</v>
      </c>
      <c r="L32" s="63">
        <v>0</v>
      </c>
      <c r="M32" s="63">
        <v>0</v>
      </c>
      <c r="N32" s="63">
        <v>0</v>
      </c>
      <c r="O32" s="63">
        <v>-200000</v>
      </c>
      <c r="P32" s="63">
        <v>-160000</v>
      </c>
      <c r="Q32" s="63">
        <v>0</v>
      </c>
      <c r="R32" s="63">
        <v>0</v>
      </c>
      <c r="S32" s="63">
        <v>0</v>
      </c>
      <c r="T32" s="63">
        <v>-160000</v>
      </c>
      <c r="U32" s="63">
        <v>20213713</v>
      </c>
      <c r="V32" s="63">
        <v>0</v>
      </c>
      <c r="W32" s="63">
        <v>0</v>
      </c>
      <c r="X32" s="63">
        <v>0</v>
      </c>
      <c r="Y32" s="63">
        <v>20213713</v>
      </c>
      <c r="Z32" s="63">
        <v>112000</v>
      </c>
      <c r="AA32" s="63">
        <v>0</v>
      </c>
      <c r="AB32" s="63">
        <v>0</v>
      </c>
      <c r="AC32" s="63">
        <v>0</v>
      </c>
      <c r="AD32" s="63">
        <v>112000</v>
      </c>
      <c r="AE32" s="63">
        <v>0</v>
      </c>
      <c r="AF32" s="63">
        <v>0</v>
      </c>
      <c r="AG32" s="63">
        <v>0</v>
      </c>
      <c r="AH32" s="63">
        <v>0</v>
      </c>
      <c r="AI32" s="63">
        <v>0</v>
      </c>
      <c r="AJ32" s="63">
        <v>0</v>
      </c>
      <c r="AK32" s="63">
        <v>0</v>
      </c>
      <c r="AL32" s="63">
        <v>0</v>
      </c>
      <c r="AM32" s="63">
        <v>0</v>
      </c>
      <c r="AN32" s="63">
        <v>0</v>
      </c>
      <c r="AP32" s="533">
        <v>0</v>
      </c>
      <c r="AQ32" s="533">
        <v>0</v>
      </c>
      <c r="AR32" s="533">
        <v>0</v>
      </c>
      <c r="AS32" s="533">
        <v>0</v>
      </c>
      <c r="AT32" s="534"/>
      <c r="AU32" s="594"/>
      <c r="AV32" s="595"/>
      <c r="AW32" s="595"/>
      <c r="AX32" s="595"/>
    </row>
    <row r="33" spans="1:50" x14ac:dyDescent="0.2">
      <c r="A33" s="201">
        <v>26</v>
      </c>
      <c r="B33" s="129" t="s">
        <v>650</v>
      </c>
      <c r="C33" s="130" t="s">
        <v>501</v>
      </c>
      <c r="D33" s="131" t="s">
        <v>751</v>
      </c>
      <c r="E33" s="132" t="s">
        <v>525</v>
      </c>
      <c r="F33" s="63">
        <v>71581993</v>
      </c>
      <c r="G33" s="63">
        <v>0</v>
      </c>
      <c r="H33" s="63">
        <v>0</v>
      </c>
      <c r="I33" s="63">
        <v>0</v>
      </c>
      <c r="J33" s="63">
        <v>71581993</v>
      </c>
      <c r="K33" s="63">
        <v>-673000</v>
      </c>
      <c r="L33" s="63">
        <v>0</v>
      </c>
      <c r="M33" s="63">
        <v>0</v>
      </c>
      <c r="N33" s="63">
        <v>0</v>
      </c>
      <c r="O33" s="63">
        <v>-673000</v>
      </c>
      <c r="P33" s="63">
        <v>-284723</v>
      </c>
      <c r="Q33" s="63">
        <v>0</v>
      </c>
      <c r="R33" s="63">
        <v>0</v>
      </c>
      <c r="S33" s="63">
        <v>0</v>
      </c>
      <c r="T33" s="63">
        <v>-284723</v>
      </c>
      <c r="U33" s="63">
        <v>70624270</v>
      </c>
      <c r="V33" s="63">
        <v>0</v>
      </c>
      <c r="W33" s="63">
        <v>0</v>
      </c>
      <c r="X33" s="63">
        <v>0</v>
      </c>
      <c r="Y33" s="63">
        <v>70624270</v>
      </c>
      <c r="Z33" s="63">
        <v>190</v>
      </c>
      <c r="AA33" s="63">
        <v>0</v>
      </c>
      <c r="AB33" s="63">
        <v>0</v>
      </c>
      <c r="AC33" s="63">
        <v>0</v>
      </c>
      <c r="AD33" s="63">
        <v>190</v>
      </c>
      <c r="AE33" s="63">
        <v>0</v>
      </c>
      <c r="AF33" s="63">
        <v>0</v>
      </c>
      <c r="AG33" s="63">
        <v>0</v>
      </c>
      <c r="AH33" s="63">
        <v>0</v>
      </c>
      <c r="AI33" s="63">
        <v>0</v>
      </c>
      <c r="AJ33" s="63">
        <v>0</v>
      </c>
      <c r="AK33" s="63">
        <v>0</v>
      </c>
      <c r="AL33" s="63">
        <v>0</v>
      </c>
      <c r="AM33" s="63">
        <v>0</v>
      </c>
      <c r="AN33" s="63">
        <v>0</v>
      </c>
      <c r="AP33" s="533">
        <v>0</v>
      </c>
      <c r="AQ33" s="533">
        <v>0</v>
      </c>
      <c r="AR33" s="533">
        <v>0</v>
      </c>
      <c r="AS33" s="533">
        <v>0</v>
      </c>
      <c r="AT33" s="534"/>
      <c r="AU33" s="594"/>
      <c r="AV33" s="595"/>
      <c r="AW33" s="595"/>
      <c r="AX33" s="595"/>
    </row>
    <row r="34" spans="1:50" x14ac:dyDescent="0.2">
      <c r="A34" s="201">
        <v>27</v>
      </c>
      <c r="B34" s="129" t="s">
        <v>651</v>
      </c>
      <c r="C34" s="130" t="s">
        <v>501</v>
      </c>
      <c r="D34" s="131" t="s">
        <v>743</v>
      </c>
      <c r="E34" s="132" t="s">
        <v>505</v>
      </c>
      <c r="F34" s="63">
        <v>64073002</v>
      </c>
      <c r="G34" s="63">
        <v>0</v>
      </c>
      <c r="H34" s="63">
        <v>0</v>
      </c>
      <c r="I34" s="63">
        <v>0</v>
      </c>
      <c r="J34" s="63">
        <v>64073002</v>
      </c>
      <c r="K34" s="63">
        <v>-500000</v>
      </c>
      <c r="L34" s="63">
        <v>0</v>
      </c>
      <c r="M34" s="63">
        <v>0</v>
      </c>
      <c r="N34" s="63">
        <v>0</v>
      </c>
      <c r="O34" s="63">
        <v>-500000</v>
      </c>
      <c r="P34" s="63">
        <v>-1000000</v>
      </c>
      <c r="Q34" s="63">
        <v>0</v>
      </c>
      <c r="R34" s="63">
        <v>0</v>
      </c>
      <c r="S34" s="63">
        <v>0</v>
      </c>
      <c r="T34" s="63">
        <v>-1000000</v>
      </c>
      <c r="U34" s="63">
        <v>62573002</v>
      </c>
      <c r="V34" s="63">
        <v>0</v>
      </c>
      <c r="W34" s="63">
        <v>0</v>
      </c>
      <c r="X34" s="63">
        <v>0</v>
      </c>
      <c r="Y34" s="63">
        <v>62573002</v>
      </c>
      <c r="Z34" s="63">
        <v>768</v>
      </c>
      <c r="AA34" s="63">
        <v>0</v>
      </c>
      <c r="AB34" s="63">
        <v>0</v>
      </c>
      <c r="AC34" s="63">
        <v>0</v>
      </c>
      <c r="AD34" s="63">
        <v>768</v>
      </c>
      <c r="AE34" s="63">
        <v>0</v>
      </c>
      <c r="AF34" s="63">
        <v>0</v>
      </c>
      <c r="AG34" s="63">
        <v>0</v>
      </c>
      <c r="AH34" s="63">
        <v>0</v>
      </c>
      <c r="AI34" s="63">
        <v>0</v>
      </c>
      <c r="AJ34" s="63">
        <v>0</v>
      </c>
      <c r="AK34" s="63">
        <v>0</v>
      </c>
      <c r="AL34" s="63">
        <v>0</v>
      </c>
      <c r="AM34" s="63">
        <v>0</v>
      </c>
      <c r="AN34" s="63">
        <v>0</v>
      </c>
      <c r="AP34" s="533">
        <v>0</v>
      </c>
      <c r="AQ34" s="533">
        <v>0</v>
      </c>
      <c r="AR34" s="533">
        <v>0</v>
      </c>
      <c r="AS34" s="533">
        <v>0</v>
      </c>
      <c r="AT34" s="534"/>
      <c r="AU34" s="594"/>
      <c r="AV34" s="595"/>
      <c r="AW34" s="595"/>
      <c r="AX34" s="595"/>
    </row>
    <row r="35" spans="1:50" x14ac:dyDescent="0.2">
      <c r="A35" s="201">
        <v>28</v>
      </c>
      <c r="B35" s="129" t="s">
        <v>653</v>
      </c>
      <c r="C35" s="130" t="s">
        <v>749</v>
      </c>
      <c r="D35" s="131" t="s">
        <v>750</v>
      </c>
      <c r="E35" s="132" t="s">
        <v>652</v>
      </c>
      <c r="F35" s="63">
        <v>154902262</v>
      </c>
      <c r="G35" s="63">
        <v>0</v>
      </c>
      <c r="H35" s="63">
        <v>0</v>
      </c>
      <c r="I35" s="63">
        <v>0</v>
      </c>
      <c r="J35" s="63">
        <v>154902262</v>
      </c>
      <c r="K35" s="63">
        <v>-2618000</v>
      </c>
      <c r="L35" s="63">
        <v>0</v>
      </c>
      <c r="M35" s="63">
        <v>0</v>
      </c>
      <c r="N35" s="63">
        <v>0</v>
      </c>
      <c r="O35" s="63">
        <v>-2618000</v>
      </c>
      <c r="P35" s="63">
        <v>-1899365</v>
      </c>
      <c r="Q35" s="63">
        <v>0</v>
      </c>
      <c r="R35" s="63">
        <v>0</v>
      </c>
      <c r="S35" s="63">
        <v>0</v>
      </c>
      <c r="T35" s="63">
        <v>-1899365</v>
      </c>
      <c r="U35" s="63">
        <v>150384897</v>
      </c>
      <c r="V35" s="63">
        <v>0</v>
      </c>
      <c r="W35" s="63">
        <v>0</v>
      </c>
      <c r="X35" s="63">
        <v>0</v>
      </c>
      <c r="Y35" s="63">
        <v>150384897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63">
        <v>0</v>
      </c>
      <c r="AF35" s="63">
        <v>0</v>
      </c>
      <c r="AG35" s="63">
        <v>0</v>
      </c>
      <c r="AH35" s="63">
        <v>0</v>
      </c>
      <c r="AI35" s="63">
        <v>0</v>
      </c>
      <c r="AJ35" s="63">
        <v>0</v>
      </c>
      <c r="AK35" s="63">
        <v>0</v>
      </c>
      <c r="AL35" s="63">
        <v>0</v>
      </c>
      <c r="AM35" s="63">
        <v>0</v>
      </c>
      <c r="AN35" s="63">
        <v>0</v>
      </c>
      <c r="AP35" s="533">
        <v>0</v>
      </c>
      <c r="AQ35" s="533">
        <v>0</v>
      </c>
      <c r="AR35" s="533">
        <v>0</v>
      </c>
      <c r="AS35" s="533">
        <v>0</v>
      </c>
      <c r="AT35" s="534"/>
      <c r="AU35" s="597"/>
      <c r="AV35" s="598"/>
      <c r="AW35" s="598"/>
      <c r="AX35" s="598"/>
    </row>
    <row r="36" spans="1:50" x14ac:dyDescent="0.2">
      <c r="A36" s="201">
        <v>29</v>
      </c>
      <c r="B36" s="129" t="s">
        <v>655</v>
      </c>
      <c r="C36" s="130" t="s">
        <v>742</v>
      </c>
      <c r="D36" s="131" t="s">
        <v>746</v>
      </c>
      <c r="E36" s="132" t="s">
        <v>654</v>
      </c>
      <c r="F36" s="63">
        <v>43857623.289999999</v>
      </c>
      <c r="G36" s="63">
        <v>0</v>
      </c>
      <c r="H36" s="63">
        <v>0</v>
      </c>
      <c r="I36" s="63">
        <v>0</v>
      </c>
      <c r="J36" s="63">
        <v>43857623.289999999</v>
      </c>
      <c r="K36" s="63">
        <v>-450000</v>
      </c>
      <c r="L36" s="63">
        <v>0</v>
      </c>
      <c r="M36" s="63">
        <v>0</v>
      </c>
      <c r="N36" s="63">
        <v>0</v>
      </c>
      <c r="O36" s="63">
        <v>-450000</v>
      </c>
      <c r="P36" s="63">
        <v>-732000</v>
      </c>
      <c r="Q36" s="63">
        <v>0</v>
      </c>
      <c r="R36" s="63">
        <v>0</v>
      </c>
      <c r="S36" s="63">
        <v>0</v>
      </c>
      <c r="T36" s="63">
        <v>-732000</v>
      </c>
      <c r="U36" s="63">
        <v>42675623.289999999</v>
      </c>
      <c r="V36" s="63">
        <v>0</v>
      </c>
      <c r="W36" s="63">
        <v>0</v>
      </c>
      <c r="X36" s="63">
        <v>0</v>
      </c>
      <c r="Y36" s="63">
        <v>42675623.289999999</v>
      </c>
      <c r="Z36" s="63">
        <v>0</v>
      </c>
      <c r="AA36" s="63">
        <v>0</v>
      </c>
      <c r="AB36" s="63">
        <v>0</v>
      </c>
      <c r="AC36" s="63">
        <v>0</v>
      </c>
      <c r="AD36" s="63">
        <v>0</v>
      </c>
      <c r="AE36" s="63">
        <v>0</v>
      </c>
      <c r="AF36" s="63">
        <v>0</v>
      </c>
      <c r="AG36" s="63">
        <v>0</v>
      </c>
      <c r="AH36" s="63">
        <v>0</v>
      </c>
      <c r="AI36" s="63">
        <v>0</v>
      </c>
      <c r="AJ36" s="63">
        <v>0</v>
      </c>
      <c r="AK36" s="63">
        <v>0</v>
      </c>
      <c r="AL36" s="63">
        <v>0</v>
      </c>
      <c r="AM36" s="63">
        <v>0</v>
      </c>
      <c r="AN36" s="63">
        <v>0</v>
      </c>
      <c r="AP36" s="533">
        <v>0</v>
      </c>
      <c r="AQ36" s="533">
        <v>0</v>
      </c>
      <c r="AR36" s="533">
        <v>0</v>
      </c>
      <c r="AS36" s="533">
        <v>0</v>
      </c>
      <c r="AT36" s="534"/>
      <c r="AU36" s="594"/>
      <c r="AV36" s="595"/>
      <c r="AW36" s="595"/>
      <c r="AX36" s="595"/>
    </row>
    <row r="37" spans="1:50" x14ac:dyDescent="0.2">
      <c r="A37" s="201">
        <v>30</v>
      </c>
      <c r="B37" s="129" t="s">
        <v>657</v>
      </c>
      <c r="C37" s="130" t="s">
        <v>742</v>
      </c>
      <c r="D37" s="131" t="s">
        <v>746</v>
      </c>
      <c r="E37" s="132" t="s">
        <v>656</v>
      </c>
      <c r="F37" s="63">
        <v>32151872</v>
      </c>
      <c r="G37" s="63">
        <v>0</v>
      </c>
      <c r="H37" s="63">
        <v>0</v>
      </c>
      <c r="I37" s="63">
        <v>0</v>
      </c>
      <c r="J37" s="63">
        <v>32151872</v>
      </c>
      <c r="K37" s="63">
        <v>-160759</v>
      </c>
      <c r="L37" s="63">
        <v>0</v>
      </c>
      <c r="M37" s="63">
        <v>0</v>
      </c>
      <c r="N37" s="63">
        <v>0</v>
      </c>
      <c r="O37" s="63">
        <v>-160759</v>
      </c>
      <c r="P37" s="63">
        <v>-769737</v>
      </c>
      <c r="Q37" s="63">
        <v>0</v>
      </c>
      <c r="R37" s="63">
        <v>0</v>
      </c>
      <c r="S37" s="63">
        <v>0</v>
      </c>
      <c r="T37" s="63">
        <v>-769737</v>
      </c>
      <c r="U37" s="63">
        <v>31221376</v>
      </c>
      <c r="V37" s="63">
        <v>0</v>
      </c>
      <c r="W37" s="63">
        <v>0</v>
      </c>
      <c r="X37" s="63">
        <v>0</v>
      </c>
      <c r="Y37" s="63">
        <v>31221376</v>
      </c>
      <c r="Z37" s="63">
        <v>158295</v>
      </c>
      <c r="AA37" s="63">
        <v>0</v>
      </c>
      <c r="AB37" s="63">
        <v>0</v>
      </c>
      <c r="AC37" s="63">
        <v>0</v>
      </c>
      <c r="AD37" s="63">
        <v>158295</v>
      </c>
      <c r="AE37" s="63">
        <v>0</v>
      </c>
      <c r="AF37" s="63">
        <v>0</v>
      </c>
      <c r="AG37" s="63">
        <v>0</v>
      </c>
      <c r="AH37" s="63">
        <v>0</v>
      </c>
      <c r="AI37" s="63">
        <v>0</v>
      </c>
      <c r="AJ37" s="63">
        <v>0</v>
      </c>
      <c r="AK37" s="63">
        <v>0</v>
      </c>
      <c r="AL37" s="63">
        <v>0</v>
      </c>
      <c r="AM37" s="63">
        <v>0</v>
      </c>
      <c r="AN37" s="63">
        <v>0</v>
      </c>
      <c r="AP37" s="533">
        <v>0</v>
      </c>
      <c r="AQ37" s="533">
        <v>0</v>
      </c>
      <c r="AR37" s="533">
        <v>0</v>
      </c>
      <c r="AS37" s="533">
        <v>0</v>
      </c>
      <c r="AT37" s="534"/>
      <c r="AU37" s="594"/>
      <c r="AV37" s="595"/>
      <c r="AW37" s="595"/>
      <c r="AX37" s="595"/>
    </row>
    <row r="38" spans="1:50" x14ac:dyDescent="0.2">
      <c r="A38" s="201">
        <v>31</v>
      </c>
      <c r="B38" s="129" t="s">
        <v>659</v>
      </c>
      <c r="C38" s="130" t="s">
        <v>747</v>
      </c>
      <c r="D38" s="131" t="s">
        <v>748</v>
      </c>
      <c r="E38" s="132" t="s">
        <v>658</v>
      </c>
      <c r="F38" s="63">
        <v>123541389</v>
      </c>
      <c r="G38" s="63">
        <v>0</v>
      </c>
      <c r="H38" s="63">
        <v>0</v>
      </c>
      <c r="I38" s="63">
        <v>0</v>
      </c>
      <c r="J38" s="63">
        <v>123541389</v>
      </c>
      <c r="K38" s="63">
        <v>-2435000</v>
      </c>
      <c r="L38" s="63">
        <v>0</v>
      </c>
      <c r="M38" s="63">
        <v>0</v>
      </c>
      <c r="N38" s="63">
        <v>0</v>
      </c>
      <c r="O38" s="63">
        <v>-2435000</v>
      </c>
      <c r="P38" s="63">
        <v>-2489000</v>
      </c>
      <c r="Q38" s="63">
        <v>0</v>
      </c>
      <c r="R38" s="63">
        <v>0</v>
      </c>
      <c r="S38" s="63">
        <v>0</v>
      </c>
      <c r="T38" s="63">
        <v>-2489000</v>
      </c>
      <c r="U38" s="63">
        <v>118617389</v>
      </c>
      <c r="V38" s="63">
        <v>0</v>
      </c>
      <c r="W38" s="63">
        <v>0</v>
      </c>
      <c r="X38" s="63">
        <v>0</v>
      </c>
      <c r="Y38" s="63">
        <v>118617389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63">
        <v>0</v>
      </c>
      <c r="AF38" s="63">
        <v>0</v>
      </c>
      <c r="AG38" s="63">
        <v>0</v>
      </c>
      <c r="AH38" s="63">
        <v>0</v>
      </c>
      <c r="AI38" s="63">
        <v>0</v>
      </c>
      <c r="AJ38" s="63">
        <v>0</v>
      </c>
      <c r="AK38" s="63">
        <v>0</v>
      </c>
      <c r="AL38" s="63">
        <v>0</v>
      </c>
      <c r="AM38" s="63">
        <v>0</v>
      </c>
      <c r="AN38" s="63">
        <v>0</v>
      </c>
      <c r="AP38" s="533">
        <v>0</v>
      </c>
      <c r="AQ38" s="533">
        <v>0</v>
      </c>
      <c r="AR38" s="533">
        <v>0</v>
      </c>
      <c r="AS38" s="533">
        <v>0</v>
      </c>
      <c r="AT38" s="534"/>
      <c r="AU38" s="594"/>
      <c r="AV38" s="595"/>
      <c r="AW38" s="595"/>
      <c r="AX38" s="595"/>
    </row>
    <row r="39" spans="1:50" x14ac:dyDescent="0.2">
      <c r="A39" s="201">
        <v>32</v>
      </c>
      <c r="B39" s="129" t="s">
        <v>661</v>
      </c>
      <c r="C39" s="130" t="s">
        <v>742</v>
      </c>
      <c r="D39" s="131" t="s">
        <v>746</v>
      </c>
      <c r="E39" s="132" t="s">
        <v>660</v>
      </c>
      <c r="F39" s="63">
        <v>32072986</v>
      </c>
      <c r="G39" s="63">
        <v>0</v>
      </c>
      <c r="H39" s="63">
        <v>0</v>
      </c>
      <c r="I39" s="63">
        <v>0</v>
      </c>
      <c r="J39" s="63">
        <v>32072986</v>
      </c>
      <c r="K39" s="63">
        <v>-700000</v>
      </c>
      <c r="L39" s="63">
        <v>0</v>
      </c>
      <c r="M39" s="63">
        <v>0</v>
      </c>
      <c r="N39" s="63">
        <v>0</v>
      </c>
      <c r="O39" s="63">
        <v>-700000</v>
      </c>
      <c r="P39" s="63">
        <v>-1081603</v>
      </c>
      <c r="Q39" s="63">
        <v>0</v>
      </c>
      <c r="R39" s="63">
        <v>0</v>
      </c>
      <c r="S39" s="63">
        <v>0</v>
      </c>
      <c r="T39" s="63">
        <v>-1081603</v>
      </c>
      <c r="U39" s="63">
        <v>30291383</v>
      </c>
      <c r="V39" s="63">
        <v>0</v>
      </c>
      <c r="W39" s="63">
        <v>0</v>
      </c>
      <c r="X39" s="63">
        <v>0</v>
      </c>
      <c r="Y39" s="63">
        <v>30291383</v>
      </c>
      <c r="Z39" s="63">
        <v>0</v>
      </c>
      <c r="AA39" s="63">
        <v>0</v>
      </c>
      <c r="AB39" s="63">
        <v>0</v>
      </c>
      <c r="AC39" s="63">
        <v>0</v>
      </c>
      <c r="AD39" s="63">
        <v>0</v>
      </c>
      <c r="AE39" s="63">
        <v>0</v>
      </c>
      <c r="AF39" s="63">
        <v>0</v>
      </c>
      <c r="AG39" s="63">
        <v>0</v>
      </c>
      <c r="AH39" s="63">
        <v>0</v>
      </c>
      <c r="AI39" s="63">
        <v>0</v>
      </c>
      <c r="AJ39" s="63">
        <v>0</v>
      </c>
      <c r="AK39" s="63">
        <v>0</v>
      </c>
      <c r="AL39" s="63">
        <v>0</v>
      </c>
      <c r="AM39" s="63">
        <v>0</v>
      </c>
      <c r="AN39" s="63">
        <v>0</v>
      </c>
      <c r="AP39" s="533">
        <v>0</v>
      </c>
      <c r="AQ39" s="533">
        <v>0</v>
      </c>
      <c r="AR39" s="533">
        <v>0</v>
      </c>
      <c r="AS39" s="533">
        <v>0</v>
      </c>
      <c r="AT39" s="534"/>
      <c r="AU39" s="594"/>
      <c r="AV39" s="595"/>
      <c r="AW39" s="595"/>
      <c r="AX39" s="595"/>
    </row>
    <row r="40" spans="1:50" x14ac:dyDescent="0.2">
      <c r="A40" s="201">
        <v>33</v>
      </c>
      <c r="B40" s="129" t="s">
        <v>662</v>
      </c>
      <c r="C40" s="130" t="s">
        <v>501</v>
      </c>
      <c r="D40" s="131" t="s">
        <v>743</v>
      </c>
      <c r="E40" s="132" t="s">
        <v>753</v>
      </c>
      <c r="F40" s="63">
        <v>112802504</v>
      </c>
      <c r="G40" s="63">
        <v>0</v>
      </c>
      <c r="H40" s="63">
        <v>0</v>
      </c>
      <c r="I40" s="63">
        <v>0</v>
      </c>
      <c r="J40" s="63">
        <v>112802504</v>
      </c>
      <c r="K40" s="63">
        <v>-733216</v>
      </c>
      <c r="L40" s="63">
        <v>0</v>
      </c>
      <c r="M40" s="63">
        <v>0</v>
      </c>
      <c r="N40" s="63">
        <v>0</v>
      </c>
      <c r="O40" s="63">
        <v>-733216</v>
      </c>
      <c r="P40" s="63">
        <v>-1580916</v>
      </c>
      <c r="Q40" s="63">
        <v>0</v>
      </c>
      <c r="R40" s="63">
        <v>0</v>
      </c>
      <c r="S40" s="63">
        <v>0</v>
      </c>
      <c r="T40" s="63">
        <v>-1580916</v>
      </c>
      <c r="U40" s="63">
        <v>110488372</v>
      </c>
      <c r="V40" s="63">
        <v>0</v>
      </c>
      <c r="W40" s="63">
        <v>0</v>
      </c>
      <c r="X40" s="63">
        <v>0</v>
      </c>
      <c r="Y40" s="63">
        <v>110488372</v>
      </c>
      <c r="Z40" s="63">
        <v>0</v>
      </c>
      <c r="AA40" s="63">
        <v>0</v>
      </c>
      <c r="AB40" s="63">
        <v>0</v>
      </c>
      <c r="AC40" s="63">
        <v>0</v>
      </c>
      <c r="AD40" s="63">
        <v>0</v>
      </c>
      <c r="AE40" s="63">
        <v>0</v>
      </c>
      <c r="AF40" s="63">
        <v>0</v>
      </c>
      <c r="AG40" s="63">
        <v>0</v>
      </c>
      <c r="AH40" s="63">
        <v>0</v>
      </c>
      <c r="AI40" s="63">
        <v>0</v>
      </c>
      <c r="AJ40" s="63">
        <v>0</v>
      </c>
      <c r="AK40" s="63">
        <v>0</v>
      </c>
      <c r="AL40" s="63">
        <v>0</v>
      </c>
      <c r="AM40" s="63">
        <v>0</v>
      </c>
      <c r="AN40" s="63">
        <v>0</v>
      </c>
      <c r="AP40" s="533">
        <v>0</v>
      </c>
      <c r="AQ40" s="533">
        <v>0</v>
      </c>
      <c r="AR40" s="533">
        <v>0</v>
      </c>
      <c r="AS40" s="533">
        <v>0</v>
      </c>
      <c r="AT40" s="534"/>
      <c r="AU40" s="594"/>
      <c r="AV40" s="595"/>
      <c r="AW40" s="595"/>
      <c r="AX40" s="595"/>
    </row>
    <row r="41" spans="1:50" x14ac:dyDescent="0.2">
      <c r="A41" s="201">
        <v>34</v>
      </c>
      <c r="B41" s="129" t="s">
        <v>664</v>
      </c>
      <c r="C41" s="130" t="s">
        <v>501</v>
      </c>
      <c r="D41" s="131" t="s">
        <v>751</v>
      </c>
      <c r="E41" s="132" t="s">
        <v>663</v>
      </c>
      <c r="F41" s="63">
        <v>201808837</v>
      </c>
      <c r="G41" s="63">
        <v>14426460</v>
      </c>
      <c r="H41" s="63">
        <v>12001870</v>
      </c>
      <c r="I41" s="63">
        <v>0</v>
      </c>
      <c r="J41" s="63">
        <v>228237167</v>
      </c>
      <c r="K41" s="63">
        <v>-4036177</v>
      </c>
      <c r="L41" s="63">
        <v>-288529</v>
      </c>
      <c r="M41" s="63">
        <v>-240037</v>
      </c>
      <c r="N41" s="63">
        <v>0</v>
      </c>
      <c r="O41" s="63">
        <v>-4564743</v>
      </c>
      <c r="P41" s="63">
        <v>-767657</v>
      </c>
      <c r="Q41" s="63">
        <v>-51880</v>
      </c>
      <c r="R41" s="63">
        <v>-45136</v>
      </c>
      <c r="S41" s="63">
        <v>0</v>
      </c>
      <c r="T41" s="63">
        <v>-864673</v>
      </c>
      <c r="U41" s="63">
        <v>197005003</v>
      </c>
      <c r="V41" s="63">
        <v>14086051</v>
      </c>
      <c r="W41" s="63">
        <v>11716697</v>
      </c>
      <c r="X41" s="63">
        <v>0</v>
      </c>
      <c r="Y41" s="63">
        <v>222807751</v>
      </c>
      <c r="Z41" s="63">
        <v>266</v>
      </c>
      <c r="AA41" s="63">
        <v>0</v>
      </c>
      <c r="AB41" s="63">
        <v>0</v>
      </c>
      <c r="AC41" s="63">
        <v>0</v>
      </c>
      <c r="AD41" s="63">
        <v>266</v>
      </c>
      <c r="AE41" s="63">
        <v>0</v>
      </c>
      <c r="AF41" s="63">
        <v>0</v>
      </c>
      <c r="AG41" s="63">
        <v>0</v>
      </c>
      <c r="AH41" s="63">
        <v>13351283</v>
      </c>
      <c r="AI41" s="63">
        <v>6638996</v>
      </c>
      <c r="AJ41" s="63">
        <v>0</v>
      </c>
      <c r="AK41" s="63">
        <v>734768</v>
      </c>
      <c r="AL41" s="63">
        <v>5077701</v>
      </c>
      <c r="AM41" s="63">
        <v>0</v>
      </c>
      <c r="AN41" s="63">
        <v>5812469</v>
      </c>
      <c r="AP41" s="533" t="s">
        <v>768</v>
      </c>
      <c r="AQ41" s="533" t="s">
        <v>772</v>
      </c>
      <c r="AR41" s="533" t="s">
        <v>770</v>
      </c>
      <c r="AS41" s="533">
        <v>0</v>
      </c>
      <c r="AT41" s="534"/>
      <c r="AU41" s="594"/>
      <c r="AV41" s="600"/>
      <c r="AW41" s="600"/>
      <c r="AX41" s="599"/>
    </row>
    <row r="42" spans="1:50" x14ac:dyDescent="0.2">
      <c r="A42" s="201">
        <v>35</v>
      </c>
      <c r="B42" s="129" t="s">
        <v>666</v>
      </c>
      <c r="C42" s="130" t="s">
        <v>742</v>
      </c>
      <c r="D42" s="131" t="s">
        <v>746</v>
      </c>
      <c r="E42" s="132" t="s">
        <v>665</v>
      </c>
      <c r="F42" s="63">
        <v>30762428</v>
      </c>
      <c r="G42" s="63">
        <v>0</v>
      </c>
      <c r="H42" s="63">
        <v>0</v>
      </c>
      <c r="I42" s="63">
        <v>0</v>
      </c>
      <c r="J42" s="63">
        <v>30762428</v>
      </c>
      <c r="K42" s="63">
        <v>-100000</v>
      </c>
      <c r="L42" s="63">
        <v>0</v>
      </c>
      <c r="M42" s="63">
        <v>0</v>
      </c>
      <c r="N42" s="63">
        <v>0</v>
      </c>
      <c r="O42" s="63">
        <v>-100000</v>
      </c>
      <c r="P42" s="63">
        <v>-445044</v>
      </c>
      <c r="Q42" s="63">
        <v>0</v>
      </c>
      <c r="R42" s="63">
        <v>0</v>
      </c>
      <c r="S42" s="63">
        <v>0</v>
      </c>
      <c r="T42" s="63">
        <v>-445044</v>
      </c>
      <c r="U42" s="63">
        <v>30217384</v>
      </c>
      <c r="V42" s="63">
        <v>0</v>
      </c>
      <c r="W42" s="63">
        <v>0</v>
      </c>
      <c r="X42" s="63">
        <v>0</v>
      </c>
      <c r="Y42" s="63">
        <v>30217384</v>
      </c>
      <c r="Z42" s="63">
        <v>126984</v>
      </c>
      <c r="AA42" s="63">
        <v>0</v>
      </c>
      <c r="AB42" s="63">
        <v>0</v>
      </c>
      <c r="AC42" s="63">
        <v>0</v>
      </c>
      <c r="AD42" s="63">
        <v>126984</v>
      </c>
      <c r="AE42" s="63">
        <v>0</v>
      </c>
      <c r="AF42" s="63">
        <v>0</v>
      </c>
      <c r="AG42" s="63">
        <v>0</v>
      </c>
      <c r="AH42" s="63">
        <v>0</v>
      </c>
      <c r="AI42" s="63">
        <v>0</v>
      </c>
      <c r="AJ42" s="63">
        <v>0</v>
      </c>
      <c r="AK42" s="63">
        <v>0</v>
      </c>
      <c r="AL42" s="63">
        <v>0</v>
      </c>
      <c r="AM42" s="63">
        <v>0</v>
      </c>
      <c r="AN42" s="63">
        <v>0</v>
      </c>
      <c r="AP42" s="533">
        <v>0</v>
      </c>
      <c r="AQ42" s="533">
        <v>0</v>
      </c>
      <c r="AR42" s="533">
        <v>0</v>
      </c>
      <c r="AS42" s="533">
        <v>0</v>
      </c>
      <c r="AT42" s="534"/>
      <c r="AU42" s="594"/>
      <c r="AV42" s="595"/>
      <c r="AW42" s="595"/>
      <c r="AX42" s="595"/>
    </row>
    <row r="43" spans="1:50" x14ac:dyDescent="0.2">
      <c r="A43" s="201">
        <v>36</v>
      </c>
      <c r="B43" s="129" t="s">
        <v>668</v>
      </c>
      <c r="C43" s="130" t="s">
        <v>747</v>
      </c>
      <c r="D43" s="131" t="s">
        <v>748</v>
      </c>
      <c r="E43" s="132" t="s">
        <v>667</v>
      </c>
      <c r="F43" s="63">
        <v>87666299</v>
      </c>
      <c r="G43" s="63">
        <v>0</v>
      </c>
      <c r="H43" s="63">
        <v>0</v>
      </c>
      <c r="I43" s="63">
        <v>0</v>
      </c>
      <c r="J43" s="63">
        <v>87666299</v>
      </c>
      <c r="K43" s="63">
        <v>-804000</v>
      </c>
      <c r="L43" s="63">
        <v>0</v>
      </c>
      <c r="M43" s="63">
        <v>0</v>
      </c>
      <c r="N43" s="63">
        <v>0</v>
      </c>
      <c r="O43" s="63">
        <v>-804000</v>
      </c>
      <c r="P43" s="63">
        <v>-2946991</v>
      </c>
      <c r="Q43" s="63">
        <v>0</v>
      </c>
      <c r="R43" s="63">
        <v>0</v>
      </c>
      <c r="S43" s="63">
        <v>0</v>
      </c>
      <c r="T43" s="63">
        <v>-2946991</v>
      </c>
      <c r="U43" s="63">
        <v>83915308</v>
      </c>
      <c r="V43" s="63">
        <v>0</v>
      </c>
      <c r="W43" s="63">
        <v>0</v>
      </c>
      <c r="X43" s="63">
        <v>0</v>
      </c>
      <c r="Y43" s="63">
        <v>83915308</v>
      </c>
      <c r="Z43" s="63">
        <v>0</v>
      </c>
      <c r="AA43" s="63">
        <v>0</v>
      </c>
      <c r="AB43" s="63">
        <v>0</v>
      </c>
      <c r="AC43" s="63">
        <v>0</v>
      </c>
      <c r="AD43" s="63">
        <v>0</v>
      </c>
      <c r="AE43" s="63">
        <v>0</v>
      </c>
      <c r="AF43" s="63">
        <v>0</v>
      </c>
      <c r="AG43" s="63">
        <v>0</v>
      </c>
      <c r="AH43" s="63">
        <v>0</v>
      </c>
      <c r="AI43" s="63">
        <v>0</v>
      </c>
      <c r="AJ43" s="63">
        <v>0</v>
      </c>
      <c r="AK43" s="63">
        <v>0</v>
      </c>
      <c r="AL43" s="63">
        <v>0</v>
      </c>
      <c r="AM43" s="63">
        <v>0</v>
      </c>
      <c r="AN43" s="63">
        <v>0</v>
      </c>
      <c r="AP43" s="533">
        <v>0</v>
      </c>
      <c r="AQ43" s="533">
        <v>0</v>
      </c>
      <c r="AR43" s="533">
        <v>0</v>
      </c>
      <c r="AS43" s="533">
        <v>0</v>
      </c>
      <c r="AT43" s="534"/>
      <c r="AU43" s="594"/>
      <c r="AV43" s="595"/>
      <c r="AW43" s="595"/>
      <c r="AX43" s="595"/>
    </row>
    <row r="44" spans="1:50" x14ac:dyDescent="0.2">
      <c r="A44" s="201">
        <v>37</v>
      </c>
      <c r="B44" s="129" t="s">
        <v>670</v>
      </c>
      <c r="C44" s="130" t="s">
        <v>742</v>
      </c>
      <c r="D44" s="131" t="s">
        <v>752</v>
      </c>
      <c r="E44" s="132" t="s">
        <v>669</v>
      </c>
      <c r="F44" s="63">
        <v>28573711</v>
      </c>
      <c r="G44" s="63">
        <v>0</v>
      </c>
      <c r="H44" s="63">
        <v>0</v>
      </c>
      <c r="I44" s="63">
        <v>0</v>
      </c>
      <c r="J44" s="63">
        <v>28573711</v>
      </c>
      <c r="K44" s="63">
        <v>-285737</v>
      </c>
      <c r="L44" s="63">
        <v>0</v>
      </c>
      <c r="M44" s="63">
        <v>0</v>
      </c>
      <c r="N44" s="63">
        <v>0</v>
      </c>
      <c r="O44" s="63">
        <v>-285737</v>
      </c>
      <c r="P44" s="63">
        <v>-196000</v>
      </c>
      <c r="Q44" s="63">
        <v>0</v>
      </c>
      <c r="R44" s="63">
        <v>0</v>
      </c>
      <c r="S44" s="63">
        <v>0</v>
      </c>
      <c r="T44" s="63">
        <v>-196000</v>
      </c>
      <c r="U44" s="63">
        <v>28091974</v>
      </c>
      <c r="V44" s="63">
        <v>0</v>
      </c>
      <c r="W44" s="63">
        <v>0</v>
      </c>
      <c r="X44" s="63">
        <v>0</v>
      </c>
      <c r="Y44" s="63">
        <v>28091974</v>
      </c>
      <c r="Z44" s="63">
        <v>0</v>
      </c>
      <c r="AA44" s="63">
        <v>0</v>
      </c>
      <c r="AB44" s="63">
        <v>0</v>
      </c>
      <c r="AC44" s="63">
        <v>0</v>
      </c>
      <c r="AD44" s="63">
        <v>0</v>
      </c>
      <c r="AE44" s="63">
        <v>0</v>
      </c>
      <c r="AF44" s="63">
        <v>0</v>
      </c>
      <c r="AG44" s="63">
        <v>0</v>
      </c>
      <c r="AH44" s="63">
        <v>0</v>
      </c>
      <c r="AI44" s="63">
        <v>0</v>
      </c>
      <c r="AJ44" s="63">
        <v>0</v>
      </c>
      <c r="AK44" s="63">
        <v>0</v>
      </c>
      <c r="AL44" s="63">
        <v>0</v>
      </c>
      <c r="AM44" s="63">
        <v>0</v>
      </c>
      <c r="AN44" s="63">
        <v>0</v>
      </c>
      <c r="AP44" s="533">
        <v>0</v>
      </c>
      <c r="AQ44" s="533">
        <v>0</v>
      </c>
      <c r="AR44" s="533">
        <v>0</v>
      </c>
      <c r="AS44" s="533">
        <v>0</v>
      </c>
      <c r="AT44" s="534"/>
      <c r="AU44" s="594"/>
      <c r="AV44" s="595"/>
      <c r="AW44" s="595"/>
      <c r="AX44" s="595"/>
    </row>
    <row r="45" spans="1:50" x14ac:dyDescent="0.2">
      <c r="A45" s="201">
        <v>38</v>
      </c>
      <c r="B45" s="129" t="s">
        <v>672</v>
      </c>
      <c r="C45" s="130" t="s">
        <v>742</v>
      </c>
      <c r="D45" s="131" t="s">
        <v>746</v>
      </c>
      <c r="E45" s="132" t="s">
        <v>671</v>
      </c>
      <c r="F45" s="63">
        <v>43164323</v>
      </c>
      <c r="G45" s="63">
        <v>0</v>
      </c>
      <c r="H45" s="63">
        <v>0</v>
      </c>
      <c r="I45" s="63">
        <v>0</v>
      </c>
      <c r="J45" s="63">
        <v>43164323</v>
      </c>
      <c r="K45" s="63">
        <v>-300000</v>
      </c>
      <c r="L45" s="63">
        <v>0</v>
      </c>
      <c r="M45" s="63">
        <v>0</v>
      </c>
      <c r="N45" s="63">
        <v>0</v>
      </c>
      <c r="O45" s="63">
        <v>-300000</v>
      </c>
      <c r="P45" s="63">
        <v>-300000</v>
      </c>
      <c r="Q45" s="63">
        <v>0</v>
      </c>
      <c r="R45" s="63">
        <v>0</v>
      </c>
      <c r="S45" s="63">
        <v>0</v>
      </c>
      <c r="T45" s="63">
        <v>-300000</v>
      </c>
      <c r="U45" s="63">
        <v>42564323</v>
      </c>
      <c r="V45" s="63">
        <v>0</v>
      </c>
      <c r="W45" s="63">
        <v>0</v>
      </c>
      <c r="X45" s="63">
        <v>0</v>
      </c>
      <c r="Y45" s="63">
        <v>42564323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v>0</v>
      </c>
      <c r="AH45" s="63">
        <v>0</v>
      </c>
      <c r="AI45" s="63">
        <v>0</v>
      </c>
      <c r="AJ45" s="63">
        <v>0</v>
      </c>
      <c r="AK45" s="63">
        <v>0</v>
      </c>
      <c r="AL45" s="63">
        <v>0</v>
      </c>
      <c r="AM45" s="63">
        <v>0</v>
      </c>
      <c r="AN45" s="63">
        <v>0</v>
      </c>
      <c r="AP45" s="533">
        <v>0</v>
      </c>
      <c r="AQ45" s="533">
        <v>0</v>
      </c>
      <c r="AR45" s="533">
        <v>0</v>
      </c>
      <c r="AS45" s="533">
        <v>0</v>
      </c>
      <c r="AT45" s="534"/>
      <c r="AU45" s="594"/>
      <c r="AV45" s="595"/>
      <c r="AW45" s="595"/>
      <c r="AX45" s="595"/>
    </row>
    <row r="46" spans="1:50" x14ac:dyDescent="0.2">
      <c r="A46" s="201">
        <v>39</v>
      </c>
      <c r="B46" s="129" t="s">
        <v>674</v>
      </c>
      <c r="C46" s="130" t="s">
        <v>742</v>
      </c>
      <c r="D46" s="131" t="s">
        <v>745</v>
      </c>
      <c r="E46" s="132" t="s">
        <v>673</v>
      </c>
      <c r="F46" s="63">
        <v>25670773</v>
      </c>
      <c r="G46" s="63">
        <v>836142</v>
      </c>
      <c r="H46" s="63">
        <v>0</v>
      </c>
      <c r="I46" s="63">
        <v>0</v>
      </c>
      <c r="J46" s="63">
        <v>26506915</v>
      </c>
      <c r="K46" s="63">
        <v>-150000</v>
      </c>
      <c r="L46" s="63">
        <v>0</v>
      </c>
      <c r="M46" s="63">
        <v>0</v>
      </c>
      <c r="N46" s="63">
        <v>0</v>
      </c>
      <c r="O46" s="63">
        <v>-150000</v>
      </c>
      <c r="P46" s="63">
        <v>-275000</v>
      </c>
      <c r="Q46" s="63">
        <v>0</v>
      </c>
      <c r="R46" s="63">
        <v>0</v>
      </c>
      <c r="S46" s="63">
        <v>0</v>
      </c>
      <c r="T46" s="63">
        <v>-275000</v>
      </c>
      <c r="U46" s="63">
        <v>25245773</v>
      </c>
      <c r="V46" s="63">
        <v>836142</v>
      </c>
      <c r="W46" s="63">
        <v>0</v>
      </c>
      <c r="X46" s="63">
        <v>0</v>
      </c>
      <c r="Y46" s="63">
        <v>26081915</v>
      </c>
      <c r="Z46" s="63">
        <v>0</v>
      </c>
      <c r="AA46" s="63">
        <v>0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v>0</v>
      </c>
      <c r="AH46" s="63">
        <v>1130039</v>
      </c>
      <c r="AI46" s="63">
        <v>0</v>
      </c>
      <c r="AJ46" s="63">
        <v>0</v>
      </c>
      <c r="AK46" s="63">
        <v>0</v>
      </c>
      <c r="AL46" s="63">
        <v>0</v>
      </c>
      <c r="AM46" s="63">
        <v>0</v>
      </c>
      <c r="AN46" s="63">
        <v>0</v>
      </c>
      <c r="AP46" s="533" t="s">
        <v>768</v>
      </c>
      <c r="AQ46" s="533" t="s">
        <v>773</v>
      </c>
      <c r="AR46" s="533">
        <v>0</v>
      </c>
      <c r="AS46" s="533">
        <v>0</v>
      </c>
      <c r="AT46" s="534"/>
      <c r="AU46" s="594"/>
      <c r="AV46" s="595"/>
      <c r="AW46" s="595"/>
      <c r="AX46" s="595"/>
    </row>
    <row r="47" spans="1:50" x14ac:dyDescent="0.2">
      <c r="A47" s="201">
        <v>40</v>
      </c>
      <c r="B47" s="129" t="s">
        <v>676</v>
      </c>
      <c r="C47" s="130" t="s">
        <v>742</v>
      </c>
      <c r="D47" s="131" t="s">
        <v>744</v>
      </c>
      <c r="E47" s="132" t="s">
        <v>675</v>
      </c>
      <c r="F47" s="63">
        <v>29948077</v>
      </c>
      <c r="G47" s="63">
        <v>0</v>
      </c>
      <c r="H47" s="63">
        <v>0</v>
      </c>
      <c r="I47" s="63">
        <v>0</v>
      </c>
      <c r="J47" s="63">
        <v>29948077</v>
      </c>
      <c r="K47" s="63">
        <v>-298332</v>
      </c>
      <c r="L47" s="63">
        <v>0</v>
      </c>
      <c r="M47" s="63">
        <v>0</v>
      </c>
      <c r="N47" s="63">
        <v>0</v>
      </c>
      <c r="O47" s="63">
        <v>-298332</v>
      </c>
      <c r="P47" s="63">
        <v>-1112405</v>
      </c>
      <c r="Q47" s="63">
        <v>0</v>
      </c>
      <c r="R47" s="63">
        <v>0</v>
      </c>
      <c r="S47" s="63">
        <v>0</v>
      </c>
      <c r="T47" s="63">
        <v>-1112405</v>
      </c>
      <c r="U47" s="63">
        <v>28537340</v>
      </c>
      <c r="V47" s="63">
        <v>0</v>
      </c>
      <c r="W47" s="63">
        <v>0</v>
      </c>
      <c r="X47" s="63">
        <v>0</v>
      </c>
      <c r="Y47" s="63">
        <v>28537340</v>
      </c>
      <c r="Z47" s="63">
        <v>238391</v>
      </c>
      <c r="AA47" s="63">
        <v>0</v>
      </c>
      <c r="AB47" s="63">
        <v>0</v>
      </c>
      <c r="AC47" s="63">
        <v>0</v>
      </c>
      <c r="AD47" s="63">
        <v>238391</v>
      </c>
      <c r="AE47" s="63">
        <v>0</v>
      </c>
      <c r="AF47" s="63">
        <v>0</v>
      </c>
      <c r="AG47" s="63">
        <v>0</v>
      </c>
      <c r="AH47" s="63">
        <v>0</v>
      </c>
      <c r="AI47" s="63">
        <v>0</v>
      </c>
      <c r="AJ47" s="63">
        <v>0</v>
      </c>
      <c r="AK47" s="63">
        <v>0</v>
      </c>
      <c r="AL47" s="63">
        <v>0</v>
      </c>
      <c r="AM47" s="63">
        <v>0</v>
      </c>
      <c r="AN47" s="63">
        <v>0</v>
      </c>
      <c r="AP47" s="533">
        <v>0</v>
      </c>
      <c r="AQ47" s="533">
        <v>0</v>
      </c>
      <c r="AR47" s="533">
        <v>0</v>
      </c>
      <c r="AS47" s="533">
        <v>0</v>
      </c>
      <c r="AT47" s="534"/>
      <c r="AU47" s="594"/>
      <c r="AV47" s="595"/>
      <c r="AW47" s="595"/>
      <c r="AX47" s="595"/>
    </row>
    <row r="48" spans="1:50" x14ac:dyDescent="0.2">
      <c r="A48" s="201">
        <v>41</v>
      </c>
      <c r="B48" s="129" t="s">
        <v>678</v>
      </c>
      <c r="C48" s="130" t="s">
        <v>749</v>
      </c>
      <c r="D48" s="131" t="s">
        <v>744</v>
      </c>
      <c r="E48" s="132" t="s">
        <v>677</v>
      </c>
      <c r="F48" s="63">
        <v>54758950</v>
      </c>
      <c r="G48" s="63">
        <v>0</v>
      </c>
      <c r="H48" s="63">
        <v>0</v>
      </c>
      <c r="I48" s="63">
        <v>0</v>
      </c>
      <c r="J48" s="63">
        <v>54758950</v>
      </c>
      <c r="K48" s="63">
        <v>-776836</v>
      </c>
      <c r="L48" s="63">
        <v>0</v>
      </c>
      <c r="M48" s="63">
        <v>0</v>
      </c>
      <c r="N48" s="63">
        <v>0</v>
      </c>
      <c r="O48" s="63">
        <v>-776836</v>
      </c>
      <c r="P48" s="63">
        <v>-2725740</v>
      </c>
      <c r="Q48" s="63">
        <v>0</v>
      </c>
      <c r="R48" s="63">
        <v>0</v>
      </c>
      <c r="S48" s="63">
        <v>0</v>
      </c>
      <c r="T48" s="63">
        <v>-2725740</v>
      </c>
      <c r="U48" s="63">
        <v>51256374</v>
      </c>
      <c r="V48" s="63">
        <v>0</v>
      </c>
      <c r="W48" s="63">
        <v>0</v>
      </c>
      <c r="X48" s="63">
        <v>0</v>
      </c>
      <c r="Y48" s="63">
        <v>51256374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v>0</v>
      </c>
      <c r="AH48" s="63">
        <v>0</v>
      </c>
      <c r="AI48" s="63">
        <v>0</v>
      </c>
      <c r="AJ48" s="63">
        <v>0</v>
      </c>
      <c r="AK48" s="63">
        <v>0</v>
      </c>
      <c r="AL48" s="63">
        <v>0</v>
      </c>
      <c r="AM48" s="63">
        <v>0</v>
      </c>
      <c r="AN48" s="63">
        <v>0</v>
      </c>
      <c r="AP48" s="533">
        <v>0</v>
      </c>
      <c r="AQ48" s="533">
        <v>0</v>
      </c>
      <c r="AR48" s="533">
        <v>0</v>
      </c>
      <c r="AS48" s="533">
        <v>0</v>
      </c>
      <c r="AT48" s="534"/>
      <c r="AU48" s="594"/>
      <c r="AV48" s="595"/>
      <c r="AW48" s="595"/>
      <c r="AX48" s="595"/>
    </row>
    <row r="49" spans="1:50" x14ac:dyDescent="0.2">
      <c r="A49" s="201">
        <v>42</v>
      </c>
      <c r="B49" s="129" t="s">
        <v>680</v>
      </c>
      <c r="C49" s="130" t="s">
        <v>749</v>
      </c>
      <c r="D49" s="131" t="s">
        <v>750</v>
      </c>
      <c r="E49" s="132" t="s">
        <v>679</v>
      </c>
      <c r="F49" s="63">
        <v>63240645</v>
      </c>
      <c r="G49" s="63">
        <v>0</v>
      </c>
      <c r="H49" s="63">
        <v>0</v>
      </c>
      <c r="I49" s="63">
        <v>0</v>
      </c>
      <c r="J49" s="63">
        <v>63240645</v>
      </c>
      <c r="K49" s="63">
        <v>-1373285</v>
      </c>
      <c r="L49" s="63">
        <v>0</v>
      </c>
      <c r="M49" s="63">
        <v>0</v>
      </c>
      <c r="N49" s="63">
        <v>0</v>
      </c>
      <c r="O49" s="63">
        <v>-1373285</v>
      </c>
      <c r="P49" s="63">
        <v>-1240367</v>
      </c>
      <c r="Q49" s="63">
        <v>0</v>
      </c>
      <c r="R49" s="63">
        <v>0</v>
      </c>
      <c r="S49" s="63">
        <v>0</v>
      </c>
      <c r="T49" s="63">
        <v>-1240367</v>
      </c>
      <c r="U49" s="63">
        <v>60626993</v>
      </c>
      <c r="V49" s="63">
        <v>0</v>
      </c>
      <c r="W49" s="63">
        <v>0</v>
      </c>
      <c r="X49" s="63">
        <v>0</v>
      </c>
      <c r="Y49" s="63">
        <v>60626993</v>
      </c>
      <c r="Z49" s="63">
        <v>194824</v>
      </c>
      <c r="AA49" s="63">
        <v>0</v>
      </c>
      <c r="AB49" s="63">
        <v>0</v>
      </c>
      <c r="AC49" s="63">
        <v>0</v>
      </c>
      <c r="AD49" s="63">
        <v>194824</v>
      </c>
      <c r="AE49" s="63">
        <v>0</v>
      </c>
      <c r="AF49" s="63">
        <v>0</v>
      </c>
      <c r="AG49" s="63">
        <v>0</v>
      </c>
      <c r="AH49" s="63">
        <v>0</v>
      </c>
      <c r="AI49" s="63">
        <v>0</v>
      </c>
      <c r="AJ49" s="63">
        <v>0</v>
      </c>
      <c r="AK49" s="63">
        <v>0</v>
      </c>
      <c r="AL49" s="63">
        <v>0</v>
      </c>
      <c r="AM49" s="63">
        <v>0</v>
      </c>
      <c r="AN49" s="63">
        <v>0</v>
      </c>
      <c r="AP49" s="533">
        <v>0</v>
      </c>
      <c r="AQ49" s="533">
        <v>0</v>
      </c>
      <c r="AR49" s="533">
        <v>0</v>
      </c>
      <c r="AS49" s="533">
        <v>0</v>
      </c>
      <c r="AT49" s="534"/>
      <c r="AU49" s="594"/>
      <c r="AV49" s="595"/>
      <c r="AW49" s="595"/>
      <c r="AX49" s="595"/>
    </row>
    <row r="50" spans="1:50" x14ac:dyDescent="0.2">
      <c r="A50" s="201">
        <v>43</v>
      </c>
      <c r="B50" s="129" t="s">
        <v>682</v>
      </c>
      <c r="C50" s="130" t="s">
        <v>742</v>
      </c>
      <c r="D50" s="131" t="s">
        <v>746</v>
      </c>
      <c r="E50" s="132" t="s">
        <v>681</v>
      </c>
      <c r="F50" s="63">
        <v>102959434</v>
      </c>
      <c r="G50" s="63">
        <v>0</v>
      </c>
      <c r="H50" s="63">
        <v>0</v>
      </c>
      <c r="I50" s="63">
        <v>0</v>
      </c>
      <c r="J50" s="63">
        <v>102959434</v>
      </c>
      <c r="K50" s="63">
        <v>-500000</v>
      </c>
      <c r="L50" s="63">
        <v>0</v>
      </c>
      <c r="M50" s="63">
        <v>0</v>
      </c>
      <c r="N50" s="63">
        <v>0</v>
      </c>
      <c r="O50" s="63">
        <v>-500000</v>
      </c>
      <c r="P50" s="63">
        <v>-2300000</v>
      </c>
      <c r="Q50" s="63">
        <v>0</v>
      </c>
      <c r="R50" s="63">
        <v>0</v>
      </c>
      <c r="S50" s="63">
        <v>0</v>
      </c>
      <c r="T50" s="63">
        <v>-2300000</v>
      </c>
      <c r="U50" s="63">
        <v>100159434</v>
      </c>
      <c r="V50" s="63">
        <v>0</v>
      </c>
      <c r="W50" s="63">
        <v>0</v>
      </c>
      <c r="X50" s="63">
        <v>0</v>
      </c>
      <c r="Y50" s="63">
        <v>100159434</v>
      </c>
      <c r="Z50" s="63">
        <v>0</v>
      </c>
      <c r="AA50" s="63">
        <v>0</v>
      </c>
      <c r="AB50" s="63">
        <v>0</v>
      </c>
      <c r="AC50" s="63">
        <v>0</v>
      </c>
      <c r="AD50" s="63">
        <v>0</v>
      </c>
      <c r="AE50" s="63">
        <v>0</v>
      </c>
      <c r="AF50" s="63">
        <v>0</v>
      </c>
      <c r="AG50" s="63">
        <v>0</v>
      </c>
      <c r="AH50" s="63">
        <v>0</v>
      </c>
      <c r="AI50" s="63">
        <v>0</v>
      </c>
      <c r="AJ50" s="63">
        <v>0</v>
      </c>
      <c r="AK50" s="63">
        <v>0</v>
      </c>
      <c r="AL50" s="63">
        <v>0</v>
      </c>
      <c r="AM50" s="63">
        <v>0</v>
      </c>
      <c r="AN50" s="63">
        <v>0</v>
      </c>
      <c r="AP50" s="533">
        <v>0</v>
      </c>
      <c r="AQ50" s="533">
        <v>0</v>
      </c>
      <c r="AR50" s="533">
        <v>0</v>
      </c>
      <c r="AS50" s="533">
        <v>0</v>
      </c>
      <c r="AT50" s="534"/>
      <c r="AU50" s="594"/>
      <c r="AV50" s="595"/>
      <c r="AW50" s="595"/>
      <c r="AX50" s="595"/>
    </row>
    <row r="51" spans="1:50" x14ac:dyDescent="0.2">
      <c r="A51" s="201">
        <v>44</v>
      </c>
      <c r="B51" s="129" t="s">
        <v>684</v>
      </c>
      <c r="C51" s="130" t="s">
        <v>754</v>
      </c>
      <c r="D51" s="131" t="s">
        <v>748</v>
      </c>
      <c r="E51" s="132" t="s">
        <v>683</v>
      </c>
      <c r="F51" s="63">
        <v>534721931</v>
      </c>
      <c r="G51" s="63">
        <v>0</v>
      </c>
      <c r="H51" s="63">
        <v>0</v>
      </c>
      <c r="I51" s="63">
        <v>0</v>
      </c>
      <c r="J51" s="63">
        <v>534721931</v>
      </c>
      <c r="K51" s="63">
        <v>-1000000</v>
      </c>
      <c r="L51" s="63">
        <v>0</v>
      </c>
      <c r="M51" s="63">
        <v>0</v>
      </c>
      <c r="N51" s="63">
        <v>0</v>
      </c>
      <c r="O51" s="63">
        <v>-1000000</v>
      </c>
      <c r="P51" s="63">
        <v>-8553183</v>
      </c>
      <c r="Q51" s="63">
        <v>0</v>
      </c>
      <c r="R51" s="63">
        <v>0</v>
      </c>
      <c r="S51" s="63">
        <v>0</v>
      </c>
      <c r="T51" s="63">
        <v>-8553183</v>
      </c>
      <c r="U51" s="63">
        <v>525168748</v>
      </c>
      <c r="V51" s="63">
        <v>0</v>
      </c>
      <c r="W51" s="63">
        <v>0</v>
      </c>
      <c r="X51" s="63">
        <v>0</v>
      </c>
      <c r="Y51" s="63">
        <v>525168748</v>
      </c>
      <c r="Z51" s="63">
        <v>0</v>
      </c>
      <c r="AA51" s="63">
        <v>0</v>
      </c>
      <c r="AB51" s="63">
        <v>0</v>
      </c>
      <c r="AC51" s="63">
        <v>0</v>
      </c>
      <c r="AD51" s="63">
        <v>0</v>
      </c>
      <c r="AE51" s="63">
        <v>0</v>
      </c>
      <c r="AF51" s="63">
        <v>0</v>
      </c>
      <c r="AG51" s="63">
        <v>0</v>
      </c>
      <c r="AH51" s="63">
        <v>0</v>
      </c>
      <c r="AI51" s="63">
        <v>0</v>
      </c>
      <c r="AJ51" s="63">
        <v>0</v>
      </c>
      <c r="AK51" s="63">
        <v>0</v>
      </c>
      <c r="AL51" s="63">
        <v>0</v>
      </c>
      <c r="AM51" s="63">
        <v>0</v>
      </c>
      <c r="AN51" s="63">
        <v>0</v>
      </c>
      <c r="AP51" s="533">
        <v>0</v>
      </c>
      <c r="AQ51" s="533">
        <v>0</v>
      </c>
      <c r="AR51" s="533">
        <v>0</v>
      </c>
      <c r="AS51" s="533">
        <v>0</v>
      </c>
      <c r="AT51" s="534"/>
      <c r="AU51" s="594"/>
      <c r="AV51" s="595"/>
      <c r="AW51" s="595"/>
      <c r="AX51" s="595"/>
    </row>
    <row r="52" spans="1:50" x14ac:dyDescent="0.2">
      <c r="A52" s="201">
        <v>45</v>
      </c>
      <c r="B52" s="129" t="s">
        <v>686</v>
      </c>
      <c r="C52" s="130" t="s">
        <v>742</v>
      </c>
      <c r="D52" s="131" t="s">
        <v>752</v>
      </c>
      <c r="E52" s="132" t="s">
        <v>685</v>
      </c>
      <c r="F52" s="63">
        <v>38115762</v>
      </c>
      <c r="G52" s="63">
        <v>0</v>
      </c>
      <c r="H52" s="63">
        <v>0</v>
      </c>
      <c r="I52" s="63">
        <v>0</v>
      </c>
      <c r="J52" s="63">
        <v>38115762</v>
      </c>
      <c r="K52" s="63">
        <v>-250000</v>
      </c>
      <c r="L52" s="63">
        <v>0</v>
      </c>
      <c r="M52" s="63">
        <v>0</v>
      </c>
      <c r="N52" s="63">
        <v>0</v>
      </c>
      <c r="O52" s="63">
        <v>-250000</v>
      </c>
      <c r="P52" s="63">
        <v>-1000000</v>
      </c>
      <c r="Q52" s="63">
        <v>0</v>
      </c>
      <c r="R52" s="63">
        <v>0</v>
      </c>
      <c r="S52" s="63">
        <v>0</v>
      </c>
      <c r="T52" s="63">
        <v>-1000000</v>
      </c>
      <c r="U52" s="63">
        <v>36865762</v>
      </c>
      <c r="V52" s="63">
        <v>0</v>
      </c>
      <c r="W52" s="63">
        <v>0</v>
      </c>
      <c r="X52" s="63">
        <v>0</v>
      </c>
      <c r="Y52" s="63">
        <v>36865762</v>
      </c>
      <c r="Z52" s="63">
        <v>0</v>
      </c>
      <c r="AA52" s="63">
        <v>0</v>
      </c>
      <c r="AB52" s="63">
        <v>0</v>
      </c>
      <c r="AC52" s="63">
        <v>0</v>
      </c>
      <c r="AD52" s="63">
        <v>0</v>
      </c>
      <c r="AE52" s="63">
        <v>0</v>
      </c>
      <c r="AF52" s="63">
        <v>0</v>
      </c>
      <c r="AG52" s="63">
        <v>0</v>
      </c>
      <c r="AH52" s="63">
        <v>0</v>
      </c>
      <c r="AI52" s="63">
        <v>0</v>
      </c>
      <c r="AJ52" s="63">
        <v>0</v>
      </c>
      <c r="AK52" s="63">
        <v>0</v>
      </c>
      <c r="AL52" s="63">
        <v>0</v>
      </c>
      <c r="AM52" s="63">
        <v>0</v>
      </c>
      <c r="AN52" s="63">
        <v>0</v>
      </c>
      <c r="AP52" s="533">
        <v>0</v>
      </c>
      <c r="AQ52" s="533">
        <v>0</v>
      </c>
      <c r="AR52" s="533">
        <v>0</v>
      </c>
      <c r="AS52" s="533">
        <v>0</v>
      </c>
      <c r="AT52" s="534"/>
      <c r="AU52" s="594"/>
      <c r="AV52" s="595"/>
      <c r="AW52" s="595"/>
      <c r="AX52" s="595"/>
    </row>
    <row r="53" spans="1:50" x14ac:dyDescent="0.2">
      <c r="A53" s="201">
        <v>46</v>
      </c>
      <c r="B53" s="129" t="s">
        <v>688</v>
      </c>
      <c r="C53" s="130" t="s">
        <v>742</v>
      </c>
      <c r="D53" s="131" t="s">
        <v>743</v>
      </c>
      <c r="E53" s="132" t="s">
        <v>687</v>
      </c>
      <c r="F53" s="63">
        <v>51689752.009999998</v>
      </c>
      <c r="G53" s="63">
        <v>0</v>
      </c>
      <c r="H53" s="63">
        <v>0</v>
      </c>
      <c r="I53" s="63">
        <v>0</v>
      </c>
      <c r="J53" s="63">
        <v>51689752.009999998</v>
      </c>
      <c r="K53" s="63">
        <v>-500000</v>
      </c>
      <c r="L53" s="63">
        <v>0</v>
      </c>
      <c r="M53" s="63">
        <v>0</v>
      </c>
      <c r="N53" s="63">
        <v>0</v>
      </c>
      <c r="O53" s="63">
        <v>-500000</v>
      </c>
      <c r="P53" s="63">
        <v>-1200000</v>
      </c>
      <c r="Q53" s="63">
        <v>0</v>
      </c>
      <c r="R53" s="63">
        <v>0</v>
      </c>
      <c r="S53" s="63">
        <v>0</v>
      </c>
      <c r="T53" s="63">
        <v>-1200000</v>
      </c>
      <c r="U53" s="63">
        <v>49989752.009999998</v>
      </c>
      <c r="V53" s="63">
        <v>0</v>
      </c>
      <c r="W53" s="63">
        <v>0</v>
      </c>
      <c r="X53" s="63">
        <v>0</v>
      </c>
      <c r="Y53" s="63">
        <v>49989752.009999998</v>
      </c>
      <c r="Z53" s="63">
        <v>0</v>
      </c>
      <c r="AA53" s="63">
        <v>0</v>
      </c>
      <c r="AB53" s="63">
        <v>0</v>
      </c>
      <c r="AC53" s="63">
        <v>0</v>
      </c>
      <c r="AD53" s="63">
        <v>0</v>
      </c>
      <c r="AE53" s="63">
        <v>0</v>
      </c>
      <c r="AF53" s="63">
        <v>0</v>
      </c>
      <c r="AG53" s="63">
        <v>0</v>
      </c>
      <c r="AH53" s="63">
        <v>0</v>
      </c>
      <c r="AI53" s="63">
        <v>0</v>
      </c>
      <c r="AJ53" s="63">
        <v>0</v>
      </c>
      <c r="AK53" s="63">
        <v>0</v>
      </c>
      <c r="AL53" s="63">
        <v>0</v>
      </c>
      <c r="AM53" s="63">
        <v>0</v>
      </c>
      <c r="AN53" s="63">
        <v>0</v>
      </c>
      <c r="AP53" s="533">
        <v>0</v>
      </c>
      <c r="AQ53" s="533">
        <v>0</v>
      </c>
      <c r="AR53" s="533">
        <v>0</v>
      </c>
      <c r="AS53" s="533">
        <v>0</v>
      </c>
      <c r="AT53" s="534"/>
      <c r="AU53" s="594"/>
      <c r="AV53" s="595"/>
      <c r="AW53" s="595"/>
      <c r="AX53" s="595"/>
    </row>
    <row r="54" spans="1:50" x14ac:dyDescent="0.2">
      <c r="A54" s="201">
        <v>47</v>
      </c>
      <c r="B54" s="129" t="s">
        <v>690</v>
      </c>
      <c r="C54" s="130" t="s">
        <v>742</v>
      </c>
      <c r="D54" s="131" t="s">
        <v>744</v>
      </c>
      <c r="E54" s="132" t="s">
        <v>689</v>
      </c>
      <c r="F54" s="63">
        <v>43759007</v>
      </c>
      <c r="G54" s="63">
        <v>1519358</v>
      </c>
      <c r="H54" s="63">
        <v>0</v>
      </c>
      <c r="I54" s="63">
        <v>0</v>
      </c>
      <c r="J54" s="63">
        <v>45278365</v>
      </c>
      <c r="K54" s="63">
        <v>-437590</v>
      </c>
      <c r="L54" s="63">
        <v>-15194</v>
      </c>
      <c r="M54" s="63">
        <v>0</v>
      </c>
      <c r="N54" s="63">
        <v>0</v>
      </c>
      <c r="O54" s="63">
        <v>-452784</v>
      </c>
      <c r="P54" s="63">
        <v>-448916</v>
      </c>
      <c r="Q54" s="63">
        <v>-14148</v>
      </c>
      <c r="R54" s="63">
        <v>0</v>
      </c>
      <c r="S54" s="63">
        <v>0</v>
      </c>
      <c r="T54" s="63">
        <v>-463064</v>
      </c>
      <c r="U54" s="63">
        <v>42872501</v>
      </c>
      <c r="V54" s="63">
        <v>1490016</v>
      </c>
      <c r="W54" s="63">
        <v>0</v>
      </c>
      <c r="X54" s="63">
        <v>0</v>
      </c>
      <c r="Y54" s="63">
        <v>44362517</v>
      </c>
      <c r="Z54" s="63">
        <v>25725</v>
      </c>
      <c r="AA54" s="63">
        <v>876</v>
      </c>
      <c r="AB54" s="63">
        <v>0</v>
      </c>
      <c r="AC54" s="63">
        <v>0</v>
      </c>
      <c r="AD54" s="63">
        <v>26601</v>
      </c>
      <c r="AE54" s="63">
        <v>0</v>
      </c>
      <c r="AF54" s="63">
        <v>0</v>
      </c>
      <c r="AG54" s="63">
        <v>0</v>
      </c>
      <c r="AH54" s="63">
        <v>1536785</v>
      </c>
      <c r="AI54" s="63">
        <v>0</v>
      </c>
      <c r="AJ54" s="63">
        <v>0</v>
      </c>
      <c r="AK54" s="63">
        <v>0</v>
      </c>
      <c r="AL54" s="63">
        <v>0</v>
      </c>
      <c r="AM54" s="63">
        <v>0</v>
      </c>
      <c r="AN54" s="63">
        <v>0</v>
      </c>
      <c r="AP54" s="533" t="s">
        <v>768</v>
      </c>
      <c r="AQ54" s="533" t="s">
        <v>988</v>
      </c>
      <c r="AR54" s="533">
        <v>0</v>
      </c>
      <c r="AS54" s="533">
        <v>0</v>
      </c>
      <c r="AT54" s="534"/>
      <c r="AU54" s="594"/>
      <c r="AV54" s="599"/>
      <c r="AW54" s="595"/>
      <c r="AX54" s="595"/>
    </row>
    <row r="55" spans="1:50" x14ac:dyDescent="0.2">
      <c r="A55" s="201">
        <v>48</v>
      </c>
      <c r="B55" s="129" t="s">
        <v>692</v>
      </c>
      <c r="C55" s="130" t="s">
        <v>742</v>
      </c>
      <c r="D55" s="131" t="s">
        <v>746</v>
      </c>
      <c r="E55" s="132" t="s">
        <v>691</v>
      </c>
      <c r="F55" s="63">
        <v>15936327</v>
      </c>
      <c r="G55" s="63">
        <v>0</v>
      </c>
      <c r="H55" s="63">
        <v>0</v>
      </c>
      <c r="I55" s="63">
        <v>0</v>
      </c>
      <c r="J55" s="63">
        <v>15936327</v>
      </c>
      <c r="K55" s="63">
        <v>-178487</v>
      </c>
      <c r="L55" s="63">
        <v>0</v>
      </c>
      <c r="M55" s="63">
        <v>0</v>
      </c>
      <c r="N55" s="63">
        <v>0</v>
      </c>
      <c r="O55" s="63">
        <v>-178487</v>
      </c>
      <c r="P55" s="63">
        <v>-500000</v>
      </c>
      <c r="Q55" s="63">
        <v>0</v>
      </c>
      <c r="R55" s="63">
        <v>0</v>
      </c>
      <c r="S55" s="63">
        <v>0</v>
      </c>
      <c r="T55" s="63">
        <v>-500000</v>
      </c>
      <c r="U55" s="63">
        <v>15257840</v>
      </c>
      <c r="V55" s="63">
        <v>0</v>
      </c>
      <c r="W55" s="63">
        <v>0</v>
      </c>
      <c r="X55" s="63">
        <v>0</v>
      </c>
      <c r="Y55" s="63">
        <v>15257840</v>
      </c>
      <c r="Z55" s="63">
        <v>0</v>
      </c>
      <c r="AA55" s="63">
        <v>0</v>
      </c>
      <c r="AB55" s="63">
        <v>0</v>
      </c>
      <c r="AC55" s="63">
        <v>0</v>
      </c>
      <c r="AD55" s="63">
        <v>0</v>
      </c>
      <c r="AE55" s="63">
        <v>0</v>
      </c>
      <c r="AF55" s="63">
        <v>0</v>
      </c>
      <c r="AG55" s="63">
        <v>0</v>
      </c>
      <c r="AH55" s="63">
        <v>0</v>
      </c>
      <c r="AI55" s="63">
        <v>0</v>
      </c>
      <c r="AJ55" s="63">
        <v>0</v>
      </c>
      <c r="AK55" s="63">
        <v>0</v>
      </c>
      <c r="AL55" s="63">
        <v>0</v>
      </c>
      <c r="AM55" s="63">
        <v>0</v>
      </c>
      <c r="AN55" s="63">
        <v>0</v>
      </c>
      <c r="AP55" s="533">
        <v>0</v>
      </c>
      <c r="AQ55" s="533">
        <v>0</v>
      </c>
      <c r="AR55" s="533">
        <v>0</v>
      </c>
      <c r="AS55" s="533">
        <v>0</v>
      </c>
      <c r="AT55" s="534"/>
      <c r="AU55" s="594"/>
      <c r="AV55" s="595"/>
      <c r="AW55" s="595"/>
      <c r="AX55" s="595"/>
    </row>
    <row r="56" spans="1:50" x14ac:dyDescent="0.2">
      <c r="A56" s="201">
        <v>49</v>
      </c>
      <c r="B56" s="129" t="s">
        <v>694</v>
      </c>
      <c r="C56" s="130" t="s">
        <v>501</v>
      </c>
      <c r="D56" s="131" t="s">
        <v>746</v>
      </c>
      <c r="E56" s="132" t="s">
        <v>693</v>
      </c>
      <c r="F56" s="63">
        <v>88457212</v>
      </c>
      <c r="G56" s="63">
        <v>0</v>
      </c>
      <c r="H56" s="63">
        <v>0</v>
      </c>
      <c r="I56" s="63">
        <v>0</v>
      </c>
      <c r="J56" s="63">
        <v>88457212</v>
      </c>
      <c r="K56" s="63">
        <v>-800000</v>
      </c>
      <c r="L56" s="63">
        <v>0</v>
      </c>
      <c r="M56" s="63">
        <v>0</v>
      </c>
      <c r="N56" s="63">
        <v>0</v>
      </c>
      <c r="O56" s="63">
        <v>-800000</v>
      </c>
      <c r="P56" s="63">
        <v>-1519801</v>
      </c>
      <c r="Q56" s="63">
        <v>0</v>
      </c>
      <c r="R56" s="63">
        <v>0</v>
      </c>
      <c r="S56" s="63">
        <v>0</v>
      </c>
      <c r="T56" s="63">
        <v>-1519801</v>
      </c>
      <c r="U56" s="63">
        <v>86137411</v>
      </c>
      <c r="V56" s="63">
        <v>0</v>
      </c>
      <c r="W56" s="63">
        <v>0</v>
      </c>
      <c r="X56" s="63">
        <v>0</v>
      </c>
      <c r="Y56" s="63">
        <v>86137411</v>
      </c>
      <c r="Z56" s="63">
        <v>401000</v>
      </c>
      <c r="AA56" s="63">
        <v>0</v>
      </c>
      <c r="AB56" s="63">
        <v>0</v>
      </c>
      <c r="AC56" s="63">
        <v>0</v>
      </c>
      <c r="AD56" s="63">
        <v>401000</v>
      </c>
      <c r="AE56" s="63">
        <v>0</v>
      </c>
      <c r="AF56" s="63">
        <v>0</v>
      </c>
      <c r="AG56" s="63">
        <v>0</v>
      </c>
      <c r="AH56" s="63">
        <v>0</v>
      </c>
      <c r="AI56" s="63">
        <v>0</v>
      </c>
      <c r="AJ56" s="63">
        <v>0</v>
      </c>
      <c r="AK56" s="63">
        <v>0</v>
      </c>
      <c r="AL56" s="63">
        <v>0</v>
      </c>
      <c r="AM56" s="63">
        <v>0</v>
      </c>
      <c r="AN56" s="63">
        <v>0</v>
      </c>
      <c r="AP56" s="533">
        <v>0</v>
      </c>
      <c r="AQ56" s="533">
        <v>0</v>
      </c>
      <c r="AR56" s="533">
        <v>0</v>
      </c>
      <c r="AS56" s="533">
        <v>0</v>
      </c>
      <c r="AT56" s="534"/>
      <c r="AU56" s="594"/>
      <c r="AV56" s="595"/>
      <c r="AW56" s="595"/>
      <c r="AX56" s="595"/>
    </row>
    <row r="57" spans="1:50" x14ac:dyDescent="0.2">
      <c r="A57" s="201">
        <v>50</v>
      </c>
      <c r="B57" s="129" t="s">
        <v>696</v>
      </c>
      <c r="C57" s="130" t="s">
        <v>742</v>
      </c>
      <c r="D57" s="131" t="s">
        <v>745</v>
      </c>
      <c r="E57" s="132" t="s">
        <v>695</v>
      </c>
      <c r="F57" s="63">
        <v>46033113</v>
      </c>
      <c r="G57" s="63">
        <v>0</v>
      </c>
      <c r="H57" s="63">
        <v>0</v>
      </c>
      <c r="I57" s="63">
        <v>0</v>
      </c>
      <c r="J57" s="63">
        <v>46033113</v>
      </c>
      <c r="K57" s="63">
        <v>-92066</v>
      </c>
      <c r="L57" s="63">
        <v>0</v>
      </c>
      <c r="M57" s="63">
        <v>0</v>
      </c>
      <c r="N57" s="63">
        <v>0</v>
      </c>
      <c r="O57" s="63">
        <v>-92066</v>
      </c>
      <c r="P57" s="63">
        <v>-600000</v>
      </c>
      <c r="Q57" s="63">
        <v>0</v>
      </c>
      <c r="R57" s="63">
        <v>0</v>
      </c>
      <c r="S57" s="63">
        <v>0</v>
      </c>
      <c r="T57" s="63">
        <v>-600000</v>
      </c>
      <c r="U57" s="63">
        <v>45341047</v>
      </c>
      <c r="V57" s="63">
        <v>0</v>
      </c>
      <c r="W57" s="63">
        <v>0</v>
      </c>
      <c r="X57" s="63">
        <v>0</v>
      </c>
      <c r="Y57" s="63">
        <v>45341047</v>
      </c>
      <c r="Z57" s="63">
        <v>152828</v>
      </c>
      <c r="AA57" s="63">
        <v>0</v>
      </c>
      <c r="AB57" s="63">
        <v>0</v>
      </c>
      <c r="AC57" s="63">
        <v>0</v>
      </c>
      <c r="AD57" s="63">
        <v>152828</v>
      </c>
      <c r="AE57" s="63">
        <v>0</v>
      </c>
      <c r="AF57" s="63">
        <v>0</v>
      </c>
      <c r="AG57" s="63">
        <v>0</v>
      </c>
      <c r="AH57" s="63">
        <v>0</v>
      </c>
      <c r="AI57" s="63">
        <v>0</v>
      </c>
      <c r="AJ57" s="63">
        <v>0</v>
      </c>
      <c r="AK57" s="63">
        <v>0</v>
      </c>
      <c r="AL57" s="63">
        <v>0</v>
      </c>
      <c r="AM57" s="63">
        <v>0</v>
      </c>
      <c r="AN57" s="63">
        <v>0</v>
      </c>
      <c r="AP57" s="533">
        <v>0</v>
      </c>
      <c r="AQ57" s="533">
        <v>0</v>
      </c>
      <c r="AR57" s="533">
        <v>0</v>
      </c>
      <c r="AS57" s="533">
        <v>0</v>
      </c>
      <c r="AT57" s="534"/>
      <c r="AU57" s="594"/>
      <c r="AV57" s="595"/>
      <c r="AW57" s="595"/>
      <c r="AX57" s="595"/>
    </row>
    <row r="58" spans="1:50" x14ac:dyDescent="0.2">
      <c r="A58" s="201">
        <v>51</v>
      </c>
      <c r="B58" s="129" t="s">
        <v>698</v>
      </c>
      <c r="C58" s="130" t="s">
        <v>742</v>
      </c>
      <c r="D58" s="131" t="s">
        <v>746</v>
      </c>
      <c r="E58" s="132" t="s">
        <v>697</v>
      </c>
      <c r="F58" s="63">
        <v>81507517</v>
      </c>
      <c r="G58" s="63">
        <v>0</v>
      </c>
      <c r="H58" s="63">
        <v>0</v>
      </c>
      <c r="I58" s="63">
        <v>0</v>
      </c>
      <c r="J58" s="63">
        <v>81507517</v>
      </c>
      <c r="K58" s="63">
        <v>-1100000</v>
      </c>
      <c r="L58" s="63">
        <v>0</v>
      </c>
      <c r="M58" s="63">
        <v>0</v>
      </c>
      <c r="N58" s="63">
        <v>0</v>
      </c>
      <c r="O58" s="63">
        <v>-1100000</v>
      </c>
      <c r="P58" s="63">
        <v>-2876850</v>
      </c>
      <c r="Q58" s="63">
        <v>0</v>
      </c>
      <c r="R58" s="63">
        <v>0</v>
      </c>
      <c r="S58" s="63">
        <v>0</v>
      </c>
      <c r="T58" s="63">
        <v>-2876850</v>
      </c>
      <c r="U58" s="63">
        <v>77530667</v>
      </c>
      <c r="V58" s="63">
        <v>0</v>
      </c>
      <c r="W58" s="63">
        <v>0</v>
      </c>
      <c r="X58" s="63">
        <v>0</v>
      </c>
      <c r="Y58" s="63">
        <v>77530667</v>
      </c>
      <c r="Z58" s="63">
        <v>0</v>
      </c>
      <c r="AA58" s="63">
        <v>0</v>
      </c>
      <c r="AB58" s="63">
        <v>0</v>
      </c>
      <c r="AC58" s="63">
        <v>0</v>
      </c>
      <c r="AD58" s="63">
        <v>0</v>
      </c>
      <c r="AE58" s="63">
        <v>0</v>
      </c>
      <c r="AF58" s="63">
        <v>0</v>
      </c>
      <c r="AG58" s="63">
        <v>0</v>
      </c>
      <c r="AH58" s="63">
        <v>0</v>
      </c>
      <c r="AI58" s="63">
        <v>0</v>
      </c>
      <c r="AJ58" s="63">
        <v>0</v>
      </c>
      <c r="AK58" s="63">
        <v>0</v>
      </c>
      <c r="AL58" s="63">
        <v>0</v>
      </c>
      <c r="AM58" s="63">
        <v>0</v>
      </c>
      <c r="AN58" s="63">
        <v>0</v>
      </c>
      <c r="AP58" s="533">
        <v>0</v>
      </c>
      <c r="AQ58" s="533">
        <v>0</v>
      </c>
      <c r="AR58" s="533">
        <v>0</v>
      </c>
      <c r="AS58" s="533">
        <v>0</v>
      </c>
      <c r="AT58" s="534"/>
      <c r="AU58" s="594"/>
      <c r="AV58" s="595"/>
      <c r="AW58" s="595"/>
      <c r="AX58" s="595"/>
    </row>
    <row r="59" spans="1:50" x14ac:dyDescent="0.2">
      <c r="A59" s="201">
        <v>52</v>
      </c>
      <c r="B59" s="129" t="s">
        <v>700</v>
      </c>
      <c r="C59" s="130" t="s">
        <v>742</v>
      </c>
      <c r="D59" s="131" t="s">
        <v>751</v>
      </c>
      <c r="E59" s="132" t="s">
        <v>699</v>
      </c>
      <c r="F59" s="63">
        <v>57236358</v>
      </c>
      <c r="G59" s="63">
        <v>0</v>
      </c>
      <c r="H59" s="63">
        <v>0</v>
      </c>
      <c r="I59" s="63">
        <v>0</v>
      </c>
      <c r="J59" s="63">
        <v>57236358</v>
      </c>
      <c r="K59" s="63">
        <v>-450000</v>
      </c>
      <c r="L59" s="63">
        <v>0</v>
      </c>
      <c r="M59" s="63">
        <v>0</v>
      </c>
      <c r="N59" s="63">
        <v>0</v>
      </c>
      <c r="O59" s="63">
        <v>-450000</v>
      </c>
      <c r="P59" s="63">
        <v>-765000</v>
      </c>
      <c r="Q59" s="63">
        <v>0</v>
      </c>
      <c r="R59" s="63">
        <v>0</v>
      </c>
      <c r="S59" s="63">
        <v>0</v>
      </c>
      <c r="T59" s="63">
        <v>-765000</v>
      </c>
      <c r="U59" s="63">
        <v>56021358</v>
      </c>
      <c r="V59" s="63">
        <v>0</v>
      </c>
      <c r="W59" s="63">
        <v>0</v>
      </c>
      <c r="X59" s="63">
        <v>0</v>
      </c>
      <c r="Y59" s="63">
        <v>56021358</v>
      </c>
      <c r="Z59" s="63">
        <v>0</v>
      </c>
      <c r="AA59" s="63">
        <v>0</v>
      </c>
      <c r="AB59" s="63">
        <v>0</v>
      </c>
      <c r="AC59" s="63">
        <v>0</v>
      </c>
      <c r="AD59" s="63">
        <v>0</v>
      </c>
      <c r="AE59" s="63">
        <v>0</v>
      </c>
      <c r="AF59" s="63">
        <v>0</v>
      </c>
      <c r="AG59" s="63">
        <v>0</v>
      </c>
      <c r="AH59" s="63">
        <v>0</v>
      </c>
      <c r="AI59" s="63">
        <v>0</v>
      </c>
      <c r="AJ59" s="63">
        <v>0</v>
      </c>
      <c r="AK59" s="63">
        <v>0</v>
      </c>
      <c r="AL59" s="63">
        <v>0</v>
      </c>
      <c r="AM59" s="63">
        <v>0</v>
      </c>
      <c r="AN59" s="63">
        <v>0</v>
      </c>
      <c r="AP59" s="533">
        <v>0</v>
      </c>
      <c r="AQ59" s="533">
        <v>0</v>
      </c>
      <c r="AR59" s="533">
        <v>0</v>
      </c>
      <c r="AS59" s="533">
        <v>0</v>
      </c>
      <c r="AT59" s="534"/>
      <c r="AU59" s="594"/>
      <c r="AV59" s="595"/>
      <c r="AW59" s="595"/>
      <c r="AX59" s="595"/>
    </row>
    <row r="60" spans="1:50" x14ac:dyDescent="0.2">
      <c r="A60" s="201">
        <v>53</v>
      </c>
      <c r="B60" s="129" t="s">
        <v>702</v>
      </c>
      <c r="C60" s="130" t="s">
        <v>742</v>
      </c>
      <c r="D60" s="131" t="s">
        <v>743</v>
      </c>
      <c r="E60" s="132" t="s">
        <v>701</v>
      </c>
      <c r="F60" s="63">
        <v>79119517</v>
      </c>
      <c r="G60" s="63">
        <v>0</v>
      </c>
      <c r="H60" s="63">
        <v>0</v>
      </c>
      <c r="I60" s="63">
        <v>0</v>
      </c>
      <c r="J60" s="63">
        <v>79119517</v>
      </c>
      <c r="K60" s="63">
        <v>-227684</v>
      </c>
      <c r="L60" s="63">
        <v>0</v>
      </c>
      <c r="M60" s="63">
        <v>0</v>
      </c>
      <c r="N60" s="63">
        <v>0</v>
      </c>
      <c r="O60" s="63">
        <v>-227684</v>
      </c>
      <c r="P60" s="63">
        <v>-163920</v>
      </c>
      <c r="Q60" s="63">
        <v>0</v>
      </c>
      <c r="R60" s="63">
        <v>0</v>
      </c>
      <c r="S60" s="63">
        <v>0</v>
      </c>
      <c r="T60" s="63">
        <v>-163920</v>
      </c>
      <c r="U60" s="63">
        <v>78727913</v>
      </c>
      <c r="V60" s="63">
        <v>0</v>
      </c>
      <c r="W60" s="63">
        <v>0</v>
      </c>
      <c r="X60" s="63">
        <v>0</v>
      </c>
      <c r="Y60" s="63">
        <v>78727913</v>
      </c>
      <c r="Z60" s="63">
        <v>517572</v>
      </c>
      <c r="AA60" s="63">
        <v>0</v>
      </c>
      <c r="AB60" s="63">
        <v>0</v>
      </c>
      <c r="AC60" s="63">
        <v>0</v>
      </c>
      <c r="AD60" s="63">
        <v>517572</v>
      </c>
      <c r="AE60" s="63">
        <v>0</v>
      </c>
      <c r="AF60" s="63">
        <v>0</v>
      </c>
      <c r="AG60" s="63">
        <v>0</v>
      </c>
      <c r="AH60" s="63">
        <v>0</v>
      </c>
      <c r="AI60" s="63">
        <v>0</v>
      </c>
      <c r="AJ60" s="63">
        <v>0</v>
      </c>
      <c r="AK60" s="63">
        <v>0</v>
      </c>
      <c r="AL60" s="63">
        <v>0</v>
      </c>
      <c r="AM60" s="63">
        <v>0</v>
      </c>
      <c r="AN60" s="63">
        <v>0</v>
      </c>
      <c r="AP60" s="533">
        <v>0</v>
      </c>
      <c r="AQ60" s="533">
        <v>0</v>
      </c>
      <c r="AR60" s="533">
        <v>0</v>
      </c>
      <c r="AS60" s="533">
        <v>0</v>
      </c>
      <c r="AT60" s="534"/>
      <c r="AU60" s="594"/>
      <c r="AV60" s="595"/>
      <c r="AW60" s="595"/>
      <c r="AX60" s="595"/>
    </row>
    <row r="61" spans="1:50" x14ac:dyDescent="0.2">
      <c r="A61" s="201">
        <v>54</v>
      </c>
      <c r="B61" s="129" t="s">
        <v>704</v>
      </c>
      <c r="C61" s="130" t="s">
        <v>501</v>
      </c>
      <c r="D61" s="131" t="s">
        <v>744</v>
      </c>
      <c r="E61" s="132" t="s">
        <v>703</v>
      </c>
      <c r="F61" s="63">
        <v>145408928</v>
      </c>
      <c r="G61" s="63">
        <v>1727802</v>
      </c>
      <c r="H61" s="63">
        <v>0</v>
      </c>
      <c r="I61" s="63">
        <v>0</v>
      </c>
      <c r="J61" s="63">
        <v>147136730</v>
      </c>
      <c r="K61" s="63">
        <v>-1500000</v>
      </c>
      <c r="L61" s="63">
        <v>-33169</v>
      </c>
      <c r="M61" s="63">
        <v>0</v>
      </c>
      <c r="N61" s="63">
        <v>0</v>
      </c>
      <c r="O61" s="63">
        <v>-1533169</v>
      </c>
      <c r="P61" s="63">
        <v>-4000000</v>
      </c>
      <c r="Q61" s="63">
        <v>-497528</v>
      </c>
      <c r="R61" s="63">
        <v>0</v>
      </c>
      <c r="S61" s="63">
        <v>0</v>
      </c>
      <c r="T61" s="63">
        <v>-4497528</v>
      </c>
      <c r="U61" s="63">
        <v>139908928</v>
      </c>
      <c r="V61" s="63">
        <v>1197105</v>
      </c>
      <c r="W61" s="63">
        <v>0</v>
      </c>
      <c r="X61" s="63">
        <v>0</v>
      </c>
      <c r="Y61" s="63">
        <v>141106033</v>
      </c>
      <c r="Z61" s="63">
        <v>4379</v>
      </c>
      <c r="AA61" s="63">
        <v>0</v>
      </c>
      <c r="AB61" s="63">
        <v>0</v>
      </c>
      <c r="AC61" s="63">
        <v>0</v>
      </c>
      <c r="AD61" s="63">
        <v>4379</v>
      </c>
      <c r="AE61" s="63">
        <v>0</v>
      </c>
      <c r="AF61" s="63">
        <v>0</v>
      </c>
      <c r="AG61" s="63">
        <v>0</v>
      </c>
      <c r="AH61" s="63">
        <v>2467698</v>
      </c>
      <c r="AI61" s="63">
        <v>0</v>
      </c>
      <c r="AJ61" s="63">
        <v>0</v>
      </c>
      <c r="AK61" s="63">
        <v>0</v>
      </c>
      <c r="AL61" s="63">
        <v>0</v>
      </c>
      <c r="AM61" s="63">
        <v>0</v>
      </c>
      <c r="AN61" s="63">
        <v>0</v>
      </c>
      <c r="AP61" s="533" t="s">
        <v>768</v>
      </c>
      <c r="AQ61" s="533" t="s">
        <v>989</v>
      </c>
      <c r="AR61" s="533">
        <v>0</v>
      </c>
      <c r="AS61" s="533">
        <v>0</v>
      </c>
      <c r="AT61" s="534"/>
      <c r="AU61" s="594"/>
      <c r="AV61" s="599"/>
      <c r="AW61" s="595"/>
      <c r="AX61" s="595"/>
    </row>
    <row r="62" spans="1:50" x14ac:dyDescent="0.2">
      <c r="A62" s="201">
        <v>55</v>
      </c>
      <c r="B62" s="129" t="s">
        <v>705</v>
      </c>
      <c r="C62" s="130" t="s">
        <v>501</v>
      </c>
      <c r="D62" s="131" t="s">
        <v>744</v>
      </c>
      <c r="E62" s="132" t="s">
        <v>515</v>
      </c>
      <c r="F62" s="63">
        <v>165570551</v>
      </c>
      <c r="G62" s="63">
        <v>170995</v>
      </c>
      <c r="H62" s="63">
        <v>0</v>
      </c>
      <c r="I62" s="63">
        <v>0</v>
      </c>
      <c r="J62" s="63">
        <v>165741546</v>
      </c>
      <c r="K62" s="63">
        <v>-2000000</v>
      </c>
      <c r="L62" s="63">
        <v>0</v>
      </c>
      <c r="M62" s="63">
        <v>0</v>
      </c>
      <c r="N62" s="63">
        <v>0</v>
      </c>
      <c r="O62" s="63">
        <v>-2000000</v>
      </c>
      <c r="P62" s="63">
        <v>-6500000</v>
      </c>
      <c r="Q62" s="63">
        <v>0</v>
      </c>
      <c r="R62" s="63">
        <v>0</v>
      </c>
      <c r="S62" s="63">
        <v>0</v>
      </c>
      <c r="T62" s="63">
        <v>-6500000</v>
      </c>
      <c r="U62" s="63">
        <v>157070551</v>
      </c>
      <c r="V62" s="63">
        <v>170995</v>
      </c>
      <c r="W62" s="63">
        <v>0</v>
      </c>
      <c r="X62" s="63">
        <v>0</v>
      </c>
      <c r="Y62" s="63">
        <v>157241546</v>
      </c>
      <c r="Z62" s="63">
        <v>0</v>
      </c>
      <c r="AA62" s="63">
        <v>0</v>
      </c>
      <c r="AB62" s="63">
        <v>0</v>
      </c>
      <c r="AC62" s="63">
        <v>0</v>
      </c>
      <c r="AD62" s="63">
        <v>0</v>
      </c>
      <c r="AE62" s="63">
        <v>0</v>
      </c>
      <c r="AF62" s="63">
        <v>0</v>
      </c>
      <c r="AG62" s="63">
        <v>0</v>
      </c>
      <c r="AH62" s="63">
        <v>171032</v>
      </c>
      <c r="AI62" s="63">
        <v>0</v>
      </c>
      <c r="AJ62" s="63">
        <v>0</v>
      </c>
      <c r="AK62" s="63">
        <v>0</v>
      </c>
      <c r="AL62" s="63">
        <v>0</v>
      </c>
      <c r="AM62" s="63">
        <v>0</v>
      </c>
      <c r="AN62" s="63">
        <v>0</v>
      </c>
      <c r="AP62" s="533" t="s">
        <v>768</v>
      </c>
      <c r="AQ62" s="533" t="s">
        <v>989</v>
      </c>
      <c r="AR62" s="533">
        <v>0</v>
      </c>
      <c r="AS62" s="533">
        <v>0</v>
      </c>
      <c r="AT62" s="534"/>
      <c r="AU62" s="594"/>
      <c r="AV62" s="599"/>
      <c r="AW62" s="595"/>
      <c r="AX62" s="595"/>
    </row>
    <row r="63" spans="1:50" x14ac:dyDescent="0.2">
      <c r="A63" s="201">
        <v>56</v>
      </c>
      <c r="B63" s="129" t="s">
        <v>707</v>
      </c>
      <c r="C63" s="130" t="s">
        <v>742</v>
      </c>
      <c r="D63" s="131" t="s">
        <v>745</v>
      </c>
      <c r="E63" s="132" t="s">
        <v>706</v>
      </c>
      <c r="F63" s="63">
        <v>38456496</v>
      </c>
      <c r="G63" s="63">
        <v>1143100</v>
      </c>
      <c r="H63" s="63">
        <v>0</v>
      </c>
      <c r="I63" s="63">
        <v>0</v>
      </c>
      <c r="J63" s="63">
        <v>39599596</v>
      </c>
      <c r="K63" s="63">
        <v>-384565</v>
      </c>
      <c r="L63" s="63">
        <v>-11431</v>
      </c>
      <c r="M63" s="63">
        <v>0</v>
      </c>
      <c r="N63" s="63">
        <v>0</v>
      </c>
      <c r="O63" s="63">
        <v>-395996</v>
      </c>
      <c r="P63" s="63">
        <v>-855125</v>
      </c>
      <c r="Q63" s="63">
        <v>0</v>
      </c>
      <c r="R63" s="63">
        <v>0</v>
      </c>
      <c r="S63" s="63">
        <v>0</v>
      </c>
      <c r="T63" s="63">
        <v>-855125</v>
      </c>
      <c r="U63" s="63">
        <v>37216806</v>
      </c>
      <c r="V63" s="63">
        <v>1131669</v>
      </c>
      <c r="W63" s="63">
        <v>0</v>
      </c>
      <c r="X63" s="63">
        <v>0</v>
      </c>
      <c r="Y63" s="63">
        <v>38348475</v>
      </c>
      <c r="Z63" s="63">
        <v>12100</v>
      </c>
      <c r="AA63" s="63">
        <v>0</v>
      </c>
      <c r="AB63" s="63">
        <v>0</v>
      </c>
      <c r="AC63" s="63">
        <v>0</v>
      </c>
      <c r="AD63" s="63">
        <v>12100</v>
      </c>
      <c r="AE63" s="63">
        <v>0</v>
      </c>
      <c r="AF63" s="63">
        <v>0</v>
      </c>
      <c r="AG63" s="63">
        <v>0</v>
      </c>
      <c r="AH63" s="63">
        <v>0</v>
      </c>
      <c r="AI63" s="63">
        <v>0</v>
      </c>
      <c r="AJ63" s="63">
        <v>0</v>
      </c>
      <c r="AK63" s="63">
        <v>1131669</v>
      </c>
      <c r="AL63" s="63">
        <v>0</v>
      </c>
      <c r="AM63" s="63">
        <v>0</v>
      </c>
      <c r="AN63" s="63">
        <v>1131669</v>
      </c>
      <c r="AP63" s="533" t="s">
        <v>768</v>
      </c>
      <c r="AQ63" s="533" t="s">
        <v>774</v>
      </c>
      <c r="AR63" s="533">
        <v>0</v>
      </c>
      <c r="AS63" s="533">
        <v>0</v>
      </c>
      <c r="AT63" s="534"/>
      <c r="AU63" s="594"/>
      <c r="AV63" s="595"/>
      <c r="AW63" s="595"/>
      <c r="AX63" s="595"/>
    </row>
    <row r="64" spans="1:50" x14ac:dyDescent="0.2">
      <c r="A64" s="201">
        <v>57</v>
      </c>
      <c r="B64" s="129" t="s">
        <v>709</v>
      </c>
      <c r="C64" s="130" t="s">
        <v>742</v>
      </c>
      <c r="D64" s="131" t="s">
        <v>743</v>
      </c>
      <c r="E64" s="132" t="s">
        <v>708</v>
      </c>
      <c r="F64" s="63">
        <v>47017522</v>
      </c>
      <c r="G64" s="63">
        <v>0</v>
      </c>
      <c r="H64" s="63">
        <v>0</v>
      </c>
      <c r="I64" s="63">
        <v>0</v>
      </c>
      <c r="J64" s="63">
        <v>47017522</v>
      </c>
      <c r="K64" s="63">
        <v>-230000</v>
      </c>
      <c r="L64" s="63">
        <v>0</v>
      </c>
      <c r="M64" s="63">
        <v>0</v>
      </c>
      <c r="N64" s="63">
        <v>0</v>
      </c>
      <c r="O64" s="63">
        <v>-230000</v>
      </c>
      <c r="P64" s="63">
        <v>-130000</v>
      </c>
      <c r="Q64" s="63">
        <v>0</v>
      </c>
      <c r="R64" s="63">
        <v>0</v>
      </c>
      <c r="S64" s="63">
        <v>0</v>
      </c>
      <c r="T64" s="63">
        <v>-130000</v>
      </c>
      <c r="U64" s="63">
        <v>46657522</v>
      </c>
      <c r="V64" s="63">
        <v>0</v>
      </c>
      <c r="W64" s="63">
        <v>0</v>
      </c>
      <c r="X64" s="63">
        <v>0</v>
      </c>
      <c r="Y64" s="63">
        <v>46657522</v>
      </c>
      <c r="Z64" s="63">
        <v>125115</v>
      </c>
      <c r="AA64" s="63">
        <v>0</v>
      </c>
      <c r="AB64" s="63">
        <v>0</v>
      </c>
      <c r="AC64" s="63">
        <v>0</v>
      </c>
      <c r="AD64" s="63">
        <v>125115</v>
      </c>
      <c r="AE64" s="63">
        <v>0</v>
      </c>
      <c r="AF64" s="63">
        <v>0</v>
      </c>
      <c r="AG64" s="63">
        <v>0</v>
      </c>
      <c r="AH64" s="63">
        <v>0</v>
      </c>
      <c r="AI64" s="63">
        <v>0</v>
      </c>
      <c r="AJ64" s="63">
        <v>0</v>
      </c>
      <c r="AK64" s="63">
        <v>0</v>
      </c>
      <c r="AL64" s="63">
        <v>0</v>
      </c>
      <c r="AM64" s="63">
        <v>0</v>
      </c>
      <c r="AN64" s="63">
        <v>0</v>
      </c>
      <c r="AP64" s="533">
        <v>0</v>
      </c>
      <c r="AQ64" s="533">
        <v>0</v>
      </c>
      <c r="AR64" s="533">
        <v>0</v>
      </c>
      <c r="AS64" s="533">
        <v>0</v>
      </c>
      <c r="AT64" s="534"/>
      <c r="AU64" s="594"/>
      <c r="AV64" s="595"/>
      <c r="AW64" s="595"/>
      <c r="AX64" s="595"/>
    </row>
    <row r="65" spans="1:50" x14ac:dyDescent="0.2">
      <c r="A65" s="201">
        <v>58</v>
      </c>
      <c r="B65" s="129" t="s">
        <v>711</v>
      </c>
      <c r="C65" s="130" t="s">
        <v>742</v>
      </c>
      <c r="D65" s="131" t="s">
        <v>743</v>
      </c>
      <c r="E65" s="132" t="s">
        <v>710</v>
      </c>
      <c r="F65" s="63">
        <v>22320467.210000001</v>
      </c>
      <c r="G65" s="63">
        <v>0</v>
      </c>
      <c r="H65" s="63">
        <v>0</v>
      </c>
      <c r="I65" s="63">
        <v>0</v>
      </c>
      <c r="J65" s="63">
        <v>22320467.210000001</v>
      </c>
      <c r="K65" s="63">
        <v>-223286</v>
      </c>
      <c r="L65" s="63">
        <v>0</v>
      </c>
      <c r="M65" s="63">
        <v>0</v>
      </c>
      <c r="N65" s="63">
        <v>0</v>
      </c>
      <c r="O65" s="63">
        <v>-223286</v>
      </c>
      <c r="P65" s="63">
        <v>-228885</v>
      </c>
      <c r="Q65" s="63">
        <v>0</v>
      </c>
      <c r="R65" s="63">
        <v>0</v>
      </c>
      <c r="S65" s="63">
        <v>0</v>
      </c>
      <c r="T65" s="63">
        <v>-228885</v>
      </c>
      <c r="U65" s="63">
        <v>21868296.210000001</v>
      </c>
      <c r="V65" s="63">
        <v>0</v>
      </c>
      <c r="W65" s="63">
        <v>0</v>
      </c>
      <c r="X65" s="63">
        <v>0</v>
      </c>
      <c r="Y65" s="63">
        <v>21868296.210000001</v>
      </c>
      <c r="Z65" s="63">
        <v>0</v>
      </c>
      <c r="AA65" s="63">
        <v>0</v>
      </c>
      <c r="AB65" s="63">
        <v>0</v>
      </c>
      <c r="AC65" s="63">
        <v>0</v>
      </c>
      <c r="AD65" s="63">
        <v>0</v>
      </c>
      <c r="AE65" s="63">
        <v>0</v>
      </c>
      <c r="AF65" s="63">
        <v>0</v>
      </c>
      <c r="AG65" s="63">
        <v>0</v>
      </c>
      <c r="AH65" s="63">
        <v>0</v>
      </c>
      <c r="AI65" s="63">
        <v>0</v>
      </c>
      <c r="AJ65" s="63">
        <v>0</v>
      </c>
      <c r="AK65" s="63">
        <v>0</v>
      </c>
      <c r="AL65" s="63">
        <v>0</v>
      </c>
      <c r="AM65" s="63">
        <v>0</v>
      </c>
      <c r="AN65" s="63">
        <v>0</v>
      </c>
      <c r="AP65" s="533">
        <v>0</v>
      </c>
      <c r="AQ65" s="533">
        <v>0</v>
      </c>
      <c r="AR65" s="533">
        <v>0</v>
      </c>
      <c r="AS65" s="533">
        <v>0</v>
      </c>
      <c r="AT65" s="534"/>
      <c r="AU65" s="594"/>
      <c r="AV65" s="595"/>
      <c r="AW65" s="595"/>
      <c r="AX65" s="595"/>
    </row>
    <row r="66" spans="1:50" x14ac:dyDescent="0.2">
      <c r="A66" s="201">
        <v>59</v>
      </c>
      <c r="B66" s="129" t="s">
        <v>713</v>
      </c>
      <c r="C66" s="130" t="s">
        <v>742</v>
      </c>
      <c r="D66" s="131" t="s">
        <v>744</v>
      </c>
      <c r="E66" s="132" t="s">
        <v>712</v>
      </c>
      <c r="F66" s="63">
        <v>30047995</v>
      </c>
      <c r="G66" s="63">
        <v>0</v>
      </c>
      <c r="H66" s="63">
        <v>0</v>
      </c>
      <c r="I66" s="63">
        <v>0</v>
      </c>
      <c r="J66" s="63">
        <v>30047995</v>
      </c>
      <c r="K66" s="63">
        <v>-450720</v>
      </c>
      <c r="L66" s="63">
        <v>0</v>
      </c>
      <c r="M66" s="63">
        <v>0</v>
      </c>
      <c r="N66" s="63">
        <v>0</v>
      </c>
      <c r="O66" s="63">
        <v>-450720</v>
      </c>
      <c r="P66" s="63">
        <v>-360576</v>
      </c>
      <c r="Q66" s="63">
        <v>0</v>
      </c>
      <c r="R66" s="63">
        <v>0</v>
      </c>
      <c r="S66" s="63">
        <v>0</v>
      </c>
      <c r="T66" s="63">
        <v>-360576</v>
      </c>
      <c r="U66" s="63">
        <v>29236699</v>
      </c>
      <c r="V66" s="63">
        <v>0</v>
      </c>
      <c r="W66" s="63">
        <v>0</v>
      </c>
      <c r="X66" s="63">
        <v>0</v>
      </c>
      <c r="Y66" s="63">
        <v>29236699</v>
      </c>
      <c r="Z66" s="63">
        <v>0</v>
      </c>
      <c r="AA66" s="63">
        <v>0</v>
      </c>
      <c r="AB66" s="63">
        <v>0</v>
      </c>
      <c r="AC66" s="63">
        <v>0</v>
      </c>
      <c r="AD66" s="63">
        <v>0</v>
      </c>
      <c r="AE66" s="63">
        <v>0</v>
      </c>
      <c r="AF66" s="63">
        <v>0</v>
      </c>
      <c r="AG66" s="63">
        <v>0</v>
      </c>
      <c r="AH66" s="63">
        <v>0</v>
      </c>
      <c r="AI66" s="63">
        <v>0</v>
      </c>
      <c r="AJ66" s="63">
        <v>0</v>
      </c>
      <c r="AK66" s="63">
        <v>0</v>
      </c>
      <c r="AL66" s="63">
        <v>0</v>
      </c>
      <c r="AM66" s="63">
        <v>0</v>
      </c>
      <c r="AN66" s="63">
        <v>0</v>
      </c>
      <c r="AP66" s="533">
        <v>0</v>
      </c>
      <c r="AQ66" s="533">
        <v>0</v>
      </c>
      <c r="AR66" s="533">
        <v>0</v>
      </c>
      <c r="AS66" s="533">
        <v>0</v>
      </c>
      <c r="AT66" s="534"/>
      <c r="AU66" s="594"/>
      <c r="AV66" s="595"/>
      <c r="AW66" s="595"/>
      <c r="AX66" s="595"/>
    </row>
    <row r="67" spans="1:50" x14ac:dyDescent="0.2">
      <c r="A67" s="201">
        <v>60</v>
      </c>
      <c r="B67" s="129" t="s">
        <v>715</v>
      </c>
      <c r="C67" s="130" t="s">
        <v>742</v>
      </c>
      <c r="D67" s="131" t="s">
        <v>751</v>
      </c>
      <c r="E67" s="132" t="s">
        <v>714</v>
      </c>
      <c r="F67" s="63">
        <v>19728771</v>
      </c>
      <c r="G67" s="63">
        <v>0</v>
      </c>
      <c r="H67" s="63">
        <v>0</v>
      </c>
      <c r="I67" s="63">
        <v>0</v>
      </c>
      <c r="J67" s="63">
        <v>19728771</v>
      </c>
      <c r="K67" s="63">
        <v>-200000</v>
      </c>
      <c r="L67" s="63">
        <v>0</v>
      </c>
      <c r="M67" s="63">
        <v>0</v>
      </c>
      <c r="N67" s="63">
        <v>0</v>
      </c>
      <c r="O67" s="63">
        <v>-200000</v>
      </c>
      <c r="P67" s="63">
        <v>-355504</v>
      </c>
      <c r="Q67" s="63">
        <v>0</v>
      </c>
      <c r="R67" s="63">
        <v>0</v>
      </c>
      <c r="S67" s="63">
        <v>0</v>
      </c>
      <c r="T67" s="63">
        <v>-355504</v>
      </c>
      <c r="U67" s="63">
        <v>19173267</v>
      </c>
      <c r="V67" s="63">
        <v>0</v>
      </c>
      <c r="W67" s="63">
        <v>0</v>
      </c>
      <c r="X67" s="63">
        <v>0</v>
      </c>
      <c r="Y67" s="63">
        <v>19173267</v>
      </c>
      <c r="Z67" s="63">
        <v>291863</v>
      </c>
      <c r="AA67" s="63">
        <v>0</v>
      </c>
      <c r="AB67" s="63">
        <v>0</v>
      </c>
      <c r="AC67" s="63">
        <v>0</v>
      </c>
      <c r="AD67" s="63">
        <v>291863</v>
      </c>
      <c r="AE67" s="63">
        <v>0</v>
      </c>
      <c r="AF67" s="63">
        <v>0</v>
      </c>
      <c r="AG67" s="63">
        <v>0</v>
      </c>
      <c r="AH67" s="63">
        <v>0</v>
      </c>
      <c r="AI67" s="63">
        <v>0</v>
      </c>
      <c r="AJ67" s="63">
        <v>0</v>
      </c>
      <c r="AK67" s="63">
        <v>0</v>
      </c>
      <c r="AL67" s="63">
        <v>0</v>
      </c>
      <c r="AM67" s="63">
        <v>0</v>
      </c>
      <c r="AN67" s="63">
        <v>0</v>
      </c>
      <c r="AP67" s="533">
        <v>0</v>
      </c>
      <c r="AQ67" s="533">
        <v>0</v>
      </c>
      <c r="AR67" s="533">
        <v>0</v>
      </c>
      <c r="AS67" s="533">
        <v>0</v>
      </c>
      <c r="AT67" s="534"/>
      <c r="AU67" s="594"/>
      <c r="AV67" s="595"/>
      <c r="AW67" s="595"/>
      <c r="AX67" s="595"/>
    </row>
    <row r="68" spans="1:50" x14ac:dyDescent="0.2">
      <c r="A68" s="201">
        <v>61</v>
      </c>
      <c r="B68" s="129" t="s">
        <v>0</v>
      </c>
      <c r="C68" s="130" t="s">
        <v>754</v>
      </c>
      <c r="D68" s="131" t="s">
        <v>748</v>
      </c>
      <c r="E68" s="132" t="s">
        <v>716</v>
      </c>
      <c r="F68" s="63">
        <v>842341280</v>
      </c>
      <c r="G68" s="63">
        <v>0</v>
      </c>
      <c r="H68" s="63">
        <v>0</v>
      </c>
      <c r="I68" s="63">
        <v>0</v>
      </c>
      <c r="J68" s="63">
        <v>842341280</v>
      </c>
      <c r="K68" s="63">
        <v>-10950437</v>
      </c>
      <c r="L68" s="63">
        <v>0</v>
      </c>
      <c r="M68" s="63">
        <v>0</v>
      </c>
      <c r="N68" s="63">
        <v>0</v>
      </c>
      <c r="O68" s="63">
        <v>-10950437</v>
      </c>
      <c r="P68" s="63">
        <v>-32439670</v>
      </c>
      <c r="Q68" s="63">
        <v>0</v>
      </c>
      <c r="R68" s="63">
        <v>0</v>
      </c>
      <c r="S68" s="63">
        <v>0</v>
      </c>
      <c r="T68" s="63">
        <v>-32439670</v>
      </c>
      <c r="U68" s="63">
        <v>798951173</v>
      </c>
      <c r="V68" s="63">
        <v>0</v>
      </c>
      <c r="W68" s="63">
        <v>0</v>
      </c>
      <c r="X68" s="63">
        <v>0</v>
      </c>
      <c r="Y68" s="63">
        <v>798951173</v>
      </c>
      <c r="Z68" s="63">
        <v>0</v>
      </c>
      <c r="AA68" s="63">
        <v>0</v>
      </c>
      <c r="AB68" s="63">
        <v>0</v>
      </c>
      <c r="AC68" s="63">
        <v>0</v>
      </c>
      <c r="AD68" s="63">
        <v>0</v>
      </c>
      <c r="AE68" s="63">
        <v>0</v>
      </c>
      <c r="AF68" s="63">
        <v>0</v>
      </c>
      <c r="AG68" s="63">
        <v>0</v>
      </c>
      <c r="AH68" s="63">
        <v>0</v>
      </c>
      <c r="AI68" s="63">
        <v>0</v>
      </c>
      <c r="AJ68" s="63">
        <v>0</v>
      </c>
      <c r="AK68" s="63">
        <v>0</v>
      </c>
      <c r="AL68" s="63">
        <v>0</v>
      </c>
      <c r="AM68" s="63">
        <v>0</v>
      </c>
      <c r="AN68" s="63">
        <v>0</v>
      </c>
      <c r="AP68" s="533">
        <v>0</v>
      </c>
      <c r="AQ68" s="533">
        <v>0</v>
      </c>
      <c r="AR68" s="533">
        <v>0</v>
      </c>
      <c r="AS68" s="533">
        <v>0</v>
      </c>
      <c r="AT68" s="534"/>
      <c r="AU68" s="594"/>
      <c r="AV68" s="595"/>
      <c r="AW68" s="595"/>
      <c r="AX68" s="595"/>
    </row>
    <row r="69" spans="1:50" x14ac:dyDescent="0.2">
      <c r="A69" s="201">
        <v>62</v>
      </c>
      <c r="B69" s="129" t="s">
        <v>2</v>
      </c>
      <c r="C69" s="130" t="s">
        <v>742</v>
      </c>
      <c r="D69" s="131" t="s">
        <v>746</v>
      </c>
      <c r="E69" s="132" t="s">
        <v>1</v>
      </c>
      <c r="F69" s="63">
        <v>66009510</v>
      </c>
      <c r="G69" s="63">
        <v>0</v>
      </c>
      <c r="H69" s="63">
        <v>0</v>
      </c>
      <c r="I69" s="63">
        <v>0</v>
      </c>
      <c r="J69" s="63">
        <v>66009510</v>
      </c>
      <c r="K69" s="63">
        <v>-825119</v>
      </c>
      <c r="L69" s="63">
        <v>0</v>
      </c>
      <c r="M69" s="63">
        <v>0</v>
      </c>
      <c r="N69" s="63">
        <v>0</v>
      </c>
      <c r="O69" s="63">
        <v>-825119</v>
      </c>
      <c r="P69" s="63">
        <v>-1463857</v>
      </c>
      <c r="Q69" s="63">
        <v>0</v>
      </c>
      <c r="R69" s="63">
        <v>0</v>
      </c>
      <c r="S69" s="63">
        <v>0</v>
      </c>
      <c r="T69" s="63">
        <v>-1463857</v>
      </c>
      <c r="U69" s="63">
        <v>63720534</v>
      </c>
      <c r="V69" s="63">
        <v>0</v>
      </c>
      <c r="W69" s="63">
        <v>0</v>
      </c>
      <c r="X69" s="63">
        <v>0</v>
      </c>
      <c r="Y69" s="63">
        <v>63720534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P69" s="533">
        <v>0</v>
      </c>
      <c r="AQ69" s="533">
        <v>0</v>
      </c>
      <c r="AR69" s="533">
        <v>0</v>
      </c>
      <c r="AS69" s="533">
        <v>0</v>
      </c>
      <c r="AT69" s="534"/>
      <c r="AU69" s="594"/>
      <c r="AV69" s="595"/>
      <c r="AW69" s="595"/>
      <c r="AX69" s="595"/>
    </row>
    <row r="70" spans="1:50" x14ac:dyDescent="0.2">
      <c r="A70" s="201">
        <v>63</v>
      </c>
      <c r="B70" s="129" t="s">
        <v>4</v>
      </c>
      <c r="C70" s="130" t="s">
        <v>742</v>
      </c>
      <c r="D70" s="131" t="s">
        <v>744</v>
      </c>
      <c r="E70" s="132" t="s">
        <v>3</v>
      </c>
      <c r="F70" s="63">
        <v>45724619</v>
      </c>
      <c r="G70" s="63">
        <v>0</v>
      </c>
      <c r="H70" s="63">
        <v>0</v>
      </c>
      <c r="I70" s="63">
        <v>0</v>
      </c>
      <c r="J70" s="63">
        <v>45724619</v>
      </c>
      <c r="K70" s="63">
        <v>-350000</v>
      </c>
      <c r="L70" s="63">
        <v>0</v>
      </c>
      <c r="M70" s="63">
        <v>0</v>
      </c>
      <c r="N70" s="63">
        <v>0</v>
      </c>
      <c r="O70" s="63">
        <v>-350000</v>
      </c>
      <c r="P70" s="63">
        <v>-6000831</v>
      </c>
      <c r="Q70" s="63">
        <v>0</v>
      </c>
      <c r="R70" s="63">
        <v>0</v>
      </c>
      <c r="S70" s="63">
        <v>0</v>
      </c>
      <c r="T70" s="63">
        <v>-6000831</v>
      </c>
      <c r="U70" s="63">
        <v>39373788</v>
      </c>
      <c r="V70" s="63">
        <v>0</v>
      </c>
      <c r="W70" s="63">
        <v>0</v>
      </c>
      <c r="X70" s="63">
        <v>0</v>
      </c>
      <c r="Y70" s="63">
        <v>39373788</v>
      </c>
      <c r="Z70" s="63">
        <v>13085</v>
      </c>
      <c r="AA70" s="63">
        <v>0</v>
      </c>
      <c r="AB70" s="63">
        <v>0</v>
      </c>
      <c r="AC70" s="63">
        <v>0</v>
      </c>
      <c r="AD70" s="63">
        <v>13085</v>
      </c>
      <c r="AE70" s="63">
        <v>0</v>
      </c>
      <c r="AF70" s="63">
        <v>0</v>
      </c>
      <c r="AG70" s="63">
        <v>0</v>
      </c>
      <c r="AH70" s="63">
        <v>0</v>
      </c>
      <c r="AI70" s="63">
        <v>0</v>
      </c>
      <c r="AJ70" s="63">
        <v>0</v>
      </c>
      <c r="AK70" s="63">
        <v>0</v>
      </c>
      <c r="AL70" s="63">
        <v>0</v>
      </c>
      <c r="AM70" s="63">
        <v>0</v>
      </c>
      <c r="AN70" s="63">
        <v>0</v>
      </c>
      <c r="AP70" s="533">
        <v>0</v>
      </c>
      <c r="AQ70" s="533">
        <v>0</v>
      </c>
      <c r="AR70" s="533">
        <v>0</v>
      </c>
      <c r="AS70" s="533">
        <v>0</v>
      </c>
      <c r="AT70" s="534"/>
      <c r="AU70" s="594"/>
      <c r="AV70" s="595"/>
      <c r="AW70" s="595"/>
      <c r="AX70" s="595"/>
    </row>
    <row r="71" spans="1:50" x14ac:dyDescent="0.2">
      <c r="A71" s="201">
        <v>64</v>
      </c>
      <c r="B71" s="129" t="s">
        <v>6</v>
      </c>
      <c r="C71" s="130" t="s">
        <v>742</v>
      </c>
      <c r="D71" s="131" t="s">
        <v>745</v>
      </c>
      <c r="E71" s="132" t="s">
        <v>5</v>
      </c>
      <c r="F71" s="63">
        <v>34628296</v>
      </c>
      <c r="G71" s="63">
        <v>0</v>
      </c>
      <c r="H71" s="63">
        <v>0</v>
      </c>
      <c r="I71" s="63">
        <v>0</v>
      </c>
      <c r="J71" s="63">
        <v>34628296</v>
      </c>
      <c r="K71" s="63">
        <v>-200000</v>
      </c>
      <c r="L71" s="63">
        <v>0</v>
      </c>
      <c r="M71" s="63">
        <v>0</v>
      </c>
      <c r="N71" s="63">
        <v>0</v>
      </c>
      <c r="O71" s="63">
        <v>-200000</v>
      </c>
      <c r="P71" s="63">
        <v>-250000</v>
      </c>
      <c r="Q71" s="63">
        <v>0</v>
      </c>
      <c r="R71" s="63">
        <v>0</v>
      </c>
      <c r="S71" s="63">
        <v>0</v>
      </c>
      <c r="T71" s="63">
        <v>-250000</v>
      </c>
      <c r="U71" s="63">
        <v>34178296</v>
      </c>
      <c r="V71" s="63">
        <v>0</v>
      </c>
      <c r="W71" s="63">
        <v>0</v>
      </c>
      <c r="X71" s="63">
        <v>0</v>
      </c>
      <c r="Y71" s="63">
        <v>34178296</v>
      </c>
      <c r="Z71" s="63">
        <v>0</v>
      </c>
      <c r="AA71" s="63">
        <v>0</v>
      </c>
      <c r="AB71" s="63">
        <v>0</v>
      </c>
      <c r="AC71" s="63">
        <v>0</v>
      </c>
      <c r="AD71" s="63">
        <v>0</v>
      </c>
      <c r="AE71" s="63">
        <v>0</v>
      </c>
      <c r="AF71" s="63">
        <v>0</v>
      </c>
      <c r="AG71" s="63">
        <v>0</v>
      </c>
      <c r="AH71" s="63">
        <v>0</v>
      </c>
      <c r="AI71" s="63">
        <v>0</v>
      </c>
      <c r="AJ71" s="63">
        <v>0</v>
      </c>
      <c r="AK71" s="63">
        <v>0</v>
      </c>
      <c r="AL71" s="63">
        <v>0</v>
      </c>
      <c r="AM71" s="63">
        <v>0</v>
      </c>
      <c r="AN71" s="63">
        <v>0</v>
      </c>
      <c r="AP71" s="533">
        <v>0</v>
      </c>
      <c r="AQ71" s="533">
        <v>0</v>
      </c>
      <c r="AR71" s="533">
        <v>0</v>
      </c>
      <c r="AS71" s="533">
        <v>0</v>
      </c>
      <c r="AT71" s="534"/>
      <c r="AU71" s="594"/>
      <c r="AV71" s="595"/>
      <c r="AW71" s="595"/>
      <c r="AX71" s="595"/>
    </row>
    <row r="72" spans="1:50" x14ac:dyDescent="0.2">
      <c r="A72" s="201">
        <v>65</v>
      </c>
      <c r="B72" s="129" t="s">
        <v>8</v>
      </c>
      <c r="C72" s="130" t="s">
        <v>501</v>
      </c>
      <c r="D72" s="131" t="s">
        <v>751</v>
      </c>
      <c r="E72" s="132" t="s">
        <v>7</v>
      </c>
      <c r="F72" s="63">
        <v>165450058</v>
      </c>
      <c r="G72" s="63">
        <v>387899</v>
      </c>
      <c r="H72" s="63">
        <v>8591</v>
      </c>
      <c r="I72" s="63">
        <v>0</v>
      </c>
      <c r="J72" s="63">
        <v>165846548</v>
      </c>
      <c r="K72" s="63">
        <v>-2524184</v>
      </c>
      <c r="L72" s="63">
        <v>0</v>
      </c>
      <c r="M72" s="63">
        <v>0</v>
      </c>
      <c r="N72" s="63">
        <v>0</v>
      </c>
      <c r="O72" s="63">
        <v>-2524184</v>
      </c>
      <c r="P72" s="63">
        <v>-9260000</v>
      </c>
      <c r="Q72" s="63">
        <v>0</v>
      </c>
      <c r="R72" s="63">
        <v>0</v>
      </c>
      <c r="S72" s="63">
        <v>0</v>
      </c>
      <c r="T72" s="63">
        <v>-9260000</v>
      </c>
      <c r="U72" s="63">
        <v>153665874</v>
      </c>
      <c r="V72" s="63">
        <v>387899</v>
      </c>
      <c r="W72" s="63">
        <v>8591</v>
      </c>
      <c r="X72" s="63">
        <v>0</v>
      </c>
      <c r="Y72" s="63">
        <v>154062364</v>
      </c>
      <c r="Z72" s="63">
        <v>1017734</v>
      </c>
      <c r="AA72" s="63">
        <v>0</v>
      </c>
      <c r="AB72" s="63">
        <v>0</v>
      </c>
      <c r="AC72" s="63">
        <v>0</v>
      </c>
      <c r="AD72" s="63">
        <v>1017734</v>
      </c>
      <c r="AE72" s="63">
        <v>0</v>
      </c>
      <c r="AF72" s="63">
        <v>0</v>
      </c>
      <c r="AG72" s="63">
        <v>0</v>
      </c>
      <c r="AH72" s="63">
        <v>432966</v>
      </c>
      <c r="AI72" s="63">
        <v>70145</v>
      </c>
      <c r="AJ72" s="63">
        <v>0</v>
      </c>
      <c r="AK72" s="63">
        <v>0</v>
      </c>
      <c r="AL72" s="63">
        <v>0</v>
      </c>
      <c r="AM72" s="63">
        <v>0</v>
      </c>
      <c r="AN72" s="63">
        <v>0</v>
      </c>
      <c r="AP72" s="533" t="s">
        <v>768</v>
      </c>
      <c r="AQ72" s="533" t="s">
        <v>775</v>
      </c>
      <c r="AR72" s="533" t="s">
        <v>990</v>
      </c>
      <c r="AS72" s="533">
        <v>0</v>
      </c>
      <c r="AT72" s="534"/>
      <c r="AU72" s="594"/>
      <c r="AV72" s="600"/>
      <c r="AW72" s="600"/>
      <c r="AX72" s="595"/>
    </row>
    <row r="73" spans="1:50" x14ac:dyDescent="0.2">
      <c r="A73" s="201">
        <v>66</v>
      </c>
      <c r="B73" s="129" t="s">
        <v>10</v>
      </c>
      <c r="C73" s="130" t="s">
        <v>742</v>
      </c>
      <c r="D73" s="131" t="s">
        <v>751</v>
      </c>
      <c r="E73" s="132" t="s">
        <v>9</v>
      </c>
      <c r="F73" s="63">
        <v>31727610</v>
      </c>
      <c r="G73" s="63">
        <v>0</v>
      </c>
      <c r="H73" s="63">
        <v>0</v>
      </c>
      <c r="I73" s="63">
        <v>0</v>
      </c>
      <c r="J73" s="63">
        <v>31727610</v>
      </c>
      <c r="K73" s="63">
        <v>-200000</v>
      </c>
      <c r="L73" s="63">
        <v>0</v>
      </c>
      <c r="M73" s="63">
        <v>0</v>
      </c>
      <c r="N73" s="63">
        <v>0</v>
      </c>
      <c r="O73" s="63">
        <v>-200000</v>
      </c>
      <c r="P73" s="63">
        <v>-494056</v>
      </c>
      <c r="Q73" s="63">
        <v>0</v>
      </c>
      <c r="R73" s="63">
        <v>0</v>
      </c>
      <c r="S73" s="63">
        <v>0</v>
      </c>
      <c r="T73" s="63">
        <v>-494056</v>
      </c>
      <c r="U73" s="63">
        <v>31033554</v>
      </c>
      <c r="V73" s="63">
        <v>0</v>
      </c>
      <c r="W73" s="63">
        <v>0</v>
      </c>
      <c r="X73" s="63">
        <v>0</v>
      </c>
      <c r="Y73" s="63">
        <v>31033554</v>
      </c>
      <c r="Z73" s="63">
        <v>89833</v>
      </c>
      <c r="AA73" s="63">
        <v>0</v>
      </c>
      <c r="AB73" s="63">
        <v>0</v>
      </c>
      <c r="AC73" s="63">
        <v>0</v>
      </c>
      <c r="AD73" s="63">
        <v>89833</v>
      </c>
      <c r="AE73" s="63">
        <v>0</v>
      </c>
      <c r="AF73" s="63">
        <v>0</v>
      </c>
      <c r="AG73" s="63">
        <v>0</v>
      </c>
      <c r="AH73" s="63">
        <v>0</v>
      </c>
      <c r="AI73" s="63">
        <v>0</v>
      </c>
      <c r="AJ73" s="63">
        <v>0</v>
      </c>
      <c r="AK73" s="63">
        <v>0</v>
      </c>
      <c r="AL73" s="63">
        <v>0</v>
      </c>
      <c r="AM73" s="63">
        <v>0</v>
      </c>
      <c r="AN73" s="63">
        <v>0</v>
      </c>
      <c r="AP73" s="533">
        <v>0</v>
      </c>
      <c r="AQ73" s="533">
        <v>0</v>
      </c>
      <c r="AR73" s="533">
        <v>0</v>
      </c>
      <c r="AS73" s="533">
        <v>0</v>
      </c>
      <c r="AT73" s="534"/>
      <c r="AU73" s="594"/>
      <c r="AV73" s="595"/>
      <c r="AW73" s="595"/>
      <c r="AX73" s="595"/>
    </row>
    <row r="74" spans="1:50" x14ac:dyDescent="0.2">
      <c r="A74" s="201">
        <v>67</v>
      </c>
      <c r="B74" s="129" t="s">
        <v>12</v>
      </c>
      <c r="C74" s="130" t="s">
        <v>749</v>
      </c>
      <c r="D74" s="131" t="s">
        <v>752</v>
      </c>
      <c r="E74" s="132" t="s">
        <v>11</v>
      </c>
      <c r="F74" s="63">
        <v>126505968</v>
      </c>
      <c r="G74" s="63">
        <v>0</v>
      </c>
      <c r="H74" s="63">
        <v>0</v>
      </c>
      <c r="I74" s="63">
        <v>0</v>
      </c>
      <c r="J74" s="63">
        <v>126505968</v>
      </c>
      <c r="K74" s="63">
        <v>-1265060</v>
      </c>
      <c r="L74" s="63">
        <v>0</v>
      </c>
      <c r="M74" s="63">
        <v>0</v>
      </c>
      <c r="N74" s="63">
        <v>0</v>
      </c>
      <c r="O74" s="63">
        <v>-1265060</v>
      </c>
      <c r="P74" s="63">
        <v>-5582000</v>
      </c>
      <c r="Q74" s="63">
        <v>0</v>
      </c>
      <c r="R74" s="63">
        <v>0</v>
      </c>
      <c r="S74" s="63">
        <v>0</v>
      </c>
      <c r="T74" s="63">
        <v>-5582000</v>
      </c>
      <c r="U74" s="63">
        <v>119658908</v>
      </c>
      <c r="V74" s="63">
        <v>0</v>
      </c>
      <c r="W74" s="63">
        <v>0</v>
      </c>
      <c r="X74" s="63">
        <v>0</v>
      </c>
      <c r="Y74" s="63">
        <v>119658908</v>
      </c>
      <c r="Z74" s="63">
        <v>0</v>
      </c>
      <c r="AA74" s="63">
        <v>0</v>
      </c>
      <c r="AB74" s="63">
        <v>0</v>
      </c>
      <c r="AC74" s="63">
        <v>0</v>
      </c>
      <c r="AD74" s="63">
        <v>0</v>
      </c>
      <c r="AE74" s="63">
        <v>0</v>
      </c>
      <c r="AF74" s="63">
        <v>0</v>
      </c>
      <c r="AG74" s="63">
        <v>0</v>
      </c>
      <c r="AH74" s="63">
        <v>0</v>
      </c>
      <c r="AI74" s="63">
        <v>0</v>
      </c>
      <c r="AJ74" s="63">
        <v>0</v>
      </c>
      <c r="AK74" s="63">
        <v>0</v>
      </c>
      <c r="AL74" s="63">
        <v>0</v>
      </c>
      <c r="AM74" s="63">
        <v>0</v>
      </c>
      <c r="AN74" s="63">
        <v>0</v>
      </c>
      <c r="AP74" s="533">
        <v>0</v>
      </c>
      <c r="AQ74" s="533">
        <v>0</v>
      </c>
      <c r="AR74" s="533">
        <v>0</v>
      </c>
      <c r="AS74" s="533">
        <v>0</v>
      </c>
      <c r="AT74" s="534"/>
      <c r="AU74" s="597"/>
      <c r="AV74" s="598"/>
      <c r="AW74" s="598"/>
      <c r="AX74" s="598"/>
    </row>
    <row r="75" spans="1:50" x14ac:dyDescent="0.2">
      <c r="A75" s="201">
        <v>68</v>
      </c>
      <c r="B75" s="129" t="s">
        <v>14</v>
      </c>
      <c r="C75" s="130" t="s">
        <v>742</v>
      </c>
      <c r="D75" s="131" t="s">
        <v>750</v>
      </c>
      <c r="E75" s="132" t="s">
        <v>13</v>
      </c>
      <c r="F75" s="63">
        <v>19181233</v>
      </c>
      <c r="G75" s="63">
        <v>0</v>
      </c>
      <c r="H75" s="63">
        <v>0</v>
      </c>
      <c r="I75" s="63">
        <v>0</v>
      </c>
      <c r="J75" s="63">
        <v>19181233</v>
      </c>
      <c r="K75" s="63">
        <v>-100000</v>
      </c>
      <c r="L75" s="63">
        <v>0</v>
      </c>
      <c r="M75" s="63">
        <v>0</v>
      </c>
      <c r="N75" s="63">
        <v>0</v>
      </c>
      <c r="O75" s="63">
        <v>-100000</v>
      </c>
      <c r="P75" s="63">
        <v>-466800</v>
      </c>
      <c r="Q75" s="63">
        <v>0</v>
      </c>
      <c r="R75" s="63">
        <v>0</v>
      </c>
      <c r="S75" s="63">
        <v>0</v>
      </c>
      <c r="T75" s="63">
        <v>-466800</v>
      </c>
      <c r="U75" s="63">
        <v>18614433</v>
      </c>
      <c r="V75" s="63">
        <v>0</v>
      </c>
      <c r="W75" s="63">
        <v>0</v>
      </c>
      <c r="X75" s="63">
        <v>0</v>
      </c>
      <c r="Y75" s="63">
        <v>18614433</v>
      </c>
      <c r="Z75" s="63">
        <v>0</v>
      </c>
      <c r="AA75" s="63">
        <v>0</v>
      </c>
      <c r="AB75" s="63">
        <v>0</v>
      </c>
      <c r="AC75" s="63">
        <v>0</v>
      </c>
      <c r="AD75" s="63">
        <v>0</v>
      </c>
      <c r="AE75" s="63">
        <v>0</v>
      </c>
      <c r="AF75" s="63">
        <v>0</v>
      </c>
      <c r="AG75" s="63">
        <v>0</v>
      </c>
      <c r="AH75" s="63">
        <v>0</v>
      </c>
      <c r="AI75" s="63">
        <v>0</v>
      </c>
      <c r="AJ75" s="63">
        <v>0</v>
      </c>
      <c r="AK75" s="63">
        <v>0</v>
      </c>
      <c r="AL75" s="63">
        <v>0</v>
      </c>
      <c r="AM75" s="63">
        <v>0</v>
      </c>
      <c r="AN75" s="63">
        <v>0</v>
      </c>
      <c r="AP75" s="533">
        <v>0</v>
      </c>
      <c r="AQ75" s="533">
        <v>0</v>
      </c>
      <c r="AR75" s="533">
        <v>0</v>
      </c>
      <c r="AS75" s="533">
        <v>0</v>
      </c>
      <c r="AT75" s="534"/>
      <c r="AU75" s="594"/>
      <c r="AV75" s="595"/>
      <c r="AW75" s="595"/>
      <c r="AX75" s="595"/>
    </row>
    <row r="76" spans="1:50" x14ac:dyDescent="0.2">
      <c r="A76" s="201">
        <v>69</v>
      </c>
      <c r="B76" s="129" t="s">
        <v>16</v>
      </c>
      <c r="C76" s="130" t="s">
        <v>742</v>
      </c>
      <c r="D76" s="131" t="s">
        <v>743</v>
      </c>
      <c r="E76" s="132" t="s">
        <v>15</v>
      </c>
      <c r="F76" s="63">
        <v>122321466</v>
      </c>
      <c r="G76" s="63">
        <v>0</v>
      </c>
      <c r="H76" s="63">
        <v>0</v>
      </c>
      <c r="I76" s="63">
        <v>0</v>
      </c>
      <c r="J76" s="63">
        <v>122321466</v>
      </c>
      <c r="K76" s="63">
        <v>-978600</v>
      </c>
      <c r="L76" s="63">
        <v>0</v>
      </c>
      <c r="M76" s="63">
        <v>0</v>
      </c>
      <c r="N76" s="63">
        <v>0</v>
      </c>
      <c r="O76" s="63">
        <v>-978600</v>
      </c>
      <c r="P76" s="63">
        <v>-1621061</v>
      </c>
      <c r="Q76" s="63">
        <v>0</v>
      </c>
      <c r="R76" s="63">
        <v>0</v>
      </c>
      <c r="S76" s="63">
        <v>0</v>
      </c>
      <c r="T76" s="63">
        <v>-1621061</v>
      </c>
      <c r="U76" s="63">
        <v>119721805</v>
      </c>
      <c r="V76" s="63">
        <v>0</v>
      </c>
      <c r="W76" s="63">
        <v>0</v>
      </c>
      <c r="X76" s="63">
        <v>0</v>
      </c>
      <c r="Y76" s="63">
        <v>119721805</v>
      </c>
      <c r="Z76" s="63">
        <v>9940</v>
      </c>
      <c r="AA76" s="63">
        <v>0</v>
      </c>
      <c r="AB76" s="63">
        <v>0</v>
      </c>
      <c r="AC76" s="63">
        <v>0</v>
      </c>
      <c r="AD76" s="63">
        <v>9940</v>
      </c>
      <c r="AE76" s="63">
        <v>0</v>
      </c>
      <c r="AF76" s="63">
        <v>0</v>
      </c>
      <c r="AG76" s="63">
        <v>0</v>
      </c>
      <c r="AH76" s="63">
        <v>0</v>
      </c>
      <c r="AI76" s="63">
        <v>0</v>
      </c>
      <c r="AJ76" s="63">
        <v>0</v>
      </c>
      <c r="AK76" s="63">
        <v>0</v>
      </c>
      <c r="AL76" s="63">
        <v>0</v>
      </c>
      <c r="AM76" s="63">
        <v>0</v>
      </c>
      <c r="AN76" s="63">
        <v>0</v>
      </c>
      <c r="AP76" s="533">
        <v>0</v>
      </c>
      <c r="AQ76" s="533">
        <v>0</v>
      </c>
      <c r="AR76" s="533">
        <v>0</v>
      </c>
      <c r="AS76" s="533">
        <v>0</v>
      </c>
      <c r="AT76" s="534"/>
      <c r="AU76" s="594"/>
      <c r="AV76" s="595"/>
      <c r="AW76" s="595"/>
      <c r="AX76" s="595"/>
    </row>
    <row r="77" spans="1:50" x14ac:dyDescent="0.2">
      <c r="A77" s="201">
        <v>70</v>
      </c>
      <c r="B77" s="129" t="s">
        <v>18</v>
      </c>
      <c r="C77" s="130" t="s">
        <v>747</v>
      </c>
      <c r="D77" s="131" t="s">
        <v>748</v>
      </c>
      <c r="E77" s="132" t="s">
        <v>17</v>
      </c>
      <c r="F77" s="63">
        <v>112064701</v>
      </c>
      <c r="G77" s="63">
        <v>0</v>
      </c>
      <c r="H77" s="63">
        <v>0</v>
      </c>
      <c r="I77" s="63">
        <v>0</v>
      </c>
      <c r="J77" s="63">
        <v>112064701</v>
      </c>
      <c r="K77" s="63">
        <v>-531202</v>
      </c>
      <c r="L77" s="63">
        <v>0</v>
      </c>
      <c r="M77" s="63">
        <v>0</v>
      </c>
      <c r="N77" s="63">
        <v>0</v>
      </c>
      <c r="O77" s="63">
        <v>-531202</v>
      </c>
      <c r="P77" s="63">
        <v>-2000000</v>
      </c>
      <c r="Q77" s="63">
        <v>0</v>
      </c>
      <c r="R77" s="63">
        <v>0</v>
      </c>
      <c r="S77" s="63">
        <v>0</v>
      </c>
      <c r="T77" s="63">
        <v>-2000000</v>
      </c>
      <c r="U77" s="63">
        <v>109533499</v>
      </c>
      <c r="V77" s="63">
        <v>0</v>
      </c>
      <c r="W77" s="63">
        <v>0</v>
      </c>
      <c r="X77" s="63">
        <v>0</v>
      </c>
      <c r="Y77" s="63">
        <v>109533499</v>
      </c>
      <c r="Z77" s="63">
        <v>0</v>
      </c>
      <c r="AA77" s="63">
        <v>0</v>
      </c>
      <c r="AB77" s="63">
        <v>0</v>
      </c>
      <c r="AC77" s="63">
        <v>0</v>
      </c>
      <c r="AD77" s="63">
        <v>0</v>
      </c>
      <c r="AE77" s="63">
        <v>0</v>
      </c>
      <c r="AF77" s="63">
        <v>0</v>
      </c>
      <c r="AG77" s="63">
        <v>0</v>
      </c>
      <c r="AH77" s="63">
        <v>0</v>
      </c>
      <c r="AI77" s="63">
        <v>0</v>
      </c>
      <c r="AJ77" s="63">
        <v>0</v>
      </c>
      <c r="AK77" s="63">
        <v>0</v>
      </c>
      <c r="AL77" s="63">
        <v>0</v>
      </c>
      <c r="AM77" s="63">
        <v>0</v>
      </c>
      <c r="AN77" s="63">
        <v>0</v>
      </c>
      <c r="AP77" s="533">
        <v>0</v>
      </c>
      <c r="AQ77" s="533">
        <v>0</v>
      </c>
      <c r="AR77" s="533">
        <v>0</v>
      </c>
      <c r="AS77" s="533">
        <v>0</v>
      </c>
      <c r="AT77" s="534"/>
      <c r="AU77" s="594"/>
      <c r="AV77" s="595"/>
      <c r="AW77" s="595"/>
      <c r="AX77" s="595"/>
    </row>
    <row r="78" spans="1:50" x14ac:dyDescent="0.2">
      <c r="A78" s="201">
        <v>71</v>
      </c>
      <c r="B78" s="129" t="s">
        <v>21</v>
      </c>
      <c r="C78" s="130" t="s">
        <v>742</v>
      </c>
      <c r="D78" s="131" t="s">
        <v>746</v>
      </c>
      <c r="E78" s="132" t="s">
        <v>19</v>
      </c>
      <c r="F78" s="63">
        <v>65790722</v>
      </c>
      <c r="G78" s="63">
        <v>0</v>
      </c>
      <c r="H78" s="63">
        <v>0</v>
      </c>
      <c r="I78" s="63">
        <v>0</v>
      </c>
      <c r="J78" s="63">
        <v>65790722</v>
      </c>
      <c r="K78" s="63">
        <v>-800000</v>
      </c>
      <c r="L78" s="63">
        <v>0</v>
      </c>
      <c r="M78" s="63">
        <v>0</v>
      </c>
      <c r="N78" s="63">
        <v>0</v>
      </c>
      <c r="O78" s="63">
        <v>-800000</v>
      </c>
      <c r="P78" s="63">
        <v>-3250000</v>
      </c>
      <c r="Q78" s="63">
        <v>0</v>
      </c>
      <c r="R78" s="63">
        <v>0</v>
      </c>
      <c r="S78" s="63">
        <v>0</v>
      </c>
      <c r="T78" s="63">
        <v>-3250000</v>
      </c>
      <c r="U78" s="63">
        <v>61740722</v>
      </c>
      <c r="V78" s="63">
        <v>0</v>
      </c>
      <c r="W78" s="63">
        <v>0</v>
      </c>
      <c r="X78" s="63">
        <v>0</v>
      </c>
      <c r="Y78" s="63">
        <v>61740722</v>
      </c>
      <c r="Z78" s="63">
        <v>0</v>
      </c>
      <c r="AA78" s="63">
        <v>0</v>
      </c>
      <c r="AB78" s="63">
        <v>0</v>
      </c>
      <c r="AC78" s="63">
        <v>0</v>
      </c>
      <c r="AD78" s="63">
        <v>0</v>
      </c>
      <c r="AE78" s="63">
        <v>0</v>
      </c>
      <c r="AF78" s="63">
        <v>0</v>
      </c>
      <c r="AG78" s="63">
        <v>0</v>
      </c>
      <c r="AH78" s="63">
        <v>0</v>
      </c>
      <c r="AI78" s="63">
        <v>0</v>
      </c>
      <c r="AJ78" s="63">
        <v>0</v>
      </c>
      <c r="AK78" s="63">
        <v>0</v>
      </c>
      <c r="AL78" s="63">
        <v>0</v>
      </c>
      <c r="AM78" s="63">
        <v>0</v>
      </c>
      <c r="AN78" s="63">
        <v>0</v>
      </c>
      <c r="AP78" s="533">
        <v>0</v>
      </c>
      <c r="AQ78" s="533">
        <v>0</v>
      </c>
      <c r="AR78" s="533">
        <v>0</v>
      </c>
      <c r="AS78" s="533">
        <v>0</v>
      </c>
      <c r="AT78" s="534"/>
      <c r="AU78" s="594"/>
      <c r="AV78" s="595"/>
      <c r="AW78" s="595"/>
      <c r="AX78" s="595"/>
    </row>
    <row r="79" spans="1:50" x14ac:dyDescent="0.2">
      <c r="A79" s="201">
        <v>72</v>
      </c>
      <c r="B79" s="129" t="s">
        <v>22</v>
      </c>
      <c r="C79" s="130" t="s">
        <v>501</v>
      </c>
      <c r="D79" s="131" t="s">
        <v>755</v>
      </c>
      <c r="E79" s="132" t="s">
        <v>527</v>
      </c>
      <c r="F79" s="63">
        <v>36385404</v>
      </c>
      <c r="G79" s="63">
        <v>147003</v>
      </c>
      <c r="H79" s="63">
        <v>0</v>
      </c>
      <c r="I79" s="63">
        <v>0</v>
      </c>
      <c r="J79" s="63">
        <v>36532407</v>
      </c>
      <c r="K79" s="63">
        <v>-500000</v>
      </c>
      <c r="L79" s="63">
        <v>0</v>
      </c>
      <c r="M79" s="63">
        <v>0</v>
      </c>
      <c r="N79" s="63">
        <v>0</v>
      </c>
      <c r="O79" s="63">
        <v>-500000</v>
      </c>
      <c r="P79" s="63">
        <v>-300000</v>
      </c>
      <c r="Q79" s="63">
        <v>0</v>
      </c>
      <c r="R79" s="63">
        <v>0</v>
      </c>
      <c r="S79" s="63">
        <v>0</v>
      </c>
      <c r="T79" s="63">
        <v>-300000</v>
      </c>
      <c r="U79" s="63">
        <v>35585404</v>
      </c>
      <c r="V79" s="63">
        <v>147003</v>
      </c>
      <c r="W79" s="63">
        <v>0</v>
      </c>
      <c r="X79" s="63">
        <v>0</v>
      </c>
      <c r="Y79" s="63">
        <v>35732407</v>
      </c>
      <c r="Z79" s="63">
        <v>0</v>
      </c>
      <c r="AA79" s="63">
        <v>0</v>
      </c>
      <c r="AB79" s="63">
        <v>0</v>
      </c>
      <c r="AC79" s="63">
        <v>0</v>
      </c>
      <c r="AD79" s="63">
        <v>0</v>
      </c>
      <c r="AE79" s="63">
        <v>0</v>
      </c>
      <c r="AF79" s="63">
        <v>0</v>
      </c>
      <c r="AG79" s="63">
        <v>0</v>
      </c>
      <c r="AH79" s="63">
        <v>30792</v>
      </c>
      <c r="AI79" s="63">
        <v>0</v>
      </c>
      <c r="AJ79" s="63">
        <v>0</v>
      </c>
      <c r="AK79" s="63">
        <v>116211</v>
      </c>
      <c r="AL79" s="63">
        <v>0</v>
      </c>
      <c r="AM79" s="63">
        <v>0</v>
      </c>
      <c r="AN79" s="63">
        <v>116211</v>
      </c>
      <c r="AP79" s="533" t="s">
        <v>768</v>
      </c>
      <c r="AQ79" s="533" t="s">
        <v>991</v>
      </c>
      <c r="AR79" s="533">
        <v>0</v>
      </c>
      <c r="AS79" s="533">
        <v>0</v>
      </c>
      <c r="AT79" s="534"/>
      <c r="AU79" s="594"/>
      <c r="AV79" s="601"/>
      <c r="AW79" s="595"/>
      <c r="AX79" s="595"/>
    </row>
    <row r="80" spans="1:50" x14ac:dyDescent="0.2">
      <c r="A80" s="201">
        <v>73</v>
      </c>
      <c r="B80" s="129" t="s">
        <v>24</v>
      </c>
      <c r="C80" s="130" t="s">
        <v>742</v>
      </c>
      <c r="D80" s="131" t="s">
        <v>743</v>
      </c>
      <c r="E80" s="132" t="s">
        <v>23</v>
      </c>
      <c r="F80" s="63">
        <v>89960815</v>
      </c>
      <c r="G80" s="63">
        <v>0</v>
      </c>
      <c r="H80" s="63">
        <v>0</v>
      </c>
      <c r="I80" s="63">
        <v>0</v>
      </c>
      <c r="J80" s="63">
        <v>89960815</v>
      </c>
      <c r="K80" s="63">
        <v>-600000</v>
      </c>
      <c r="L80" s="63">
        <v>0</v>
      </c>
      <c r="M80" s="63">
        <v>0</v>
      </c>
      <c r="N80" s="63">
        <v>0</v>
      </c>
      <c r="O80" s="63">
        <v>-600000</v>
      </c>
      <c r="P80" s="63">
        <v>-2500000</v>
      </c>
      <c r="Q80" s="63">
        <v>0</v>
      </c>
      <c r="R80" s="63">
        <v>0</v>
      </c>
      <c r="S80" s="63">
        <v>0</v>
      </c>
      <c r="T80" s="63">
        <v>-2500000</v>
      </c>
      <c r="U80" s="63">
        <v>86860815</v>
      </c>
      <c r="V80" s="63">
        <v>0</v>
      </c>
      <c r="W80" s="63">
        <v>0</v>
      </c>
      <c r="X80" s="63">
        <v>0</v>
      </c>
      <c r="Y80" s="63">
        <v>86860815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P80" s="533">
        <v>0</v>
      </c>
      <c r="AQ80" s="533">
        <v>0</v>
      </c>
      <c r="AR80" s="533">
        <v>0</v>
      </c>
      <c r="AS80" s="533">
        <v>0</v>
      </c>
      <c r="AT80" s="534"/>
      <c r="AU80" s="594"/>
      <c r="AV80" s="595"/>
      <c r="AW80" s="595"/>
      <c r="AX80" s="595"/>
    </row>
    <row r="81" spans="1:50" x14ac:dyDescent="0.2">
      <c r="A81" s="201">
        <v>74</v>
      </c>
      <c r="B81" s="129" t="s">
        <v>26</v>
      </c>
      <c r="C81" s="130" t="s">
        <v>742</v>
      </c>
      <c r="D81" s="131" t="s">
        <v>745</v>
      </c>
      <c r="E81" s="132" t="s">
        <v>25</v>
      </c>
      <c r="F81" s="63">
        <v>45127484</v>
      </c>
      <c r="G81" s="63">
        <v>0</v>
      </c>
      <c r="H81" s="63">
        <v>0</v>
      </c>
      <c r="I81" s="63">
        <v>0</v>
      </c>
      <c r="J81" s="63">
        <v>45127484</v>
      </c>
      <c r="K81" s="63">
        <v>-332158</v>
      </c>
      <c r="L81" s="63">
        <v>0</v>
      </c>
      <c r="M81" s="63">
        <v>0</v>
      </c>
      <c r="N81" s="63">
        <v>0</v>
      </c>
      <c r="O81" s="63">
        <v>-332158</v>
      </c>
      <c r="P81" s="63">
        <v>-839805</v>
      </c>
      <c r="Q81" s="63">
        <v>0</v>
      </c>
      <c r="R81" s="63">
        <v>0</v>
      </c>
      <c r="S81" s="63">
        <v>0</v>
      </c>
      <c r="T81" s="63">
        <v>-839805</v>
      </c>
      <c r="U81" s="63">
        <v>43955521</v>
      </c>
      <c r="V81" s="63">
        <v>0</v>
      </c>
      <c r="W81" s="63">
        <v>0</v>
      </c>
      <c r="X81" s="63">
        <v>0</v>
      </c>
      <c r="Y81" s="63">
        <v>43955521</v>
      </c>
      <c r="Z81" s="63">
        <v>440400</v>
      </c>
      <c r="AA81" s="63">
        <v>0</v>
      </c>
      <c r="AB81" s="63">
        <v>0</v>
      </c>
      <c r="AC81" s="63">
        <v>0</v>
      </c>
      <c r="AD81" s="63">
        <v>440400</v>
      </c>
      <c r="AE81" s="63">
        <v>0</v>
      </c>
      <c r="AF81" s="63">
        <v>0</v>
      </c>
      <c r="AG81" s="63">
        <v>0</v>
      </c>
      <c r="AH81" s="63">
        <v>0</v>
      </c>
      <c r="AI81" s="63">
        <v>0</v>
      </c>
      <c r="AJ81" s="63">
        <v>0</v>
      </c>
      <c r="AK81" s="63">
        <v>0</v>
      </c>
      <c r="AL81" s="63">
        <v>0</v>
      </c>
      <c r="AM81" s="63">
        <v>0</v>
      </c>
      <c r="AN81" s="63">
        <v>0</v>
      </c>
      <c r="AP81" s="533">
        <v>0</v>
      </c>
      <c r="AQ81" s="533">
        <v>0</v>
      </c>
      <c r="AR81" s="533">
        <v>0</v>
      </c>
      <c r="AS81" s="533">
        <v>0</v>
      </c>
      <c r="AT81" s="534"/>
      <c r="AU81" s="594"/>
      <c r="AV81" s="595"/>
      <c r="AW81" s="595"/>
      <c r="AX81" s="595"/>
    </row>
    <row r="82" spans="1:50" x14ac:dyDescent="0.2">
      <c r="A82" s="201">
        <v>75</v>
      </c>
      <c r="B82" s="129" t="s">
        <v>27</v>
      </c>
      <c r="C82" s="130" t="s">
        <v>501</v>
      </c>
      <c r="D82" s="131" t="s">
        <v>745</v>
      </c>
      <c r="E82" s="132" t="s">
        <v>520</v>
      </c>
      <c r="F82" s="63">
        <v>95521082</v>
      </c>
      <c r="G82" s="63">
        <v>0</v>
      </c>
      <c r="H82" s="63">
        <v>15000</v>
      </c>
      <c r="I82" s="63">
        <v>0</v>
      </c>
      <c r="J82" s="63">
        <v>95536082</v>
      </c>
      <c r="K82" s="63">
        <v>-1910422</v>
      </c>
      <c r="L82" s="63">
        <v>0</v>
      </c>
      <c r="M82" s="63">
        <v>0</v>
      </c>
      <c r="N82" s="63">
        <v>0</v>
      </c>
      <c r="O82" s="63">
        <v>-1910422</v>
      </c>
      <c r="P82" s="63">
        <v>-1724163</v>
      </c>
      <c r="Q82" s="63">
        <v>0</v>
      </c>
      <c r="R82" s="63">
        <v>0</v>
      </c>
      <c r="S82" s="63">
        <v>0</v>
      </c>
      <c r="T82" s="63">
        <v>-1724163</v>
      </c>
      <c r="U82" s="63">
        <v>91886497</v>
      </c>
      <c r="V82" s="63">
        <v>0</v>
      </c>
      <c r="W82" s="63">
        <v>15000</v>
      </c>
      <c r="X82" s="63">
        <v>0</v>
      </c>
      <c r="Y82" s="63">
        <v>91901497</v>
      </c>
      <c r="Z82" s="63">
        <v>750000</v>
      </c>
      <c r="AA82" s="63">
        <v>0</v>
      </c>
      <c r="AB82" s="63">
        <v>0</v>
      </c>
      <c r="AC82" s="63">
        <v>0</v>
      </c>
      <c r="AD82" s="63">
        <v>750000</v>
      </c>
      <c r="AE82" s="63">
        <v>0</v>
      </c>
      <c r="AF82" s="63">
        <v>0</v>
      </c>
      <c r="AG82" s="63">
        <v>0</v>
      </c>
      <c r="AH82" s="63">
        <v>0</v>
      </c>
      <c r="AI82" s="63">
        <v>0</v>
      </c>
      <c r="AJ82" s="63">
        <v>0</v>
      </c>
      <c r="AK82" s="63">
        <v>0</v>
      </c>
      <c r="AL82" s="63">
        <v>15000</v>
      </c>
      <c r="AM82" s="63">
        <v>0</v>
      </c>
      <c r="AN82" s="63">
        <v>15000</v>
      </c>
      <c r="AP82" s="533" t="s">
        <v>768</v>
      </c>
      <c r="AQ82" s="533" t="s">
        <v>776</v>
      </c>
      <c r="AR82" s="533" t="s">
        <v>992</v>
      </c>
      <c r="AS82" s="533">
        <v>0</v>
      </c>
      <c r="AT82" s="534"/>
      <c r="AU82" s="594"/>
      <c r="AV82" s="595"/>
      <c r="AW82" s="595"/>
      <c r="AX82" s="595"/>
    </row>
    <row r="83" spans="1:50" x14ac:dyDescent="0.2">
      <c r="A83" s="201">
        <v>76</v>
      </c>
      <c r="B83" s="129" t="s">
        <v>29</v>
      </c>
      <c r="C83" s="130" t="s">
        <v>742</v>
      </c>
      <c r="D83" s="131" t="s">
        <v>745</v>
      </c>
      <c r="E83" s="132" t="s">
        <v>28</v>
      </c>
      <c r="F83" s="63">
        <v>18523264</v>
      </c>
      <c r="G83" s="63">
        <v>0</v>
      </c>
      <c r="H83" s="63">
        <v>0</v>
      </c>
      <c r="I83" s="63">
        <v>0</v>
      </c>
      <c r="J83" s="63">
        <v>18523264</v>
      </c>
      <c r="K83" s="63">
        <v>-337000</v>
      </c>
      <c r="L83" s="63">
        <v>0</v>
      </c>
      <c r="M83" s="63">
        <v>0</v>
      </c>
      <c r="N83" s="63">
        <v>0</v>
      </c>
      <c r="O83" s="63">
        <v>-337000</v>
      </c>
      <c r="P83" s="63">
        <v>-122114</v>
      </c>
      <c r="Q83" s="63">
        <v>0</v>
      </c>
      <c r="R83" s="63">
        <v>0</v>
      </c>
      <c r="S83" s="63">
        <v>0</v>
      </c>
      <c r="T83" s="63">
        <v>-122114</v>
      </c>
      <c r="U83" s="63">
        <v>18064150</v>
      </c>
      <c r="V83" s="63">
        <v>0</v>
      </c>
      <c r="W83" s="63">
        <v>0</v>
      </c>
      <c r="X83" s="63">
        <v>0</v>
      </c>
      <c r="Y83" s="63">
        <v>18064150</v>
      </c>
      <c r="Z83" s="63">
        <v>158888</v>
      </c>
      <c r="AA83" s="63">
        <v>0</v>
      </c>
      <c r="AB83" s="63">
        <v>0</v>
      </c>
      <c r="AC83" s="63">
        <v>0</v>
      </c>
      <c r="AD83" s="63">
        <v>158888</v>
      </c>
      <c r="AE83" s="63">
        <v>0</v>
      </c>
      <c r="AF83" s="63">
        <v>0</v>
      </c>
      <c r="AG83" s="63">
        <v>0</v>
      </c>
      <c r="AH83" s="63">
        <v>0</v>
      </c>
      <c r="AI83" s="63">
        <v>0</v>
      </c>
      <c r="AJ83" s="63">
        <v>0</v>
      </c>
      <c r="AK83" s="63">
        <v>0</v>
      </c>
      <c r="AL83" s="63">
        <v>0</v>
      </c>
      <c r="AM83" s="63">
        <v>0</v>
      </c>
      <c r="AN83" s="63">
        <v>0</v>
      </c>
      <c r="AP83" s="533">
        <v>0</v>
      </c>
      <c r="AQ83" s="533">
        <v>0</v>
      </c>
      <c r="AR83" s="533">
        <v>0</v>
      </c>
      <c r="AS83" s="533">
        <v>0</v>
      </c>
      <c r="AT83" s="534"/>
      <c r="AU83" s="594"/>
      <c r="AV83" s="595"/>
      <c r="AW83" s="595"/>
      <c r="AX83" s="595"/>
    </row>
    <row r="84" spans="1:50" x14ac:dyDescent="0.2">
      <c r="A84" s="201">
        <v>77</v>
      </c>
      <c r="B84" s="129" t="s">
        <v>31</v>
      </c>
      <c r="C84" s="130" t="s">
        <v>749</v>
      </c>
      <c r="D84" s="131" t="s">
        <v>750</v>
      </c>
      <c r="E84" s="132" t="s">
        <v>30</v>
      </c>
      <c r="F84" s="63">
        <v>101469520</v>
      </c>
      <c r="G84" s="63">
        <v>0</v>
      </c>
      <c r="H84" s="63">
        <v>0</v>
      </c>
      <c r="I84" s="63">
        <v>0</v>
      </c>
      <c r="J84" s="63">
        <v>101469520</v>
      </c>
      <c r="K84" s="63">
        <v>-1522043</v>
      </c>
      <c r="L84" s="63">
        <v>0</v>
      </c>
      <c r="M84" s="63">
        <v>0</v>
      </c>
      <c r="N84" s="63">
        <v>0</v>
      </c>
      <c r="O84" s="63">
        <v>-1522043</v>
      </c>
      <c r="P84" s="63">
        <v>-2054683</v>
      </c>
      <c r="Q84" s="63">
        <v>0</v>
      </c>
      <c r="R84" s="63">
        <v>0</v>
      </c>
      <c r="S84" s="63">
        <v>0</v>
      </c>
      <c r="T84" s="63">
        <v>-2054683</v>
      </c>
      <c r="U84" s="63">
        <v>97892794</v>
      </c>
      <c r="V84" s="63">
        <v>0</v>
      </c>
      <c r="W84" s="63">
        <v>0</v>
      </c>
      <c r="X84" s="63">
        <v>0</v>
      </c>
      <c r="Y84" s="63">
        <v>97892794</v>
      </c>
      <c r="Z84" s="63">
        <v>153141</v>
      </c>
      <c r="AA84" s="63">
        <v>0</v>
      </c>
      <c r="AB84" s="63">
        <v>0</v>
      </c>
      <c r="AC84" s="63">
        <v>0</v>
      </c>
      <c r="AD84" s="63">
        <v>153141</v>
      </c>
      <c r="AE84" s="63">
        <v>0</v>
      </c>
      <c r="AF84" s="63">
        <v>0</v>
      </c>
      <c r="AG84" s="63">
        <v>0</v>
      </c>
      <c r="AH84" s="63">
        <v>0</v>
      </c>
      <c r="AI84" s="63">
        <v>0</v>
      </c>
      <c r="AJ84" s="63">
        <v>0</v>
      </c>
      <c r="AK84" s="63">
        <v>0</v>
      </c>
      <c r="AL84" s="63">
        <v>0</v>
      </c>
      <c r="AM84" s="63">
        <v>0</v>
      </c>
      <c r="AN84" s="63">
        <v>0</v>
      </c>
      <c r="AP84" s="533">
        <v>0</v>
      </c>
      <c r="AQ84" s="533">
        <v>0</v>
      </c>
      <c r="AR84" s="533">
        <v>0</v>
      </c>
      <c r="AS84" s="533">
        <v>0</v>
      </c>
      <c r="AT84" s="534"/>
      <c r="AU84" s="597"/>
      <c r="AV84" s="598"/>
      <c r="AW84" s="598"/>
      <c r="AX84" s="598"/>
    </row>
    <row r="85" spans="1:50" x14ac:dyDescent="0.2">
      <c r="A85" s="201">
        <v>78</v>
      </c>
      <c r="B85" s="129" t="s">
        <v>39</v>
      </c>
      <c r="C85" s="130" t="s">
        <v>742</v>
      </c>
      <c r="D85" s="131" t="s">
        <v>743</v>
      </c>
      <c r="E85" s="132" t="s">
        <v>38</v>
      </c>
      <c r="F85" s="63">
        <v>35622000</v>
      </c>
      <c r="G85" s="63">
        <v>0</v>
      </c>
      <c r="H85" s="63">
        <v>0</v>
      </c>
      <c r="I85" s="63">
        <v>0</v>
      </c>
      <c r="J85" s="63">
        <v>35622000</v>
      </c>
      <c r="K85" s="63">
        <v>-402172</v>
      </c>
      <c r="L85" s="63">
        <v>0</v>
      </c>
      <c r="M85" s="63">
        <v>0</v>
      </c>
      <c r="N85" s="63">
        <v>0</v>
      </c>
      <c r="O85" s="63">
        <v>-402172</v>
      </c>
      <c r="P85" s="63">
        <v>-600000</v>
      </c>
      <c r="Q85" s="63">
        <v>0</v>
      </c>
      <c r="R85" s="63">
        <v>0</v>
      </c>
      <c r="S85" s="63">
        <v>0</v>
      </c>
      <c r="T85" s="63">
        <v>-600000</v>
      </c>
      <c r="U85" s="63">
        <v>34619828</v>
      </c>
      <c r="V85" s="63">
        <v>0</v>
      </c>
      <c r="W85" s="63">
        <v>0</v>
      </c>
      <c r="X85" s="63">
        <v>0</v>
      </c>
      <c r="Y85" s="63">
        <v>34619828</v>
      </c>
      <c r="Z85" s="63">
        <v>0</v>
      </c>
      <c r="AA85" s="63">
        <v>0</v>
      </c>
      <c r="AB85" s="63">
        <v>0</v>
      </c>
      <c r="AC85" s="63">
        <v>0</v>
      </c>
      <c r="AD85" s="63">
        <v>0</v>
      </c>
      <c r="AE85" s="63">
        <v>0</v>
      </c>
      <c r="AF85" s="63">
        <v>0</v>
      </c>
      <c r="AG85" s="63">
        <v>0</v>
      </c>
      <c r="AH85" s="63">
        <v>0</v>
      </c>
      <c r="AI85" s="63">
        <v>0</v>
      </c>
      <c r="AJ85" s="63">
        <v>0</v>
      </c>
      <c r="AK85" s="63">
        <v>0</v>
      </c>
      <c r="AL85" s="63">
        <v>0</v>
      </c>
      <c r="AM85" s="63">
        <v>0</v>
      </c>
      <c r="AN85" s="63">
        <v>0</v>
      </c>
      <c r="AP85" s="533">
        <v>0</v>
      </c>
      <c r="AQ85" s="533">
        <v>0</v>
      </c>
      <c r="AR85" s="533">
        <v>0</v>
      </c>
      <c r="AS85" s="533">
        <v>0</v>
      </c>
      <c r="AT85" s="534"/>
      <c r="AU85" s="594"/>
      <c r="AV85" s="595"/>
      <c r="AW85" s="595"/>
      <c r="AX85" s="595"/>
    </row>
    <row r="86" spans="1:50" x14ac:dyDescent="0.2">
      <c r="A86" s="201">
        <v>79</v>
      </c>
      <c r="B86" s="129" t="s">
        <v>41</v>
      </c>
      <c r="C86" s="130" t="s">
        <v>749</v>
      </c>
      <c r="D86" s="131" t="s">
        <v>752</v>
      </c>
      <c r="E86" s="132" t="s">
        <v>40</v>
      </c>
      <c r="F86" s="63">
        <v>98305641</v>
      </c>
      <c r="G86" s="63">
        <v>0</v>
      </c>
      <c r="H86" s="63">
        <v>0</v>
      </c>
      <c r="I86" s="63">
        <v>0</v>
      </c>
      <c r="J86" s="63">
        <v>98305641</v>
      </c>
      <c r="K86" s="63">
        <v>-1600000</v>
      </c>
      <c r="L86" s="63">
        <v>0</v>
      </c>
      <c r="M86" s="63">
        <v>0</v>
      </c>
      <c r="N86" s="63">
        <v>0</v>
      </c>
      <c r="O86" s="63">
        <v>-1600000</v>
      </c>
      <c r="P86" s="63">
        <v>-3000000</v>
      </c>
      <c r="Q86" s="63">
        <v>0</v>
      </c>
      <c r="R86" s="63">
        <v>0</v>
      </c>
      <c r="S86" s="63">
        <v>0</v>
      </c>
      <c r="T86" s="63">
        <v>-3000000</v>
      </c>
      <c r="U86" s="63">
        <v>93705641</v>
      </c>
      <c r="V86" s="63">
        <v>0</v>
      </c>
      <c r="W86" s="63">
        <v>0</v>
      </c>
      <c r="X86" s="63">
        <v>0</v>
      </c>
      <c r="Y86" s="63">
        <v>93705641</v>
      </c>
      <c r="Z86" s="63">
        <v>0</v>
      </c>
      <c r="AA86" s="63">
        <v>0</v>
      </c>
      <c r="AB86" s="63">
        <v>0</v>
      </c>
      <c r="AC86" s="63">
        <v>0</v>
      </c>
      <c r="AD86" s="63">
        <v>0</v>
      </c>
      <c r="AE86" s="63">
        <v>0</v>
      </c>
      <c r="AF86" s="63">
        <v>0</v>
      </c>
      <c r="AG86" s="63">
        <v>0</v>
      </c>
      <c r="AH86" s="63">
        <v>0</v>
      </c>
      <c r="AI86" s="63">
        <v>0</v>
      </c>
      <c r="AJ86" s="63">
        <v>0</v>
      </c>
      <c r="AK86" s="63">
        <v>0</v>
      </c>
      <c r="AL86" s="63">
        <v>0</v>
      </c>
      <c r="AM86" s="63">
        <v>0</v>
      </c>
      <c r="AN86" s="63">
        <v>0</v>
      </c>
      <c r="AP86" s="533">
        <v>0</v>
      </c>
      <c r="AQ86" s="533">
        <v>0</v>
      </c>
      <c r="AR86" s="533">
        <v>0</v>
      </c>
      <c r="AS86" s="533">
        <v>0</v>
      </c>
      <c r="AT86" s="534"/>
      <c r="AU86" s="594"/>
      <c r="AV86" s="595"/>
      <c r="AW86" s="595"/>
      <c r="AX86" s="595"/>
    </row>
    <row r="87" spans="1:50" x14ac:dyDescent="0.2">
      <c r="A87" s="201">
        <v>80</v>
      </c>
      <c r="B87" s="129" t="s">
        <v>43</v>
      </c>
      <c r="C87" s="130" t="s">
        <v>501</v>
      </c>
      <c r="D87" s="131" t="s">
        <v>755</v>
      </c>
      <c r="E87" s="132" t="s">
        <v>42</v>
      </c>
      <c r="F87" s="63">
        <v>119296819</v>
      </c>
      <c r="G87" s="63">
        <v>0</v>
      </c>
      <c r="H87" s="63">
        <v>0</v>
      </c>
      <c r="I87" s="63">
        <v>0</v>
      </c>
      <c r="J87" s="63">
        <v>119296819</v>
      </c>
      <c r="K87" s="63">
        <v>-1770186</v>
      </c>
      <c r="L87" s="63">
        <v>0</v>
      </c>
      <c r="M87" s="63">
        <v>0</v>
      </c>
      <c r="N87" s="63">
        <v>0</v>
      </c>
      <c r="O87" s="63">
        <v>-1770186</v>
      </c>
      <c r="P87" s="63">
        <v>-5049010</v>
      </c>
      <c r="Q87" s="63">
        <v>0</v>
      </c>
      <c r="R87" s="63">
        <v>0</v>
      </c>
      <c r="S87" s="63">
        <v>0</v>
      </c>
      <c r="T87" s="63">
        <v>-5049010</v>
      </c>
      <c r="U87" s="63">
        <v>112477623</v>
      </c>
      <c r="V87" s="63">
        <v>0</v>
      </c>
      <c r="W87" s="63">
        <v>0</v>
      </c>
      <c r="X87" s="63">
        <v>0</v>
      </c>
      <c r="Y87" s="63">
        <v>112477623</v>
      </c>
      <c r="Z87" s="63">
        <v>41130</v>
      </c>
      <c r="AA87" s="63">
        <v>0</v>
      </c>
      <c r="AB87" s="63">
        <v>0</v>
      </c>
      <c r="AC87" s="63">
        <v>0</v>
      </c>
      <c r="AD87" s="63">
        <v>41130</v>
      </c>
      <c r="AE87" s="63">
        <v>0</v>
      </c>
      <c r="AF87" s="63">
        <v>0</v>
      </c>
      <c r="AG87" s="63">
        <v>0</v>
      </c>
      <c r="AH87" s="63">
        <v>0</v>
      </c>
      <c r="AI87" s="63">
        <v>0</v>
      </c>
      <c r="AJ87" s="63">
        <v>0</v>
      </c>
      <c r="AK87" s="63">
        <v>0</v>
      </c>
      <c r="AL87" s="63">
        <v>0</v>
      </c>
      <c r="AM87" s="63">
        <v>0</v>
      </c>
      <c r="AN87" s="63">
        <v>0</v>
      </c>
      <c r="AP87" s="533">
        <v>0</v>
      </c>
      <c r="AQ87" s="533">
        <v>0</v>
      </c>
      <c r="AR87" s="533">
        <v>0</v>
      </c>
      <c r="AS87" s="533">
        <v>0</v>
      </c>
      <c r="AT87" s="534"/>
      <c r="AU87" s="594"/>
      <c r="AV87" s="595"/>
      <c r="AW87" s="595"/>
      <c r="AX87" s="595"/>
    </row>
    <row r="88" spans="1:50" x14ac:dyDescent="0.2">
      <c r="A88" s="201">
        <v>81</v>
      </c>
      <c r="B88" s="129" t="s">
        <v>45</v>
      </c>
      <c r="C88" s="130" t="s">
        <v>747</v>
      </c>
      <c r="D88" s="131" t="s">
        <v>748</v>
      </c>
      <c r="E88" s="132" t="s">
        <v>44</v>
      </c>
      <c r="F88" s="63">
        <v>155577431</v>
      </c>
      <c r="G88" s="63">
        <v>0</v>
      </c>
      <c r="H88" s="63">
        <v>0</v>
      </c>
      <c r="I88" s="63">
        <v>0</v>
      </c>
      <c r="J88" s="63">
        <v>155577431</v>
      </c>
      <c r="K88" s="63">
        <v>-5175277</v>
      </c>
      <c r="L88" s="63">
        <v>0</v>
      </c>
      <c r="M88" s="63">
        <v>0</v>
      </c>
      <c r="N88" s="63">
        <v>0</v>
      </c>
      <c r="O88" s="63">
        <v>-5175277</v>
      </c>
      <c r="P88" s="63">
        <v>-6892095</v>
      </c>
      <c r="Q88" s="63">
        <v>0</v>
      </c>
      <c r="R88" s="63">
        <v>0</v>
      </c>
      <c r="S88" s="63">
        <v>0</v>
      </c>
      <c r="T88" s="63">
        <v>-6892095</v>
      </c>
      <c r="U88" s="63">
        <v>143510059</v>
      </c>
      <c r="V88" s="63">
        <v>0</v>
      </c>
      <c r="W88" s="63">
        <v>0</v>
      </c>
      <c r="X88" s="63">
        <v>0</v>
      </c>
      <c r="Y88" s="63">
        <v>143510059</v>
      </c>
      <c r="Z88" s="63">
        <v>0</v>
      </c>
      <c r="AA88" s="63">
        <v>0</v>
      </c>
      <c r="AB88" s="63">
        <v>0</v>
      </c>
      <c r="AC88" s="63">
        <v>0</v>
      </c>
      <c r="AD88" s="63">
        <v>0</v>
      </c>
      <c r="AE88" s="63">
        <v>0</v>
      </c>
      <c r="AF88" s="63">
        <v>0</v>
      </c>
      <c r="AG88" s="63">
        <v>0</v>
      </c>
      <c r="AH88" s="63">
        <v>0</v>
      </c>
      <c r="AI88" s="63">
        <v>0</v>
      </c>
      <c r="AJ88" s="63">
        <v>0</v>
      </c>
      <c r="AK88" s="63">
        <v>0</v>
      </c>
      <c r="AL88" s="63">
        <v>0</v>
      </c>
      <c r="AM88" s="63">
        <v>0</v>
      </c>
      <c r="AN88" s="63">
        <v>0</v>
      </c>
      <c r="AP88" s="533">
        <v>0</v>
      </c>
      <c r="AQ88" s="533">
        <v>0</v>
      </c>
      <c r="AR88" s="533">
        <v>0</v>
      </c>
      <c r="AS88" s="533">
        <v>0</v>
      </c>
      <c r="AT88" s="534"/>
      <c r="AU88" s="594"/>
      <c r="AV88" s="595"/>
      <c r="AW88" s="595"/>
      <c r="AX88" s="595"/>
    </row>
    <row r="89" spans="1:50" x14ac:dyDescent="0.2">
      <c r="A89" s="201">
        <v>82</v>
      </c>
      <c r="B89" s="129" t="s">
        <v>47</v>
      </c>
      <c r="C89" s="130" t="s">
        <v>742</v>
      </c>
      <c r="D89" s="131" t="s">
        <v>746</v>
      </c>
      <c r="E89" s="132" t="s">
        <v>46</v>
      </c>
      <c r="F89" s="63">
        <v>19564873</v>
      </c>
      <c r="G89" s="63">
        <v>0</v>
      </c>
      <c r="H89" s="63">
        <v>0</v>
      </c>
      <c r="I89" s="63">
        <v>0</v>
      </c>
      <c r="J89" s="63">
        <v>19564873</v>
      </c>
      <c r="K89" s="63">
        <v>-97824</v>
      </c>
      <c r="L89" s="63">
        <v>0</v>
      </c>
      <c r="M89" s="63">
        <v>0</v>
      </c>
      <c r="N89" s="63">
        <v>0</v>
      </c>
      <c r="O89" s="63">
        <v>-97824</v>
      </c>
      <c r="P89" s="63">
        <v>-201634</v>
      </c>
      <c r="Q89" s="63">
        <v>0</v>
      </c>
      <c r="R89" s="63">
        <v>0</v>
      </c>
      <c r="S89" s="63">
        <v>0</v>
      </c>
      <c r="T89" s="63">
        <v>-201634</v>
      </c>
      <c r="U89" s="63">
        <v>19265415</v>
      </c>
      <c r="V89" s="63">
        <v>0</v>
      </c>
      <c r="W89" s="63">
        <v>0</v>
      </c>
      <c r="X89" s="63">
        <v>0</v>
      </c>
      <c r="Y89" s="63">
        <v>19265415</v>
      </c>
      <c r="Z89" s="63">
        <v>158543</v>
      </c>
      <c r="AA89" s="63">
        <v>0</v>
      </c>
      <c r="AB89" s="63">
        <v>0</v>
      </c>
      <c r="AC89" s="63">
        <v>0</v>
      </c>
      <c r="AD89" s="63">
        <v>158543</v>
      </c>
      <c r="AE89" s="63">
        <v>0</v>
      </c>
      <c r="AF89" s="63">
        <v>0</v>
      </c>
      <c r="AG89" s="63">
        <v>0</v>
      </c>
      <c r="AH89" s="63">
        <v>0</v>
      </c>
      <c r="AI89" s="63">
        <v>0</v>
      </c>
      <c r="AJ89" s="63">
        <v>0</v>
      </c>
      <c r="AK89" s="63">
        <v>0</v>
      </c>
      <c r="AL89" s="63">
        <v>0</v>
      </c>
      <c r="AM89" s="63">
        <v>0</v>
      </c>
      <c r="AN89" s="63">
        <v>0</v>
      </c>
      <c r="AP89" s="533" t="s">
        <v>768</v>
      </c>
      <c r="AQ89" s="533" t="s">
        <v>993</v>
      </c>
      <c r="AR89" s="533">
        <v>0</v>
      </c>
      <c r="AS89" s="533">
        <v>0</v>
      </c>
      <c r="AT89" s="534"/>
      <c r="AU89" s="594"/>
      <c r="AV89" s="599"/>
      <c r="AW89" s="595"/>
      <c r="AX89" s="595"/>
    </row>
    <row r="90" spans="1:50" x14ac:dyDescent="0.2">
      <c r="A90" s="201">
        <v>83</v>
      </c>
      <c r="B90" s="129" t="s">
        <v>49</v>
      </c>
      <c r="C90" s="130" t="s">
        <v>742</v>
      </c>
      <c r="D90" s="131" t="s">
        <v>751</v>
      </c>
      <c r="E90" s="132" t="s">
        <v>48</v>
      </c>
      <c r="F90" s="63">
        <v>34421502</v>
      </c>
      <c r="G90" s="63">
        <v>0</v>
      </c>
      <c r="H90" s="63">
        <v>0</v>
      </c>
      <c r="I90" s="63">
        <v>0</v>
      </c>
      <c r="J90" s="63">
        <v>34421502</v>
      </c>
      <c r="K90" s="63">
        <v>-100000</v>
      </c>
      <c r="L90" s="63">
        <v>0</v>
      </c>
      <c r="M90" s="63">
        <v>0</v>
      </c>
      <c r="N90" s="63">
        <v>0</v>
      </c>
      <c r="O90" s="63">
        <v>-100000</v>
      </c>
      <c r="P90" s="63">
        <v>-574882</v>
      </c>
      <c r="Q90" s="63">
        <v>0</v>
      </c>
      <c r="R90" s="63">
        <v>0</v>
      </c>
      <c r="S90" s="63">
        <v>0</v>
      </c>
      <c r="T90" s="63">
        <v>-574882</v>
      </c>
      <c r="U90" s="63">
        <v>33746620</v>
      </c>
      <c r="V90" s="63">
        <v>0</v>
      </c>
      <c r="W90" s="63">
        <v>0</v>
      </c>
      <c r="X90" s="63">
        <v>0</v>
      </c>
      <c r="Y90" s="63">
        <v>33746620</v>
      </c>
      <c r="Z90" s="63">
        <v>209803</v>
      </c>
      <c r="AA90" s="63">
        <v>0</v>
      </c>
      <c r="AB90" s="63">
        <v>0</v>
      </c>
      <c r="AC90" s="63">
        <v>0</v>
      </c>
      <c r="AD90" s="63">
        <v>209803</v>
      </c>
      <c r="AE90" s="63">
        <v>0</v>
      </c>
      <c r="AF90" s="63">
        <v>0</v>
      </c>
      <c r="AG90" s="63">
        <v>0</v>
      </c>
      <c r="AH90" s="63">
        <v>0</v>
      </c>
      <c r="AI90" s="63">
        <v>0</v>
      </c>
      <c r="AJ90" s="63">
        <v>0</v>
      </c>
      <c r="AK90" s="63">
        <v>0</v>
      </c>
      <c r="AL90" s="63">
        <v>0</v>
      </c>
      <c r="AM90" s="63">
        <v>0</v>
      </c>
      <c r="AN90" s="63">
        <v>0</v>
      </c>
      <c r="AP90" s="533">
        <v>0</v>
      </c>
      <c r="AQ90" s="533">
        <v>0</v>
      </c>
      <c r="AR90" s="533">
        <v>0</v>
      </c>
      <c r="AS90" s="533">
        <v>0</v>
      </c>
      <c r="AT90" s="534"/>
      <c r="AU90" s="594"/>
      <c r="AV90" s="599"/>
      <c r="AW90" s="595"/>
      <c r="AX90" s="595"/>
    </row>
    <row r="91" spans="1:50" x14ac:dyDescent="0.2">
      <c r="A91" s="201">
        <v>84</v>
      </c>
      <c r="B91" s="129" t="s">
        <v>51</v>
      </c>
      <c r="C91" s="130" t="s">
        <v>742</v>
      </c>
      <c r="D91" s="131" t="s">
        <v>751</v>
      </c>
      <c r="E91" s="132" t="s">
        <v>50</v>
      </c>
      <c r="F91" s="63">
        <v>22791147</v>
      </c>
      <c r="G91" s="63">
        <v>0</v>
      </c>
      <c r="H91" s="63">
        <v>0</v>
      </c>
      <c r="I91" s="63">
        <v>0</v>
      </c>
      <c r="J91" s="63">
        <v>22791147</v>
      </c>
      <c r="K91" s="63">
        <v>-200000</v>
      </c>
      <c r="L91" s="63">
        <v>0</v>
      </c>
      <c r="M91" s="63">
        <v>0</v>
      </c>
      <c r="N91" s="63">
        <v>0</v>
      </c>
      <c r="O91" s="63">
        <v>-200000</v>
      </c>
      <c r="P91" s="63">
        <v>-379718</v>
      </c>
      <c r="Q91" s="63">
        <v>0</v>
      </c>
      <c r="R91" s="63">
        <v>0</v>
      </c>
      <c r="S91" s="63">
        <v>0</v>
      </c>
      <c r="T91" s="63">
        <v>-379718</v>
      </c>
      <c r="U91" s="63">
        <v>22211429</v>
      </c>
      <c r="V91" s="63">
        <v>0</v>
      </c>
      <c r="W91" s="63">
        <v>0</v>
      </c>
      <c r="X91" s="63">
        <v>0</v>
      </c>
      <c r="Y91" s="63">
        <v>22211429</v>
      </c>
      <c r="Z91" s="63">
        <v>217895</v>
      </c>
      <c r="AA91" s="63">
        <v>0</v>
      </c>
      <c r="AB91" s="63">
        <v>0</v>
      </c>
      <c r="AC91" s="63">
        <v>0</v>
      </c>
      <c r="AD91" s="63">
        <v>217895</v>
      </c>
      <c r="AE91" s="63">
        <v>0</v>
      </c>
      <c r="AF91" s="63">
        <v>0</v>
      </c>
      <c r="AG91" s="63">
        <v>0</v>
      </c>
      <c r="AH91" s="63">
        <v>0</v>
      </c>
      <c r="AI91" s="63">
        <v>0</v>
      </c>
      <c r="AJ91" s="63">
        <v>0</v>
      </c>
      <c r="AK91" s="63">
        <v>0</v>
      </c>
      <c r="AL91" s="63">
        <v>0</v>
      </c>
      <c r="AM91" s="63">
        <v>0</v>
      </c>
      <c r="AN91" s="63">
        <v>0</v>
      </c>
      <c r="AP91" s="533">
        <v>0</v>
      </c>
      <c r="AQ91" s="533">
        <v>0</v>
      </c>
      <c r="AR91" s="533">
        <v>0</v>
      </c>
      <c r="AS91" s="533">
        <v>0</v>
      </c>
      <c r="AT91" s="534"/>
      <c r="AU91" s="594"/>
      <c r="AV91" s="595"/>
      <c r="AW91" s="595"/>
      <c r="AX91" s="595"/>
    </row>
    <row r="92" spans="1:50" x14ac:dyDescent="0.2">
      <c r="A92" s="201">
        <v>85</v>
      </c>
      <c r="B92" s="129" t="s">
        <v>53</v>
      </c>
      <c r="C92" s="130" t="s">
        <v>742</v>
      </c>
      <c r="D92" s="131" t="s">
        <v>743</v>
      </c>
      <c r="E92" s="132" t="s">
        <v>52</v>
      </c>
      <c r="F92" s="63">
        <v>30197699.440000005</v>
      </c>
      <c r="G92" s="63">
        <v>0</v>
      </c>
      <c r="H92" s="63">
        <v>0</v>
      </c>
      <c r="I92" s="63">
        <v>0</v>
      </c>
      <c r="J92" s="63">
        <v>30197699.440000005</v>
      </c>
      <c r="K92" s="63">
        <v>-175000</v>
      </c>
      <c r="L92" s="63">
        <v>0</v>
      </c>
      <c r="M92" s="63">
        <v>0</v>
      </c>
      <c r="N92" s="63">
        <v>0</v>
      </c>
      <c r="O92" s="63">
        <v>-175000</v>
      </c>
      <c r="P92" s="63">
        <v>-250000</v>
      </c>
      <c r="Q92" s="63">
        <v>0</v>
      </c>
      <c r="R92" s="63">
        <v>0</v>
      </c>
      <c r="S92" s="63">
        <v>0</v>
      </c>
      <c r="T92" s="63">
        <v>-250000</v>
      </c>
      <c r="U92" s="63">
        <v>29772699.440000005</v>
      </c>
      <c r="V92" s="63">
        <v>0</v>
      </c>
      <c r="W92" s="63">
        <v>0</v>
      </c>
      <c r="X92" s="63">
        <v>0</v>
      </c>
      <c r="Y92" s="63">
        <v>29772699.440000005</v>
      </c>
      <c r="Z92" s="63">
        <v>0</v>
      </c>
      <c r="AA92" s="63">
        <v>0</v>
      </c>
      <c r="AB92" s="63">
        <v>0</v>
      </c>
      <c r="AC92" s="63">
        <v>0</v>
      </c>
      <c r="AD92" s="63">
        <v>0</v>
      </c>
      <c r="AE92" s="63">
        <v>0</v>
      </c>
      <c r="AF92" s="63">
        <v>0</v>
      </c>
      <c r="AG92" s="63">
        <v>0</v>
      </c>
      <c r="AH92" s="63">
        <v>0</v>
      </c>
      <c r="AI92" s="63">
        <v>0</v>
      </c>
      <c r="AJ92" s="63">
        <v>0</v>
      </c>
      <c r="AK92" s="63">
        <v>0</v>
      </c>
      <c r="AL92" s="63">
        <v>0</v>
      </c>
      <c r="AM92" s="63">
        <v>0</v>
      </c>
      <c r="AN92" s="63">
        <v>0</v>
      </c>
      <c r="AP92" s="533">
        <v>0</v>
      </c>
      <c r="AQ92" s="533">
        <v>0</v>
      </c>
      <c r="AR92" s="533">
        <v>0</v>
      </c>
      <c r="AS92" s="533">
        <v>0</v>
      </c>
      <c r="AT92" s="534"/>
      <c r="AU92" s="594"/>
      <c r="AV92" s="599"/>
      <c r="AW92" s="595"/>
      <c r="AX92" s="595"/>
    </row>
    <row r="93" spans="1:50" x14ac:dyDescent="0.2">
      <c r="A93" s="201">
        <v>86</v>
      </c>
      <c r="B93" s="129" t="s">
        <v>55</v>
      </c>
      <c r="C93" s="130" t="s">
        <v>742</v>
      </c>
      <c r="D93" s="131" t="s">
        <v>746</v>
      </c>
      <c r="E93" s="132" t="s">
        <v>54</v>
      </c>
      <c r="F93" s="63">
        <v>45352328</v>
      </c>
      <c r="G93" s="63">
        <v>0</v>
      </c>
      <c r="H93" s="63">
        <v>0</v>
      </c>
      <c r="I93" s="63">
        <v>0</v>
      </c>
      <c r="J93" s="63">
        <v>45352328</v>
      </c>
      <c r="K93" s="63">
        <v>-317466</v>
      </c>
      <c r="L93" s="63">
        <v>0</v>
      </c>
      <c r="M93" s="63">
        <v>0</v>
      </c>
      <c r="N93" s="63">
        <v>0</v>
      </c>
      <c r="O93" s="63">
        <v>-317466</v>
      </c>
      <c r="P93" s="63">
        <v>-373947</v>
      </c>
      <c r="Q93" s="63">
        <v>0</v>
      </c>
      <c r="R93" s="63">
        <v>0</v>
      </c>
      <c r="S93" s="63">
        <v>0</v>
      </c>
      <c r="T93" s="63">
        <v>-373947</v>
      </c>
      <c r="U93" s="63">
        <v>44660915</v>
      </c>
      <c r="V93" s="63">
        <v>0</v>
      </c>
      <c r="W93" s="63">
        <v>0</v>
      </c>
      <c r="X93" s="63">
        <v>0</v>
      </c>
      <c r="Y93" s="63">
        <v>44660915</v>
      </c>
      <c r="Z93" s="63">
        <v>0</v>
      </c>
      <c r="AA93" s="63">
        <v>0</v>
      </c>
      <c r="AB93" s="63">
        <v>0</v>
      </c>
      <c r="AC93" s="63">
        <v>0</v>
      </c>
      <c r="AD93" s="63">
        <v>0</v>
      </c>
      <c r="AE93" s="63">
        <v>0</v>
      </c>
      <c r="AF93" s="63">
        <v>0</v>
      </c>
      <c r="AG93" s="63">
        <v>0</v>
      </c>
      <c r="AH93" s="63">
        <v>0</v>
      </c>
      <c r="AI93" s="63">
        <v>0</v>
      </c>
      <c r="AJ93" s="63">
        <v>0</v>
      </c>
      <c r="AK93" s="63">
        <v>0</v>
      </c>
      <c r="AL93" s="63">
        <v>0</v>
      </c>
      <c r="AM93" s="63">
        <v>0</v>
      </c>
      <c r="AN93" s="63">
        <v>0</v>
      </c>
      <c r="AP93" s="533">
        <v>0</v>
      </c>
      <c r="AQ93" s="533">
        <v>0</v>
      </c>
      <c r="AR93" s="533">
        <v>0</v>
      </c>
      <c r="AS93" s="533">
        <v>0</v>
      </c>
      <c r="AT93" s="534"/>
      <c r="AU93" s="594"/>
      <c r="AV93" s="595"/>
      <c r="AW93" s="595"/>
      <c r="AX93" s="595"/>
    </row>
    <row r="94" spans="1:50" x14ac:dyDescent="0.2">
      <c r="A94" s="201">
        <v>87</v>
      </c>
      <c r="B94" s="129" t="s">
        <v>57</v>
      </c>
      <c r="C94" s="130" t="s">
        <v>742</v>
      </c>
      <c r="D94" s="131" t="s">
        <v>745</v>
      </c>
      <c r="E94" s="132" t="s">
        <v>56</v>
      </c>
      <c r="F94" s="63">
        <v>35153553</v>
      </c>
      <c r="G94" s="63">
        <v>0</v>
      </c>
      <c r="H94" s="63">
        <v>0</v>
      </c>
      <c r="I94" s="63">
        <v>0</v>
      </c>
      <c r="J94" s="63">
        <v>35153553</v>
      </c>
      <c r="K94" s="63">
        <v>-351541</v>
      </c>
      <c r="L94" s="63">
        <v>0</v>
      </c>
      <c r="M94" s="63">
        <v>0</v>
      </c>
      <c r="N94" s="63">
        <v>0</v>
      </c>
      <c r="O94" s="63">
        <v>-351541</v>
      </c>
      <c r="P94" s="63">
        <v>-620307</v>
      </c>
      <c r="Q94" s="63">
        <v>0</v>
      </c>
      <c r="R94" s="63">
        <v>0</v>
      </c>
      <c r="S94" s="63">
        <v>0</v>
      </c>
      <c r="T94" s="63">
        <v>-620307</v>
      </c>
      <c r="U94" s="63">
        <v>34181705</v>
      </c>
      <c r="V94" s="63">
        <v>0</v>
      </c>
      <c r="W94" s="63">
        <v>0</v>
      </c>
      <c r="X94" s="63">
        <v>0</v>
      </c>
      <c r="Y94" s="63">
        <v>34181705</v>
      </c>
      <c r="Z94" s="63">
        <v>132400</v>
      </c>
      <c r="AA94" s="63">
        <v>0</v>
      </c>
      <c r="AB94" s="63">
        <v>0</v>
      </c>
      <c r="AC94" s="63">
        <v>0</v>
      </c>
      <c r="AD94" s="63">
        <v>132400</v>
      </c>
      <c r="AE94" s="63">
        <v>0</v>
      </c>
      <c r="AF94" s="63">
        <v>0</v>
      </c>
      <c r="AG94" s="63">
        <v>0</v>
      </c>
      <c r="AH94" s="63">
        <v>0</v>
      </c>
      <c r="AI94" s="63">
        <v>0</v>
      </c>
      <c r="AJ94" s="63">
        <v>0</v>
      </c>
      <c r="AK94" s="63">
        <v>0</v>
      </c>
      <c r="AL94" s="63">
        <v>0</v>
      </c>
      <c r="AM94" s="63">
        <v>0</v>
      </c>
      <c r="AN94" s="63">
        <v>0</v>
      </c>
      <c r="AP94" s="533">
        <v>0</v>
      </c>
      <c r="AQ94" s="533">
        <v>0</v>
      </c>
      <c r="AR94" s="533">
        <v>0</v>
      </c>
      <c r="AS94" s="533">
        <v>0</v>
      </c>
      <c r="AT94" s="534"/>
      <c r="AU94" s="594"/>
      <c r="AV94" s="595"/>
      <c r="AW94" s="595"/>
      <c r="AX94" s="595"/>
    </row>
    <row r="95" spans="1:50" x14ac:dyDescent="0.2">
      <c r="A95" s="201">
        <v>88</v>
      </c>
      <c r="B95" s="129" t="s">
        <v>59</v>
      </c>
      <c r="C95" s="130" t="s">
        <v>742</v>
      </c>
      <c r="D95" s="131" t="s">
        <v>745</v>
      </c>
      <c r="E95" s="132" t="s">
        <v>58</v>
      </c>
      <c r="F95" s="63">
        <v>24476468</v>
      </c>
      <c r="G95" s="63">
        <v>0</v>
      </c>
      <c r="H95" s="63">
        <v>0</v>
      </c>
      <c r="I95" s="63">
        <v>0</v>
      </c>
      <c r="J95" s="63">
        <v>24476468</v>
      </c>
      <c r="K95" s="63">
        <v>-156000</v>
      </c>
      <c r="L95" s="63">
        <v>0</v>
      </c>
      <c r="M95" s="63">
        <v>0</v>
      </c>
      <c r="N95" s="63">
        <v>0</v>
      </c>
      <c r="O95" s="63">
        <v>-156000</v>
      </c>
      <c r="P95" s="63">
        <v>-595000</v>
      </c>
      <c r="Q95" s="63">
        <v>0</v>
      </c>
      <c r="R95" s="63">
        <v>0</v>
      </c>
      <c r="S95" s="63">
        <v>0</v>
      </c>
      <c r="T95" s="63">
        <v>-595000</v>
      </c>
      <c r="U95" s="63">
        <v>23725468</v>
      </c>
      <c r="V95" s="63">
        <v>0</v>
      </c>
      <c r="W95" s="63">
        <v>0</v>
      </c>
      <c r="X95" s="63">
        <v>0</v>
      </c>
      <c r="Y95" s="63">
        <v>23725468</v>
      </c>
      <c r="Z95" s="63">
        <v>470000</v>
      </c>
      <c r="AA95" s="63">
        <v>0</v>
      </c>
      <c r="AB95" s="63">
        <v>0</v>
      </c>
      <c r="AC95" s="63">
        <v>0</v>
      </c>
      <c r="AD95" s="63">
        <v>470000</v>
      </c>
      <c r="AE95" s="63">
        <v>0</v>
      </c>
      <c r="AF95" s="63">
        <v>0</v>
      </c>
      <c r="AG95" s="63">
        <v>0</v>
      </c>
      <c r="AH95" s="63">
        <v>0</v>
      </c>
      <c r="AI95" s="63">
        <v>0</v>
      </c>
      <c r="AJ95" s="63">
        <v>0</v>
      </c>
      <c r="AK95" s="63">
        <v>0</v>
      </c>
      <c r="AL95" s="63">
        <v>0</v>
      </c>
      <c r="AM95" s="63">
        <v>0</v>
      </c>
      <c r="AN95" s="63">
        <v>0</v>
      </c>
      <c r="AP95" s="533">
        <v>0</v>
      </c>
      <c r="AQ95" s="533">
        <v>0</v>
      </c>
      <c r="AR95" s="533">
        <v>0</v>
      </c>
      <c r="AS95" s="533">
        <v>0</v>
      </c>
      <c r="AT95" s="534"/>
      <c r="AU95" s="594"/>
      <c r="AV95" s="595"/>
      <c r="AW95" s="595"/>
      <c r="AX95" s="595"/>
    </row>
    <row r="96" spans="1:50" x14ac:dyDescent="0.2">
      <c r="A96" s="201">
        <v>89</v>
      </c>
      <c r="B96" s="129" t="s">
        <v>60</v>
      </c>
      <c r="C96" s="130" t="s">
        <v>501</v>
      </c>
      <c r="D96" s="131" t="s">
        <v>750</v>
      </c>
      <c r="E96" s="132" t="s">
        <v>533</v>
      </c>
      <c r="F96" s="63">
        <v>111203109</v>
      </c>
      <c r="G96" s="63">
        <v>0</v>
      </c>
      <c r="H96" s="63">
        <v>99400</v>
      </c>
      <c r="I96" s="63">
        <v>0</v>
      </c>
      <c r="J96" s="63">
        <v>111302509</v>
      </c>
      <c r="K96" s="63">
        <v>-570000</v>
      </c>
      <c r="L96" s="63">
        <v>0</v>
      </c>
      <c r="M96" s="63">
        <v>0</v>
      </c>
      <c r="N96" s="63">
        <v>0</v>
      </c>
      <c r="O96" s="63">
        <v>-570000</v>
      </c>
      <c r="P96" s="63">
        <v>-1226895</v>
      </c>
      <c r="Q96" s="63">
        <v>0</v>
      </c>
      <c r="R96" s="63">
        <v>0</v>
      </c>
      <c r="S96" s="63">
        <v>0</v>
      </c>
      <c r="T96" s="63">
        <v>-1226895</v>
      </c>
      <c r="U96" s="63">
        <v>109406214</v>
      </c>
      <c r="V96" s="63">
        <v>0</v>
      </c>
      <c r="W96" s="63">
        <v>99400</v>
      </c>
      <c r="X96" s="63">
        <v>0</v>
      </c>
      <c r="Y96" s="63">
        <v>109505614</v>
      </c>
      <c r="Z96" s="63">
        <v>3149518</v>
      </c>
      <c r="AA96" s="63">
        <v>0</v>
      </c>
      <c r="AB96" s="63">
        <v>0</v>
      </c>
      <c r="AC96" s="63">
        <v>0</v>
      </c>
      <c r="AD96" s="63">
        <v>3149518</v>
      </c>
      <c r="AE96" s="63">
        <v>0</v>
      </c>
      <c r="AF96" s="63">
        <v>0</v>
      </c>
      <c r="AG96" s="63">
        <v>0</v>
      </c>
      <c r="AH96" s="63">
        <v>0</v>
      </c>
      <c r="AI96" s="63">
        <v>98516</v>
      </c>
      <c r="AJ96" s="63">
        <v>0</v>
      </c>
      <c r="AK96" s="63">
        <v>0</v>
      </c>
      <c r="AL96" s="63">
        <v>884</v>
      </c>
      <c r="AM96" s="63">
        <v>0</v>
      </c>
      <c r="AN96" s="63">
        <v>884</v>
      </c>
      <c r="AP96" s="533" t="s">
        <v>768</v>
      </c>
      <c r="AQ96" s="533" t="s">
        <v>777</v>
      </c>
      <c r="AR96" s="533" t="s">
        <v>778</v>
      </c>
      <c r="AS96" s="533" t="s">
        <v>994</v>
      </c>
      <c r="AT96" s="534"/>
      <c r="AU96" s="594"/>
      <c r="AV96" s="600"/>
      <c r="AW96" s="600"/>
      <c r="AX96" s="599"/>
    </row>
    <row r="97" spans="1:50" x14ac:dyDescent="0.2">
      <c r="A97" s="201">
        <v>90</v>
      </c>
      <c r="B97" s="129" t="s">
        <v>62</v>
      </c>
      <c r="C97" s="130" t="s">
        <v>742</v>
      </c>
      <c r="D97" s="131" t="s">
        <v>752</v>
      </c>
      <c r="E97" s="132" t="s">
        <v>61</v>
      </c>
      <c r="F97" s="63">
        <v>56789490</v>
      </c>
      <c r="G97" s="63">
        <v>0</v>
      </c>
      <c r="H97" s="63">
        <v>0</v>
      </c>
      <c r="I97" s="63">
        <v>0</v>
      </c>
      <c r="J97" s="63">
        <v>56789490</v>
      </c>
      <c r="K97" s="63">
        <v>-550000</v>
      </c>
      <c r="L97" s="63">
        <v>0</v>
      </c>
      <c r="M97" s="63">
        <v>0</v>
      </c>
      <c r="N97" s="63">
        <v>0</v>
      </c>
      <c r="O97" s="63">
        <v>-550000</v>
      </c>
      <c r="P97" s="63">
        <v>-1466404</v>
      </c>
      <c r="Q97" s="63">
        <v>0</v>
      </c>
      <c r="R97" s="63">
        <v>0</v>
      </c>
      <c r="S97" s="63">
        <v>0</v>
      </c>
      <c r="T97" s="63">
        <v>-1466404</v>
      </c>
      <c r="U97" s="63">
        <v>54773086</v>
      </c>
      <c r="V97" s="63">
        <v>0</v>
      </c>
      <c r="W97" s="63">
        <v>0</v>
      </c>
      <c r="X97" s="63">
        <v>0</v>
      </c>
      <c r="Y97" s="63">
        <v>54773086</v>
      </c>
      <c r="Z97" s="63">
        <v>0</v>
      </c>
      <c r="AA97" s="63">
        <v>0</v>
      </c>
      <c r="AB97" s="63">
        <v>0</v>
      </c>
      <c r="AC97" s="63">
        <v>0</v>
      </c>
      <c r="AD97" s="63">
        <v>0</v>
      </c>
      <c r="AE97" s="63">
        <v>0</v>
      </c>
      <c r="AF97" s="63">
        <v>0</v>
      </c>
      <c r="AG97" s="63">
        <v>0</v>
      </c>
      <c r="AH97" s="63">
        <v>0</v>
      </c>
      <c r="AI97" s="63">
        <v>0</v>
      </c>
      <c r="AJ97" s="63">
        <v>0</v>
      </c>
      <c r="AK97" s="63">
        <v>0</v>
      </c>
      <c r="AL97" s="63">
        <v>0</v>
      </c>
      <c r="AM97" s="63">
        <v>0</v>
      </c>
      <c r="AN97" s="63">
        <v>0</v>
      </c>
      <c r="AP97" s="533">
        <v>0</v>
      </c>
      <c r="AQ97" s="533">
        <v>0</v>
      </c>
      <c r="AR97" s="533">
        <v>0</v>
      </c>
      <c r="AS97" s="533">
        <v>0</v>
      </c>
      <c r="AT97" s="534"/>
      <c r="AU97" s="594"/>
      <c r="AV97" s="595"/>
      <c r="AW97" s="595"/>
      <c r="AX97" s="595"/>
    </row>
    <row r="98" spans="1:50" x14ac:dyDescent="0.2">
      <c r="A98" s="201">
        <v>91</v>
      </c>
      <c r="B98" s="129" t="s">
        <v>64</v>
      </c>
      <c r="C98" s="130" t="s">
        <v>742</v>
      </c>
      <c r="D98" s="131" t="s">
        <v>743</v>
      </c>
      <c r="E98" s="132" t="s">
        <v>63</v>
      </c>
      <c r="F98" s="63">
        <v>35228842.18</v>
      </c>
      <c r="G98" s="63">
        <v>0</v>
      </c>
      <c r="H98" s="63">
        <v>0</v>
      </c>
      <c r="I98" s="63">
        <v>0</v>
      </c>
      <c r="J98" s="63">
        <v>35228842.18</v>
      </c>
      <c r="K98" s="63">
        <v>-21500</v>
      </c>
      <c r="L98" s="63">
        <v>0</v>
      </c>
      <c r="M98" s="63">
        <v>0</v>
      </c>
      <c r="N98" s="63">
        <v>0</v>
      </c>
      <c r="O98" s="63">
        <v>-21500</v>
      </c>
      <c r="P98" s="63">
        <v>-133990</v>
      </c>
      <c r="Q98" s="63">
        <v>0</v>
      </c>
      <c r="R98" s="63">
        <v>0</v>
      </c>
      <c r="S98" s="63">
        <v>0</v>
      </c>
      <c r="T98" s="63">
        <v>-133990</v>
      </c>
      <c r="U98" s="63">
        <v>35073352.18</v>
      </c>
      <c r="V98" s="63">
        <v>0</v>
      </c>
      <c r="W98" s="63">
        <v>0</v>
      </c>
      <c r="X98" s="63">
        <v>0</v>
      </c>
      <c r="Y98" s="63">
        <v>35073352.18</v>
      </c>
      <c r="Z98" s="63">
        <v>0</v>
      </c>
      <c r="AA98" s="63">
        <v>0</v>
      </c>
      <c r="AB98" s="63">
        <v>0</v>
      </c>
      <c r="AC98" s="63">
        <v>0</v>
      </c>
      <c r="AD98" s="63">
        <v>0</v>
      </c>
      <c r="AE98" s="63">
        <v>0</v>
      </c>
      <c r="AF98" s="63">
        <v>0</v>
      </c>
      <c r="AG98" s="63">
        <v>0</v>
      </c>
      <c r="AH98" s="63">
        <v>0</v>
      </c>
      <c r="AI98" s="63">
        <v>0</v>
      </c>
      <c r="AJ98" s="63">
        <v>0</v>
      </c>
      <c r="AK98" s="63">
        <v>0</v>
      </c>
      <c r="AL98" s="63">
        <v>0</v>
      </c>
      <c r="AM98" s="63">
        <v>0</v>
      </c>
      <c r="AN98" s="63">
        <v>0</v>
      </c>
      <c r="AP98" s="533">
        <v>0</v>
      </c>
      <c r="AQ98" s="533">
        <v>0</v>
      </c>
      <c r="AR98" s="533">
        <v>0</v>
      </c>
      <c r="AS98" s="533">
        <v>0</v>
      </c>
      <c r="AT98" s="534"/>
      <c r="AU98" s="594"/>
      <c r="AV98" s="595"/>
      <c r="AW98" s="595"/>
      <c r="AX98" s="595"/>
    </row>
    <row r="99" spans="1:50" x14ac:dyDescent="0.2">
      <c r="A99" s="201">
        <v>92</v>
      </c>
      <c r="B99" s="129" t="s">
        <v>66</v>
      </c>
      <c r="C99" s="130" t="s">
        <v>742</v>
      </c>
      <c r="D99" s="131" t="s">
        <v>743</v>
      </c>
      <c r="E99" s="132" t="s">
        <v>65</v>
      </c>
      <c r="F99" s="63">
        <v>60515694</v>
      </c>
      <c r="G99" s="63">
        <v>0</v>
      </c>
      <c r="H99" s="63">
        <v>0</v>
      </c>
      <c r="I99" s="63">
        <v>0</v>
      </c>
      <c r="J99" s="63">
        <v>60515694</v>
      </c>
      <c r="K99" s="63">
        <v>-250000</v>
      </c>
      <c r="L99" s="63">
        <v>0</v>
      </c>
      <c r="M99" s="63">
        <v>0</v>
      </c>
      <c r="N99" s="63">
        <v>0</v>
      </c>
      <c r="O99" s="63">
        <v>-250000</v>
      </c>
      <c r="P99" s="63">
        <v>-500000</v>
      </c>
      <c r="Q99" s="63">
        <v>0</v>
      </c>
      <c r="R99" s="63">
        <v>0</v>
      </c>
      <c r="S99" s="63">
        <v>0</v>
      </c>
      <c r="T99" s="63">
        <v>-500000</v>
      </c>
      <c r="U99" s="63">
        <v>59765694</v>
      </c>
      <c r="V99" s="63">
        <v>0</v>
      </c>
      <c r="W99" s="63">
        <v>0</v>
      </c>
      <c r="X99" s="63">
        <v>0</v>
      </c>
      <c r="Y99" s="63">
        <v>59765694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63">
        <v>0</v>
      </c>
      <c r="AH99" s="63">
        <v>0</v>
      </c>
      <c r="AI99" s="63">
        <v>0</v>
      </c>
      <c r="AJ99" s="63">
        <v>0</v>
      </c>
      <c r="AK99" s="63">
        <v>0</v>
      </c>
      <c r="AL99" s="63">
        <v>0</v>
      </c>
      <c r="AM99" s="63">
        <v>0</v>
      </c>
      <c r="AN99" s="63">
        <v>0</v>
      </c>
      <c r="AP99" s="533">
        <v>0</v>
      </c>
      <c r="AQ99" s="533">
        <v>0</v>
      </c>
      <c r="AR99" s="533">
        <v>0</v>
      </c>
      <c r="AS99" s="533">
        <v>0</v>
      </c>
      <c r="AT99" s="534"/>
      <c r="AU99" s="594"/>
      <c r="AV99" s="595"/>
      <c r="AW99" s="595"/>
      <c r="AX99" s="595"/>
    </row>
    <row r="100" spans="1:50" x14ac:dyDescent="0.2">
      <c r="A100" s="201">
        <v>93</v>
      </c>
      <c r="B100" s="129" t="s">
        <v>68</v>
      </c>
      <c r="C100" s="130" t="s">
        <v>742</v>
      </c>
      <c r="D100" s="131" t="s">
        <v>744</v>
      </c>
      <c r="E100" s="132" t="s">
        <v>67</v>
      </c>
      <c r="F100" s="63">
        <v>22197140</v>
      </c>
      <c r="G100" s="63">
        <v>0</v>
      </c>
      <c r="H100" s="63">
        <v>0</v>
      </c>
      <c r="I100" s="63">
        <v>0</v>
      </c>
      <c r="J100" s="63">
        <v>22197140</v>
      </c>
      <c r="K100" s="63">
        <v>-332957</v>
      </c>
      <c r="L100" s="63">
        <v>0</v>
      </c>
      <c r="M100" s="63">
        <v>0</v>
      </c>
      <c r="N100" s="63">
        <v>0</v>
      </c>
      <c r="O100" s="63">
        <v>-332957</v>
      </c>
      <c r="P100" s="63">
        <v>-264737</v>
      </c>
      <c r="Q100" s="63">
        <v>0</v>
      </c>
      <c r="R100" s="63">
        <v>0</v>
      </c>
      <c r="S100" s="63">
        <v>0</v>
      </c>
      <c r="T100" s="63">
        <v>-264737</v>
      </c>
      <c r="U100" s="63">
        <v>21599446</v>
      </c>
      <c r="V100" s="63">
        <v>0</v>
      </c>
      <c r="W100" s="63">
        <v>0</v>
      </c>
      <c r="X100" s="63">
        <v>0</v>
      </c>
      <c r="Y100" s="63">
        <v>21599446</v>
      </c>
      <c r="Z100" s="63">
        <v>0</v>
      </c>
      <c r="AA100" s="63">
        <v>0</v>
      </c>
      <c r="AB100" s="63">
        <v>0</v>
      </c>
      <c r="AC100" s="63">
        <v>0</v>
      </c>
      <c r="AD100" s="63">
        <v>0</v>
      </c>
      <c r="AE100" s="63">
        <v>0</v>
      </c>
      <c r="AF100" s="63">
        <v>0</v>
      </c>
      <c r="AG100" s="63">
        <v>0</v>
      </c>
      <c r="AH100" s="63">
        <v>0</v>
      </c>
      <c r="AI100" s="63">
        <v>0</v>
      </c>
      <c r="AJ100" s="63">
        <v>0</v>
      </c>
      <c r="AK100" s="63">
        <v>0</v>
      </c>
      <c r="AL100" s="63">
        <v>0</v>
      </c>
      <c r="AM100" s="63">
        <v>0</v>
      </c>
      <c r="AN100" s="63">
        <v>0</v>
      </c>
      <c r="AP100" s="533">
        <v>0</v>
      </c>
      <c r="AQ100" s="533">
        <v>0</v>
      </c>
      <c r="AR100" s="533">
        <v>0</v>
      </c>
      <c r="AS100" s="533">
        <v>0</v>
      </c>
      <c r="AT100" s="534"/>
      <c r="AU100" s="594"/>
      <c r="AV100" s="595"/>
      <c r="AW100" s="595"/>
      <c r="AX100" s="595"/>
    </row>
    <row r="101" spans="1:50" x14ac:dyDescent="0.2">
      <c r="A101" s="201">
        <v>94</v>
      </c>
      <c r="B101" s="129" t="s">
        <v>70</v>
      </c>
      <c r="C101" s="130" t="s">
        <v>742</v>
      </c>
      <c r="D101" s="131" t="s">
        <v>743</v>
      </c>
      <c r="E101" s="132" t="s">
        <v>69</v>
      </c>
      <c r="F101" s="63">
        <v>57134329</v>
      </c>
      <c r="G101" s="63">
        <v>0</v>
      </c>
      <c r="H101" s="63">
        <v>0</v>
      </c>
      <c r="I101" s="63">
        <v>0</v>
      </c>
      <c r="J101" s="63">
        <v>57134329</v>
      </c>
      <c r="K101" s="63">
        <v>-300000</v>
      </c>
      <c r="L101" s="63">
        <v>0</v>
      </c>
      <c r="M101" s="63">
        <v>0</v>
      </c>
      <c r="N101" s="63">
        <v>0</v>
      </c>
      <c r="O101" s="63">
        <v>-300000</v>
      </c>
      <c r="P101" s="63">
        <v>-163626</v>
      </c>
      <c r="Q101" s="63">
        <v>0</v>
      </c>
      <c r="R101" s="63">
        <v>0</v>
      </c>
      <c r="S101" s="63">
        <v>0</v>
      </c>
      <c r="T101" s="63">
        <v>-163626</v>
      </c>
      <c r="U101" s="63">
        <v>56670703</v>
      </c>
      <c r="V101" s="63">
        <v>0</v>
      </c>
      <c r="W101" s="63">
        <v>0</v>
      </c>
      <c r="X101" s="63">
        <v>0</v>
      </c>
      <c r="Y101" s="63">
        <v>56670703</v>
      </c>
      <c r="Z101" s="63">
        <v>0</v>
      </c>
      <c r="AA101" s="63">
        <v>0</v>
      </c>
      <c r="AB101" s="63">
        <v>0</v>
      </c>
      <c r="AC101" s="63">
        <v>0</v>
      </c>
      <c r="AD101" s="63">
        <v>0</v>
      </c>
      <c r="AE101" s="63">
        <v>0</v>
      </c>
      <c r="AF101" s="63">
        <v>0</v>
      </c>
      <c r="AG101" s="63">
        <v>0</v>
      </c>
      <c r="AH101" s="63">
        <v>0</v>
      </c>
      <c r="AI101" s="63">
        <v>0</v>
      </c>
      <c r="AJ101" s="63">
        <v>0</v>
      </c>
      <c r="AK101" s="63">
        <v>0</v>
      </c>
      <c r="AL101" s="63">
        <v>0</v>
      </c>
      <c r="AM101" s="63">
        <v>0</v>
      </c>
      <c r="AN101" s="63">
        <v>0</v>
      </c>
      <c r="AP101" s="533">
        <v>0</v>
      </c>
      <c r="AQ101" s="533">
        <v>0</v>
      </c>
      <c r="AR101" s="533">
        <v>0</v>
      </c>
      <c r="AS101" s="533">
        <v>0</v>
      </c>
      <c r="AT101" s="534"/>
      <c r="AU101" s="597"/>
      <c r="AV101" s="598"/>
      <c r="AW101" s="598"/>
      <c r="AX101" s="598"/>
    </row>
    <row r="102" spans="1:50" x14ac:dyDescent="0.2">
      <c r="A102" s="201">
        <v>95</v>
      </c>
      <c r="B102" s="129" t="s">
        <v>72</v>
      </c>
      <c r="C102" s="130" t="s">
        <v>747</v>
      </c>
      <c r="D102" s="131" t="s">
        <v>748</v>
      </c>
      <c r="E102" s="132" t="s">
        <v>71</v>
      </c>
      <c r="F102" s="63">
        <v>114142600</v>
      </c>
      <c r="G102" s="63">
        <v>0</v>
      </c>
      <c r="H102" s="63">
        <v>0</v>
      </c>
      <c r="I102" s="63">
        <v>0</v>
      </c>
      <c r="J102" s="63">
        <v>114142600</v>
      </c>
      <c r="K102" s="63">
        <v>-2297000</v>
      </c>
      <c r="L102" s="63">
        <v>0</v>
      </c>
      <c r="M102" s="63">
        <v>0</v>
      </c>
      <c r="N102" s="63">
        <v>0</v>
      </c>
      <c r="O102" s="63">
        <v>-2297000</v>
      </c>
      <c r="P102" s="63">
        <v>-1257320</v>
      </c>
      <c r="Q102" s="63">
        <v>0</v>
      </c>
      <c r="R102" s="63">
        <v>0</v>
      </c>
      <c r="S102" s="63">
        <v>0</v>
      </c>
      <c r="T102" s="63">
        <v>-1257320</v>
      </c>
      <c r="U102" s="63">
        <v>110588280</v>
      </c>
      <c r="V102" s="63">
        <v>0</v>
      </c>
      <c r="W102" s="63">
        <v>0</v>
      </c>
      <c r="X102" s="63">
        <v>0</v>
      </c>
      <c r="Y102" s="63">
        <v>110588280</v>
      </c>
      <c r="Z102" s="63">
        <v>0</v>
      </c>
      <c r="AA102" s="63">
        <v>0</v>
      </c>
      <c r="AB102" s="63">
        <v>0</v>
      </c>
      <c r="AC102" s="63">
        <v>0</v>
      </c>
      <c r="AD102" s="63">
        <v>0</v>
      </c>
      <c r="AE102" s="63">
        <v>0</v>
      </c>
      <c r="AF102" s="63">
        <v>0</v>
      </c>
      <c r="AG102" s="63">
        <v>0</v>
      </c>
      <c r="AH102" s="63">
        <v>0</v>
      </c>
      <c r="AI102" s="63">
        <v>0</v>
      </c>
      <c r="AJ102" s="63">
        <v>0</v>
      </c>
      <c r="AK102" s="63">
        <v>0</v>
      </c>
      <c r="AL102" s="63">
        <v>0</v>
      </c>
      <c r="AM102" s="63">
        <v>0</v>
      </c>
      <c r="AN102" s="63">
        <v>0</v>
      </c>
      <c r="AP102" s="533">
        <v>0</v>
      </c>
      <c r="AQ102" s="533">
        <v>0</v>
      </c>
      <c r="AR102" s="533">
        <v>0</v>
      </c>
      <c r="AS102" s="533">
        <v>0</v>
      </c>
      <c r="AT102" s="534"/>
      <c r="AU102" s="594"/>
      <c r="AV102" s="595"/>
      <c r="AW102" s="595"/>
      <c r="AX102" s="595"/>
    </row>
    <row r="103" spans="1:50" x14ac:dyDescent="0.2">
      <c r="A103" s="201">
        <v>96</v>
      </c>
      <c r="B103" s="129" t="s">
        <v>74</v>
      </c>
      <c r="C103" s="130" t="s">
        <v>742</v>
      </c>
      <c r="D103" s="131" t="s">
        <v>746</v>
      </c>
      <c r="E103" s="132" t="s">
        <v>73</v>
      </c>
      <c r="F103" s="63">
        <v>36512846</v>
      </c>
      <c r="G103" s="63">
        <v>0</v>
      </c>
      <c r="H103" s="63">
        <v>0</v>
      </c>
      <c r="I103" s="63">
        <v>0</v>
      </c>
      <c r="J103" s="63">
        <v>36512846</v>
      </c>
      <c r="K103" s="63">
        <v>-308000</v>
      </c>
      <c r="L103" s="63">
        <v>0</v>
      </c>
      <c r="M103" s="63">
        <v>0</v>
      </c>
      <c r="N103" s="63">
        <v>0</v>
      </c>
      <c r="O103" s="63">
        <v>-308000</v>
      </c>
      <c r="P103" s="63">
        <v>-297000</v>
      </c>
      <c r="Q103" s="63">
        <v>0</v>
      </c>
      <c r="R103" s="63">
        <v>0</v>
      </c>
      <c r="S103" s="63">
        <v>0</v>
      </c>
      <c r="T103" s="63">
        <v>-297000</v>
      </c>
      <c r="U103" s="63">
        <v>35907846</v>
      </c>
      <c r="V103" s="63">
        <v>0</v>
      </c>
      <c r="W103" s="63">
        <v>0</v>
      </c>
      <c r="X103" s="63">
        <v>0</v>
      </c>
      <c r="Y103" s="63">
        <v>35907846</v>
      </c>
      <c r="Z103" s="63">
        <v>0</v>
      </c>
      <c r="AA103" s="63">
        <v>0</v>
      </c>
      <c r="AB103" s="63">
        <v>0</v>
      </c>
      <c r="AC103" s="63">
        <v>0</v>
      </c>
      <c r="AD103" s="63">
        <v>0</v>
      </c>
      <c r="AE103" s="63">
        <v>0</v>
      </c>
      <c r="AF103" s="63">
        <v>0</v>
      </c>
      <c r="AG103" s="63">
        <v>0</v>
      </c>
      <c r="AH103" s="63">
        <v>0</v>
      </c>
      <c r="AI103" s="63">
        <v>0</v>
      </c>
      <c r="AJ103" s="63">
        <v>0</v>
      </c>
      <c r="AK103" s="63">
        <v>0</v>
      </c>
      <c r="AL103" s="63">
        <v>0</v>
      </c>
      <c r="AM103" s="63">
        <v>0</v>
      </c>
      <c r="AN103" s="63">
        <v>0</v>
      </c>
      <c r="AP103" s="533">
        <v>0</v>
      </c>
      <c r="AQ103" s="533">
        <v>0</v>
      </c>
      <c r="AR103" s="533">
        <v>0</v>
      </c>
      <c r="AS103" s="533">
        <v>0</v>
      </c>
      <c r="AT103" s="534"/>
      <c r="AU103" s="594"/>
      <c r="AV103" s="595"/>
      <c r="AW103" s="595"/>
      <c r="AX103" s="595"/>
    </row>
    <row r="104" spans="1:50" x14ac:dyDescent="0.2">
      <c r="A104" s="201">
        <v>97</v>
      </c>
      <c r="B104" s="129" t="s">
        <v>75</v>
      </c>
      <c r="C104" s="130" t="s">
        <v>742</v>
      </c>
      <c r="D104" s="131" t="s">
        <v>743</v>
      </c>
      <c r="E104" s="132" t="s">
        <v>756</v>
      </c>
      <c r="F104" s="63">
        <v>24680152</v>
      </c>
      <c r="G104" s="63">
        <v>0</v>
      </c>
      <c r="H104" s="63">
        <v>0</v>
      </c>
      <c r="I104" s="63">
        <v>0</v>
      </c>
      <c r="J104" s="63">
        <v>24680152</v>
      </c>
      <c r="K104" s="63">
        <v>-246802</v>
      </c>
      <c r="L104" s="63">
        <v>0</v>
      </c>
      <c r="M104" s="63">
        <v>0</v>
      </c>
      <c r="N104" s="63">
        <v>0</v>
      </c>
      <c r="O104" s="63">
        <v>-246802</v>
      </c>
      <c r="P104" s="63">
        <v>-322759</v>
      </c>
      <c r="Q104" s="63">
        <v>0</v>
      </c>
      <c r="R104" s="63">
        <v>0</v>
      </c>
      <c r="S104" s="63">
        <v>0</v>
      </c>
      <c r="T104" s="63">
        <v>-322759</v>
      </c>
      <c r="U104" s="63">
        <v>24110591</v>
      </c>
      <c r="V104" s="63">
        <v>0</v>
      </c>
      <c r="W104" s="63">
        <v>0</v>
      </c>
      <c r="X104" s="63">
        <v>0</v>
      </c>
      <c r="Y104" s="63">
        <v>24110591</v>
      </c>
      <c r="Z104" s="63">
        <v>0</v>
      </c>
      <c r="AA104" s="63">
        <v>0</v>
      </c>
      <c r="AB104" s="63">
        <v>0</v>
      </c>
      <c r="AC104" s="63">
        <v>0</v>
      </c>
      <c r="AD104" s="63">
        <v>0</v>
      </c>
      <c r="AE104" s="63">
        <v>0</v>
      </c>
      <c r="AF104" s="63">
        <v>0</v>
      </c>
      <c r="AG104" s="63">
        <v>0</v>
      </c>
      <c r="AH104" s="63">
        <v>0</v>
      </c>
      <c r="AI104" s="63">
        <v>0</v>
      </c>
      <c r="AJ104" s="63">
        <v>0</v>
      </c>
      <c r="AK104" s="63">
        <v>0</v>
      </c>
      <c r="AL104" s="63">
        <v>0</v>
      </c>
      <c r="AM104" s="63">
        <v>0</v>
      </c>
      <c r="AN104" s="63">
        <v>0</v>
      </c>
      <c r="AP104" s="533">
        <v>0</v>
      </c>
      <c r="AQ104" s="533">
        <v>0</v>
      </c>
      <c r="AR104" s="533">
        <v>0</v>
      </c>
      <c r="AS104" s="533">
        <v>0</v>
      </c>
      <c r="AT104" s="534"/>
      <c r="AU104" s="594"/>
      <c r="AV104" s="595"/>
      <c r="AW104" s="595"/>
      <c r="AX104" s="595"/>
    </row>
    <row r="105" spans="1:50" x14ac:dyDescent="0.2">
      <c r="A105" s="201">
        <v>98</v>
      </c>
      <c r="B105" s="129" t="s">
        <v>77</v>
      </c>
      <c r="C105" s="130" t="s">
        <v>742</v>
      </c>
      <c r="D105" s="131" t="s">
        <v>745</v>
      </c>
      <c r="E105" s="132" t="s">
        <v>76</v>
      </c>
      <c r="F105" s="63">
        <v>27060416</v>
      </c>
      <c r="G105" s="63">
        <v>0</v>
      </c>
      <c r="H105" s="63">
        <v>0</v>
      </c>
      <c r="I105" s="63">
        <v>0</v>
      </c>
      <c r="J105" s="63">
        <v>27060416</v>
      </c>
      <c r="K105" s="63">
        <v>-260000</v>
      </c>
      <c r="L105" s="63">
        <v>0</v>
      </c>
      <c r="M105" s="63">
        <v>0</v>
      </c>
      <c r="N105" s="63">
        <v>0</v>
      </c>
      <c r="O105" s="63">
        <v>-260000</v>
      </c>
      <c r="P105" s="63">
        <v>-299660</v>
      </c>
      <c r="Q105" s="63">
        <v>0</v>
      </c>
      <c r="R105" s="63">
        <v>0</v>
      </c>
      <c r="S105" s="63">
        <v>0</v>
      </c>
      <c r="T105" s="63">
        <v>-299660</v>
      </c>
      <c r="U105" s="63">
        <v>26500756</v>
      </c>
      <c r="V105" s="63">
        <v>0</v>
      </c>
      <c r="W105" s="63">
        <v>0</v>
      </c>
      <c r="X105" s="63">
        <v>0</v>
      </c>
      <c r="Y105" s="63">
        <v>26500756</v>
      </c>
      <c r="Z105" s="63">
        <v>0</v>
      </c>
      <c r="AA105" s="63">
        <v>0</v>
      </c>
      <c r="AB105" s="63">
        <v>0</v>
      </c>
      <c r="AC105" s="63">
        <v>0</v>
      </c>
      <c r="AD105" s="63">
        <v>0</v>
      </c>
      <c r="AE105" s="63">
        <v>0</v>
      </c>
      <c r="AF105" s="63">
        <v>0</v>
      </c>
      <c r="AG105" s="63">
        <v>0</v>
      </c>
      <c r="AH105" s="63">
        <v>0</v>
      </c>
      <c r="AI105" s="63">
        <v>0</v>
      </c>
      <c r="AJ105" s="63">
        <v>0</v>
      </c>
      <c r="AK105" s="63">
        <v>0</v>
      </c>
      <c r="AL105" s="63">
        <v>0</v>
      </c>
      <c r="AM105" s="63">
        <v>0</v>
      </c>
      <c r="AN105" s="63">
        <v>0</v>
      </c>
      <c r="AP105" s="533">
        <v>0</v>
      </c>
      <c r="AQ105" s="533">
        <v>0</v>
      </c>
      <c r="AR105" s="533">
        <v>0</v>
      </c>
      <c r="AS105" s="533">
        <v>0</v>
      </c>
      <c r="AT105" s="534"/>
      <c r="AU105" s="594"/>
      <c r="AV105" s="595"/>
      <c r="AW105" s="595"/>
      <c r="AX105" s="595"/>
    </row>
    <row r="106" spans="1:50" x14ac:dyDescent="0.2">
      <c r="A106" s="201">
        <v>99</v>
      </c>
      <c r="B106" s="129" t="s">
        <v>79</v>
      </c>
      <c r="C106" s="130" t="s">
        <v>742</v>
      </c>
      <c r="D106" s="131" t="s">
        <v>751</v>
      </c>
      <c r="E106" s="132" t="s">
        <v>78</v>
      </c>
      <c r="F106" s="63">
        <v>80090919</v>
      </c>
      <c r="G106" s="63">
        <v>0</v>
      </c>
      <c r="H106" s="63">
        <v>0</v>
      </c>
      <c r="I106" s="63">
        <v>0</v>
      </c>
      <c r="J106" s="63">
        <v>80090919</v>
      </c>
      <c r="K106" s="63">
        <v>-200000</v>
      </c>
      <c r="L106" s="63">
        <v>0</v>
      </c>
      <c r="M106" s="63">
        <v>0</v>
      </c>
      <c r="N106" s="63">
        <v>0</v>
      </c>
      <c r="O106" s="63">
        <v>-200000</v>
      </c>
      <c r="P106" s="63">
        <v>-500000</v>
      </c>
      <c r="Q106" s="63">
        <v>0</v>
      </c>
      <c r="R106" s="63">
        <v>0</v>
      </c>
      <c r="S106" s="63">
        <v>0</v>
      </c>
      <c r="T106" s="63">
        <v>-500000</v>
      </c>
      <c r="U106" s="63">
        <v>79390919</v>
      </c>
      <c r="V106" s="63">
        <v>0</v>
      </c>
      <c r="W106" s="63">
        <v>0</v>
      </c>
      <c r="X106" s="63">
        <v>0</v>
      </c>
      <c r="Y106" s="63">
        <v>79390919</v>
      </c>
      <c r="Z106" s="63">
        <v>0</v>
      </c>
      <c r="AA106" s="63">
        <v>0</v>
      </c>
      <c r="AB106" s="63">
        <v>0</v>
      </c>
      <c r="AC106" s="63">
        <v>0</v>
      </c>
      <c r="AD106" s="63">
        <v>0</v>
      </c>
      <c r="AE106" s="63">
        <v>0</v>
      </c>
      <c r="AF106" s="63">
        <v>0</v>
      </c>
      <c r="AG106" s="63">
        <v>0</v>
      </c>
      <c r="AH106" s="63">
        <v>0</v>
      </c>
      <c r="AI106" s="63">
        <v>0</v>
      </c>
      <c r="AJ106" s="63">
        <v>0</v>
      </c>
      <c r="AK106" s="63">
        <v>0</v>
      </c>
      <c r="AL106" s="63">
        <v>0</v>
      </c>
      <c r="AM106" s="63">
        <v>0</v>
      </c>
      <c r="AN106" s="63">
        <v>0</v>
      </c>
      <c r="AP106" s="533">
        <v>0</v>
      </c>
      <c r="AQ106" s="533">
        <v>0</v>
      </c>
      <c r="AR106" s="533">
        <v>0</v>
      </c>
      <c r="AS106" s="533">
        <v>0</v>
      </c>
      <c r="AT106" s="534"/>
      <c r="AU106" s="594"/>
      <c r="AV106" s="595"/>
      <c r="AW106" s="595"/>
      <c r="AX106" s="595"/>
    </row>
    <row r="107" spans="1:50" x14ac:dyDescent="0.2">
      <c r="A107" s="201">
        <v>100</v>
      </c>
      <c r="B107" s="129" t="s">
        <v>81</v>
      </c>
      <c r="C107" s="130" t="s">
        <v>742</v>
      </c>
      <c r="D107" s="131" t="s">
        <v>743</v>
      </c>
      <c r="E107" s="132" t="s">
        <v>80</v>
      </c>
      <c r="F107" s="63">
        <v>43676920</v>
      </c>
      <c r="G107" s="63">
        <v>29366</v>
      </c>
      <c r="H107" s="63">
        <v>0</v>
      </c>
      <c r="I107" s="63">
        <v>0</v>
      </c>
      <c r="J107" s="63">
        <v>43706286</v>
      </c>
      <c r="K107" s="63">
        <v>-2742887</v>
      </c>
      <c r="L107" s="63">
        <v>0</v>
      </c>
      <c r="M107" s="63">
        <v>0</v>
      </c>
      <c r="N107" s="63">
        <v>0</v>
      </c>
      <c r="O107" s="63">
        <v>-2742887</v>
      </c>
      <c r="P107" s="63">
        <v>-440436</v>
      </c>
      <c r="Q107" s="63">
        <v>0</v>
      </c>
      <c r="R107" s="63">
        <v>0</v>
      </c>
      <c r="S107" s="63">
        <v>0</v>
      </c>
      <c r="T107" s="63">
        <v>-440436</v>
      </c>
      <c r="U107" s="63">
        <v>40493597</v>
      </c>
      <c r="V107" s="63">
        <v>29366</v>
      </c>
      <c r="W107" s="63">
        <v>0</v>
      </c>
      <c r="X107" s="63">
        <v>0</v>
      </c>
      <c r="Y107" s="63">
        <v>40522963</v>
      </c>
      <c r="Z107" s="63">
        <v>79376</v>
      </c>
      <c r="AA107" s="63">
        <v>0</v>
      </c>
      <c r="AB107" s="63">
        <v>0</v>
      </c>
      <c r="AC107" s="63">
        <v>0</v>
      </c>
      <c r="AD107" s="63">
        <v>79376</v>
      </c>
      <c r="AE107" s="63">
        <v>0</v>
      </c>
      <c r="AF107" s="63">
        <v>0</v>
      </c>
      <c r="AG107" s="63">
        <v>0</v>
      </c>
      <c r="AH107" s="63">
        <v>99753</v>
      </c>
      <c r="AI107" s="63">
        <v>0</v>
      </c>
      <c r="AJ107" s="63">
        <v>0</v>
      </c>
      <c r="AK107" s="63">
        <v>0</v>
      </c>
      <c r="AL107" s="63">
        <v>0</v>
      </c>
      <c r="AM107" s="63">
        <v>0</v>
      </c>
      <c r="AN107" s="63">
        <v>0</v>
      </c>
      <c r="AP107" s="533" t="s">
        <v>768</v>
      </c>
      <c r="AQ107" s="533" t="s">
        <v>779</v>
      </c>
      <c r="AR107" s="533">
        <v>0</v>
      </c>
      <c r="AS107" s="533">
        <v>0</v>
      </c>
      <c r="AT107" s="534"/>
      <c r="AU107" s="594"/>
      <c r="AV107" s="595"/>
      <c r="AW107" s="595"/>
      <c r="AX107" s="595"/>
    </row>
    <row r="108" spans="1:50" x14ac:dyDescent="0.2">
      <c r="A108" s="201">
        <v>101</v>
      </c>
      <c r="B108" s="129" t="s">
        <v>83</v>
      </c>
      <c r="C108" s="130" t="s">
        <v>742</v>
      </c>
      <c r="D108" s="131" t="s">
        <v>746</v>
      </c>
      <c r="E108" s="132" t="s">
        <v>82</v>
      </c>
      <c r="F108" s="63">
        <v>27180363</v>
      </c>
      <c r="G108" s="63">
        <v>0</v>
      </c>
      <c r="H108" s="63">
        <v>0</v>
      </c>
      <c r="I108" s="63">
        <v>0</v>
      </c>
      <c r="J108" s="63">
        <v>27180363</v>
      </c>
      <c r="K108" s="63">
        <v>-250000</v>
      </c>
      <c r="L108" s="63">
        <v>0</v>
      </c>
      <c r="M108" s="63">
        <v>0</v>
      </c>
      <c r="N108" s="63">
        <v>0</v>
      </c>
      <c r="O108" s="63">
        <v>-250000</v>
      </c>
      <c r="P108" s="63">
        <v>-1000000</v>
      </c>
      <c r="Q108" s="63">
        <v>0</v>
      </c>
      <c r="R108" s="63">
        <v>0</v>
      </c>
      <c r="S108" s="63">
        <v>0</v>
      </c>
      <c r="T108" s="63">
        <v>-1000000</v>
      </c>
      <c r="U108" s="63">
        <v>25930363</v>
      </c>
      <c r="V108" s="63">
        <v>0</v>
      </c>
      <c r="W108" s="63">
        <v>0</v>
      </c>
      <c r="X108" s="63">
        <v>0</v>
      </c>
      <c r="Y108" s="63">
        <v>25930363</v>
      </c>
      <c r="Z108" s="63">
        <v>199297</v>
      </c>
      <c r="AA108" s="63">
        <v>0</v>
      </c>
      <c r="AB108" s="63">
        <v>0</v>
      </c>
      <c r="AC108" s="63">
        <v>0</v>
      </c>
      <c r="AD108" s="63">
        <v>199297</v>
      </c>
      <c r="AE108" s="63">
        <v>0</v>
      </c>
      <c r="AF108" s="63">
        <v>0</v>
      </c>
      <c r="AG108" s="63">
        <v>0</v>
      </c>
      <c r="AH108" s="63">
        <v>0</v>
      </c>
      <c r="AI108" s="63">
        <v>0</v>
      </c>
      <c r="AJ108" s="63">
        <v>0</v>
      </c>
      <c r="AK108" s="63">
        <v>0</v>
      </c>
      <c r="AL108" s="63">
        <v>0</v>
      </c>
      <c r="AM108" s="63">
        <v>0</v>
      </c>
      <c r="AN108" s="63">
        <v>0</v>
      </c>
      <c r="AP108" s="533">
        <v>0</v>
      </c>
      <c r="AQ108" s="533">
        <v>0</v>
      </c>
      <c r="AR108" s="533">
        <v>0</v>
      </c>
      <c r="AS108" s="533">
        <v>0</v>
      </c>
      <c r="AT108" s="534"/>
      <c r="AU108" s="594"/>
      <c r="AV108" s="595"/>
      <c r="AW108" s="595"/>
      <c r="AX108" s="595"/>
    </row>
    <row r="109" spans="1:50" x14ac:dyDescent="0.2">
      <c r="A109" s="201">
        <v>102</v>
      </c>
      <c r="B109" s="129" t="s">
        <v>85</v>
      </c>
      <c r="C109" s="130" t="s">
        <v>742</v>
      </c>
      <c r="D109" s="131" t="s">
        <v>746</v>
      </c>
      <c r="E109" s="132" t="s">
        <v>84</v>
      </c>
      <c r="F109" s="63">
        <v>22950222</v>
      </c>
      <c r="G109" s="63">
        <v>0</v>
      </c>
      <c r="H109" s="63">
        <v>0</v>
      </c>
      <c r="I109" s="63">
        <v>0</v>
      </c>
      <c r="J109" s="63">
        <v>22950222</v>
      </c>
      <c r="K109" s="63">
        <v>-114751</v>
      </c>
      <c r="L109" s="63">
        <v>0</v>
      </c>
      <c r="M109" s="63">
        <v>0</v>
      </c>
      <c r="N109" s="63">
        <v>0</v>
      </c>
      <c r="O109" s="63">
        <v>-114751</v>
      </c>
      <c r="P109" s="63">
        <v>-382670</v>
      </c>
      <c r="Q109" s="63">
        <v>0</v>
      </c>
      <c r="R109" s="63">
        <v>0</v>
      </c>
      <c r="S109" s="63">
        <v>0</v>
      </c>
      <c r="T109" s="63">
        <v>-382670</v>
      </c>
      <c r="U109" s="63">
        <v>22452801</v>
      </c>
      <c r="V109" s="63">
        <v>0</v>
      </c>
      <c r="W109" s="63">
        <v>0</v>
      </c>
      <c r="X109" s="63">
        <v>0</v>
      </c>
      <c r="Y109" s="63">
        <v>22452801</v>
      </c>
      <c r="Z109" s="63">
        <v>98819</v>
      </c>
      <c r="AA109" s="63">
        <v>0</v>
      </c>
      <c r="AB109" s="63">
        <v>0</v>
      </c>
      <c r="AC109" s="63">
        <v>0</v>
      </c>
      <c r="AD109" s="63">
        <v>98819</v>
      </c>
      <c r="AE109" s="63">
        <v>0</v>
      </c>
      <c r="AF109" s="63">
        <v>0</v>
      </c>
      <c r="AG109" s="63">
        <v>0</v>
      </c>
      <c r="AH109" s="63">
        <v>0</v>
      </c>
      <c r="AI109" s="63">
        <v>0</v>
      </c>
      <c r="AJ109" s="63">
        <v>0</v>
      </c>
      <c r="AK109" s="63">
        <v>0</v>
      </c>
      <c r="AL109" s="63">
        <v>0</v>
      </c>
      <c r="AM109" s="63">
        <v>0</v>
      </c>
      <c r="AN109" s="63">
        <v>0</v>
      </c>
      <c r="AP109" s="533">
        <v>0</v>
      </c>
      <c r="AQ109" s="533">
        <v>0</v>
      </c>
      <c r="AR109" s="533">
        <v>0</v>
      </c>
      <c r="AS109" s="533">
        <v>0</v>
      </c>
      <c r="AT109" s="534"/>
      <c r="AU109" s="594"/>
      <c r="AV109" s="599"/>
      <c r="AW109" s="595"/>
      <c r="AX109" s="595"/>
    </row>
    <row r="110" spans="1:50" x14ac:dyDescent="0.2">
      <c r="A110" s="201">
        <v>103</v>
      </c>
      <c r="B110" s="129" t="s">
        <v>87</v>
      </c>
      <c r="C110" s="130" t="s">
        <v>742</v>
      </c>
      <c r="D110" s="131" t="s">
        <v>751</v>
      </c>
      <c r="E110" s="132" t="s">
        <v>86</v>
      </c>
      <c r="F110" s="63">
        <v>12840674</v>
      </c>
      <c r="G110" s="63">
        <v>0</v>
      </c>
      <c r="H110" s="63">
        <v>0</v>
      </c>
      <c r="I110" s="63">
        <v>0</v>
      </c>
      <c r="J110" s="63">
        <v>12840674</v>
      </c>
      <c r="K110" s="63">
        <v>-85000</v>
      </c>
      <c r="L110" s="63">
        <v>0</v>
      </c>
      <c r="M110" s="63">
        <v>0</v>
      </c>
      <c r="N110" s="63">
        <v>0</v>
      </c>
      <c r="O110" s="63">
        <v>-85000</v>
      </c>
      <c r="P110" s="63">
        <v>-237709</v>
      </c>
      <c r="Q110" s="63">
        <v>0</v>
      </c>
      <c r="R110" s="63">
        <v>0</v>
      </c>
      <c r="S110" s="63">
        <v>0</v>
      </c>
      <c r="T110" s="63">
        <v>-237709</v>
      </c>
      <c r="U110" s="63">
        <v>12517965</v>
      </c>
      <c r="V110" s="63">
        <v>0</v>
      </c>
      <c r="W110" s="63">
        <v>0</v>
      </c>
      <c r="X110" s="63">
        <v>0</v>
      </c>
      <c r="Y110" s="63">
        <v>12517965</v>
      </c>
      <c r="Z110" s="63">
        <v>136357</v>
      </c>
      <c r="AA110" s="63">
        <v>0</v>
      </c>
      <c r="AB110" s="63">
        <v>0</v>
      </c>
      <c r="AC110" s="63">
        <v>0</v>
      </c>
      <c r="AD110" s="63">
        <v>136357</v>
      </c>
      <c r="AE110" s="63">
        <v>0</v>
      </c>
      <c r="AF110" s="63">
        <v>0</v>
      </c>
      <c r="AG110" s="63">
        <v>0</v>
      </c>
      <c r="AH110" s="63">
        <v>0</v>
      </c>
      <c r="AI110" s="63">
        <v>0</v>
      </c>
      <c r="AJ110" s="63">
        <v>0</v>
      </c>
      <c r="AK110" s="63">
        <v>0</v>
      </c>
      <c r="AL110" s="63">
        <v>0</v>
      </c>
      <c r="AM110" s="63">
        <v>0</v>
      </c>
      <c r="AN110" s="63">
        <v>0</v>
      </c>
      <c r="AP110" s="533">
        <v>0</v>
      </c>
      <c r="AQ110" s="533">
        <v>0</v>
      </c>
      <c r="AR110" s="533">
        <v>0</v>
      </c>
      <c r="AS110" s="533">
        <v>0</v>
      </c>
      <c r="AT110" s="534"/>
      <c r="AU110" s="594"/>
      <c r="AV110" s="595"/>
      <c r="AW110" s="595"/>
      <c r="AX110" s="595"/>
    </row>
    <row r="111" spans="1:50" x14ac:dyDescent="0.2">
      <c r="A111" s="201">
        <v>104</v>
      </c>
      <c r="B111" s="129" t="s">
        <v>89</v>
      </c>
      <c r="C111" s="130" t="s">
        <v>742</v>
      </c>
      <c r="D111" s="131" t="s">
        <v>744</v>
      </c>
      <c r="E111" s="132" t="s">
        <v>88</v>
      </c>
      <c r="F111" s="63">
        <v>22578042</v>
      </c>
      <c r="G111" s="63">
        <v>2002275</v>
      </c>
      <c r="H111" s="63">
        <v>0</v>
      </c>
      <c r="I111" s="63">
        <v>0</v>
      </c>
      <c r="J111" s="63">
        <v>24580317</v>
      </c>
      <c r="K111" s="63">
        <v>-500000</v>
      </c>
      <c r="L111" s="63">
        <v>0</v>
      </c>
      <c r="M111" s="63">
        <v>0</v>
      </c>
      <c r="N111" s="63">
        <v>0</v>
      </c>
      <c r="O111" s="63">
        <v>-500000</v>
      </c>
      <c r="P111" s="63">
        <v>0</v>
      </c>
      <c r="Q111" s="63">
        <v>0</v>
      </c>
      <c r="R111" s="63">
        <v>0</v>
      </c>
      <c r="S111" s="63">
        <v>0</v>
      </c>
      <c r="T111" s="63">
        <v>0</v>
      </c>
      <c r="U111" s="63">
        <v>22078042</v>
      </c>
      <c r="V111" s="63">
        <v>2002275</v>
      </c>
      <c r="W111" s="63">
        <v>0</v>
      </c>
      <c r="X111" s="63">
        <v>0</v>
      </c>
      <c r="Y111" s="63">
        <v>24080317</v>
      </c>
      <c r="Z111" s="63">
        <v>0</v>
      </c>
      <c r="AA111" s="63">
        <v>0</v>
      </c>
      <c r="AB111" s="63">
        <v>0</v>
      </c>
      <c r="AC111" s="63">
        <v>0</v>
      </c>
      <c r="AD111" s="63">
        <v>0</v>
      </c>
      <c r="AE111" s="63">
        <v>0</v>
      </c>
      <c r="AF111" s="63">
        <v>0</v>
      </c>
      <c r="AG111" s="63">
        <v>0</v>
      </c>
      <c r="AH111" s="63">
        <v>2010822</v>
      </c>
      <c r="AI111" s="63">
        <v>0</v>
      </c>
      <c r="AJ111" s="63">
        <v>0</v>
      </c>
      <c r="AK111" s="63">
        <v>0</v>
      </c>
      <c r="AL111" s="63">
        <v>0</v>
      </c>
      <c r="AM111" s="63">
        <v>0</v>
      </c>
      <c r="AN111" s="63">
        <v>0</v>
      </c>
      <c r="AP111" s="533" t="s">
        <v>768</v>
      </c>
      <c r="AQ111" s="533" t="s">
        <v>780</v>
      </c>
      <c r="AR111" s="533" t="s">
        <v>780</v>
      </c>
      <c r="AS111" s="533">
        <v>0</v>
      </c>
      <c r="AT111" s="534"/>
      <c r="AU111" s="594"/>
      <c r="AV111" s="595"/>
      <c r="AW111" s="595"/>
      <c r="AX111" s="595"/>
    </row>
    <row r="112" spans="1:50" x14ac:dyDescent="0.2">
      <c r="A112" s="201">
        <v>105</v>
      </c>
      <c r="B112" s="129" t="s">
        <v>91</v>
      </c>
      <c r="C112" s="130" t="s">
        <v>749</v>
      </c>
      <c r="D112" s="131" t="s">
        <v>755</v>
      </c>
      <c r="E112" s="132" t="s">
        <v>90</v>
      </c>
      <c r="F112" s="63">
        <v>95649459</v>
      </c>
      <c r="G112" s="63">
        <v>1647156</v>
      </c>
      <c r="H112" s="63">
        <v>0</v>
      </c>
      <c r="I112" s="63">
        <v>0</v>
      </c>
      <c r="J112" s="63">
        <v>97296615</v>
      </c>
      <c r="K112" s="63">
        <v>-909150</v>
      </c>
      <c r="L112" s="63">
        <v>-25202</v>
      </c>
      <c r="M112" s="63">
        <v>0</v>
      </c>
      <c r="N112" s="63">
        <v>0</v>
      </c>
      <c r="O112" s="63">
        <v>-934352</v>
      </c>
      <c r="P112" s="63">
        <v>-900000</v>
      </c>
      <c r="Q112" s="63">
        <v>0</v>
      </c>
      <c r="R112" s="63">
        <v>0</v>
      </c>
      <c r="S112" s="63">
        <v>0</v>
      </c>
      <c r="T112" s="63">
        <v>-900000</v>
      </c>
      <c r="U112" s="63">
        <v>93840309</v>
      </c>
      <c r="V112" s="63">
        <v>1621954</v>
      </c>
      <c r="W112" s="63">
        <v>0</v>
      </c>
      <c r="X112" s="63">
        <v>0</v>
      </c>
      <c r="Y112" s="63">
        <v>95462263</v>
      </c>
      <c r="Z112" s="63">
        <v>0</v>
      </c>
      <c r="AA112" s="63">
        <v>0</v>
      </c>
      <c r="AB112" s="63">
        <v>0</v>
      </c>
      <c r="AC112" s="63">
        <v>0</v>
      </c>
      <c r="AD112" s="63">
        <v>0</v>
      </c>
      <c r="AE112" s="63">
        <v>0</v>
      </c>
      <c r="AF112" s="63">
        <v>0</v>
      </c>
      <c r="AG112" s="63">
        <v>0</v>
      </c>
      <c r="AH112" s="63">
        <v>1164622</v>
      </c>
      <c r="AI112" s="63">
        <v>0</v>
      </c>
      <c r="AJ112" s="63">
        <v>0</v>
      </c>
      <c r="AK112" s="63">
        <v>457332</v>
      </c>
      <c r="AL112" s="63">
        <v>0</v>
      </c>
      <c r="AM112" s="63">
        <v>0</v>
      </c>
      <c r="AN112" s="63">
        <v>457332</v>
      </c>
      <c r="AP112" s="533" t="s">
        <v>768</v>
      </c>
      <c r="AQ112" s="533" t="s">
        <v>781</v>
      </c>
      <c r="AR112" s="533">
        <v>0</v>
      </c>
      <c r="AS112" s="533">
        <v>0</v>
      </c>
      <c r="AT112" s="534"/>
      <c r="AU112" s="594"/>
      <c r="AV112" s="595"/>
      <c r="AW112" s="595"/>
      <c r="AX112" s="595"/>
    </row>
    <row r="113" spans="1:50" x14ac:dyDescent="0.2">
      <c r="A113" s="201">
        <v>106</v>
      </c>
      <c r="B113" s="129" t="s">
        <v>93</v>
      </c>
      <c r="C113" s="130" t="s">
        <v>742</v>
      </c>
      <c r="D113" s="131" t="s">
        <v>745</v>
      </c>
      <c r="E113" s="132" t="s">
        <v>92</v>
      </c>
      <c r="F113" s="63">
        <v>22944631</v>
      </c>
      <c r="G113" s="63">
        <v>0</v>
      </c>
      <c r="H113" s="63">
        <v>0</v>
      </c>
      <c r="I113" s="63">
        <v>0</v>
      </c>
      <c r="J113" s="63">
        <v>22944631</v>
      </c>
      <c r="K113" s="63">
        <v>-71128</v>
      </c>
      <c r="L113" s="63">
        <v>0</v>
      </c>
      <c r="M113" s="63">
        <v>0</v>
      </c>
      <c r="N113" s="63">
        <v>0</v>
      </c>
      <c r="O113" s="63">
        <v>-71128</v>
      </c>
      <c r="P113" s="63">
        <v>-579096</v>
      </c>
      <c r="Q113" s="63">
        <v>0</v>
      </c>
      <c r="R113" s="63">
        <v>0</v>
      </c>
      <c r="S113" s="63">
        <v>0</v>
      </c>
      <c r="T113" s="63">
        <v>-579096</v>
      </c>
      <c r="U113" s="63">
        <v>22294407</v>
      </c>
      <c r="V113" s="63">
        <v>0</v>
      </c>
      <c r="W113" s="63">
        <v>0</v>
      </c>
      <c r="X113" s="63">
        <v>0</v>
      </c>
      <c r="Y113" s="63">
        <v>22294407</v>
      </c>
      <c r="Z113" s="63">
        <v>73181</v>
      </c>
      <c r="AA113" s="63">
        <v>0</v>
      </c>
      <c r="AB113" s="63">
        <v>0</v>
      </c>
      <c r="AC113" s="63">
        <v>0</v>
      </c>
      <c r="AD113" s="63">
        <v>73181</v>
      </c>
      <c r="AE113" s="63">
        <v>0</v>
      </c>
      <c r="AF113" s="63">
        <v>0</v>
      </c>
      <c r="AG113" s="63">
        <v>0</v>
      </c>
      <c r="AH113" s="63">
        <v>0</v>
      </c>
      <c r="AI113" s="63">
        <v>0</v>
      </c>
      <c r="AJ113" s="63">
        <v>0</v>
      </c>
      <c r="AK113" s="63">
        <v>0</v>
      </c>
      <c r="AL113" s="63">
        <v>0</v>
      </c>
      <c r="AM113" s="63">
        <v>0</v>
      </c>
      <c r="AN113" s="63">
        <v>0</v>
      </c>
      <c r="AP113" s="533">
        <v>0</v>
      </c>
      <c r="AQ113" s="533">
        <v>0</v>
      </c>
      <c r="AR113" s="533">
        <v>0</v>
      </c>
      <c r="AS113" s="533">
        <v>0</v>
      </c>
      <c r="AT113" s="534"/>
      <c r="AU113" s="597"/>
      <c r="AV113" s="598"/>
      <c r="AW113" s="598"/>
      <c r="AX113" s="598"/>
    </row>
    <row r="114" spans="1:50" x14ac:dyDescent="0.2">
      <c r="A114" s="201">
        <v>107</v>
      </c>
      <c r="B114" s="129" t="s">
        <v>95</v>
      </c>
      <c r="C114" s="130" t="s">
        <v>742</v>
      </c>
      <c r="D114" s="131" t="s">
        <v>751</v>
      </c>
      <c r="E114" s="132" t="s">
        <v>94</v>
      </c>
      <c r="F114" s="63">
        <v>56019377</v>
      </c>
      <c r="G114" s="63">
        <v>0</v>
      </c>
      <c r="H114" s="63">
        <v>0</v>
      </c>
      <c r="I114" s="63">
        <v>0</v>
      </c>
      <c r="J114" s="63">
        <v>56019377</v>
      </c>
      <c r="K114" s="63">
        <v>-560193</v>
      </c>
      <c r="L114" s="63">
        <v>0</v>
      </c>
      <c r="M114" s="63">
        <v>0</v>
      </c>
      <c r="N114" s="63">
        <v>0</v>
      </c>
      <c r="O114" s="63">
        <v>-560193</v>
      </c>
      <c r="P114" s="63">
        <v>-545355</v>
      </c>
      <c r="Q114" s="63">
        <v>0</v>
      </c>
      <c r="R114" s="63">
        <v>0</v>
      </c>
      <c r="S114" s="63">
        <v>0</v>
      </c>
      <c r="T114" s="63">
        <v>-545355</v>
      </c>
      <c r="U114" s="63">
        <v>54913829</v>
      </c>
      <c r="V114" s="63">
        <v>0</v>
      </c>
      <c r="W114" s="63">
        <v>0</v>
      </c>
      <c r="X114" s="63">
        <v>0</v>
      </c>
      <c r="Y114" s="63">
        <v>54913829</v>
      </c>
      <c r="Z114" s="63">
        <v>0</v>
      </c>
      <c r="AA114" s="63">
        <v>0</v>
      </c>
      <c r="AB114" s="63">
        <v>0</v>
      </c>
      <c r="AC114" s="63">
        <v>0</v>
      </c>
      <c r="AD114" s="63">
        <v>0</v>
      </c>
      <c r="AE114" s="63">
        <v>0</v>
      </c>
      <c r="AF114" s="63">
        <v>0</v>
      </c>
      <c r="AG114" s="63">
        <v>0</v>
      </c>
      <c r="AH114" s="63">
        <v>0</v>
      </c>
      <c r="AI114" s="63">
        <v>0</v>
      </c>
      <c r="AJ114" s="63">
        <v>0</v>
      </c>
      <c r="AK114" s="63">
        <v>0</v>
      </c>
      <c r="AL114" s="63">
        <v>0</v>
      </c>
      <c r="AM114" s="63">
        <v>0</v>
      </c>
      <c r="AN114" s="63">
        <v>0</v>
      </c>
      <c r="AP114" s="533">
        <v>0</v>
      </c>
      <c r="AQ114" s="533">
        <v>0</v>
      </c>
      <c r="AR114" s="533">
        <v>0</v>
      </c>
      <c r="AS114" s="533">
        <v>0</v>
      </c>
      <c r="AT114" s="534"/>
      <c r="AU114" s="594"/>
      <c r="AV114" s="595"/>
      <c r="AW114" s="595"/>
      <c r="AX114" s="595"/>
    </row>
    <row r="115" spans="1:50" x14ac:dyDescent="0.2">
      <c r="A115" s="201">
        <v>108</v>
      </c>
      <c r="B115" s="129" t="s">
        <v>97</v>
      </c>
      <c r="C115" s="130" t="s">
        <v>742</v>
      </c>
      <c r="D115" s="131" t="s">
        <v>743</v>
      </c>
      <c r="E115" s="132" t="s">
        <v>96</v>
      </c>
      <c r="F115" s="63">
        <v>16730145</v>
      </c>
      <c r="G115" s="63">
        <v>254649</v>
      </c>
      <c r="H115" s="63">
        <v>0</v>
      </c>
      <c r="I115" s="63">
        <v>0</v>
      </c>
      <c r="J115" s="63">
        <v>16984794</v>
      </c>
      <c r="K115" s="63">
        <v>-106873</v>
      </c>
      <c r="L115" s="63">
        <v>0</v>
      </c>
      <c r="M115" s="63">
        <v>0</v>
      </c>
      <c r="N115" s="63">
        <v>0</v>
      </c>
      <c r="O115" s="63">
        <v>-106873</v>
      </c>
      <c r="P115" s="63">
        <v>-899600</v>
      </c>
      <c r="Q115" s="63">
        <v>0</v>
      </c>
      <c r="R115" s="63">
        <v>0</v>
      </c>
      <c r="S115" s="63">
        <v>0</v>
      </c>
      <c r="T115" s="63">
        <v>-899600</v>
      </c>
      <c r="U115" s="63">
        <v>15723672</v>
      </c>
      <c r="V115" s="63">
        <v>254649</v>
      </c>
      <c r="W115" s="63">
        <v>0</v>
      </c>
      <c r="X115" s="63">
        <v>0</v>
      </c>
      <c r="Y115" s="63">
        <v>15978321</v>
      </c>
      <c r="Z115" s="63">
        <v>0</v>
      </c>
      <c r="AA115" s="63">
        <v>0</v>
      </c>
      <c r="AB115" s="63">
        <v>0</v>
      </c>
      <c r="AC115" s="63">
        <v>0</v>
      </c>
      <c r="AD115" s="63">
        <v>0</v>
      </c>
      <c r="AE115" s="63">
        <v>0</v>
      </c>
      <c r="AF115" s="63">
        <v>0</v>
      </c>
      <c r="AG115" s="63">
        <v>0</v>
      </c>
      <c r="AH115" s="63">
        <v>439295</v>
      </c>
      <c r="AI115" s="63">
        <v>0</v>
      </c>
      <c r="AJ115" s="63">
        <v>0</v>
      </c>
      <c r="AK115" s="63">
        <v>0</v>
      </c>
      <c r="AL115" s="63">
        <v>0</v>
      </c>
      <c r="AM115" s="63">
        <v>0</v>
      </c>
      <c r="AN115" s="63">
        <v>0</v>
      </c>
      <c r="AP115" s="533" t="s">
        <v>768</v>
      </c>
      <c r="AQ115" s="533" t="s">
        <v>779</v>
      </c>
      <c r="AR115" s="533">
        <v>0</v>
      </c>
      <c r="AS115" s="533">
        <v>0</v>
      </c>
      <c r="AT115" s="534"/>
      <c r="AU115" s="594"/>
      <c r="AV115" s="595"/>
      <c r="AW115" s="595"/>
      <c r="AX115" s="595"/>
    </row>
    <row r="116" spans="1:50" x14ac:dyDescent="0.2">
      <c r="A116" s="201">
        <v>109</v>
      </c>
      <c r="B116" s="129" t="s">
        <v>99</v>
      </c>
      <c r="C116" s="130" t="s">
        <v>742</v>
      </c>
      <c r="D116" s="131" t="s">
        <v>743</v>
      </c>
      <c r="E116" s="132" t="s">
        <v>98</v>
      </c>
      <c r="F116" s="63">
        <v>25810975</v>
      </c>
      <c r="G116" s="63">
        <v>0</v>
      </c>
      <c r="H116" s="63">
        <v>0</v>
      </c>
      <c r="I116" s="63">
        <v>0</v>
      </c>
      <c r="J116" s="63">
        <v>25810975</v>
      </c>
      <c r="K116" s="63">
        <v>-387369</v>
      </c>
      <c r="L116" s="63">
        <v>0</v>
      </c>
      <c r="M116" s="63">
        <v>0</v>
      </c>
      <c r="N116" s="63">
        <v>0</v>
      </c>
      <c r="O116" s="63">
        <v>-387369</v>
      </c>
      <c r="P116" s="63">
        <v>-884667</v>
      </c>
      <c r="Q116" s="63">
        <v>0</v>
      </c>
      <c r="R116" s="63">
        <v>0</v>
      </c>
      <c r="S116" s="63">
        <v>0</v>
      </c>
      <c r="T116" s="63">
        <v>-884667</v>
      </c>
      <c r="U116" s="63">
        <v>24538939</v>
      </c>
      <c r="V116" s="63">
        <v>0</v>
      </c>
      <c r="W116" s="63">
        <v>0</v>
      </c>
      <c r="X116" s="63">
        <v>0</v>
      </c>
      <c r="Y116" s="63">
        <v>24538939</v>
      </c>
      <c r="Z116" s="63">
        <v>0</v>
      </c>
      <c r="AA116" s="63">
        <v>0</v>
      </c>
      <c r="AB116" s="63">
        <v>0</v>
      </c>
      <c r="AC116" s="63">
        <v>0</v>
      </c>
      <c r="AD116" s="63">
        <v>0</v>
      </c>
      <c r="AE116" s="63">
        <v>0</v>
      </c>
      <c r="AF116" s="63">
        <v>0</v>
      </c>
      <c r="AG116" s="63">
        <v>0</v>
      </c>
      <c r="AH116" s="63">
        <v>0</v>
      </c>
      <c r="AI116" s="63">
        <v>0</v>
      </c>
      <c r="AJ116" s="63">
        <v>0</v>
      </c>
      <c r="AK116" s="63">
        <v>0</v>
      </c>
      <c r="AL116" s="63">
        <v>0</v>
      </c>
      <c r="AM116" s="63">
        <v>0</v>
      </c>
      <c r="AN116" s="63">
        <v>0</v>
      </c>
      <c r="AP116" s="533">
        <v>0</v>
      </c>
      <c r="AQ116" s="533">
        <v>0</v>
      </c>
      <c r="AR116" s="533">
        <v>0</v>
      </c>
      <c r="AS116" s="533">
        <v>0</v>
      </c>
      <c r="AT116" s="534"/>
      <c r="AU116" s="594"/>
      <c r="AV116" s="595"/>
      <c r="AW116" s="595"/>
      <c r="AX116" s="595"/>
    </row>
    <row r="117" spans="1:50" x14ac:dyDescent="0.2">
      <c r="A117" s="201">
        <v>110</v>
      </c>
      <c r="B117" s="129" t="s">
        <v>101</v>
      </c>
      <c r="C117" s="130" t="s">
        <v>742</v>
      </c>
      <c r="D117" s="131" t="s">
        <v>746</v>
      </c>
      <c r="E117" s="132" t="s">
        <v>100</v>
      </c>
      <c r="F117" s="63">
        <v>32210282</v>
      </c>
      <c r="G117" s="63">
        <v>135188</v>
      </c>
      <c r="H117" s="63">
        <v>0</v>
      </c>
      <c r="I117" s="63">
        <v>0</v>
      </c>
      <c r="J117" s="63">
        <v>32345470</v>
      </c>
      <c r="K117" s="63">
        <v>-240769</v>
      </c>
      <c r="L117" s="63">
        <v>0</v>
      </c>
      <c r="M117" s="63">
        <v>0</v>
      </c>
      <c r="N117" s="63">
        <v>0</v>
      </c>
      <c r="O117" s="63">
        <v>-240769</v>
      </c>
      <c r="P117" s="63">
        <v>-715536</v>
      </c>
      <c r="Q117" s="63">
        <v>0</v>
      </c>
      <c r="R117" s="63">
        <v>0</v>
      </c>
      <c r="S117" s="63">
        <v>0</v>
      </c>
      <c r="T117" s="63">
        <v>-715536</v>
      </c>
      <c r="U117" s="63">
        <v>31253977</v>
      </c>
      <c r="V117" s="63">
        <v>135188</v>
      </c>
      <c r="W117" s="63">
        <v>0</v>
      </c>
      <c r="X117" s="63">
        <v>0</v>
      </c>
      <c r="Y117" s="63">
        <v>31389165</v>
      </c>
      <c r="Z117" s="63">
        <v>55664</v>
      </c>
      <c r="AA117" s="63">
        <v>0</v>
      </c>
      <c r="AB117" s="63">
        <v>0</v>
      </c>
      <c r="AC117" s="63">
        <v>0</v>
      </c>
      <c r="AD117" s="63">
        <v>55664</v>
      </c>
      <c r="AE117" s="63">
        <v>0</v>
      </c>
      <c r="AF117" s="63">
        <v>0</v>
      </c>
      <c r="AG117" s="63">
        <v>0</v>
      </c>
      <c r="AH117" s="63">
        <v>280214</v>
      </c>
      <c r="AI117" s="63">
        <v>0</v>
      </c>
      <c r="AJ117" s="63">
        <v>0</v>
      </c>
      <c r="AK117" s="63">
        <v>0</v>
      </c>
      <c r="AL117" s="63">
        <v>0</v>
      </c>
      <c r="AM117" s="63">
        <v>0</v>
      </c>
      <c r="AN117" s="63">
        <v>0</v>
      </c>
      <c r="AP117" s="533" t="s">
        <v>768</v>
      </c>
      <c r="AQ117" s="533" t="s">
        <v>782</v>
      </c>
      <c r="AR117" s="533">
        <v>0</v>
      </c>
      <c r="AS117" s="533">
        <v>0</v>
      </c>
      <c r="AT117" s="534"/>
      <c r="AU117" s="594"/>
      <c r="AV117" s="595"/>
      <c r="AW117" s="595"/>
      <c r="AX117" s="595"/>
    </row>
    <row r="118" spans="1:50" x14ac:dyDescent="0.2">
      <c r="A118" s="201">
        <v>111</v>
      </c>
      <c r="B118" s="129" t="s">
        <v>103</v>
      </c>
      <c r="C118" s="130" t="s">
        <v>754</v>
      </c>
      <c r="D118" s="131" t="s">
        <v>748</v>
      </c>
      <c r="E118" s="132" t="s">
        <v>102</v>
      </c>
      <c r="F118" s="63">
        <v>71868560</v>
      </c>
      <c r="G118" s="63">
        <v>0</v>
      </c>
      <c r="H118" s="63">
        <v>0</v>
      </c>
      <c r="I118" s="63">
        <v>0</v>
      </c>
      <c r="J118" s="63">
        <v>71868560</v>
      </c>
      <c r="K118" s="63">
        <v>-1200000</v>
      </c>
      <c r="L118" s="63">
        <v>0</v>
      </c>
      <c r="M118" s="63">
        <v>0</v>
      </c>
      <c r="N118" s="63">
        <v>0</v>
      </c>
      <c r="O118" s="63">
        <v>-1200000</v>
      </c>
      <c r="P118" s="63">
        <v>-1500000</v>
      </c>
      <c r="Q118" s="63">
        <v>0</v>
      </c>
      <c r="R118" s="63">
        <v>0</v>
      </c>
      <c r="S118" s="63">
        <v>0</v>
      </c>
      <c r="T118" s="63">
        <v>-1500000</v>
      </c>
      <c r="U118" s="63">
        <v>69168560</v>
      </c>
      <c r="V118" s="63">
        <v>0</v>
      </c>
      <c r="W118" s="63">
        <v>0</v>
      </c>
      <c r="X118" s="63">
        <v>0</v>
      </c>
      <c r="Y118" s="63">
        <v>69168560</v>
      </c>
      <c r="Z118" s="63">
        <v>0</v>
      </c>
      <c r="AA118" s="63">
        <v>0</v>
      </c>
      <c r="AB118" s="63">
        <v>0</v>
      </c>
      <c r="AC118" s="63">
        <v>0</v>
      </c>
      <c r="AD118" s="63">
        <v>0</v>
      </c>
      <c r="AE118" s="63">
        <v>0</v>
      </c>
      <c r="AF118" s="63">
        <v>0</v>
      </c>
      <c r="AG118" s="63">
        <v>0</v>
      </c>
      <c r="AH118" s="63">
        <v>0</v>
      </c>
      <c r="AI118" s="63">
        <v>0</v>
      </c>
      <c r="AJ118" s="63">
        <v>0</v>
      </c>
      <c r="AK118" s="63">
        <v>0</v>
      </c>
      <c r="AL118" s="63">
        <v>0</v>
      </c>
      <c r="AM118" s="63">
        <v>0</v>
      </c>
      <c r="AN118" s="63">
        <v>0</v>
      </c>
      <c r="AP118" s="533">
        <v>0</v>
      </c>
      <c r="AQ118" s="533">
        <v>0</v>
      </c>
      <c r="AR118" s="533">
        <v>0</v>
      </c>
      <c r="AS118" s="533">
        <v>0</v>
      </c>
      <c r="AT118" s="534"/>
      <c r="AU118" s="594"/>
      <c r="AV118" s="595"/>
      <c r="AW118" s="595"/>
      <c r="AX118" s="595"/>
    </row>
    <row r="119" spans="1:50" x14ac:dyDescent="0.2">
      <c r="A119" s="201">
        <v>112</v>
      </c>
      <c r="B119" s="129" t="s">
        <v>105</v>
      </c>
      <c r="C119" s="130" t="s">
        <v>742</v>
      </c>
      <c r="D119" s="131" t="s">
        <v>743</v>
      </c>
      <c r="E119" s="132" t="s">
        <v>104</v>
      </c>
      <c r="F119" s="63">
        <v>85218509</v>
      </c>
      <c r="G119" s="63">
        <v>0</v>
      </c>
      <c r="H119" s="63">
        <v>0</v>
      </c>
      <c r="I119" s="63">
        <v>0</v>
      </c>
      <c r="J119" s="63">
        <v>85218509</v>
      </c>
      <c r="K119" s="63">
        <v>-426093</v>
      </c>
      <c r="L119" s="63">
        <v>0</v>
      </c>
      <c r="M119" s="63">
        <v>0</v>
      </c>
      <c r="N119" s="63">
        <v>0</v>
      </c>
      <c r="O119" s="63">
        <v>-426093</v>
      </c>
      <c r="P119" s="63">
        <v>-1760000</v>
      </c>
      <c r="Q119" s="63">
        <v>0</v>
      </c>
      <c r="R119" s="63">
        <v>0</v>
      </c>
      <c r="S119" s="63">
        <v>0</v>
      </c>
      <c r="T119" s="63">
        <v>-1760000</v>
      </c>
      <c r="U119" s="63">
        <v>83032416</v>
      </c>
      <c r="V119" s="63">
        <v>0</v>
      </c>
      <c r="W119" s="63">
        <v>0</v>
      </c>
      <c r="X119" s="63">
        <v>0</v>
      </c>
      <c r="Y119" s="63">
        <v>83032416</v>
      </c>
      <c r="Z119" s="63">
        <v>0</v>
      </c>
      <c r="AA119" s="63">
        <v>0</v>
      </c>
      <c r="AB119" s="63">
        <v>0</v>
      </c>
      <c r="AC119" s="63">
        <v>0</v>
      </c>
      <c r="AD119" s="63">
        <v>0</v>
      </c>
      <c r="AE119" s="63">
        <v>0</v>
      </c>
      <c r="AF119" s="63">
        <v>0</v>
      </c>
      <c r="AG119" s="63">
        <v>0</v>
      </c>
      <c r="AH119" s="63">
        <v>0</v>
      </c>
      <c r="AI119" s="63">
        <v>0</v>
      </c>
      <c r="AJ119" s="63">
        <v>0</v>
      </c>
      <c r="AK119" s="63">
        <v>0</v>
      </c>
      <c r="AL119" s="63">
        <v>0</v>
      </c>
      <c r="AM119" s="63">
        <v>0</v>
      </c>
      <c r="AN119" s="63">
        <v>0</v>
      </c>
      <c r="AP119" s="533">
        <v>0</v>
      </c>
      <c r="AQ119" s="533">
        <v>0</v>
      </c>
      <c r="AR119" s="533">
        <v>0</v>
      </c>
      <c r="AS119" s="533">
        <v>0</v>
      </c>
      <c r="AT119" s="534"/>
      <c r="AU119" s="594"/>
      <c r="AV119" s="595"/>
      <c r="AW119" s="595"/>
      <c r="AX119" s="595"/>
    </row>
    <row r="120" spans="1:50" x14ac:dyDescent="0.2">
      <c r="A120" s="201">
        <v>113</v>
      </c>
      <c r="B120" s="129" t="s">
        <v>107</v>
      </c>
      <c r="C120" s="130" t="s">
        <v>754</v>
      </c>
      <c r="D120" s="131" t="s">
        <v>748</v>
      </c>
      <c r="E120" s="132" t="s">
        <v>106</v>
      </c>
      <c r="F120" s="63">
        <v>93905681</v>
      </c>
      <c r="G120" s="63">
        <v>0</v>
      </c>
      <c r="H120" s="63">
        <v>0</v>
      </c>
      <c r="I120" s="63">
        <v>0</v>
      </c>
      <c r="J120" s="63">
        <v>93905681</v>
      </c>
      <c r="K120" s="63">
        <v>-1000000</v>
      </c>
      <c r="L120" s="63">
        <v>0</v>
      </c>
      <c r="M120" s="63">
        <v>0</v>
      </c>
      <c r="N120" s="63">
        <v>0</v>
      </c>
      <c r="O120" s="63">
        <v>-1000000</v>
      </c>
      <c r="P120" s="63">
        <v>-250000</v>
      </c>
      <c r="Q120" s="63">
        <v>0</v>
      </c>
      <c r="R120" s="63">
        <v>0</v>
      </c>
      <c r="S120" s="63">
        <v>0</v>
      </c>
      <c r="T120" s="63">
        <v>-250000</v>
      </c>
      <c r="U120" s="63">
        <v>92655681</v>
      </c>
      <c r="V120" s="63">
        <v>0</v>
      </c>
      <c r="W120" s="63">
        <v>0</v>
      </c>
      <c r="X120" s="63">
        <v>0</v>
      </c>
      <c r="Y120" s="63">
        <v>92655681</v>
      </c>
      <c r="Z120" s="63">
        <v>0</v>
      </c>
      <c r="AA120" s="63">
        <v>0</v>
      </c>
      <c r="AB120" s="63">
        <v>0</v>
      </c>
      <c r="AC120" s="63">
        <v>0</v>
      </c>
      <c r="AD120" s="63">
        <v>0</v>
      </c>
      <c r="AE120" s="63">
        <v>0</v>
      </c>
      <c r="AF120" s="63">
        <v>0</v>
      </c>
      <c r="AG120" s="63">
        <v>0</v>
      </c>
      <c r="AH120" s="63">
        <v>0</v>
      </c>
      <c r="AI120" s="63">
        <v>0</v>
      </c>
      <c r="AJ120" s="63">
        <v>0</v>
      </c>
      <c r="AK120" s="63">
        <v>0</v>
      </c>
      <c r="AL120" s="63">
        <v>0</v>
      </c>
      <c r="AM120" s="63">
        <v>0</v>
      </c>
      <c r="AN120" s="63">
        <v>0</v>
      </c>
      <c r="AP120" s="533">
        <v>0</v>
      </c>
      <c r="AQ120" s="533">
        <v>0</v>
      </c>
      <c r="AR120" s="533">
        <v>0</v>
      </c>
      <c r="AS120" s="533">
        <v>0</v>
      </c>
      <c r="AT120" s="534"/>
      <c r="AU120" s="594"/>
      <c r="AV120" s="595"/>
      <c r="AW120" s="595"/>
      <c r="AX120" s="595"/>
    </row>
    <row r="121" spans="1:50" x14ac:dyDescent="0.2">
      <c r="A121" s="201">
        <v>114</v>
      </c>
      <c r="B121" s="129" t="s">
        <v>108</v>
      </c>
      <c r="C121" s="130" t="s">
        <v>501</v>
      </c>
      <c r="D121" s="131" t="s">
        <v>744</v>
      </c>
      <c r="E121" s="132" t="s">
        <v>513</v>
      </c>
      <c r="F121" s="63">
        <v>57216626</v>
      </c>
      <c r="G121" s="63">
        <v>0</v>
      </c>
      <c r="H121" s="63">
        <v>0</v>
      </c>
      <c r="I121" s="63">
        <v>0</v>
      </c>
      <c r="J121" s="63">
        <v>57216626</v>
      </c>
      <c r="K121" s="63">
        <v>-500000</v>
      </c>
      <c r="L121" s="63">
        <v>0</v>
      </c>
      <c r="M121" s="63">
        <v>0</v>
      </c>
      <c r="N121" s="63">
        <v>0</v>
      </c>
      <c r="O121" s="63">
        <v>-500000</v>
      </c>
      <c r="P121" s="63">
        <v>-4140634</v>
      </c>
      <c r="Q121" s="63">
        <v>0</v>
      </c>
      <c r="R121" s="63">
        <v>0</v>
      </c>
      <c r="S121" s="63">
        <v>0</v>
      </c>
      <c r="T121" s="63">
        <v>-4140634</v>
      </c>
      <c r="U121" s="63">
        <v>52575992</v>
      </c>
      <c r="V121" s="63">
        <v>0</v>
      </c>
      <c r="W121" s="63">
        <v>0</v>
      </c>
      <c r="X121" s="63">
        <v>0</v>
      </c>
      <c r="Y121" s="63">
        <v>52575992</v>
      </c>
      <c r="Z121" s="63">
        <v>0</v>
      </c>
      <c r="AA121" s="63">
        <v>0</v>
      </c>
      <c r="AB121" s="63">
        <v>0</v>
      </c>
      <c r="AC121" s="63">
        <v>0</v>
      </c>
      <c r="AD121" s="63">
        <v>0</v>
      </c>
      <c r="AE121" s="63">
        <v>0</v>
      </c>
      <c r="AF121" s="63">
        <v>0</v>
      </c>
      <c r="AG121" s="63">
        <v>0</v>
      </c>
      <c r="AH121" s="63">
        <v>33529</v>
      </c>
      <c r="AI121" s="63">
        <v>0</v>
      </c>
      <c r="AJ121" s="63">
        <v>0</v>
      </c>
      <c r="AK121" s="63">
        <v>0</v>
      </c>
      <c r="AL121" s="63">
        <v>0</v>
      </c>
      <c r="AM121" s="63">
        <v>0</v>
      </c>
      <c r="AN121" s="63">
        <v>0</v>
      </c>
      <c r="AP121" s="533" t="s">
        <v>768</v>
      </c>
      <c r="AQ121" s="533" t="s">
        <v>783</v>
      </c>
      <c r="AR121" s="533" t="s">
        <v>783</v>
      </c>
      <c r="AS121" s="533">
        <v>0</v>
      </c>
      <c r="AT121" s="534"/>
      <c r="AU121" s="594"/>
      <c r="AV121" s="595"/>
      <c r="AW121" s="595"/>
      <c r="AX121" s="595"/>
    </row>
    <row r="122" spans="1:50" x14ac:dyDescent="0.2">
      <c r="A122" s="201">
        <v>115</v>
      </c>
      <c r="B122" s="129" t="s">
        <v>110</v>
      </c>
      <c r="C122" s="130" t="s">
        <v>742</v>
      </c>
      <c r="D122" s="131" t="s">
        <v>750</v>
      </c>
      <c r="E122" s="132" t="s">
        <v>109</v>
      </c>
      <c r="F122" s="63">
        <v>28356652</v>
      </c>
      <c r="G122" s="63">
        <v>0</v>
      </c>
      <c r="H122" s="63">
        <v>0</v>
      </c>
      <c r="I122" s="63">
        <v>0</v>
      </c>
      <c r="J122" s="63">
        <v>28356652</v>
      </c>
      <c r="K122" s="63">
        <v>-425350</v>
      </c>
      <c r="L122" s="63">
        <v>0</v>
      </c>
      <c r="M122" s="63">
        <v>0</v>
      </c>
      <c r="N122" s="63">
        <v>0</v>
      </c>
      <c r="O122" s="63">
        <v>-425350</v>
      </c>
      <c r="P122" s="63">
        <v>-329460</v>
      </c>
      <c r="Q122" s="63">
        <v>0</v>
      </c>
      <c r="R122" s="63">
        <v>0</v>
      </c>
      <c r="S122" s="63">
        <v>0</v>
      </c>
      <c r="T122" s="63">
        <v>-329460</v>
      </c>
      <c r="U122" s="63">
        <v>27601842</v>
      </c>
      <c r="V122" s="63">
        <v>0</v>
      </c>
      <c r="W122" s="63">
        <v>0</v>
      </c>
      <c r="X122" s="63">
        <v>0</v>
      </c>
      <c r="Y122" s="63">
        <v>27601842</v>
      </c>
      <c r="Z122" s="63">
        <v>0</v>
      </c>
      <c r="AA122" s="63">
        <v>0</v>
      </c>
      <c r="AB122" s="63">
        <v>0</v>
      </c>
      <c r="AC122" s="63">
        <v>0</v>
      </c>
      <c r="AD122" s="63">
        <v>0</v>
      </c>
      <c r="AE122" s="63">
        <v>0</v>
      </c>
      <c r="AF122" s="63">
        <v>0</v>
      </c>
      <c r="AG122" s="63">
        <v>0</v>
      </c>
      <c r="AH122" s="63">
        <v>0</v>
      </c>
      <c r="AI122" s="63">
        <v>0</v>
      </c>
      <c r="AJ122" s="63">
        <v>0</v>
      </c>
      <c r="AK122" s="63">
        <v>0</v>
      </c>
      <c r="AL122" s="63">
        <v>0</v>
      </c>
      <c r="AM122" s="63">
        <v>0</v>
      </c>
      <c r="AN122" s="63">
        <v>0</v>
      </c>
      <c r="AP122" s="533">
        <v>0</v>
      </c>
      <c r="AQ122" s="533">
        <v>0</v>
      </c>
      <c r="AR122" s="533">
        <v>0</v>
      </c>
      <c r="AS122" s="533">
        <v>0</v>
      </c>
      <c r="AT122" s="534"/>
      <c r="AU122" s="594"/>
      <c r="AV122" s="595"/>
      <c r="AW122" s="595"/>
      <c r="AX122" s="595"/>
    </row>
    <row r="123" spans="1:50" x14ac:dyDescent="0.2">
      <c r="A123" s="201">
        <v>116</v>
      </c>
      <c r="B123" s="129" t="s">
        <v>111</v>
      </c>
      <c r="C123" s="130" t="s">
        <v>754</v>
      </c>
      <c r="D123" s="131" t="s">
        <v>748</v>
      </c>
      <c r="E123" s="132" t="s">
        <v>552</v>
      </c>
      <c r="F123" s="63">
        <v>199625948</v>
      </c>
      <c r="G123" s="63">
        <v>0</v>
      </c>
      <c r="H123" s="63">
        <v>0</v>
      </c>
      <c r="I123" s="63">
        <v>0</v>
      </c>
      <c r="J123" s="63">
        <v>199625948</v>
      </c>
      <c r="K123" s="63">
        <v>-4990649</v>
      </c>
      <c r="L123" s="63">
        <v>0</v>
      </c>
      <c r="M123" s="63">
        <v>0</v>
      </c>
      <c r="N123" s="63">
        <v>0</v>
      </c>
      <c r="O123" s="63">
        <v>-4990649</v>
      </c>
      <c r="P123" s="63">
        <v>-7226501</v>
      </c>
      <c r="Q123" s="63">
        <v>0</v>
      </c>
      <c r="R123" s="63">
        <v>0</v>
      </c>
      <c r="S123" s="63">
        <v>0</v>
      </c>
      <c r="T123" s="63">
        <v>-7226501</v>
      </c>
      <c r="U123" s="63">
        <v>187408798</v>
      </c>
      <c r="V123" s="63">
        <v>0</v>
      </c>
      <c r="W123" s="63">
        <v>0</v>
      </c>
      <c r="X123" s="63">
        <v>0</v>
      </c>
      <c r="Y123" s="63">
        <v>187408798</v>
      </c>
      <c r="Z123" s="63">
        <v>0</v>
      </c>
      <c r="AA123" s="63">
        <v>0</v>
      </c>
      <c r="AB123" s="63">
        <v>0</v>
      </c>
      <c r="AC123" s="63">
        <v>0</v>
      </c>
      <c r="AD123" s="63">
        <v>0</v>
      </c>
      <c r="AE123" s="63">
        <v>0</v>
      </c>
      <c r="AF123" s="63">
        <v>0</v>
      </c>
      <c r="AG123" s="63">
        <v>0</v>
      </c>
      <c r="AH123" s="63">
        <v>0</v>
      </c>
      <c r="AI123" s="63">
        <v>0</v>
      </c>
      <c r="AJ123" s="63">
        <v>0</v>
      </c>
      <c r="AK123" s="63">
        <v>0</v>
      </c>
      <c r="AL123" s="63">
        <v>0</v>
      </c>
      <c r="AM123" s="63">
        <v>0</v>
      </c>
      <c r="AN123" s="63">
        <v>0</v>
      </c>
      <c r="AP123" s="533">
        <v>0</v>
      </c>
      <c r="AQ123" s="533">
        <v>0</v>
      </c>
      <c r="AR123" s="533">
        <v>0</v>
      </c>
      <c r="AS123" s="533">
        <v>0</v>
      </c>
      <c r="AT123" s="534"/>
      <c r="AU123" s="594"/>
      <c r="AV123" s="595"/>
      <c r="AW123" s="595"/>
      <c r="AX123" s="595"/>
    </row>
    <row r="124" spans="1:50" x14ac:dyDescent="0.2">
      <c r="A124" s="201">
        <v>117</v>
      </c>
      <c r="B124" s="129" t="s">
        <v>113</v>
      </c>
      <c r="C124" s="130" t="s">
        <v>742</v>
      </c>
      <c r="D124" s="131" t="s">
        <v>745</v>
      </c>
      <c r="E124" s="132" t="s">
        <v>112</v>
      </c>
      <c r="F124" s="63">
        <v>38800005</v>
      </c>
      <c r="G124" s="63">
        <v>0</v>
      </c>
      <c r="H124" s="63">
        <v>0</v>
      </c>
      <c r="I124" s="63">
        <v>0</v>
      </c>
      <c r="J124" s="63">
        <v>38800005</v>
      </c>
      <c r="K124" s="63">
        <v>-54000</v>
      </c>
      <c r="L124" s="63">
        <v>0</v>
      </c>
      <c r="M124" s="63">
        <v>0</v>
      </c>
      <c r="N124" s="63">
        <v>0</v>
      </c>
      <c r="O124" s="63">
        <v>-54000</v>
      </c>
      <c r="P124" s="63">
        <v>-972000</v>
      </c>
      <c r="Q124" s="63">
        <v>0</v>
      </c>
      <c r="R124" s="63">
        <v>0</v>
      </c>
      <c r="S124" s="63">
        <v>0</v>
      </c>
      <c r="T124" s="63">
        <v>-972000</v>
      </c>
      <c r="U124" s="63">
        <v>37774005</v>
      </c>
      <c r="V124" s="63">
        <v>0</v>
      </c>
      <c r="W124" s="63">
        <v>0</v>
      </c>
      <c r="X124" s="63">
        <v>0</v>
      </c>
      <c r="Y124" s="63">
        <v>37774005</v>
      </c>
      <c r="Z124" s="63">
        <v>0</v>
      </c>
      <c r="AA124" s="63">
        <v>0</v>
      </c>
      <c r="AB124" s="63">
        <v>0</v>
      </c>
      <c r="AC124" s="63">
        <v>0</v>
      </c>
      <c r="AD124" s="63">
        <v>0</v>
      </c>
      <c r="AE124" s="63">
        <v>0</v>
      </c>
      <c r="AF124" s="63">
        <v>0</v>
      </c>
      <c r="AG124" s="63">
        <v>0</v>
      </c>
      <c r="AH124" s="63">
        <v>0</v>
      </c>
      <c r="AI124" s="63">
        <v>0</v>
      </c>
      <c r="AJ124" s="63">
        <v>0</v>
      </c>
      <c r="AK124" s="63">
        <v>0</v>
      </c>
      <c r="AL124" s="63">
        <v>0</v>
      </c>
      <c r="AM124" s="63">
        <v>0</v>
      </c>
      <c r="AN124" s="63">
        <v>0</v>
      </c>
      <c r="AP124" s="533">
        <v>0</v>
      </c>
      <c r="AQ124" s="533">
        <v>0</v>
      </c>
      <c r="AR124" s="533">
        <v>0</v>
      </c>
      <c r="AS124" s="533">
        <v>0</v>
      </c>
      <c r="AT124" s="534"/>
      <c r="AU124" s="594"/>
      <c r="AV124" s="595"/>
      <c r="AW124" s="595"/>
      <c r="AX124" s="595"/>
    </row>
    <row r="125" spans="1:50" x14ac:dyDescent="0.2">
      <c r="A125" s="201">
        <v>118</v>
      </c>
      <c r="B125" s="129" t="s">
        <v>115</v>
      </c>
      <c r="C125" s="130" t="s">
        <v>747</v>
      </c>
      <c r="D125" s="131" t="s">
        <v>748</v>
      </c>
      <c r="E125" s="132" t="s">
        <v>114</v>
      </c>
      <c r="F125" s="63">
        <v>69404145</v>
      </c>
      <c r="G125" s="63">
        <v>0</v>
      </c>
      <c r="H125" s="63">
        <v>0</v>
      </c>
      <c r="I125" s="63">
        <v>0</v>
      </c>
      <c r="J125" s="63">
        <v>69404145</v>
      </c>
      <c r="K125" s="63">
        <v>-2081356</v>
      </c>
      <c r="L125" s="63">
        <v>0</v>
      </c>
      <c r="M125" s="63">
        <v>0</v>
      </c>
      <c r="N125" s="63">
        <v>0</v>
      </c>
      <c r="O125" s="63">
        <v>-2081356</v>
      </c>
      <c r="P125" s="63">
        <v>-894677</v>
      </c>
      <c r="Q125" s="63">
        <v>0</v>
      </c>
      <c r="R125" s="63">
        <v>0</v>
      </c>
      <c r="S125" s="63">
        <v>0</v>
      </c>
      <c r="T125" s="63">
        <v>-894677</v>
      </c>
      <c r="U125" s="63">
        <v>66428112</v>
      </c>
      <c r="V125" s="63">
        <v>0</v>
      </c>
      <c r="W125" s="63">
        <v>0</v>
      </c>
      <c r="X125" s="63">
        <v>0</v>
      </c>
      <c r="Y125" s="63">
        <v>66428112</v>
      </c>
      <c r="Z125" s="63">
        <v>0</v>
      </c>
      <c r="AA125" s="63">
        <v>0</v>
      </c>
      <c r="AB125" s="63">
        <v>0</v>
      </c>
      <c r="AC125" s="63">
        <v>0</v>
      </c>
      <c r="AD125" s="63">
        <v>0</v>
      </c>
      <c r="AE125" s="63">
        <v>0</v>
      </c>
      <c r="AF125" s="63">
        <v>0</v>
      </c>
      <c r="AG125" s="63">
        <v>0</v>
      </c>
      <c r="AH125" s="63">
        <v>0</v>
      </c>
      <c r="AI125" s="63">
        <v>0</v>
      </c>
      <c r="AJ125" s="63">
        <v>0</v>
      </c>
      <c r="AK125" s="63">
        <v>0</v>
      </c>
      <c r="AL125" s="63">
        <v>0</v>
      </c>
      <c r="AM125" s="63">
        <v>0</v>
      </c>
      <c r="AN125" s="63">
        <v>0</v>
      </c>
      <c r="AP125" s="533">
        <v>0</v>
      </c>
      <c r="AQ125" s="533">
        <v>0</v>
      </c>
      <c r="AR125" s="533">
        <v>0</v>
      </c>
      <c r="AS125" s="533">
        <v>0</v>
      </c>
      <c r="AT125" s="534"/>
      <c r="AU125" s="594"/>
      <c r="AV125" s="595"/>
      <c r="AW125" s="595"/>
      <c r="AX125" s="595"/>
    </row>
    <row r="126" spans="1:50" x14ac:dyDescent="0.2">
      <c r="A126" s="201">
        <v>119</v>
      </c>
      <c r="B126" s="129" t="s">
        <v>117</v>
      </c>
      <c r="C126" s="130" t="s">
        <v>742</v>
      </c>
      <c r="D126" s="131" t="s">
        <v>746</v>
      </c>
      <c r="E126" s="132" t="s">
        <v>116</v>
      </c>
      <c r="F126" s="63">
        <v>46408299.229999997</v>
      </c>
      <c r="G126" s="63">
        <v>2818536</v>
      </c>
      <c r="H126" s="63">
        <v>0</v>
      </c>
      <c r="I126" s="63">
        <v>0</v>
      </c>
      <c r="J126" s="63">
        <v>49226835.359999999</v>
      </c>
      <c r="K126" s="63">
        <v>-256134</v>
      </c>
      <c r="L126" s="63">
        <v>-21157</v>
      </c>
      <c r="M126" s="63">
        <v>0</v>
      </c>
      <c r="N126" s="63">
        <v>0</v>
      </c>
      <c r="O126" s="63">
        <v>-277291</v>
      </c>
      <c r="P126" s="63">
        <v>-891979</v>
      </c>
      <c r="Q126" s="63">
        <v>-73680</v>
      </c>
      <c r="R126" s="63">
        <v>0</v>
      </c>
      <c r="S126" s="63">
        <v>0</v>
      </c>
      <c r="T126" s="63">
        <v>-965659</v>
      </c>
      <c r="U126" s="63">
        <v>45260186.229999997</v>
      </c>
      <c r="V126" s="63">
        <v>2723699</v>
      </c>
      <c r="W126" s="63">
        <v>0</v>
      </c>
      <c r="X126" s="63">
        <v>0</v>
      </c>
      <c r="Y126" s="63">
        <v>47983885.229999997</v>
      </c>
      <c r="Z126" s="63">
        <v>0</v>
      </c>
      <c r="AA126" s="63">
        <v>0</v>
      </c>
      <c r="AB126" s="63">
        <v>0</v>
      </c>
      <c r="AC126" s="63">
        <v>0</v>
      </c>
      <c r="AD126" s="63">
        <v>0</v>
      </c>
      <c r="AE126" s="63">
        <v>0</v>
      </c>
      <c r="AF126" s="63">
        <v>0</v>
      </c>
      <c r="AG126" s="63">
        <v>0</v>
      </c>
      <c r="AH126" s="63">
        <v>2963047</v>
      </c>
      <c r="AI126" s="63">
        <v>0</v>
      </c>
      <c r="AJ126" s="63">
        <v>0</v>
      </c>
      <c r="AK126" s="63">
        <v>0</v>
      </c>
      <c r="AL126" s="63">
        <v>0</v>
      </c>
      <c r="AM126" s="63">
        <v>0</v>
      </c>
      <c r="AN126" s="63">
        <v>0</v>
      </c>
      <c r="AP126" s="533" t="s">
        <v>768</v>
      </c>
      <c r="AQ126" s="533" t="s">
        <v>116</v>
      </c>
      <c r="AR126" s="533">
        <v>0</v>
      </c>
      <c r="AS126" s="533">
        <v>0</v>
      </c>
      <c r="AT126" s="534"/>
      <c r="AU126" s="594"/>
      <c r="AV126" s="595"/>
      <c r="AW126" s="595"/>
      <c r="AX126" s="595"/>
    </row>
    <row r="127" spans="1:50" x14ac:dyDescent="0.2">
      <c r="A127" s="201">
        <v>120</v>
      </c>
      <c r="B127" s="129" t="s">
        <v>119</v>
      </c>
      <c r="C127" s="130" t="s">
        <v>742</v>
      </c>
      <c r="D127" s="131" t="s">
        <v>750</v>
      </c>
      <c r="E127" s="132" t="s">
        <v>118</v>
      </c>
      <c r="F127" s="63">
        <v>64420307</v>
      </c>
      <c r="G127" s="63">
        <v>0</v>
      </c>
      <c r="H127" s="63">
        <v>0</v>
      </c>
      <c r="I127" s="63">
        <v>0</v>
      </c>
      <c r="J127" s="63">
        <v>64420307</v>
      </c>
      <c r="K127" s="63">
        <v>-966000</v>
      </c>
      <c r="L127" s="63">
        <v>0</v>
      </c>
      <c r="M127" s="63">
        <v>0</v>
      </c>
      <c r="N127" s="63">
        <v>0</v>
      </c>
      <c r="O127" s="63">
        <v>-966000</v>
      </c>
      <c r="P127" s="63">
        <v>-1288000</v>
      </c>
      <c r="Q127" s="63">
        <v>0</v>
      </c>
      <c r="R127" s="63">
        <v>0</v>
      </c>
      <c r="S127" s="63">
        <v>0</v>
      </c>
      <c r="T127" s="63">
        <v>-1288000</v>
      </c>
      <c r="U127" s="63">
        <v>62166307</v>
      </c>
      <c r="V127" s="63">
        <v>0</v>
      </c>
      <c r="W127" s="63">
        <v>0</v>
      </c>
      <c r="X127" s="63">
        <v>0</v>
      </c>
      <c r="Y127" s="63">
        <v>62166307</v>
      </c>
      <c r="Z127" s="63">
        <v>0</v>
      </c>
      <c r="AA127" s="63">
        <v>0</v>
      </c>
      <c r="AB127" s="63">
        <v>0</v>
      </c>
      <c r="AC127" s="63">
        <v>0</v>
      </c>
      <c r="AD127" s="63">
        <v>0</v>
      </c>
      <c r="AE127" s="63">
        <v>0</v>
      </c>
      <c r="AF127" s="63">
        <v>0</v>
      </c>
      <c r="AG127" s="63">
        <v>0</v>
      </c>
      <c r="AH127" s="63">
        <v>0</v>
      </c>
      <c r="AI127" s="63">
        <v>0</v>
      </c>
      <c r="AJ127" s="63">
        <v>0</v>
      </c>
      <c r="AK127" s="63">
        <v>0</v>
      </c>
      <c r="AL127" s="63">
        <v>0</v>
      </c>
      <c r="AM127" s="63">
        <v>0</v>
      </c>
      <c r="AN127" s="63">
        <v>0</v>
      </c>
      <c r="AP127" s="533">
        <v>0</v>
      </c>
      <c r="AQ127" s="533">
        <v>0</v>
      </c>
      <c r="AR127" s="533">
        <v>0</v>
      </c>
      <c r="AS127" s="533">
        <v>0</v>
      </c>
      <c r="AT127" s="534"/>
      <c r="AU127" s="594"/>
      <c r="AV127" s="595"/>
      <c r="AW127" s="595"/>
      <c r="AX127" s="595"/>
    </row>
    <row r="128" spans="1:50" x14ac:dyDescent="0.2">
      <c r="A128" s="201">
        <v>121</v>
      </c>
      <c r="B128" s="129" t="s">
        <v>121</v>
      </c>
      <c r="C128" s="130" t="s">
        <v>747</v>
      </c>
      <c r="D128" s="131" t="s">
        <v>748</v>
      </c>
      <c r="E128" s="132" t="s">
        <v>120</v>
      </c>
      <c r="F128" s="63">
        <v>50776718</v>
      </c>
      <c r="G128" s="63">
        <v>0</v>
      </c>
      <c r="H128" s="63">
        <v>0</v>
      </c>
      <c r="I128" s="63">
        <v>0</v>
      </c>
      <c r="J128" s="63">
        <v>50776718</v>
      </c>
      <c r="K128" s="63">
        <v>-1565000</v>
      </c>
      <c r="L128" s="63">
        <v>0</v>
      </c>
      <c r="M128" s="63">
        <v>0</v>
      </c>
      <c r="N128" s="63">
        <v>0</v>
      </c>
      <c r="O128" s="63">
        <v>-1565000</v>
      </c>
      <c r="P128" s="63">
        <v>-5000000</v>
      </c>
      <c r="Q128" s="63">
        <v>0</v>
      </c>
      <c r="R128" s="63">
        <v>0</v>
      </c>
      <c r="S128" s="63">
        <v>0</v>
      </c>
      <c r="T128" s="63">
        <v>-5000000</v>
      </c>
      <c r="U128" s="63">
        <v>44211718</v>
      </c>
      <c r="V128" s="63">
        <v>0</v>
      </c>
      <c r="W128" s="63">
        <v>0</v>
      </c>
      <c r="X128" s="63">
        <v>0</v>
      </c>
      <c r="Y128" s="63">
        <v>44211718</v>
      </c>
      <c r="Z128" s="63">
        <v>0</v>
      </c>
      <c r="AA128" s="63">
        <v>0</v>
      </c>
      <c r="AB128" s="63">
        <v>0</v>
      </c>
      <c r="AC128" s="63">
        <v>0</v>
      </c>
      <c r="AD128" s="63">
        <v>0</v>
      </c>
      <c r="AE128" s="63">
        <v>0</v>
      </c>
      <c r="AF128" s="63">
        <v>0</v>
      </c>
      <c r="AG128" s="63">
        <v>0</v>
      </c>
      <c r="AH128" s="63">
        <v>0</v>
      </c>
      <c r="AI128" s="63">
        <v>0</v>
      </c>
      <c r="AJ128" s="63">
        <v>0</v>
      </c>
      <c r="AK128" s="63">
        <v>0</v>
      </c>
      <c r="AL128" s="63">
        <v>0</v>
      </c>
      <c r="AM128" s="63">
        <v>0</v>
      </c>
      <c r="AN128" s="63">
        <v>0</v>
      </c>
      <c r="AP128" s="533">
        <v>0</v>
      </c>
      <c r="AQ128" s="533">
        <v>0</v>
      </c>
      <c r="AR128" s="533">
        <v>0</v>
      </c>
      <c r="AS128" s="533">
        <v>0</v>
      </c>
      <c r="AT128" s="534"/>
      <c r="AU128" s="594"/>
      <c r="AV128" s="595"/>
      <c r="AW128" s="595"/>
      <c r="AX128" s="595"/>
    </row>
    <row r="129" spans="1:50" x14ac:dyDescent="0.2">
      <c r="A129" s="201">
        <v>122</v>
      </c>
      <c r="B129" s="129" t="s">
        <v>123</v>
      </c>
      <c r="C129" s="130" t="s">
        <v>742</v>
      </c>
      <c r="D129" s="131" t="s">
        <v>743</v>
      </c>
      <c r="E129" s="132" t="s">
        <v>122</v>
      </c>
      <c r="F129" s="63">
        <v>30576949</v>
      </c>
      <c r="G129" s="63">
        <v>0</v>
      </c>
      <c r="H129" s="63">
        <v>0</v>
      </c>
      <c r="I129" s="63">
        <v>0</v>
      </c>
      <c r="J129" s="63">
        <v>30576949</v>
      </c>
      <c r="K129" s="63">
        <v>-256824</v>
      </c>
      <c r="L129" s="63">
        <v>0</v>
      </c>
      <c r="M129" s="63">
        <v>0</v>
      </c>
      <c r="N129" s="63">
        <v>0</v>
      </c>
      <c r="O129" s="63">
        <v>-256824</v>
      </c>
      <c r="P129" s="63">
        <v>-440000</v>
      </c>
      <c r="Q129" s="63">
        <v>0</v>
      </c>
      <c r="R129" s="63">
        <v>0</v>
      </c>
      <c r="S129" s="63">
        <v>0</v>
      </c>
      <c r="T129" s="63">
        <v>-440000</v>
      </c>
      <c r="U129" s="63">
        <v>29880125</v>
      </c>
      <c r="V129" s="63">
        <v>0</v>
      </c>
      <c r="W129" s="63">
        <v>0</v>
      </c>
      <c r="X129" s="63">
        <v>0</v>
      </c>
      <c r="Y129" s="63">
        <v>29880125</v>
      </c>
      <c r="Z129" s="63">
        <v>0</v>
      </c>
      <c r="AA129" s="63">
        <v>0</v>
      </c>
      <c r="AB129" s="63">
        <v>0</v>
      </c>
      <c r="AC129" s="63">
        <v>0</v>
      </c>
      <c r="AD129" s="63">
        <v>0</v>
      </c>
      <c r="AE129" s="63">
        <v>0</v>
      </c>
      <c r="AF129" s="63">
        <v>0</v>
      </c>
      <c r="AG129" s="63">
        <v>0</v>
      </c>
      <c r="AH129" s="63">
        <v>0</v>
      </c>
      <c r="AI129" s="63">
        <v>0</v>
      </c>
      <c r="AJ129" s="63">
        <v>0</v>
      </c>
      <c r="AK129" s="63">
        <v>0</v>
      </c>
      <c r="AL129" s="63">
        <v>0</v>
      </c>
      <c r="AM129" s="63">
        <v>0</v>
      </c>
      <c r="AN129" s="63">
        <v>0</v>
      </c>
      <c r="AP129" s="533">
        <v>0</v>
      </c>
      <c r="AQ129" s="533">
        <v>0</v>
      </c>
      <c r="AR129" s="533">
        <v>0</v>
      </c>
      <c r="AS129" s="533">
        <v>0</v>
      </c>
      <c r="AT129" s="534"/>
      <c r="AU129" s="594"/>
      <c r="AV129" s="595"/>
      <c r="AW129" s="595"/>
      <c r="AX129" s="595"/>
    </row>
    <row r="130" spans="1:50" x14ac:dyDescent="0.2">
      <c r="A130" s="201">
        <v>123</v>
      </c>
      <c r="B130" s="129" t="s">
        <v>124</v>
      </c>
      <c r="C130" s="130" t="s">
        <v>501</v>
      </c>
      <c r="D130" s="131" t="s">
        <v>755</v>
      </c>
      <c r="E130" s="132" t="s">
        <v>516</v>
      </c>
      <c r="F130" s="63">
        <v>33775654</v>
      </c>
      <c r="G130" s="63">
        <v>0</v>
      </c>
      <c r="H130" s="63">
        <v>0</v>
      </c>
      <c r="I130" s="63">
        <v>0</v>
      </c>
      <c r="J130" s="63">
        <v>33775654</v>
      </c>
      <c r="K130" s="63">
        <v>-371532</v>
      </c>
      <c r="L130" s="63">
        <v>0</v>
      </c>
      <c r="M130" s="63">
        <v>0</v>
      </c>
      <c r="N130" s="63">
        <v>0</v>
      </c>
      <c r="O130" s="63">
        <v>-371532</v>
      </c>
      <c r="P130" s="63">
        <v>-891211</v>
      </c>
      <c r="Q130" s="63">
        <v>0</v>
      </c>
      <c r="R130" s="63">
        <v>0</v>
      </c>
      <c r="S130" s="63">
        <v>0</v>
      </c>
      <c r="T130" s="63">
        <v>-891211</v>
      </c>
      <c r="U130" s="63">
        <v>32512911</v>
      </c>
      <c r="V130" s="63">
        <v>0</v>
      </c>
      <c r="W130" s="63">
        <v>0</v>
      </c>
      <c r="X130" s="63">
        <v>0</v>
      </c>
      <c r="Y130" s="63">
        <v>32512911</v>
      </c>
      <c r="Z130" s="63">
        <v>0</v>
      </c>
      <c r="AA130" s="63">
        <v>0</v>
      </c>
      <c r="AB130" s="63">
        <v>0</v>
      </c>
      <c r="AC130" s="63">
        <v>0</v>
      </c>
      <c r="AD130" s="63">
        <v>0</v>
      </c>
      <c r="AE130" s="63">
        <v>0</v>
      </c>
      <c r="AF130" s="63">
        <v>0</v>
      </c>
      <c r="AG130" s="63">
        <v>0</v>
      </c>
      <c r="AH130" s="63">
        <v>0</v>
      </c>
      <c r="AI130" s="63">
        <v>0</v>
      </c>
      <c r="AJ130" s="63">
        <v>0</v>
      </c>
      <c r="AK130" s="63">
        <v>0</v>
      </c>
      <c r="AL130" s="63">
        <v>0</v>
      </c>
      <c r="AM130" s="63">
        <v>0</v>
      </c>
      <c r="AN130" s="63">
        <v>0</v>
      </c>
      <c r="AP130" s="533" t="s">
        <v>768</v>
      </c>
      <c r="AQ130" s="533" t="s">
        <v>784</v>
      </c>
      <c r="AR130" s="533">
        <v>0</v>
      </c>
      <c r="AS130" s="533">
        <v>0</v>
      </c>
      <c r="AT130" s="534"/>
      <c r="AU130" s="594"/>
      <c r="AV130" s="595"/>
      <c r="AW130" s="595"/>
      <c r="AX130" s="595"/>
    </row>
    <row r="131" spans="1:50" x14ac:dyDescent="0.2">
      <c r="A131" s="201">
        <v>124</v>
      </c>
      <c r="B131" s="129" t="s">
        <v>126</v>
      </c>
      <c r="C131" s="130" t="s">
        <v>742</v>
      </c>
      <c r="D131" s="131" t="s">
        <v>743</v>
      </c>
      <c r="E131" s="132" t="s">
        <v>125</v>
      </c>
      <c r="F131" s="63">
        <v>22017914</v>
      </c>
      <c r="G131" s="63">
        <v>0</v>
      </c>
      <c r="H131" s="63">
        <v>0</v>
      </c>
      <c r="I131" s="63">
        <v>0</v>
      </c>
      <c r="J131" s="63">
        <v>22017914</v>
      </c>
      <c r="K131" s="63">
        <v>-217179</v>
      </c>
      <c r="L131" s="63">
        <v>0</v>
      </c>
      <c r="M131" s="63">
        <v>0</v>
      </c>
      <c r="N131" s="63">
        <v>0</v>
      </c>
      <c r="O131" s="63">
        <v>-217179</v>
      </c>
      <c r="P131" s="63">
        <v>-300000</v>
      </c>
      <c r="Q131" s="63">
        <v>0</v>
      </c>
      <c r="R131" s="63">
        <v>0</v>
      </c>
      <c r="S131" s="63">
        <v>0</v>
      </c>
      <c r="T131" s="63">
        <v>-300000</v>
      </c>
      <c r="U131" s="63">
        <v>21500735</v>
      </c>
      <c r="V131" s="63">
        <v>0</v>
      </c>
      <c r="W131" s="63">
        <v>0</v>
      </c>
      <c r="X131" s="63">
        <v>0</v>
      </c>
      <c r="Y131" s="63">
        <v>21500735</v>
      </c>
      <c r="Z131" s="63">
        <v>0</v>
      </c>
      <c r="AA131" s="63">
        <v>0</v>
      </c>
      <c r="AB131" s="63">
        <v>0</v>
      </c>
      <c r="AC131" s="63">
        <v>0</v>
      </c>
      <c r="AD131" s="63">
        <v>0</v>
      </c>
      <c r="AE131" s="63">
        <v>0</v>
      </c>
      <c r="AF131" s="63">
        <v>0</v>
      </c>
      <c r="AG131" s="63">
        <v>0</v>
      </c>
      <c r="AH131" s="63">
        <v>0</v>
      </c>
      <c r="AI131" s="63">
        <v>0</v>
      </c>
      <c r="AJ131" s="63">
        <v>0</v>
      </c>
      <c r="AK131" s="63">
        <v>0</v>
      </c>
      <c r="AL131" s="63">
        <v>0</v>
      </c>
      <c r="AM131" s="63">
        <v>0</v>
      </c>
      <c r="AN131" s="63">
        <v>0</v>
      </c>
      <c r="AP131" s="533">
        <v>0</v>
      </c>
      <c r="AQ131" s="533">
        <v>0</v>
      </c>
      <c r="AR131" s="533">
        <v>0</v>
      </c>
      <c r="AS131" s="533">
        <v>0</v>
      </c>
      <c r="AT131" s="534"/>
      <c r="AU131" s="594"/>
      <c r="AV131" s="595"/>
      <c r="AW131" s="595"/>
      <c r="AX131" s="595"/>
    </row>
    <row r="132" spans="1:50" x14ac:dyDescent="0.2">
      <c r="A132" s="201">
        <v>125</v>
      </c>
      <c r="B132" s="129" t="s">
        <v>128</v>
      </c>
      <c r="C132" s="130" t="s">
        <v>742</v>
      </c>
      <c r="D132" s="131" t="s">
        <v>743</v>
      </c>
      <c r="E132" s="132" t="s">
        <v>127</v>
      </c>
      <c r="F132" s="63">
        <v>35089059</v>
      </c>
      <c r="G132" s="63">
        <v>0</v>
      </c>
      <c r="H132" s="63">
        <v>0</v>
      </c>
      <c r="I132" s="63">
        <v>0</v>
      </c>
      <c r="J132" s="63">
        <v>35089059</v>
      </c>
      <c r="K132" s="63">
        <v>-100000</v>
      </c>
      <c r="L132" s="63">
        <v>0</v>
      </c>
      <c r="M132" s="63">
        <v>0</v>
      </c>
      <c r="N132" s="63">
        <v>0</v>
      </c>
      <c r="O132" s="63">
        <v>-100000</v>
      </c>
      <c r="P132" s="63">
        <v>-100000</v>
      </c>
      <c r="Q132" s="63">
        <v>0</v>
      </c>
      <c r="R132" s="63">
        <v>0</v>
      </c>
      <c r="S132" s="63">
        <v>0</v>
      </c>
      <c r="T132" s="63">
        <v>-100000</v>
      </c>
      <c r="U132" s="63">
        <v>34889059</v>
      </c>
      <c r="V132" s="63">
        <v>0</v>
      </c>
      <c r="W132" s="63">
        <v>0</v>
      </c>
      <c r="X132" s="63">
        <v>0</v>
      </c>
      <c r="Y132" s="63">
        <v>34889059</v>
      </c>
      <c r="Z132" s="63">
        <v>0</v>
      </c>
      <c r="AA132" s="63">
        <v>0</v>
      </c>
      <c r="AB132" s="63">
        <v>0</v>
      </c>
      <c r="AC132" s="63">
        <v>0</v>
      </c>
      <c r="AD132" s="63">
        <v>0</v>
      </c>
      <c r="AE132" s="63">
        <v>0</v>
      </c>
      <c r="AF132" s="63">
        <v>0</v>
      </c>
      <c r="AG132" s="63">
        <v>0</v>
      </c>
      <c r="AH132" s="63">
        <v>0</v>
      </c>
      <c r="AI132" s="63">
        <v>0</v>
      </c>
      <c r="AJ132" s="63">
        <v>0</v>
      </c>
      <c r="AK132" s="63">
        <v>0</v>
      </c>
      <c r="AL132" s="63">
        <v>0</v>
      </c>
      <c r="AM132" s="63">
        <v>0</v>
      </c>
      <c r="AN132" s="63">
        <v>0</v>
      </c>
      <c r="AP132" s="533">
        <v>0</v>
      </c>
      <c r="AQ132" s="533">
        <v>0</v>
      </c>
      <c r="AR132" s="533">
        <v>0</v>
      </c>
      <c r="AS132" s="533">
        <v>0</v>
      </c>
      <c r="AT132" s="534"/>
      <c r="AU132" s="594"/>
      <c r="AV132" s="595"/>
      <c r="AW132" s="595"/>
      <c r="AX132" s="595"/>
    </row>
    <row r="133" spans="1:50" x14ac:dyDescent="0.2">
      <c r="A133" s="201">
        <v>126</v>
      </c>
      <c r="B133" s="129" t="s">
        <v>130</v>
      </c>
      <c r="C133" s="130" t="s">
        <v>747</v>
      </c>
      <c r="D133" s="131" t="s">
        <v>748</v>
      </c>
      <c r="E133" s="132" t="s">
        <v>129</v>
      </c>
      <c r="F133" s="63">
        <v>78763767</v>
      </c>
      <c r="G133" s="63">
        <v>0</v>
      </c>
      <c r="H133" s="63">
        <v>0</v>
      </c>
      <c r="I133" s="63">
        <v>0</v>
      </c>
      <c r="J133" s="63">
        <v>78763767</v>
      </c>
      <c r="K133" s="63">
        <v>-1336608</v>
      </c>
      <c r="L133" s="63">
        <v>0</v>
      </c>
      <c r="M133" s="63">
        <v>0</v>
      </c>
      <c r="N133" s="63">
        <v>0</v>
      </c>
      <c r="O133" s="63">
        <v>-1336608</v>
      </c>
      <c r="P133" s="63">
        <v>-2112788</v>
      </c>
      <c r="Q133" s="63">
        <v>0</v>
      </c>
      <c r="R133" s="63">
        <v>0</v>
      </c>
      <c r="S133" s="63">
        <v>0</v>
      </c>
      <c r="T133" s="63">
        <v>-2112788</v>
      </c>
      <c r="U133" s="63">
        <v>75314371</v>
      </c>
      <c r="V133" s="63">
        <v>0</v>
      </c>
      <c r="W133" s="63">
        <v>0</v>
      </c>
      <c r="X133" s="63">
        <v>0</v>
      </c>
      <c r="Y133" s="63">
        <v>75314371</v>
      </c>
      <c r="Z133" s="63">
        <v>0</v>
      </c>
      <c r="AA133" s="63">
        <v>0</v>
      </c>
      <c r="AB133" s="63">
        <v>0</v>
      </c>
      <c r="AC133" s="63">
        <v>0</v>
      </c>
      <c r="AD133" s="63">
        <v>0</v>
      </c>
      <c r="AE133" s="63">
        <v>0</v>
      </c>
      <c r="AF133" s="63">
        <v>0</v>
      </c>
      <c r="AG133" s="63">
        <v>0</v>
      </c>
      <c r="AH133" s="63">
        <v>0</v>
      </c>
      <c r="AI133" s="63">
        <v>0</v>
      </c>
      <c r="AJ133" s="63">
        <v>0</v>
      </c>
      <c r="AK133" s="63">
        <v>0</v>
      </c>
      <c r="AL133" s="63">
        <v>0</v>
      </c>
      <c r="AM133" s="63">
        <v>0</v>
      </c>
      <c r="AN133" s="63">
        <v>0</v>
      </c>
      <c r="AP133" s="533">
        <v>0</v>
      </c>
      <c r="AQ133" s="533">
        <v>0</v>
      </c>
      <c r="AR133" s="533">
        <v>0</v>
      </c>
      <c r="AS133" s="533">
        <v>0</v>
      </c>
      <c r="AT133" s="534"/>
      <c r="AU133" s="594"/>
      <c r="AV133" s="595"/>
      <c r="AW133" s="595"/>
      <c r="AX133" s="595"/>
    </row>
    <row r="134" spans="1:50" x14ac:dyDescent="0.2">
      <c r="A134" s="201">
        <v>127</v>
      </c>
      <c r="B134" s="129" t="s">
        <v>131</v>
      </c>
      <c r="C134" s="130" t="s">
        <v>501</v>
      </c>
      <c r="D134" s="131" t="s">
        <v>752</v>
      </c>
      <c r="E134" s="132" t="s">
        <v>532</v>
      </c>
      <c r="F134" s="63">
        <v>50007233</v>
      </c>
      <c r="G134" s="63">
        <v>167595</v>
      </c>
      <c r="H134" s="63">
        <v>0</v>
      </c>
      <c r="I134" s="63">
        <v>0</v>
      </c>
      <c r="J134" s="63">
        <v>50174828</v>
      </c>
      <c r="K134" s="63">
        <v>-300000</v>
      </c>
      <c r="L134" s="63">
        <v>0</v>
      </c>
      <c r="M134" s="63">
        <v>0</v>
      </c>
      <c r="N134" s="63">
        <v>0</v>
      </c>
      <c r="O134" s="63">
        <v>-300000</v>
      </c>
      <c r="P134" s="63">
        <v>-1800000</v>
      </c>
      <c r="Q134" s="63">
        <v>0</v>
      </c>
      <c r="R134" s="63">
        <v>0</v>
      </c>
      <c r="S134" s="63">
        <v>0</v>
      </c>
      <c r="T134" s="63">
        <v>-1800000</v>
      </c>
      <c r="U134" s="63">
        <v>47907233</v>
      </c>
      <c r="V134" s="63">
        <v>167595</v>
      </c>
      <c r="W134" s="63">
        <v>0</v>
      </c>
      <c r="X134" s="63">
        <v>0</v>
      </c>
      <c r="Y134" s="63">
        <v>48074828</v>
      </c>
      <c r="Z134" s="63">
        <v>100000</v>
      </c>
      <c r="AA134" s="63">
        <v>0</v>
      </c>
      <c r="AB134" s="63">
        <v>0</v>
      </c>
      <c r="AC134" s="63">
        <v>0</v>
      </c>
      <c r="AD134" s="63">
        <v>100000</v>
      </c>
      <c r="AE134" s="63">
        <v>0</v>
      </c>
      <c r="AF134" s="63">
        <v>0</v>
      </c>
      <c r="AG134" s="63">
        <v>0</v>
      </c>
      <c r="AH134" s="63">
        <v>236492</v>
      </c>
      <c r="AI134" s="63">
        <v>0</v>
      </c>
      <c r="AJ134" s="63">
        <v>0</v>
      </c>
      <c r="AK134" s="63">
        <v>0</v>
      </c>
      <c r="AL134" s="63">
        <v>0</v>
      </c>
      <c r="AM134" s="63">
        <v>0</v>
      </c>
      <c r="AN134" s="63">
        <v>0</v>
      </c>
      <c r="AP134" s="533" t="s">
        <v>768</v>
      </c>
      <c r="AQ134" s="533" t="s">
        <v>785</v>
      </c>
      <c r="AR134" s="533">
        <v>0</v>
      </c>
      <c r="AS134" s="533">
        <v>0</v>
      </c>
      <c r="AT134" s="534"/>
      <c r="AU134" s="594"/>
      <c r="AV134" s="595"/>
      <c r="AW134" s="595"/>
      <c r="AX134" s="595"/>
    </row>
    <row r="135" spans="1:50" x14ac:dyDescent="0.2">
      <c r="A135" s="201">
        <v>128</v>
      </c>
      <c r="B135" s="129" t="s">
        <v>133</v>
      </c>
      <c r="C135" s="130" t="s">
        <v>742</v>
      </c>
      <c r="D135" s="131" t="s">
        <v>746</v>
      </c>
      <c r="E135" s="132" t="s">
        <v>132</v>
      </c>
      <c r="F135" s="63">
        <v>48958003</v>
      </c>
      <c r="G135" s="63">
        <v>0</v>
      </c>
      <c r="H135" s="63">
        <v>0</v>
      </c>
      <c r="I135" s="63">
        <v>0</v>
      </c>
      <c r="J135" s="63">
        <v>48958003</v>
      </c>
      <c r="K135" s="63">
        <v>-219000</v>
      </c>
      <c r="L135" s="63">
        <v>0</v>
      </c>
      <c r="M135" s="63">
        <v>0</v>
      </c>
      <c r="N135" s="63">
        <v>0</v>
      </c>
      <c r="O135" s="63">
        <v>-219000</v>
      </c>
      <c r="P135" s="63">
        <v>-1482885</v>
      </c>
      <c r="Q135" s="63">
        <v>0</v>
      </c>
      <c r="R135" s="63">
        <v>0</v>
      </c>
      <c r="S135" s="63">
        <v>0</v>
      </c>
      <c r="T135" s="63">
        <v>-1482885</v>
      </c>
      <c r="U135" s="63">
        <v>47256118</v>
      </c>
      <c r="V135" s="63">
        <v>0</v>
      </c>
      <c r="W135" s="63">
        <v>0</v>
      </c>
      <c r="X135" s="63">
        <v>0</v>
      </c>
      <c r="Y135" s="63">
        <v>47256118</v>
      </c>
      <c r="Z135" s="63">
        <v>0</v>
      </c>
      <c r="AA135" s="63">
        <v>0</v>
      </c>
      <c r="AB135" s="63">
        <v>0</v>
      </c>
      <c r="AC135" s="63">
        <v>0</v>
      </c>
      <c r="AD135" s="63">
        <v>0</v>
      </c>
      <c r="AE135" s="63">
        <v>0</v>
      </c>
      <c r="AF135" s="63">
        <v>0</v>
      </c>
      <c r="AG135" s="63">
        <v>0</v>
      </c>
      <c r="AH135" s="63">
        <v>0</v>
      </c>
      <c r="AI135" s="63">
        <v>0</v>
      </c>
      <c r="AJ135" s="63">
        <v>0</v>
      </c>
      <c r="AK135" s="63">
        <v>0</v>
      </c>
      <c r="AL135" s="63">
        <v>0</v>
      </c>
      <c r="AM135" s="63">
        <v>0</v>
      </c>
      <c r="AN135" s="63">
        <v>0</v>
      </c>
      <c r="AP135" s="533">
        <v>0</v>
      </c>
      <c r="AQ135" s="533">
        <v>0</v>
      </c>
      <c r="AR135" s="533">
        <v>0</v>
      </c>
      <c r="AS135" s="533">
        <v>0</v>
      </c>
      <c r="AT135" s="534"/>
      <c r="AU135" s="594"/>
      <c r="AV135" s="595"/>
      <c r="AW135" s="595"/>
      <c r="AX135" s="595"/>
    </row>
    <row r="136" spans="1:50" x14ac:dyDescent="0.2">
      <c r="A136" s="201">
        <v>129</v>
      </c>
      <c r="B136" s="129" t="s">
        <v>135</v>
      </c>
      <c r="C136" s="130" t="s">
        <v>742</v>
      </c>
      <c r="D136" s="131" t="s">
        <v>745</v>
      </c>
      <c r="E136" s="132" t="s">
        <v>134</v>
      </c>
      <c r="F136" s="63">
        <v>24903799</v>
      </c>
      <c r="G136" s="63">
        <v>0</v>
      </c>
      <c r="H136" s="63">
        <v>0</v>
      </c>
      <c r="I136" s="63">
        <v>0</v>
      </c>
      <c r="J136" s="63">
        <v>24903799</v>
      </c>
      <c r="K136" s="63">
        <v>-186778</v>
      </c>
      <c r="L136" s="63">
        <v>0</v>
      </c>
      <c r="M136" s="63">
        <v>0</v>
      </c>
      <c r="N136" s="63">
        <v>0</v>
      </c>
      <c r="O136" s="63">
        <v>-186778</v>
      </c>
      <c r="P136" s="63">
        <v>-223103</v>
      </c>
      <c r="Q136" s="63">
        <v>0</v>
      </c>
      <c r="R136" s="63">
        <v>0</v>
      </c>
      <c r="S136" s="63">
        <v>0</v>
      </c>
      <c r="T136" s="63">
        <v>-223103</v>
      </c>
      <c r="U136" s="63">
        <v>24493918</v>
      </c>
      <c r="V136" s="63">
        <v>0</v>
      </c>
      <c r="W136" s="63">
        <v>0</v>
      </c>
      <c r="X136" s="63">
        <v>0</v>
      </c>
      <c r="Y136" s="63">
        <v>24493918</v>
      </c>
      <c r="Z136" s="63">
        <v>0</v>
      </c>
      <c r="AA136" s="63">
        <v>0</v>
      </c>
      <c r="AB136" s="63">
        <v>0</v>
      </c>
      <c r="AC136" s="63">
        <v>0</v>
      </c>
      <c r="AD136" s="63">
        <v>0</v>
      </c>
      <c r="AE136" s="63">
        <v>0</v>
      </c>
      <c r="AF136" s="63">
        <v>0</v>
      </c>
      <c r="AG136" s="63">
        <v>0</v>
      </c>
      <c r="AH136" s="63">
        <v>0</v>
      </c>
      <c r="AI136" s="63">
        <v>0</v>
      </c>
      <c r="AJ136" s="63">
        <v>0</v>
      </c>
      <c r="AK136" s="63">
        <v>0</v>
      </c>
      <c r="AL136" s="63">
        <v>0</v>
      </c>
      <c r="AM136" s="63">
        <v>0</v>
      </c>
      <c r="AN136" s="63">
        <v>0</v>
      </c>
      <c r="AP136" s="533">
        <v>0</v>
      </c>
      <c r="AQ136" s="533">
        <v>0</v>
      </c>
      <c r="AR136" s="533">
        <v>0</v>
      </c>
      <c r="AS136" s="533">
        <v>0</v>
      </c>
      <c r="AT136" s="534"/>
      <c r="AU136" s="594"/>
      <c r="AV136" s="595"/>
      <c r="AW136" s="595"/>
      <c r="AX136" s="595"/>
    </row>
    <row r="137" spans="1:50" x14ac:dyDescent="0.2">
      <c r="A137" s="201">
        <v>130</v>
      </c>
      <c r="B137" s="129" t="s">
        <v>137</v>
      </c>
      <c r="C137" s="130" t="s">
        <v>747</v>
      </c>
      <c r="D137" s="131" t="s">
        <v>748</v>
      </c>
      <c r="E137" s="132" t="s">
        <v>136</v>
      </c>
      <c r="F137" s="63">
        <v>379211578</v>
      </c>
      <c r="G137" s="63">
        <v>0</v>
      </c>
      <c r="H137" s="63">
        <v>0</v>
      </c>
      <c r="I137" s="63">
        <v>0</v>
      </c>
      <c r="J137" s="63">
        <v>379211578</v>
      </c>
      <c r="K137" s="63">
        <v>-1923292</v>
      </c>
      <c r="L137" s="63">
        <v>0</v>
      </c>
      <c r="M137" s="63">
        <v>0</v>
      </c>
      <c r="N137" s="63">
        <v>0</v>
      </c>
      <c r="O137" s="63">
        <v>-1923292</v>
      </c>
      <c r="P137" s="63">
        <v>-2000000</v>
      </c>
      <c r="Q137" s="63">
        <v>0</v>
      </c>
      <c r="R137" s="63">
        <v>0</v>
      </c>
      <c r="S137" s="63">
        <v>0</v>
      </c>
      <c r="T137" s="63">
        <v>-2000000</v>
      </c>
      <c r="U137" s="63">
        <v>375288286</v>
      </c>
      <c r="V137" s="63">
        <v>0</v>
      </c>
      <c r="W137" s="63">
        <v>0</v>
      </c>
      <c r="X137" s="63">
        <v>0</v>
      </c>
      <c r="Y137" s="63">
        <v>375288286</v>
      </c>
      <c r="Z137" s="63">
        <v>0</v>
      </c>
      <c r="AA137" s="63">
        <v>0</v>
      </c>
      <c r="AB137" s="63">
        <v>0</v>
      </c>
      <c r="AC137" s="63">
        <v>0</v>
      </c>
      <c r="AD137" s="63">
        <v>0</v>
      </c>
      <c r="AE137" s="63">
        <v>0</v>
      </c>
      <c r="AF137" s="63">
        <v>0</v>
      </c>
      <c r="AG137" s="63">
        <v>0</v>
      </c>
      <c r="AH137" s="63">
        <v>0</v>
      </c>
      <c r="AI137" s="63">
        <v>0</v>
      </c>
      <c r="AJ137" s="63">
        <v>0</v>
      </c>
      <c r="AK137" s="63">
        <v>0</v>
      </c>
      <c r="AL137" s="63">
        <v>0</v>
      </c>
      <c r="AM137" s="63">
        <v>0</v>
      </c>
      <c r="AN137" s="63">
        <v>0</v>
      </c>
      <c r="AP137" s="533">
        <v>0</v>
      </c>
      <c r="AQ137" s="533">
        <v>0</v>
      </c>
      <c r="AR137" s="533">
        <v>0</v>
      </c>
      <c r="AS137" s="533">
        <v>0</v>
      </c>
      <c r="AT137" s="534"/>
      <c r="AU137" s="594"/>
      <c r="AV137" s="595"/>
      <c r="AW137" s="595"/>
      <c r="AX137" s="595"/>
    </row>
    <row r="138" spans="1:50" x14ac:dyDescent="0.2">
      <c r="A138" s="201">
        <v>131</v>
      </c>
      <c r="B138" s="129" t="s">
        <v>138</v>
      </c>
      <c r="C138" s="130" t="s">
        <v>742</v>
      </c>
      <c r="D138" s="131" t="s">
        <v>745</v>
      </c>
      <c r="E138" s="132" t="s">
        <v>542</v>
      </c>
      <c r="F138" s="63">
        <v>33305284</v>
      </c>
      <c r="G138" s="63">
        <v>974266</v>
      </c>
      <c r="H138" s="63">
        <v>0</v>
      </c>
      <c r="I138" s="63">
        <v>0</v>
      </c>
      <c r="J138" s="63">
        <v>34279550</v>
      </c>
      <c r="K138" s="63">
        <v>-333053</v>
      </c>
      <c r="L138" s="63">
        <v>0</v>
      </c>
      <c r="M138" s="63">
        <v>0</v>
      </c>
      <c r="N138" s="63">
        <v>0</v>
      </c>
      <c r="O138" s="63">
        <v>-333053</v>
      </c>
      <c r="P138" s="63">
        <v>-337789</v>
      </c>
      <c r="Q138" s="63">
        <v>0</v>
      </c>
      <c r="R138" s="63">
        <v>0</v>
      </c>
      <c r="S138" s="63">
        <v>0</v>
      </c>
      <c r="T138" s="63">
        <v>-337789</v>
      </c>
      <c r="U138" s="63">
        <v>32634442</v>
      </c>
      <c r="V138" s="63">
        <v>974266</v>
      </c>
      <c r="W138" s="63">
        <v>0</v>
      </c>
      <c r="X138" s="63">
        <v>0</v>
      </c>
      <c r="Y138" s="63">
        <v>33608708</v>
      </c>
      <c r="Z138" s="63">
        <v>140000</v>
      </c>
      <c r="AA138" s="63">
        <v>0</v>
      </c>
      <c r="AB138" s="63">
        <v>0</v>
      </c>
      <c r="AC138" s="63">
        <v>0</v>
      </c>
      <c r="AD138" s="63">
        <v>140000</v>
      </c>
      <c r="AE138" s="63">
        <v>0</v>
      </c>
      <c r="AF138" s="63">
        <v>0</v>
      </c>
      <c r="AG138" s="63">
        <v>0</v>
      </c>
      <c r="AH138" s="63">
        <v>915012</v>
      </c>
      <c r="AI138" s="63">
        <v>0</v>
      </c>
      <c r="AJ138" s="63">
        <v>0</v>
      </c>
      <c r="AK138" s="63">
        <v>59254</v>
      </c>
      <c r="AL138" s="63">
        <v>0</v>
      </c>
      <c r="AM138" s="63">
        <v>0</v>
      </c>
      <c r="AN138" s="63">
        <v>59254</v>
      </c>
      <c r="AP138" s="533" t="s">
        <v>768</v>
      </c>
      <c r="AQ138" s="533" t="s">
        <v>786</v>
      </c>
      <c r="AR138" s="533" t="s">
        <v>995</v>
      </c>
      <c r="AS138" s="533">
        <v>0</v>
      </c>
      <c r="AT138" s="534"/>
      <c r="AU138" s="594"/>
      <c r="AV138" s="595"/>
      <c r="AW138" s="595"/>
      <c r="AX138" s="595"/>
    </row>
    <row r="139" spans="1:50" x14ac:dyDescent="0.2">
      <c r="A139" s="201">
        <v>132</v>
      </c>
      <c r="B139" s="129" t="s">
        <v>140</v>
      </c>
      <c r="C139" s="130" t="s">
        <v>742</v>
      </c>
      <c r="D139" s="131" t="s">
        <v>743</v>
      </c>
      <c r="E139" s="132" t="s">
        <v>139</v>
      </c>
      <c r="F139" s="63">
        <v>43251019</v>
      </c>
      <c r="G139" s="63">
        <v>0</v>
      </c>
      <c r="H139" s="63">
        <v>0</v>
      </c>
      <c r="I139" s="63">
        <v>0</v>
      </c>
      <c r="J139" s="63">
        <v>43251019</v>
      </c>
      <c r="K139" s="63">
        <v>-438688</v>
      </c>
      <c r="L139" s="63">
        <v>0</v>
      </c>
      <c r="M139" s="63">
        <v>0</v>
      </c>
      <c r="N139" s="63">
        <v>0</v>
      </c>
      <c r="O139" s="63">
        <v>-438688</v>
      </c>
      <c r="P139" s="63">
        <v>-1225889</v>
      </c>
      <c r="Q139" s="63">
        <v>0</v>
      </c>
      <c r="R139" s="63">
        <v>0</v>
      </c>
      <c r="S139" s="63">
        <v>0</v>
      </c>
      <c r="T139" s="63">
        <v>-1225889</v>
      </c>
      <c r="U139" s="63">
        <v>41586442</v>
      </c>
      <c r="V139" s="63">
        <v>0</v>
      </c>
      <c r="W139" s="63">
        <v>0</v>
      </c>
      <c r="X139" s="63">
        <v>0</v>
      </c>
      <c r="Y139" s="63">
        <v>41586442</v>
      </c>
      <c r="Z139" s="63">
        <v>0</v>
      </c>
      <c r="AA139" s="63">
        <v>0</v>
      </c>
      <c r="AB139" s="63">
        <v>0</v>
      </c>
      <c r="AC139" s="63">
        <v>0</v>
      </c>
      <c r="AD139" s="63">
        <v>0</v>
      </c>
      <c r="AE139" s="63">
        <v>0</v>
      </c>
      <c r="AF139" s="63">
        <v>0</v>
      </c>
      <c r="AG139" s="63">
        <v>0</v>
      </c>
      <c r="AH139" s="63">
        <v>0</v>
      </c>
      <c r="AI139" s="63">
        <v>0</v>
      </c>
      <c r="AJ139" s="63">
        <v>0</v>
      </c>
      <c r="AK139" s="63">
        <v>0</v>
      </c>
      <c r="AL139" s="63">
        <v>0</v>
      </c>
      <c r="AM139" s="63">
        <v>0</v>
      </c>
      <c r="AN139" s="63">
        <v>0</v>
      </c>
      <c r="AP139" s="533">
        <v>0</v>
      </c>
      <c r="AQ139" s="533">
        <v>0</v>
      </c>
      <c r="AR139" s="533">
        <v>0</v>
      </c>
      <c r="AS139" s="533">
        <v>0</v>
      </c>
      <c r="AT139" s="534"/>
      <c r="AU139" s="594"/>
      <c r="AV139" s="595"/>
      <c r="AW139" s="595"/>
      <c r="AX139" s="595"/>
    </row>
    <row r="140" spans="1:50" x14ac:dyDescent="0.2">
      <c r="A140" s="201">
        <v>133</v>
      </c>
      <c r="B140" s="129" t="s">
        <v>142</v>
      </c>
      <c r="C140" s="130" t="s">
        <v>747</v>
      </c>
      <c r="D140" s="131" t="s">
        <v>748</v>
      </c>
      <c r="E140" s="132" t="s">
        <v>141</v>
      </c>
      <c r="F140" s="63">
        <v>168403128</v>
      </c>
      <c r="G140" s="63">
        <v>0</v>
      </c>
      <c r="H140" s="63">
        <v>0</v>
      </c>
      <c r="I140" s="63">
        <v>0</v>
      </c>
      <c r="J140" s="63">
        <v>168403128</v>
      </c>
      <c r="K140" s="63">
        <v>-2200000</v>
      </c>
      <c r="L140" s="63">
        <v>0</v>
      </c>
      <c r="M140" s="63">
        <v>0</v>
      </c>
      <c r="N140" s="63">
        <v>0</v>
      </c>
      <c r="O140" s="63">
        <v>-2200000</v>
      </c>
      <c r="P140" s="63">
        <v>-4500000</v>
      </c>
      <c r="Q140" s="63">
        <v>0</v>
      </c>
      <c r="R140" s="63">
        <v>0</v>
      </c>
      <c r="S140" s="63">
        <v>0</v>
      </c>
      <c r="T140" s="63">
        <v>-4500000</v>
      </c>
      <c r="U140" s="63">
        <v>161703128</v>
      </c>
      <c r="V140" s="63">
        <v>0</v>
      </c>
      <c r="W140" s="63">
        <v>0</v>
      </c>
      <c r="X140" s="63">
        <v>0</v>
      </c>
      <c r="Y140" s="63">
        <v>161703128</v>
      </c>
      <c r="Z140" s="63">
        <v>0</v>
      </c>
      <c r="AA140" s="63">
        <v>0</v>
      </c>
      <c r="AB140" s="63">
        <v>0</v>
      </c>
      <c r="AC140" s="63">
        <v>0</v>
      </c>
      <c r="AD140" s="63">
        <v>0</v>
      </c>
      <c r="AE140" s="63">
        <v>0</v>
      </c>
      <c r="AF140" s="63">
        <v>0</v>
      </c>
      <c r="AG140" s="63">
        <v>0</v>
      </c>
      <c r="AH140" s="63">
        <v>0</v>
      </c>
      <c r="AI140" s="63">
        <v>0</v>
      </c>
      <c r="AJ140" s="63">
        <v>0</v>
      </c>
      <c r="AK140" s="63">
        <v>0</v>
      </c>
      <c r="AL140" s="63">
        <v>0</v>
      </c>
      <c r="AM140" s="63">
        <v>0</v>
      </c>
      <c r="AN140" s="63">
        <v>0</v>
      </c>
      <c r="AP140" s="533">
        <v>0</v>
      </c>
      <c r="AQ140" s="533">
        <v>0</v>
      </c>
      <c r="AR140" s="533">
        <v>0</v>
      </c>
      <c r="AS140" s="533">
        <v>0</v>
      </c>
      <c r="AT140" s="534"/>
      <c r="AU140" s="594"/>
      <c r="AV140" s="595"/>
      <c r="AW140" s="595"/>
      <c r="AX140" s="595"/>
    </row>
    <row r="141" spans="1:50" x14ac:dyDescent="0.2">
      <c r="A141" s="201">
        <v>134</v>
      </c>
      <c r="B141" s="129" t="s">
        <v>143</v>
      </c>
      <c r="C141" s="130" t="s">
        <v>742</v>
      </c>
      <c r="D141" s="131" t="s">
        <v>746</v>
      </c>
      <c r="E141" s="132" t="s">
        <v>765</v>
      </c>
      <c r="F141" s="63">
        <v>62078812</v>
      </c>
      <c r="G141" s="63">
        <v>369390</v>
      </c>
      <c r="H141" s="63">
        <v>0</v>
      </c>
      <c r="I141" s="63">
        <v>0</v>
      </c>
      <c r="J141" s="63">
        <v>62448202</v>
      </c>
      <c r="K141" s="63">
        <v>-425000</v>
      </c>
      <c r="L141" s="63">
        <v>-10000</v>
      </c>
      <c r="M141" s="63">
        <v>0</v>
      </c>
      <c r="N141" s="63">
        <v>0</v>
      </c>
      <c r="O141" s="63">
        <v>-435000</v>
      </c>
      <c r="P141" s="63">
        <v>-511000</v>
      </c>
      <c r="Q141" s="63">
        <v>-10054</v>
      </c>
      <c r="R141" s="63">
        <v>0</v>
      </c>
      <c r="S141" s="63">
        <v>0</v>
      </c>
      <c r="T141" s="63">
        <v>-521054</v>
      </c>
      <c r="U141" s="63">
        <v>61142812</v>
      </c>
      <c r="V141" s="63">
        <v>349336</v>
      </c>
      <c r="W141" s="63">
        <v>0</v>
      </c>
      <c r="X141" s="63">
        <v>0</v>
      </c>
      <c r="Y141" s="63">
        <v>61492148</v>
      </c>
      <c r="Z141" s="63">
        <v>837588</v>
      </c>
      <c r="AA141" s="63">
        <v>0</v>
      </c>
      <c r="AB141" s="63">
        <v>0</v>
      </c>
      <c r="AC141" s="63">
        <v>0</v>
      </c>
      <c r="AD141" s="63">
        <v>837588</v>
      </c>
      <c r="AE141" s="63">
        <v>0</v>
      </c>
      <c r="AF141" s="63">
        <v>0</v>
      </c>
      <c r="AG141" s="63">
        <v>0</v>
      </c>
      <c r="AH141" s="63">
        <v>642108</v>
      </c>
      <c r="AI141" s="63">
        <v>0</v>
      </c>
      <c r="AJ141" s="63">
        <v>0</v>
      </c>
      <c r="AK141" s="63">
        <v>0</v>
      </c>
      <c r="AL141" s="63">
        <v>0</v>
      </c>
      <c r="AM141" s="63">
        <v>0</v>
      </c>
      <c r="AN141" s="63">
        <v>0</v>
      </c>
      <c r="AP141" s="533" t="s">
        <v>768</v>
      </c>
      <c r="AQ141" s="533" t="s">
        <v>787</v>
      </c>
      <c r="AR141" s="533">
        <v>0</v>
      </c>
      <c r="AS141" s="533">
        <v>0</v>
      </c>
      <c r="AT141" s="534"/>
      <c r="AU141" s="594"/>
      <c r="AV141" s="595"/>
      <c r="AW141" s="595"/>
      <c r="AX141" s="595"/>
    </row>
    <row r="142" spans="1:50" x14ac:dyDescent="0.2">
      <c r="A142" s="201">
        <v>135</v>
      </c>
      <c r="B142" s="129" t="s">
        <v>145</v>
      </c>
      <c r="C142" s="130" t="s">
        <v>742</v>
      </c>
      <c r="D142" s="131" t="s">
        <v>744</v>
      </c>
      <c r="E142" s="132" t="s">
        <v>144</v>
      </c>
      <c r="F142" s="63">
        <v>21414092</v>
      </c>
      <c r="G142" s="63">
        <v>0</v>
      </c>
      <c r="H142" s="63">
        <v>0</v>
      </c>
      <c r="I142" s="63">
        <v>0</v>
      </c>
      <c r="J142" s="63">
        <v>21414092</v>
      </c>
      <c r="K142" s="63">
        <v>-856580</v>
      </c>
      <c r="L142" s="63">
        <v>0</v>
      </c>
      <c r="M142" s="63">
        <v>0</v>
      </c>
      <c r="N142" s="63">
        <v>0</v>
      </c>
      <c r="O142" s="63">
        <v>-856580</v>
      </c>
      <c r="P142" s="63">
        <v>-856580</v>
      </c>
      <c r="Q142" s="63">
        <v>0</v>
      </c>
      <c r="R142" s="63">
        <v>0</v>
      </c>
      <c r="S142" s="63">
        <v>0</v>
      </c>
      <c r="T142" s="63">
        <v>-856580</v>
      </c>
      <c r="U142" s="63">
        <v>19700932</v>
      </c>
      <c r="V142" s="63">
        <v>0</v>
      </c>
      <c r="W142" s="63">
        <v>0</v>
      </c>
      <c r="X142" s="63">
        <v>0</v>
      </c>
      <c r="Y142" s="63">
        <v>19700932</v>
      </c>
      <c r="Z142" s="63">
        <v>0</v>
      </c>
      <c r="AA142" s="63">
        <v>0</v>
      </c>
      <c r="AB142" s="63">
        <v>0</v>
      </c>
      <c r="AC142" s="63">
        <v>0</v>
      </c>
      <c r="AD142" s="63">
        <v>0</v>
      </c>
      <c r="AE142" s="63">
        <v>0</v>
      </c>
      <c r="AF142" s="63">
        <v>0</v>
      </c>
      <c r="AG142" s="63">
        <v>0</v>
      </c>
      <c r="AH142" s="63">
        <v>0</v>
      </c>
      <c r="AI142" s="63">
        <v>0</v>
      </c>
      <c r="AJ142" s="63">
        <v>0</v>
      </c>
      <c r="AK142" s="63">
        <v>0</v>
      </c>
      <c r="AL142" s="63">
        <v>0</v>
      </c>
      <c r="AM142" s="63">
        <v>0</v>
      </c>
      <c r="AN142" s="63">
        <v>0</v>
      </c>
      <c r="AP142" s="533">
        <v>0</v>
      </c>
      <c r="AQ142" s="533">
        <v>0</v>
      </c>
      <c r="AR142" s="533">
        <v>0</v>
      </c>
      <c r="AS142" s="533">
        <v>0</v>
      </c>
      <c r="AT142" s="534"/>
      <c r="AU142" s="594"/>
      <c r="AV142" s="595"/>
      <c r="AW142" s="595"/>
      <c r="AX142" s="595"/>
    </row>
    <row r="143" spans="1:50" x14ac:dyDescent="0.2">
      <c r="A143" s="201">
        <v>136</v>
      </c>
      <c r="B143" s="129" t="s">
        <v>147</v>
      </c>
      <c r="C143" s="130" t="s">
        <v>742</v>
      </c>
      <c r="D143" s="131" t="s">
        <v>746</v>
      </c>
      <c r="E143" s="132" t="s">
        <v>146</v>
      </c>
      <c r="F143" s="63">
        <v>59234444</v>
      </c>
      <c r="G143" s="63">
        <v>117168</v>
      </c>
      <c r="H143" s="63">
        <v>0</v>
      </c>
      <c r="I143" s="63">
        <v>0</v>
      </c>
      <c r="J143" s="63">
        <v>59351612</v>
      </c>
      <c r="K143" s="63">
        <v>-689489</v>
      </c>
      <c r="L143" s="63">
        <v>0</v>
      </c>
      <c r="M143" s="63">
        <v>0</v>
      </c>
      <c r="N143" s="63">
        <v>0</v>
      </c>
      <c r="O143" s="63">
        <v>-689489</v>
      </c>
      <c r="P143" s="63">
        <v>-831816</v>
      </c>
      <c r="Q143" s="63">
        <v>0</v>
      </c>
      <c r="R143" s="63">
        <v>0</v>
      </c>
      <c r="S143" s="63">
        <v>0</v>
      </c>
      <c r="T143" s="63">
        <v>-831816</v>
      </c>
      <c r="U143" s="63">
        <v>57713139</v>
      </c>
      <c r="V143" s="63">
        <v>117168</v>
      </c>
      <c r="W143" s="63">
        <v>0</v>
      </c>
      <c r="X143" s="63">
        <v>0</v>
      </c>
      <c r="Y143" s="63">
        <v>57830307</v>
      </c>
      <c r="Z143" s="63">
        <v>0</v>
      </c>
      <c r="AA143" s="63">
        <v>0</v>
      </c>
      <c r="AB143" s="63">
        <v>0</v>
      </c>
      <c r="AC143" s="63">
        <v>0</v>
      </c>
      <c r="AD143" s="63">
        <v>0</v>
      </c>
      <c r="AE143" s="63">
        <v>0</v>
      </c>
      <c r="AF143" s="63">
        <v>0</v>
      </c>
      <c r="AG143" s="63">
        <v>0</v>
      </c>
      <c r="AH143" s="63">
        <v>186217</v>
      </c>
      <c r="AI143" s="63">
        <v>0</v>
      </c>
      <c r="AJ143" s="63">
        <v>0</v>
      </c>
      <c r="AK143" s="63">
        <v>0</v>
      </c>
      <c r="AL143" s="63">
        <v>0</v>
      </c>
      <c r="AM143" s="63">
        <v>0</v>
      </c>
      <c r="AN143" s="63">
        <v>0</v>
      </c>
      <c r="AP143" s="533" t="s">
        <v>768</v>
      </c>
      <c r="AQ143" s="533" t="s">
        <v>996</v>
      </c>
      <c r="AR143" s="533">
        <v>0</v>
      </c>
      <c r="AS143" s="533">
        <v>0</v>
      </c>
      <c r="AT143" s="534"/>
      <c r="AU143" s="594"/>
      <c r="AV143" s="599"/>
      <c r="AW143" s="595"/>
      <c r="AX143" s="595"/>
    </row>
    <row r="144" spans="1:50" x14ac:dyDescent="0.2">
      <c r="A144" s="201">
        <v>137</v>
      </c>
      <c r="B144" s="129" t="s">
        <v>148</v>
      </c>
      <c r="C144" s="130" t="s">
        <v>501</v>
      </c>
      <c r="D144" s="131" t="s">
        <v>743</v>
      </c>
      <c r="E144" s="132" t="s">
        <v>757</v>
      </c>
      <c r="F144" s="63">
        <v>36356573</v>
      </c>
      <c r="G144" s="63">
        <v>0</v>
      </c>
      <c r="H144" s="63">
        <v>0</v>
      </c>
      <c r="I144" s="63">
        <v>0</v>
      </c>
      <c r="J144" s="63">
        <v>36356573</v>
      </c>
      <c r="K144" s="63">
        <v>-250000</v>
      </c>
      <c r="L144" s="63">
        <v>0</v>
      </c>
      <c r="M144" s="63">
        <v>0</v>
      </c>
      <c r="N144" s="63">
        <v>0</v>
      </c>
      <c r="O144" s="63">
        <v>-250000</v>
      </c>
      <c r="P144" s="63">
        <v>-100000</v>
      </c>
      <c r="Q144" s="63">
        <v>0</v>
      </c>
      <c r="R144" s="63">
        <v>0</v>
      </c>
      <c r="S144" s="63">
        <v>0</v>
      </c>
      <c r="T144" s="63">
        <v>-100000</v>
      </c>
      <c r="U144" s="63">
        <v>36006573</v>
      </c>
      <c r="V144" s="63">
        <v>0</v>
      </c>
      <c r="W144" s="63">
        <v>0</v>
      </c>
      <c r="X144" s="63">
        <v>0</v>
      </c>
      <c r="Y144" s="63">
        <v>36006573</v>
      </c>
      <c r="Z144" s="63">
        <v>117695</v>
      </c>
      <c r="AA144" s="63">
        <v>0</v>
      </c>
      <c r="AB144" s="63">
        <v>0</v>
      </c>
      <c r="AC144" s="63">
        <v>0</v>
      </c>
      <c r="AD144" s="63">
        <v>117695</v>
      </c>
      <c r="AE144" s="63">
        <v>0</v>
      </c>
      <c r="AF144" s="63">
        <v>0</v>
      </c>
      <c r="AG144" s="63">
        <v>0</v>
      </c>
      <c r="AH144" s="63">
        <v>0</v>
      </c>
      <c r="AI144" s="63">
        <v>0</v>
      </c>
      <c r="AJ144" s="63">
        <v>0</v>
      </c>
      <c r="AK144" s="63">
        <v>0</v>
      </c>
      <c r="AL144" s="63">
        <v>0</v>
      </c>
      <c r="AM144" s="63">
        <v>0</v>
      </c>
      <c r="AN144" s="63">
        <v>0</v>
      </c>
      <c r="AP144" s="533">
        <v>0</v>
      </c>
      <c r="AQ144" s="533">
        <v>0</v>
      </c>
      <c r="AR144" s="533">
        <v>0</v>
      </c>
      <c r="AS144" s="533">
        <v>0</v>
      </c>
      <c r="AT144" s="534"/>
      <c r="AU144" s="594"/>
      <c r="AV144" s="595"/>
      <c r="AW144" s="595"/>
      <c r="AX144" s="595"/>
    </row>
    <row r="145" spans="1:50" x14ac:dyDescent="0.2">
      <c r="A145" s="201">
        <v>138</v>
      </c>
      <c r="B145" s="129" t="s">
        <v>150</v>
      </c>
      <c r="C145" s="130" t="s">
        <v>501</v>
      </c>
      <c r="D145" s="131" t="s">
        <v>751</v>
      </c>
      <c r="E145" s="132" t="s">
        <v>149</v>
      </c>
      <c r="F145" s="63">
        <v>1733381</v>
      </c>
      <c r="G145" s="63">
        <v>0</v>
      </c>
      <c r="H145" s="63">
        <v>0</v>
      </c>
      <c r="I145" s="63">
        <v>0</v>
      </c>
      <c r="J145" s="63">
        <v>1733381</v>
      </c>
      <c r="K145" s="63">
        <v>-10000</v>
      </c>
      <c r="L145" s="63">
        <v>0</v>
      </c>
      <c r="M145" s="63">
        <v>0</v>
      </c>
      <c r="N145" s="63">
        <v>0</v>
      </c>
      <c r="O145" s="63">
        <v>-10000</v>
      </c>
      <c r="P145" s="63">
        <v>-20000</v>
      </c>
      <c r="Q145" s="63">
        <v>0</v>
      </c>
      <c r="R145" s="63">
        <v>0</v>
      </c>
      <c r="S145" s="63">
        <v>0</v>
      </c>
      <c r="T145" s="63">
        <v>-20000</v>
      </c>
      <c r="U145" s="63">
        <v>1703381</v>
      </c>
      <c r="V145" s="63">
        <v>0</v>
      </c>
      <c r="W145" s="63">
        <v>0</v>
      </c>
      <c r="X145" s="63">
        <v>0</v>
      </c>
      <c r="Y145" s="63">
        <v>1703381</v>
      </c>
      <c r="Z145" s="63">
        <v>0</v>
      </c>
      <c r="AA145" s="63">
        <v>0</v>
      </c>
      <c r="AB145" s="63">
        <v>0</v>
      </c>
      <c r="AC145" s="63">
        <v>0</v>
      </c>
      <c r="AD145" s="63">
        <v>0</v>
      </c>
      <c r="AE145" s="63">
        <v>0</v>
      </c>
      <c r="AF145" s="63">
        <v>0</v>
      </c>
      <c r="AG145" s="63">
        <v>0</v>
      </c>
      <c r="AH145" s="63">
        <v>0</v>
      </c>
      <c r="AI145" s="63">
        <v>0</v>
      </c>
      <c r="AJ145" s="63">
        <v>0</v>
      </c>
      <c r="AK145" s="63">
        <v>0</v>
      </c>
      <c r="AL145" s="63">
        <v>0</v>
      </c>
      <c r="AM145" s="63">
        <v>0</v>
      </c>
      <c r="AN145" s="63">
        <v>0</v>
      </c>
      <c r="AP145" s="533">
        <v>0</v>
      </c>
      <c r="AQ145" s="533">
        <v>0</v>
      </c>
      <c r="AR145" s="533">
        <v>0</v>
      </c>
      <c r="AS145" s="533">
        <v>0</v>
      </c>
      <c r="AT145" s="534"/>
      <c r="AU145" s="594"/>
      <c r="AV145" s="595"/>
      <c r="AW145" s="595"/>
      <c r="AX145" s="595"/>
    </row>
    <row r="146" spans="1:50" x14ac:dyDescent="0.2">
      <c r="A146" s="201">
        <v>139</v>
      </c>
      <c r="B146" s="129" t="s">
        <v>152</v>
      </c>
      <c r="C146" s="130" t="s">
        <v>754</v>
      </c>
      <c r="D146" s="131" t="s">
        <v>748</v>
      </c>
      <c r="E146" s="132" t="s">
        <v>151</v>
      </c>
      <c r="F146" s="63">
        <v>204948738</v>
      </c>
      <c r="G146" s="63">
        <v>0</v>
      </c>
      <c r="H146" s="63">
        <v>0</v>
      </c>
      <c r="I146" s="63">
        <v>0</v>
      </c>
      <c r="J146" s="63">
        <v>204948738</v>
      </c>
      <c r="K146" s="63">
        <v>-3865000</v>
      </c>
      <c r="L146" s="63">
        <v>0</v>
      </c>
      <c r="M146" s="63">
        <v>0</v>
      </c>
      <c r="N146" s="63">
        <v>0</v>
      </c>
      <c r="O146" s="63">
        <v>-3865000</v>
      </c>
      <c r="P146" s="63">
        <v>-7843609</v>
      </c>
      <c r="Q146" s="63">
        <v>0</v>
      </c>
      <c r="R146" s="63">
        <v>0</v>
      </c>
      <c r="S146" s="63">
        <v>0</v>
      </c>
      <c r="T146" s="63">
        <v>-7843609</v>
      </c>
      <c r="U146" s="63">
        <v>193240129</v>
      </c>
      <c r="V146" s="63">
        <v>0</v>
      </c>
      <c r="W146" s="63">
        <v>0</v>
      </c>
      <c r="X146" s="63">
        <v>0</v>
      </c>
      <c r="Y146" s="63">
        <v>193240129</v>
      </c>
      <c r="Z146" s="63">
        <v>62040</v>
      </c>
      <c r="AA146" s="63">
        <v>0</v>
      </c>
      <c r="AB146" s="63">
        <v>0</v>
      </c>
      <c r="AC146" s="63">
        <v>0</v>
      </c>
      <c r="AD146" s="63">
        <v>62040</v>
      </c>
      <c r="AE146" s="63">
        <v>0</v>
      </c>
      <c r="AF146" s="63">
        <v>0</v>
      </c>
      <c r="AG146" s="63">
        <v>0</v>
      </c>
      <c r="AH146" s="63">
        <v>0</v>
      </c>
      <c r="AI146" s="63">
        <v>0</v>
      </c>
      <c r="AJ146" s="63">
        <v>0</v>
      </c>
      <c r="AK146" s="63">
        <v>0</v>
      </c>
      <c r="AL146" s="63">
        <v>0</v>
      </c>
      <c r="AM146" s="63">
        <v>0</v>
      </c>
      <c r="AN146" s="63">
        <v>0</v>
      </c>
      <c r="AP146" s="533">
        <v>0</v>
      </c>
      <c r="AQ146" s="533">
        <v>0</v>
      </c>
      <c r="AR146" s="533">
        <v>0</v>
      </c>
      <c r="AS146" s="533">
        <v>0</v>
      </c>
      <c r="AT146" s="534"/>
      <c r="AU146" s="594"/>
      <c r="AV146" s="595"/>
      <c r="AW146" s="595"/>
      <c r="AX146" s="595"/>
    </row>
    <row r="147" spans="1:50" x14ac:dyDescent="0.2">
      <c r="A147" s="201">
        <v>140</v>
      </c>
      <c r="B147" s="129" t="s">
        <v>153</v>
      </c>
      <c r="C147" s="130" t="s">
        <v>754</v>
      </c>
      <c r="D147" s="131" t="s">
        <v>748</v>
      </c>
      <c r="E147" s="132" t="s">
        <v>553</v>
      </c>
      <c r="F147" s="63">
        <v>280403971</v>
      </c>
      <c r="G147" s="63">
        <v>0</v>
      </c>
      <c r="H147" s="63">
        <v>0</v>
      </c>
      <c r="I147" s="63">
        <v>0</v>
      </c>
      <c r="J147" s="63">
        <v>280403971</v>
      </c>
      <c r="K147" s="63">
        <v>-2800000</v>
      </c>
      <c r="L147" s="63">
        <v>0</v>
      </c>
      <c r="M147" s="63">
        <v>0</v>
      </c>
      <c r="N147" s="63">
        <v>0</v>
      </c>
      <c r="O147" s="63">
        <v>-2800000</v>
      </c>
      <c r="P147" s="63">
        <v>-3000000</v>
      </c>
      <c r="Q147" s="63">
        <v>0</v>
      </c>
      <c r="R147" s="63">
        <v>0</v>
      </c>
      <c r="S147" s="63">
        <v>0</v>
      </c>
      <c r="T147" s="63">
        <v>-3000000</v>
      </c>
      <c r="U147" s="63">
        <v>274603971</v>
      </c>
      <c r="V147" s="63">
        <v>0</v>
      </c>
      <c r="W147" s="63">
        <v>0</v>
      </c>
      <c r="X147" s="63">
        <v>0</v>
      </c>
      <c r="Y147" s="63">
        <v>274603971</v>
      </c>
      <c r="Z147" s="63">
        <v>0</v>
      </c>
      <c r="AA147" s="63">
        <v>0</v>
      </c>
      <c r="AB147" s="63">
        <v>0</v>
      </c>
      <c r="AC147" s="63">
        <v>0</v>
      </c>
      <c r="AD147" s="63">
        <v>0</v>
      </c>
      <c r="AE147" s="63">
        <v>0</v>
      </c>
      <c r="AF147" s="63">
        <v>0</v>
      </c>
      <c r="AG147" s="63">
        <v>0</v>
      </c>
      <c r="AH147" s="63">
        <v>0</v>
      </c>
      <c r="AI147" s="63">
        <v>0</v>
      </c>
      <c r="AJ147" s="63">
        <v>0</v>
      </c>
      <c r="AK147" s="63">
        <v>0</v>
      </c>
      <c r="AL147" s="63">
        <v>0</v>
      </c>
      <c r="AM147" s="63">
        <v>0</v>
      </c>
      <c r="AN147" s="63">
        <v>0</v>
      </c>
      <c r="AP147" s="533">
        <v>0</v>
      </c>
      <c r="AQ147" s="533">
        <v>0</v>
      </c>
      <c r="AR147" s="533">
        <v>0</v>
      </c>
      <c r="AS147" s="533">
        <v>0</v>
      </c>
      <c r="AT147" s="534"/>
      <c r="AU147" s="594"/>
      <c r="AV147" s="595"/>
      <c r="AW147" s="595"/>
      <c r="AX147" s="595"/>
    </row>
    <row r="148" spans="1:50" x14ac:dyDescent="0.2">
      <c r="A148" s="201">
        <v>141</v>
      </c>
      <c r="B148" s="129" t="s">
        <v>155</v>
      </c>
      <c r="C148" s="130" t="s">
        <v>742</v>
      </c>
      <c r="D148" s="131" t="s">
        <v>745</v>
      </c>
      <c r="E148" s="132" t="s">
        <v>154</v>
      </c>
      <c r="F148" s="63">
        <v>33407130.800700001</v>
      </c>
      <c r="G148" s="63">
        <v>0</v>
      </c>
      <c r="H148" s="63">
        <v>0</v>
      </c>
      <c r="I148" s="63">
        <v>0</v>
      </c>
      <c r="J148" s="63">
        <v>33407130.800700001</v>
      </c>
      <c r="K148" s="63">
        <v>-160000</v>
      </c>
      <c r="L148" s="63">
        <v>0</v>
      </c>
      <c r="M148" s="63">
        <v>0</v>
      </c>
      <c r="N148" s="63">
        <v>0</v>
      </c>
      <c r="O148" s="63">
        <v>-160000</v>
      </c>
      <c r="P148" s="63">
        <v>-200000</v>
      </c>
      <c r="Q148" s="63">
        <v>0</v>
      </c>
      <c r="R148" s="63">
        <v>0</v>
      </c>
      <c r="S148" s="63">
        <v>0</v>
      </c>
      <c r="T148" s="63">
        <v>-200000</v>
      </c>
      <c r="U148" s="63">
        <v>33047130.800700001</v>
      </c>
      <c r="V148" s="63">
        <v>0</v>
      </c>
      <c r="W148" s="63">
        <v>0</v>
      </c>
      <c r="X148" s="63">
        <v>0</v>
      </c>
      <c r="Y148" s="63">
        <v>33047130.800700001</v>
      </c>
      <c r="Z148" s="63">
        <v>218000</v>
      </c>
      <c r="AA148" s="63">
        <v>0</v>
      </c>
      <c r="AB148" s="63">
        <v>0</v>
      </c>
      <c r="AC148" s="63">
        <v>0</v>
      </c>
      <c r="AD148" s="63">
        <v>218000</v>
      </c>
      <c r="AE148" s="63">
        <v>0</v>
      </c>
      <c r="AF148" s="63">
        <v>0</v>
      </c>
      <c r="AG148" s="63">
        <v>0</v>
      </c>
      <c r="AH148" s="63">
        <v>0</v>
      </c>
      <c r="AI148" s="63">
        <v>0</v>
      </c>
      <c r="AJ148" s="63">
        <v>0</v>
      </c>
      <c r="AK148" s="63">
        <v>0</v>
      </c>
      <c r="AL148" s="63">
        <v>0</v>
      </c>
      <c r="AM148" s="63">
        <v>0</v>
      </c>
      <c r="AN148" s="63">
        <v>0</v>
      </c>
      <c r="AP148" s="533">
        <v>0</v>
      </c>
      <c r="AQ148" s="533">
        <v>0</v>
      </c>
      <c r="AR148" s="533">
        <v>0</v>
      </c>
      <c r="AS148" s="533">
        <v>0</v>
      </c>
      <c r="AT148" s="534"/>
      <c r="AU148" s="594"/>
      <c r="AV148" s="595"/>
      <c r="AW148" s="595"/>
      <c r="AX148" s="595"/>
    </row>
    <row r="149" spans="1:50" x14ac:dyDescent="0.2">
      <c r="A149" s="201">
        <v>142</v>
      </c>
      <c r="B149" s="129" t="s">
        <v>156</v>
      </c>
      <c r="C149" s="130" t="s">
        <v>742</v>
      </c>
      <c r="D149" s="131" t="s">
        <v>746</v>
      </c>
      <c r="E149" s="132" t="s">
        <v>758</v>
      </c>
      <c r="F149" s="63">
        <v>47236546</v>
      </c>
      <c r="G149" s="63">
        <v>12100</v>
      </c>
      <c r="H149" s="63">
        <v>0</v>
      </c>
      <c r="I149" s="63">
        <v>0</v>
      </c>
      <c r="J149" s="63">
        <v>47248646</v>
      </c>
      <c r="K149" s="63">
        <v>-275000</v>
      </c>
      <c r="L149" s="63">
        <v>0</v>
      </c>
      <c r="M149" s="63">
        <v>0</v>
      </c>
      <c r="N149" s="63">
        <v>0</v>
      </c>
      <c r="O149" s="63">
        <v>-275000</v>
      </c>
      <c r="P149" s="63">
        <v>-3001722</v>
      </c>
      <c r="Q149" s="63">
        <v>0</v>
      </c>
      <c r="R149" s="63">
        <v>0</v>
      </c>
      <c r="S149" s="63">
        <v>0</v>
      </c>
      <c r="T149" s="63">
        <v>-3001722</v>
      </c>
      <c r="U149" s="63">
        <v>43959824</v>
      </c>
      <c r="V149" s="63">
        <v>12100</v>
      </c>
      <c r="W149" s="63">
        <v>0</v>
      </c>
      <c r="X149" s="63">
        <v>0</v>
      </c>
      <c r="Y149" s="63">
        <v>43971924</v>
      </c>
      <c r="Z149" s="63">
        <v>747239</v>
      </c>
      <c r="AA149" s="63">
        <v>0</v>
      </c>
      <c r="AB149" s="63">
        <v>0</v>
      </c>
      <c r="AC149" s="63">
        <v>0</v>
      </c>
      <c r="AD149" s="63">
        <v>747239</v>
      </c>
      <c r="AE149" s="63">
        <v>0</v>
      </c>
      <c r="AF149" s="63">
        <v>0</v>
      </c>
      <c r="AG149" s="63">
        <v>0</v>
      </c>
      <c r="AH149" s="63">
        <v>0</v>
      </c>
      <c r="AI149" s="63">
        <v>0</v>
      </c>
      <c r="AJ149" s="63">
        <v>0</v>
      </c>
      <c r="AK149" s="63">
        <v>12100</v>
      </c>
      <c r="AL149" s="63">
        <v>0</v>
      </c>
      <c r="AM149" s="63">
        <v>0</v>
      </c>
      <c r="AN149" s="63">
        <v>12100</v>
      </c>
      <c r="AP149" s="533" t="s">
        <v>768</v>
      </c>
      <c r="AQ149" s="533" t="s">
        <v>996</v>
      </c>
      <c r="AR149" s="533">
        <v>0</v>
      </c>
      <c r="AS149" s="533">
        <v>0</v>
      </c>
      <c r="AT149" s="534"/>
      <c r="AU149" s="597"/>
      <c r="AV149" s="598"/>
      <c r="AW149" s="598"/>
      <c r="AX149" s="598"/>
    </row>
    <row r="150" spans="1:50" x14ac:dyDescent="0.2">
      <c r="A150" s="201">
        <v>143</v>
      </c>
      <c r="B150" s="129" t="s">
        <v>157</v>
      </c>
      <c r="C150" s="130" t="s">
        <v>501</v>
      </c>
      <c r="D150" s="131" t="s">
        <v>750</v>
      </c>
      <c r="E150" s="132" t="s">
        <v>759</v>
      </c>
      <c r="F150" s="63">
        <v>97457612</v>
      </c>
      <c r="G150" s="63">
        <v>0</v>
      </c>
      <c r="H150" s="63">
        <v>177023</v>
      </c>
      <c r="I150" s="63">
        <v>0</v>
      </c>
      <c r="J150" s="63">
        <v>97634635</v>
      </c>
      <c r="K150" s="63">
        <v>-800000</v>
      </c>
      <c r="L150" s="63">
        <v>0</v>
      </c>
      <c r="M150" s="63">
        <v>0</v>
      </c>
      <c r="N150" s="63">
        <v>0</v>
      </c>
      <c r="O150" s="63">
        <v>-800000</v>
      </c>
      <c r="P150" s="63">
        <v>-900000</v>
      </c>
      <c r="Q150" s="63">
        <v>0</v>
      </c>
      <c r="R150" s="63">
        <v>0</v>
      </c>
      <c r="S150" s="63">
        <v>0</v>
      </c>
      <c r="T150" s="63">
        <v>-900000</v>
      </c>
      <c r="U150" s="63">
        <v>95757612</v>
      </c>
      <c r="V150" s="63">
        <v>0</v>
      </c>
      <c r="W150" s="63">
        <v>177023</v>
      </c>
      <c r="X150" s="63">
        <v>0</v>
      </c>
      <c r="Y150" s="63">
        <v>95934635</v>
      </c>
      <c r="Z150" s="63">
        <v>0</v>
      </c>
      <c r="AA150" s="63">
        <v>0</v>
      </c>
      <c r="AB150" s="63">
        <v>0</v>
      </c>
      <c r="AC150" s="63">
        <v>0</v>
      </c>
      <c r="AD150" s="63">
        <v>0</v>
      </c>
      <c r="AE150" s="63">
        <v>0</v>
      </c>
      <c r="AF150" s="63">
        <v>0</v>
      </c>
      <c r="AG150" s="63">
        <v>0</v>
      </c>
      <c r="AH150" s="63">
        <v>0</v>
      </c>
      <c r="AI150" s="63">
        <v>161831</v>
      </c>
      <c r="AJ150" s="63">
        <v>171767</v>
      </c>
      <c r="AK150" s="63">
        <v>0</v>
      </c>
      <c r="AL150" s="63">
        <v>15192</v>
      </c>
      <c r="AM150" s="63">
        <v>0</v>
      </c>
      <c r="AN150" s="63">
        <v>15192</v>
      </c>
      <c r="AP150" s="533" t="s">
        <v>768</v>
      </c>
      <c r="AQ150" s="533" t="s">
        <v>777</v>
      </c>
      <c r="AR150" s="533" t="s">
        <v>778</v>
      </c>
      <c r="AS150" s="533" t="s">
        <v>997</v>
      </c>
      <c r="AT150" s="534"/>
      <c r="AU150" s="594"/>
      <c r="AV150" s="600"/>
      <c r="AW150" s="600"/>
      <c r="AX150" s="602"/>
    </row>
    <row r="151" spans="1:50" x14ac:dyDescent="0.2">
      <c r="A151" s="201">
        <v>144</v>
      </c>
      <c r="B151" s="129" t="s">
        <v>159</v>
      </c>
      <c r="C151" s="130" t="s">
        <v>747</v>
      </c>
      <c r="D151" s="131" t="s">
        <v>748</v>
      </c>
      <c r="E151" s="132" t="s">
        <v>158</v>
      </c>
      <c r="F151" s="63">
        <v>85114607</v>
      </c>
      <c r="G151" s="63">
        <v>0</v>
      </c>
      <c r="H151" s="63">
        <v>0</v>
      </c>
      <c r="I151" s="63">
        <v>0</v>
      </c>
      <c r="J151" s="63">
        <v>85114607</v>
      </c>
      <c r="K151" s="63">
        <v>-1003000</v>
      </c>
      <c r="L151" s="63">
        <v>0</v>
      </c>
      <c r="M151" s="63">
        <v>0</v>
      </c>
      <c r="N151" s="63">
        <v>0</v>
      </c>
      <c r="O151" s="63">
        <v>-1003000</v>
      </c>
      <c r="P151" s="63">
        <v>-600000</v>
      </c>
      <c r="Q151" s="63">
        <v>0</v>
      </c>
      <c r="R151" s="63">
        <v>0</v>
      </c>
      <c r="S151" s="63">
        <v>0</v>
      </c>
      <c r="T151" s="63">
        <v>-600000</v>
      </c>
      <c r="U151" s="63">
        <v>83511607</v>
      </c>
      <c r="V151" s="63">
        <v>0</v>
      </c>
      <c r="W151" s="63">
        <v>0</v>
      </c>
      <c r="X151" s="63">
        <v>0</v>
      </c>
      <c r="Y151" s="63">
        <v>83511607</v>
      </c>
      <c r="Z151" s="63">
        <v>0</v>
      </c>
      <c r="AA151" s="63">
        <v>0</v>
      </c>
      <c r="AB151" s="63">
        <v>0</v>
      </c>
      <c r="AC151" s="63">
        <v>0</v>
      </c>
      <c r="AD151" s="63">
        <v>0</v>
      </c>
      <c r="AE151" s="63">
        <v>0</v>
      </c>
      <c r="AF151" s="63">
        <v>0</v>
      </c>
      <c r="AG151" s="63">
        <v>0</v>
      </c>
      <c r="AH151" s="63">
        <v>0</v>
      </c>
      <c r="AI151" s="63">
        <v>0</v>
      </c>
      <c r="AJ151" s="63">
        <v>0</v>
      </c>
      <c r="AK151" s="63">
        <v>0</v>
      </c>
      <c r="AL151" s="63">
        <v>0</v>
      </c>
      <c r="AM151" s="63">
        <v>0</v>
      </c>
      <c r="AN151" s="63">
        <v>0</v>
      </c>
      <c r="AP151" s="533">
        <v>0</v>
      </c>
      <c r="AQ151" s="533">
        <v>0</v>
      </c>
      <c r="AR151" s="533">
        <v>0</v>
      </c>
      <c r="AS151" s="533">
        <v>0</v>
      </c>
      <c r="AT151" s="534"/>
      <c r="AU151" s="594"/>
      <c r="AV151" s="595"/>
      <c r="AW151" s="595"/>
      <c r="AX151" s="595"/>
    </row>
    <row r="152" spans="1:50" x14ac:dyDescent="0.2">
      <c r="A152" s="201">
        <v>145</v>
      </c>
      <c r="B152" s="129" t="s">
        <v>161</v>
      </c>
      <c r="C152" s="130" t="s">
        <v>749</v>
      </c>
      <c r="D152" s="131" t="s">
        <v>750</v>
      </c>
      <c r="E152" s="132" t="s">
        <v>160</v>
      </c>
      <c r="F152" s="63">
        <v>110843454</v>
      </c>
      <c r="G152" s="63">
        <v>0</v>
      </c>
      <c r="H152" s="63">
        <v>0</v>
      </c>
      <c r="I152" s="63">
        <v>0</v>
      </c>
      <c r="J152" s="63">
        <v>110843454</v>
      </c>
      <c r="K152" s="63">
        <v>-2248416</v>
      </c>
      <c r="L152" s="63">
        <v>0</v>
      </c>
      <c r="M152" s="63">
        <v>0</v>
      </c>
      <c r="N152" s="63">
        <v>0</v>
      </c>
      <c r="O152" s="63">
        <v>-2248416</v>
      </c>
      <c r="P152" s="63">
        <v>-3000000</v>
      </c>
      <c r="Q152" s="63">
        <v>0</v>
      </c>
      <c r="R152" s="63">
        <v>0</v>
      </c>
      <c r="S152" s="63">
        <v>0</v>
      </c>
      <c r="T152" s="63">
        <v>-3000000</v>
      </c>
      <c r="U152" s="63">
        <v>105595038</v>
      </c>
      <c r="V152" s="63">
        <v>0</v>
      </c>
      <c r="W152" s="63">
        <v>0</v>
      </c>
      <c r="X152" s="63">
        <v>0</v>
      </c>
      <c r="Y152" s="63">
        <v>105595038</v>
      </c>
      <c r="Z152" s="63">
        <v>0</v>
      </c>
      <c r="AA152" s="63">
        <v>0</v>
      </c>
      <c r="AB152" s="63">
        <v>0</v>
      </c>
      <c r="AC152" s="63">
        <v>0</v>
      </c>
      <c r="AD152" s="63">
        <v>0</v>
      </c>
      <c r="AE152" s="63">
        <v>0</v>
      </c>
      <c r="AF152" s="63">
        <v>0</v>
      </c>
      <c r="AG152" s="63">
        <v>0</v>
      </c>
      <c r="AH152" s="63">
        <v>0</v>
      </c>
      <c r="AI152" s="63">
        <v>0</v>
      </c>
      <c r="AJ152" s="63">
        <v>0</v>
      </c>
      <c r="AK152" s="63">
        <v>0</v>
      </c>
      <c r="AL152" s="63">
        <v>0</v>
      </c>
      <c r="AM152" s="63">
        <v>0</v>
      </c>
      <c r="AN152" s="63">
        <v>0</v>
      </c>
      <c r="AP152" s="533">
        <v>0</v>
      </c>
      <c r="AQ152" s="533">
        <v>0</v>
      </c>
      <c r="AR152" s="533">
        <v>0</v>
      </c>
      <c r="AS152" s="533">
        <v>0</v>
      </c>
      <c r="AT152" s="534"/>
      <c r="AU152" s="594"/>
      <c r="AV152" s="595"/>
      <c r="AW152" s="595"/>
      <c r="AX152" s="595"/>
    </row>
    <row r="153" spans="1:50" x14ac:dyDescent="0.2">
      <c r="A153" s="201">
        <v>146</v>
      </c>
      <c r="B153" s="129" t="s">
        <v>163</v>
      </c>
      <c r="C153" s="130" t="s">
        <v>749</v>
      </c>
      <c r="D153" s="131" t="s">
        <v>744</v>
      </c>
      <c r="E153" s="132" t="s">
        <v>162</v>
      </c>
      <c r="F153" s="63">
        <v>43426431</v>
      </c>
      <c r="G153" s="63">
        <v>0</v>
      </c>
      <c r="H153" s="63">
        <v>0</v>
      </c>
      <c r="I153" s="63">
        <v>0</v>
      </c>
      <c r="J153" s="63">
        <v>43426431</v>
      </c>
      <c r="K153" s="63">
        <v>-650000</v>
      </c>
      <c r="L153" s="63">
        <v>0</v>
      </c>
      <c r="M153" s="63">
        <v>0</v>
      </c>
      <c r="N153" s="63">
        <v>0</v>
      </c>
      <c r="O153" s="63">
        <v>-650000</v>
      </c>
      <c r="P153" s="63">
        <v>-1364385</v>
      </c>
      <c r="Q153" s="63">
        <v>0</v>
      </c>
      <c r="R153" s="63">
        <v>0</v>
      </c>
      <c r="S153" s="63">
        <v>0</v>
      </c>
      <c r="T153" s="63">
        <v>-1364385</v>
      </c>
      <c r="U153" s="63">
        <v>41412046</v>
      </c>
      <c r="V153" s="63">
        <v>0</v>
      </c>
      <c r="W153" s="63">
        <v>0</v>
      </c>
      <c r="X153" s="63">
        <v>0</v>
      </c>
      <c r="Y153" s="63">
        <v>41412046</v>
      </c>
      <c r="Z153" s="63">
        <v>0</v>
      </c>
      <c r="AA153" s="63">
        <v>0</v>
      </c>
      <c r="AB153" s="63">
        <v>0</v>
      </c>
      <c r="AC153" s="63">
        <v>0</v>
      </c>
      <c r="AD153" s="63">
        <v>0</v>
      </c>
      <c r="AE153" s="63">
        <v>0</v>
      </c>
      <c r="AF153" s="63">
        <v>0</v>
      </c>
      <c r="AG153" s="63">
        <v>0</v>
      </c>
      <c r="AH153" s="63">
        <v>0</v>
      </c>
      <c r="AI153" s="63">
        <v>0</v>
      </c>
      <c r="AJ153" s="63">
        <v>0</v>
      </c>
      <c r="AK153" s="63">
        <v>0</v>
      </c>
      <c r="AL153" s="63">
        <v>0</v>
      </c>
      <c r="AM153" s="63">
        <v>0</v>
      </c>
      <c r="AN153" s="63">
        <v>0</v>
      </c>
      <c r="AP153" s="533">
        <v>0</v>
      </c>
      <c r="AQ153" s="533">
        <v>0</v>
      </c>
      <c r="AR153" s="533">
        <v>0</v>
      </c>
      <c r="AS153" s="533">
        <v>0</v>
      </c>
      <c r="AT153" s="534"/>
      <c r="AU153" s="594"/>
      <c r="AV153" s="595"/>
      <c r="AW153" s="595"/>
      <c r="AX153" s="595"/>
    </row>
    <row r="154" spans="1:50" x14ac:dyDescent="0.2">
      <c r="A154" s="201">
        <v>147</v>
      </c>
      <c r="B154" s="129" t="s">
        <v>165</v>
      </c>
      <c r="C154" s="130" t="s">
        <v>754</v>
      </c>
      <c r="D154" s="131" t="s">
        <v>748</v>
      </c>
      <c r="E154" s="132" t="s">
        <v>164</v>
      </c>
      <c r="F154" s="63">
        <v>127416585</v>
      </c>
      <c r="G154" s="63">
        <v>1275769</v>
      </c>
      <c r="H154" s="63">
        <v>0</v>
      </c>
      <c r="I154" s="63">
        <v>0</v>
      </c>
      <c r="J154" s="63">
        <v>128692354</v>
      </c>
      <c r="K154" s="63">
        <v>-800000</v>
      </c>
      <c r="L154" s="63">
        <v>0</v>
      </c>
      <c r="M154" s="63">
        <v>0</v>
      </c>
      <c r="N154" s="63">
        <v>0</v>
      </c>
      <c r="O154" s="63">
        <v>-800000</v>
      </c>
      <c r="P154" s="63">
        <v>-4258574</v>
      </c>
      <c r="Q154" s="63">
        <v>0</v>
      </c>
      <c r="R154" s="63">
        <v>0</v>
      </c>
      <c r="S154" s="63">
        <v>0</v>
      </c>
      <c r="T154" s="63">
        <v>-4258574</v>
      </c>
      <c r="U154" s="63">
        <v>122358011</v>
      </c>
      <c r="V154" s="63">
        <v>1275769</v>
      </c>
      <c r="W154" s="63">
        <v>0</v>
      </c>
      <c r="X154" s="63">
        <v>0</v>
      </c>
      <c r="Y154" s="63">
        <v>123633780</v>
      </c>
      <c r="Z154" s="63">
        <v>0</v>
      </c>
      <c r="AA154" s="63">
        <v>0</v>
      </c>
      <c r="AB154" s="63">
        <v>0</v>
      </c>
      <c r="AC154" s="63">
        <v>0</v>
      </c>
      <c r="AD154" s="63">
        <v>0</v>
      </c>
      <c r="AE154" s="63">
        <v>0</v>
      </c>
      <c r="AF154" s="63">
        <v>0</v>
      </c>
      <c r="AG154" s="63">
        <v>0</v>
      </c>
      <c r="AH154" s="63">
        <v>1353295</v>
      </c>
      <c r="AI154" s="63">
        <v>0</v>
      </c>
      <c r="AJ154" s="63">
        <v>0</v>
      </c>
      <c r="AK154" s="63">
        <v>0</v>
      </c>
      <c r="AL154" s="63">
        <v>0</v>
      </c>
      <c r="AM154" s="63">
        <v>0</v>
      </c>
      <c r="AN154" s="63">
        <v>0</v>
      </c>
      <c r="AP154" s="533" t="s">
        <v>768</v>
      </c>
      <c r="AQ154" s="533" t="s">
        <v>998</v>
      </c>
      <c r="AR154" s="533">
        <v>0</v>
      </c>
      <c r="AS154" s="533">
        <v>0</v>
      </c>
      <c r="AT154" s="534"/>
      <c r="AU154" s="594"/>
      <c r="AV154" s="595"/>
      <c r="AW154" s="595"/>
      <c r="AX154" s="595"/>
    </row>
    <row r="155" spans="1:50" x14ac:dyDescent="0.2">
      <c r="A155" s="201">
        <v>148</v>
      </c>
      <c r="B155" s="129" t="s">
        <v>167</v>
      </c>
      <c r="C155" s="130" t="s">
        <v>742</v>
      </c>
      <c r="D155" s="131" t="s">
        <v>744</v>
      </c>
      <c r="E155" s="132" t="s">
        <v>166</v>
      </c>
      <c r="F155" s="63">
        <v>64650814</v>
      </c>
      <c r="G155" s="63">
        <v>0</v>
      </c>
      <c r="H155" s="63">
        <v>0</v>
      </c>
      <c r="I155" s="63">
        <v>0</v>
      </c>
      <c r="J155" s="63">
        <v>64650814</v>
      </c>
      <c r="K155" s="63">
        <v>-1099100</v>
      </c>
      <c r="L155" s="63">
        <v>0</v>
      </c>
      <c r="M155" s="63">
        <v>0</v>
      </c>
      <c r="N155" s="63">
        <v>0</v>
      </c>
      <c r="O155" s="63">
        <v>-1099100</v>
      </c>
      <c r="P155" s="63">
        <v>-2214728</v>
      </c>
      <c r="Q155" s="63">
        <v>0</v>
      </c>
      <c r="R155" s="63">
        <v>0</v>
      </c>
      <c r="S155" s="63">
        <v>0</v>
      </c>
      <c r="T155" s="63">
        <v>-2214728</v>
      </c>
      <c r="U155" s="63">
        <v>61336986</v>
      </c>
      <c r="V155" s="63">
        <v>0</v>
      </c>
      <c r="W155" s="63">
        <v>0</v>
      </c>
      <c r="X155" s="63">
        <v>0</v>
      </c>
      <c r="Y155" s="63">
        <v>61336986</v>
      </c>
      <c r="Z155" s="63">
        <v>930045</v>
      </c>
      <c r="AA155" s="63">
        <v>0</v>
      </c>
      <c r="AB155" s="63">
        <v>0</v>
      </c>
      <c r="AC155" s="63">
        <v>0</v>
      </c>
      <c r="AD155" s="63">
        <v>930045</v>
      </c>
      <c r="AE155" s="63">
        <v>0</v>
      </c>
      <c r="AF155" s="63">
        <v>0</v>
      </c>
      <c r="AG155" s="63">
        <v>0</v>
      </c>
      <c r="AH155" s="63">
        <v>0</v>
      </c>
      <c r="AI155" s="63">
        <v>0</v>
      </c>
      <c r="AJ155" s="63">
        <v>0</v>
      </c>
      <c r="AK155" s="63">
        <v>0</v>
      </c>
      <c r="AL155" s="63">
        <v>0</v>
      </c>
      <c r="AM155" s="63">
        <v>0</v>
      </c>
      <c r="AN155" s="63">
        <v>0</v>
      </c>
      <c r="AP155" s="533">
        <v>0</v>
      </c>
      <c r="AQ155" s="533">
        <v>0</v>
      </c>
      <c r="AR155" s="533">
        <v>0</v>
      </c>
      <c r="AS155" s="533">
        <v>0</v>
      </c>
      <c r="AT155" s="534"/>
      <c r="AU155" s="594"/>
      <c r="AV155" s="595"/>
      <c r="AW155" s="595"/>
      <c r="AX155" s="595"/>
    </row>
    <row r="156" spans="1:50" x14ac:dyDescent="0.2">
      <c r="A156" s="201">
        <v>149</v>
      </c>
      <c r="B156" s="129" t="s">
        <v>169</v>
      </c>
      <c r="C156" s="130" t="s">
        <v>749</v>
      </c>
      <c r="D156" s="131" t="s">
        <v>750</v>
      </c>
      <c r="E156" s="132" t="s">
        <v>168</v>
      </c>
      <c r="F156" s="63">
        <v>403438920</v>
      </c>
      <c r="G156" s="63">
        <v>1492277</v>
      </c>
      <c r="H156" s="63">
        <v>0</v>
      </c>
      <c r="I156" s="63">
        <v>0</v>
      </c>
      <c r="J156" s="63">
        <v>404931197</v>
      </c>
      <c r="K156" s="63">
        <v>-4841267</v>
      </c>
      <c r="L156" s="63">
        <v>0</v>
      </c>
      <c r="M156" s="63">
        <v>0</v>
      </c>
      <c r="N156" s="63">
        <v>0</v>
      </c>
      <c r="O156" s="63">
        <v>-4841267</v>
      </c>
      <c r="P156" s="63">
        <v>-5682229</v>
      </c>
      <c r="Q156" s="63">
        <v>0</v>
      </c>
      <c r="R156" s="63">
        <v>0</v>
      </c>
      <c r="S156" s="63">
        <v>0</v>
      </c>
      <c r="T156" s="63">
        <v>-5682229</v>
      </c>
      <c r="U156" s="63">
        <v>392915424</v>
      </c>
      <c r="V156" s="63">
        <v>1492277</v>
      </c>
      <c r="W156" s="63">
        <v>0</v>
      </c>
      <c r="X156" s="63">
        <v>0</v>
      </c>
      <c r="Y156" s="63">
        <v>394407701</v>
      </c>
      <c r="Z156" s="63">
        <v>0</v>
      </c>
      <c r="AA156" s="63">
        <v>0</v>
      </c>
      <c r="AB156" s="63">
        <v>0</v>
      </c>
      <c r="AC156" s="63">
        <v>0</v>
      </c>
      <c r="AD156" s="63">
        <v>0</v>
      </c>
      <c r="AE156" s="63">
        <v>0</v>
      </c>
      <c r="AF156" s="63">
        <v>0</v>
      </c>
      <c r="AG156" s="63">
        <v>0</v>
      </c>
      <c r="AH156" s="63">
        <v>948075</v>
      </c>
      <c r="AI156" s="63">
        <v>0</v>
      </c>
      <c r="AJ156" s="63">
        <v>0</v>
      </c>
      <c r="AK156" s="63">
        <v>544202</v>
      </c>
      <c r="AL156" s="63">
        <v>0</v>
      </c>
      <c r="AM156" s="63">
        <v>0</v>
      </c>
      <c r="AN156" s="63">
        <v>544202</v>
      </c>
      <c r="AP156" s="533" t="s">
        <v>768</v>
      </c>
      <c r="AQ156" s="533" t="s">
        <v>788</v>
      </c>
      <c r="AR156" s="533" t="s">
        <v>788</v>
      </c>
      <c r="AS156" s="533">
        <v>0</v>
      </c>
      <c r="AT156" s="534"/>
      <c r="AU156" s="594"/>
      <c r="AV156" s="595"/>
      <c r="AW156" s="595"/>
      <c r="AX156" s="595"/>
    </row>
    <row r="157" spans="1:50" x14ac:dyDescent="0.2">
      <c r="A157" s="201">
        <v>150</v>
      </c>
      <c r="B157" s="129" t="s">
        <v>170</v>
      </c>
      <c r="C157" s="130" t="s">
        <v>501</v>
      </c>
      <c r="D157" s="131" t="s">
        <v>745</v>
      </c>
      <c r="E157" s="132" t="s">
        <v>540</v>
      </c>
      <c r="F157" s="63">
        <v>107385029</v>
      </c>
      <c r="G157" s="63">
        <v>0</v>
      </c>
      <c r="H157" s="63">
        <v>0</v>
      </c>
      <c r="I157" s="63">
        <v>0</v>
      </c>
      <c r="J157" s="63">
        <v>107385029</v>
      </c>
      <c r="K157" s="63">
        <v>-1481235</v>
      </c>
      <c r="L157" s="63">
        <v>0</v>
      </c>
      <c r="M157" s="63">
        <v>0</v>
      </c>
      <c r="N157" s="63">
        <v>0</v>
      </c>
      <c r="O157" s="63">
        <v>-1481235</v>
      </c>
      <c r="P157" s="63">
        <v>-1210780</v>
      </c>
      <c r="Q157" s="63">
        <v>0</v>
      </c>
      <c r="R157" s="63">
        <v>0</v>
      </c>
      <c r="S157" s="63">
        <v>0</v>
      </c>
      <c r="T157" s="63">
        <v>-1210780</v>
      </c>
      <c r="U157" s="63">
        <v>104693014</v>
      </c>
      <c r="V157" s="63">
        <v>0</v>
      </c>
      <c r="W157" s="63">
        <v>0</v>
      </c>
      <c r="X157" s="63">
        <v>0</v>
      </c>
      <c r="Y157" s="63">
        <v>104693014</v>
      </c>
      <c r="Z157" s="63">
        <v>0</v>
      </c>
      <c r="AA157" s="63">
        <v>0</v>
      </c>
      <c r="AB157" s="63">
        <v>0</v>
      </c>
      <c r="AC157" s="63">
        <v>0</v>
      </c>
      <c r="AD157" s="63">
        <v>0</v>
      </c>
      <c r="AE157" s="63">
        <v>0</v>
      </c>
      <c r="AF157" s="63">
        <v>0</v>
      </c>
      <c r="AG157" s="63">
        <v>0</v>
      </c>
      <c r="AH157" s="63">
        <v>0</v>
      </c>
      <c r="AI157" s="63">
        <v>0</v>
      </c>
      <c r="AJ157" s="63">
        <v>0</v>
      </c>
      <c r="AK157" s="63">
        <v>0</v>
      </c>
      <c r="AL157" s="63">
        <v>0</v>
      </c>
      <c r="AM157" s="63">
        <v>0</v>
      </c>
      <c r="AN157" s="63">
        <v>0</v>
      </c>
      <c r="AP157" s="533">
        <v>0</v>
      </c>
      <c r="AQ157" s="533">
        <v>0</v>
      </c>
      <c r="AR157" s="533">
        <v>0</v>
      </c>
      <c r="AS157" s="533">
        <v>0</v>
      </c>
      <c r="AT157" s="534"/>
      <c r="AU157" s="594"/>
      <c r="AV157" s="595"/>
      <c r="AW157" s="595"/>
      <c r="AX157" s="595"/>
    </row>
    <row r="158" spans="1:50" x14ac:dyDescent="0.2">
      <c r="A158" s="201">
        <v>151</v>
      </c>
      <c r="B158" s="129" t="s">
        <v>172</v>
      </c>
      <c r="C158" s="130" t="s">
        <v>742</v>
      </c>
      <c r="D158" s="131" t="s">
        <v>743</v>
      </c>
      <c r="E158" s="132" t="s">
        <v>171</v>
      </c>
      <c r="F158" s="63">
        <v>26264262</v>
      </c>
      <c r="G158" s="63">
        <v>0</v>
      </c>
      <c r="H158" s="63">
        <v>0</v>
      </c>
      <c r="I158" s="63">
        <v>0</v>
      </c>
      <c r="J158" s="63">
        <v>26264262</v>
      </c>
      <c r="K158" s="63">
        <v>0</v>
      </c>
      <c r="L158" s="63">
        <v>0</v>
      </c>
      <c r="M158" s="63">
        <v>0</v>
      </c>
      <c r="N158" s="63">
        <v>0</v>
      </c>
      <c r="O158" s="63">
        <v>0</v>
      </c>
      <c r="P158" s="63">
        <v>-299000</v>
      </c>
      <c r="Q158" s="63">
        <v>0</v>
      </c>
      <c r="R158" s="63">
        <v>0</v>
      </c>
      <c r="S158" s="63">
        <v>0</v>
      </c>
      <c r="T158" s="63">
        <v>-299000</v>
      </c>
      <c r="U158" s="63">
        <v>25965262</v>
      </c>
      <c r="V158" s="63">
        <v>0</v>
      </c>
      <c r="W158" s="63">
        <v>0</v>
      </c>
      <c r="X158" s="63">
        <v>0</v>
      </c>
      <c r="Y158" s="63">
        <v>25965262</v>
      </c>
      <c r="Z158" s="63">
        <v>0</v>
      </c>
      <c r="AA158" s="63">
        <v>0</v>
      </c>
      <c r="AB158" s="63">
        <v>0</v>
      </c>
      <c r="AC158" s="63">
        <v>0</v>
      </c>
      <c r="AD158" s="63">
        <v>0</v>
      </c>
      <c r="AE158" s="63">
        <v>0</v>
      </c>
      <c r="AF158" s="63">
        <v>0</v>
      </c>
      <c r="AG158" s="63">
        <v>0</v>
      </c>
      <c r="AH158" s="63">
        <v>0</v>
      </c>
      <c r="AI158" s="63">
        <v>0</v>
      </c>
      <c r="AJ158" s="63">
        <v>0</v>
      </c>
      <c r="AK158" s="63">
        <v>0</v>
      </c>
      <c r="AL158" s="63">
        <v>0</v>
      </c>
      <c r="AM158" s="63">
        <v>0</v>
      </c>
      <c r="AN158" s="63">
        <v>0</v>
      </c>
      <c r="AP158" s="533">
        <v>0</v>
      </c>
      <c r="AQ158" s="533">
        <v>0</v>
      </c>
      <c r="AR158" s="533">
        <v>0</v>
      </c>
      <c r="AS158" s="533">
        <v>0</v>
      </c>
      <c r="AT158" s="534"/>
      <c r="AU158" s="594"/>
      <c r="AV158" s="595"/>
      <c r="AW158" s="595"/>
      <c r="AX158" s="595"/>
    </row>
    <row r="159" spans="1:50" x14ac:dyDescent="0.2">
      <c r="A159" s="201">
        <v>152</v>
      </c>
      <c r="B159" s="129" t="s">
        <v>174</v>
      </c>
      <c r="C159" s="130" t="s">
        <v>754</v>
      </c>
      <c r="D159" s="131" t="s">
        <v>748</v>
      </c>
      <c r="E159" s="132" t="s">
        <v>173</v>
      </c>
      <c r="F159" s="63">
        <v>57991589</v>
      </c>
      <c r="G159" s="63">
        <v>0</v>
      </c>
      <c r="H159" s="63">
        <v>0</v>
      </c>
      <c r="I159" s="63">
        <v>0</v>
      </c>
      <c r="J159" s="63">
        <v>57991589</v>
      </c>
      <c r="K159" s="63">
        <v>-580000</v>
      </c>
      <c r="L159" s="63">
        <v>0</v>
      </c>
      <c r="M159" s="63">
        <v>0</v>
      </c>
      <c r="N159" s="63">
        <v>0</v>
      </c>
      <c r="O159" s="63">
        <v>-580000</v>
      </c>
      <c r="P159" s="63">
        <v>-500000</v>
      </c>
      <c r="Q159" s="63">
        <v>0</v>
      </c>
      <c r="R159" s="63">
        <v>0</v>
      </c>
      <c r="S159" s="63">
        <v>0</v>
      </c>
      <c r="T159" s="63">
        <v>-500000</v>
      </c>
      <c r="U159" s="63">
        <v>56911589</v>
      </c>
      <c r="V159" s="63">
        <v>0</v>
      </c>
      <c r="W159" s="63">
        <v>0</v>
      </c>
      <c r="X159" s="63">
        <v>0</v>
      </c>
      <c r="Y159" s="63">
        <v>56911589</v>
      </c>
      <c r="Z159" s="63">
        <v>0</v>
      </c>
      <c r="AA159" s="63">
        <v>0</v>
      </c>
      <c r="AB159" s="63">
        <v>0</v>
      </c>
      <c r="AC159" s="63">
        <v>0</v>
      </c>
      <c r="AD159" s="63">
        <v>0</v>
      </c>
      <c r="AE159" s="63">
        <v>0</v>
      </c>
      <c r="AF159" s="63">
        <v>0</v>
      </c>
      <c r="AG159" s="63">
        <v>0</v>
      </c>
      <c r="AH159" s="63">
        <v>0</v>
      </c>
      <c r="AI159" s="63">
        <v>0</v>
      </c>
      <c r="AJ159" s="63">
        <v>0</v>
      </c>
      <c r="AK159" s="63">
        <v>0</v>
      </c>
      <c r="AL159" s="63">
        <v>0</v>
      </c>
      <c r="AM159" s="63">
        <v>0</v>
      </c>
      <c r="AN159" s="63">
        <v>0</v>
      </c>
      <c r="AP159" s="533">
        <v>0</v>
      </c>
      <c r="AQ159" s="533">
        <v>0</v>
      </c>
      <c r="AR159" s="533">
        <v>0</v>
      </c>
      <c r="AS159" s="533">
        <v>0</v>
      </c>
      <c r="AT159" s="534"/>
      <c r="AU159" s="594"/>
      <c r="AV159" s="595"/>
      <c r="AW159" s="595"/>
      <c r="AX159" s="595"/>
    </row>
    <row r="160" spans="1:50" x14ac:dyDescent="0.2">
      <c r="A160" s="201">
        <v>153</v>
      </c>
      <c r="B160" s="129" t="s">
        <v>176</v>
      </c>
      <c r="C160" s="130" t="s">
        <v>742</v>
      </c>
      <c r="D160" s="131" t="s">
        <v>752</v>
      </c>
      <c r="E160" s="132" t="s">
        <v>175</v>
      </c>
      <c r="F160" s="63">
        <v>34533108</v>
      </c>
      <c r="G160" s="63">
        <v>0</v>
      </c>
      <c r="H160" s="63">
        <v>0</v>
      </c>
      <c r="I160" s="63">
        <v>0</v>
      </c>
      <c r="J160" s="63">
        <v>34533108</v>
      </c>
      <c r="K160" s="63">
        <v>-321000</v>
      </c>
      <c r="L160" s="63">
        <v>0</v>
      </c>
      <c r="M160" s="63">
        <v>0</v>
      </c>
      <c r="N160" s="63">
        <v>0</v>
      </c>
      <c r="O160" s="63">
        <v>-321000</v>
      </c>
      <c r="P160" s="63">
        <v>-320174</v>
      </c>
      <c r="Q160" s="63">
        <v>0</v>
      </c>
      <c r="R160" s="63">
        <v>0</v>
      </c>
      <c r="S160" s="63">
        <v>0</v>
      </c>
      <c r="T160" s="63">
        <v>-320174</v>
      </c>
      <c r="U160" s="63">
        <v>33891934</v>
      </c>
      <c r="V160" s="63">
        <v>0</v>
      </c>
      <c r="W160" s="63">
        <v>0</v>
      </c>
      <c r="X160" s="63">
        <v>0</v>
      </c>
      <c r="Y160" s="63">
        <v>33891934</v>
      </c>
      <c r="Z160" s="63">
        <v>0</v>
      </c>
      <c r="AA160" s="63">
        <v>0</v>
      </c>
      <c r="AB160" s="63">
        <v>0</v>
      </c>
      <c r="AC160" s="63">
        <v>0</v>
      </c>
      <c r="AD160" s="63">
        <v>0</v>
      </c>
      <c r="AE160" s="63">
        <v>0</v>
      </c>
      <c r="AF160" s="63">
        <v>0</v>
      </c>
      <c r="AG160" s="63">
        <v>0</v>
      </c>
      <c r="AH160" s="63">
        <v>0</v>
      </c>
      <c r="AI160" s="63">
        <v>0</v>
      </c>
      <c r="AJ160" s="63">
        <v>0</v>
      </c>
      <c r="AK160" s="63">
        <v>0</v>
      </c>
      <c r="AL160" s="63">
        <v>0</v>
      </c>
      <c r="AM160" s="63">
        <v>0</v>
      </c>
      <c r="AN160" s="63">
        <v>0</v>
      </c>
      <c r="AP160" s="533">
        <v>0</v>
      </c>
      <c r="AQ160" s="533">
        <v>0</v>
      </c>
      <c r="AR160" s="533">
        <v>0</v>
      </c>
      <c r="AS160" s="533">
        <v>0</v>
      </c>
      <c r="AT160" s="534"/>
      <c r="AU160" s="594"/>
      <c r="AV160" s="595"/>
      <c r="AW160" s="595"/>
      <c r="AX160" s="595"/>
    </row>
    <row r="161" spans="1:50" x14ac:dyDescent="0.2">
      <c r="A161" s="201">
        <v>154</v>
      </c>
      <c r="B161" s="129" t="s">
        <v>178</v>
      </c>
      <c r="C161" s="130" t="s">
        <v>742</v>
      </c>
      <c r="D161" s="131" t="s">
        <v>745</v>
      </c>
      <c r="E161" s="132" t="s">
        <v>177</v>
      </c>
      <c r="F161" s="63">
        <v>45109935</v>
      </c>
      <c r="G161" s="63">
        <v>0</v>
      </c>
      <c r="H161" s="63">
        <v>0</v>
      </c>
      <c r="I161" s="63">
        <v>0</v>
      </c>
      <c r="J161" s="63">
        <v>45109935</v>
      </c>
      <c r="K161" s="63">
        <v>-250000</v>
      </c>
      <c r="L161" s="63">
        <v>0</v>
      </c>
      <c r="M161" s="63">
        <v>0</v>
      </c>
      <c r="N161" s="63">
        <v>0</v>
      </c>
      <c r="O161" s="63">
        <v>-250000</v>
      </c>
      <c r="P161" s="63">
        <v>-1500000</v>
      </c>
      <c r="Q161" s="63">
        <v>0</v>
      </c>
      <c r="R161" s="63">
        <v>0</v>
      </c>
      <c r="S161" s="63">
        <v>0</v>
      </c>
      <c r="T161" s="63">
        <v>-1500000</v>
      </c>
      <c r="U161" s="63">
        <v>43359935</v>
      </c>
      <c r="V161" s="63">
        <v>0</v>
      </c>
      <c r="W161" s="63">
        <v>0</v>
      </c>
      <c r="X161" s="63">
        <v>0</v>
      </c>
      <c r="Y161" s="63">
        <v>43359935</v>
      </c>
      <c r="Z161" s="63">
        <v>0</v>
      </c>
      <c r="AA161" s="63">
        <v>0</v>
      </c>
      <c r="AB161" s="63">
        <v>0</v>
      </c>
      <c r="AC161" s="63">
        <v>0</v>
      </c>
      <c r="AD161" s="63">
        <v>0</v>
      </c>
      <c r="AE161" s="63">
        <v>0</v>
      </c>
      <c r="AF161" s="63">
        <v>0</v>
      </c>
      <c r="AG161" s="63">
        <v>0</v>
      </c>
      <c r="AH161" s="63">
        <v>0</v>
      </c>
      <c r="AI161" s="63">
        <v>0</v>
      </c>
      <c r="AJ161" s="63">
        <v>0</v>
      </c>
      <c r="AK161" s="63">
        <v>0</v>
      </c>
      <c r="AL161" s="63">
        <v>0</v>
      </c>
      <c r="AM161" s="63">
        <v>0</v>
      </c>
      <c r="AN161" s="63">
        <v>0</v>
      </c>
      <c r="AP161" s="533">
        <v>0</v>
      </c>
      <c r="AQ161" s="533">
        <v>0</v>
      </c>
      <c r="AR161" s="533">
        <v>0</v>
      </c>
      <c r="AS161" s="533">
        <v>0</v>
      </c>
      <c r="AT161" s="534"/>
      <c r="AU161" s="594"/>
      <c r="AV161" s="595"/>
      <c r="AW161" s="595"/>
      <c r="AX161" s="595"/>
    </row>
    <row r="162" spans="1:50" x14ac:dyDescent="0.2">
      <c r="A162" s="201">
        <v>155</v>
      </c>
      <c r="B162" s="129" t="s">
        <v>180</v>
      </c>
      <c r="C162" s="130" t="s">
        <v>749</v>
      </c>
      <c r="D162" s="131" t="s">
        <v>744</v>
      </c>
      <c r="E162" s="132" t="s">
        <v>179</v>
      </c>
      <c r="F162" s="63">
        <v>174358303</v>
      </c>
      <c r="G162" s="63">
        <v>2907556</v>
      </c>
      <c r="H162" s="63">
        <v>26142240</v>
      </c>
      <c r="I162" s="63">
        <v>0</v>
      </c>
      <c r="J162" s="63">
        <v>203408099</v>
      </c>
      <c r="K162" s="63">
        <v>-4377310</v>
      </c>
      <c r="L162" s="63">
        <v>-72689</v>
      </c>
      <c r="M162" s="63">
        <v>-653556</v>
      </c>
      <c r="N162" s="63">
        <v>0</v>
      </c>
      <c r="O162" s="63">
        <v>-5103555</v>
      </c>
      <c r="P162" s="63">
        <v>-2631372</v>
      </c>
      <c r="Q162" s="63">
        <v>-39722</v>
      </c>
      <c r="R162" s="63">
        <v>-450407</v>
      </c>
      <c r="S162" s="63">
        <v>0</v>
      </c>
      <c r="T162" s="63">
        <v>-3121501</v>
      </c>
      <c r="U162" s="63">
        <v>167349621</v>
      </c>
      <c r="V162" s="63">
        <v>2795145</v>
      </c>
      <c r="W162" s="63">
        <v>25038277</v>
      </c>
      <c r="X162" s="63">
        <v>0</v>
      </c>
      <c r="Y162" s="63">
        <v>195183043</v>
      </c>
      <c r="Z162" s="63">
        <v>0</v>
      </c>
      <c r="AA162" s="63">
        <v>0</v>
      </c>
      <c r="AB162" s="63">
        <v>0</v>
      </c>
      <c r="AC162" s="63">
        <v>0</v>
      </c>
      <c r="AD162" s="63">
        <v>0</v>
      </c>
      <c r="AE162" s="63">
        <v>0</v>
      </c>
      <c r="AF162" s="63">
        <v>0</v>
      </c>
      <c r="AG162" s="63">
        <v>0</v>
      </c>
      <c r="AH162" s="63">
        <v>3693884</v>
      </c>
      <c r="AI162" s="63">
        <v>31648003</v>
      </c>
      <c r="AJ162" s="63">
        <v>0</v>
      </c>
      <c r="AK162" s="63">
        <v>0</v>
      </c>
      <c r="AL162" s="63">
        <v>0</v>
      </c>
      <c r="AM162" s="63">
        <v>0</v>
      </c>
      <c r="AN162" s="63">
        <v>0</v>
      </c>
      <c r="AP162" s="533" t="s">
        <v>768</v>
      </c>
      <c r="AQ162" s="533" t="s">
        <v>789</v>
      </c>
      <c r="AR162" s="533" t="s">
        <v>790</v>
      </c>
      <c r="AS162" s="533">
        <v>0</v>
      </c>
      <c r="AT162" s="534"/>
      <c r="AU162" s="594"/>
      <c r="AV162" s="595"/>
      <c r="AW162" s="595"/>
      <c r="AX162" s="595"/>
    </row>
    <row r="163" spans="1:50" x14ac:dyDescent="0.2">
      <c r="A163" s="201">
        <v>156</v>
      </c>
      <c r="B163" s="129" t="s">
        <v>181</v>
      </c>
      <c r="C163" s="130" t="s">
        <v>501</v>
      </c>
      <c r="D163" s="131" t="s">
        <v>746</v>
      </c>
      <c r="E163" s="132" t="s">
        <v>504</v>
      </c>
      <c r="F163" s="63">
        <v>65554405</v>
      </c>
      <c r="G163" s="63">
        <v>4724119</v>
      </c>
      <c r="H163" s="63">
        <v>0</v>
      </c>
      <c r="I163" s="63">
        <v>0</v>
      </c>
      <c r="J163" s="63">
        <v>70278524</v>
      </c>
      <c r="K163" s="63">
        <v>-591144</v>
      </c>
      <c r="L163" s="63">
        <v>-8856</v>
      </c>
      <c r="M163" s="63">
        <v>0</v>
      </c>
      <c r="N163" s="63">
        <v>0</v>
      </c>
      <c r="O163" s="63">
        <v>-600000</v>
      </c>
      <c r="P163" s="63">
        <v>-1488404</v>
      </c>
      <c r="Q163" s="63">
        <v>-8856</v>
      </c>
      <c r="R163" s="63">
        <v>0</v>
      </c>
      <c r="S163" s="63">
        <v>0</v>
      </c>
      <c r="T163" s="63">
        <v>-1497260</v>
      </c>
      <c r="U163" s="63">
        <v>63474857</v>
      </c>
      <c r="V163" s="63">
        <v>4706407</v>
      </c>
      <c r="W163" s="63">
        <v>0</v>
      </c>
      <c r="X163" s="63">
        <v>0</v>
      </c>
      <c r="Y163" s="63">
        <v>68181264</v>
      </c>
      <c r="Z163" s="63">
        <v>0</v>
      </c>
      <c r="AA163" s="63">
        <v>0</v>
      </c>
      <c r="AB163" s="63">
        <v>0</v>
      </c>
      <c r="AC163" s="63">
        <v>0</v>
      </c>
      <c r="AD163" s="63">
        <v>0</v>
      </c>
      <c r="AE163" s="63">
        <v>0</v>
      </c>
      <c r="AF163" s="63">
        <v>0</v>
      </c>
      <c r="AG163" s="63">
        <v>0</v>
      </c>
      <c r="AH163" s="63">
        <v>4741488</v>
      </c>
      <c r="AI163" s="63">
        <v>0</v>
      </c>
      <c r="AJ163" s="63">
        <v>0</v>
      </c>
      <c r="AK163" s="63">
        <v>0</v>
      </c>
      <c r="AL163" s="63">
        <v>0</v>
      </c>
      <c r="AM163" s="63">
        <v>0</v>
      </c>
      <c r="AN163" s="63">
        <v>0</v>
      </c>
      <c r="AP163" s="533" t="s">
        <v>768</v>
      </c>
      <c r="AQ163" s="533" t="s">
        <v>999</v>
      </c>
      <c r="AR163" s="533">
        <v>0</v>
      </c>
      <c r="AS163" s="533">
        <v>0</v>
      </c>
      <c r="AT163" s="534"/>
      <c r="AU163" s="594"/>
      <c r="AV163" s="599"/>
      <c r="AW163" s="595"/>
      <c r="AX163" s="595"/>
    </row>
    <row r="164" spans="1:50" x14ac:dyDescent="0.2">
      <c r="A164" s="201">
        <v>157</v>
      </c>
      <c r="B164" s="129" t="s">
        <v>183</v>
      </c>
      <c r="C164" s="130" t="s">
        <v>742</v>
      </c>
      <c r="D164" s="131" t="s">
        <v>743</v>
      </c>
      <c r="E164" s="132" t="s">
        <v>182</v>
      </c>
      <c r="F164" s="63">
        <v>62081439</v>
      </c>
      <c r="G164" s="63">
        <v>0</v>
      </c>
      <c r="H164" s="63">
        <v>0</v>
      </c>
      <c r="I164" s="63">
        <v>0</v>
      </c>
      <c r="J164" s="63">
        <v>62081439</v>
      </c>
      <c r="K164" s="63">
        <v>-756000</v>
      </c>
      <c r="L164" s="63">
        <v>0</v>
      </c>
      <c r="M164" s="63">
        <v>0</v>
      </c>
      <c r="N164" s="63">
        <v>0</v>
      </c>
      <c r="O164" s="63">
        <v>-756000</v>
      </c>
      <c r="P164" s="63">
        <v>-972000</v>
      </c>
      <c r="Q164" s="63">
        <v>0</v>
      </c>
      <c r="R164" s="63">
        <v>0</v>
      </c>
      <c r="S164" s="63">
        <v>0</v>
      </c>
      <c r="T164" s="63">
        <v>-972000</v>
      </c>
      <c r="U164" s="63">
        <v>60353439</v>
      </c>
      <c r="V164" s="63">
        <v>0</v>
      </c>
      <c r="W164" s="63">
        <v>0</v>
      </c>
      <c r="X164" s="63">
        <v>0</v>
      </c>
      <c r="Y164" s="63">
        <v>60353439</v>
      </c>
      <c r="Z164" s="63">
        <v>0</v>
      </c>
      <c r="AA164" s="63">
        <v>0</v>
      </c>
      <c r="AB164" s="63">
        <v>0</v>
      </c>
      <c r="AC164" s="63">
        <v>0</v>
      </c>
      <c r="AD164" s="63">
        <v>0</v>
      </c>
      <c r="AE164" s="63">
        <v>0</v>
      </c>
      <c r="AF164" s="63">
        <v>0</v>
      </c>
      <c r="AG164" s="63">
        <v>0</v>
      </c>
      <c r="AH164" s="63">
        <v>0</v>
      </c>
      <c r="AI164" s="63">
        <v>0</v>
      </c>
      <c r="AJ164" s="63">
        <v>0</v>
      </c>
      <c r="AK164" s="63">
        <v>0</v>
      </c>
      <c r="AL164" s="63">
        <v>0</v>
      </c>
      <c r="AM164" s="63">
        <v>0</v>
      </c>
      <c r="AN164" s="63">
        <v>0</v>
      </c>
      <c r="AP164" s="533">
        <v>0</v>
      </c>
      <c r="AQ164" s="533">
        <v>0</v>
      </c>
      <c r="AR164" s="533">
        <v>0</v>
      </c>
      <c r="AS164" s="533">
        <v>0</v>
      </c>
      <c r="AT164" s="534"/>
      <c r="AU164" s="594"/>
      <c r="AV164" s="595"/>
      <c r="AW164" s="595"/>
      <c r="AX164" s="595"/>
    </row>
    <row r="165" spans="1:50" x14ac:dyDescent="0.2">
      <c r="A165" s="201">
        <v>158</v>
      </c>
      <c r="B165" s="129" t="s">
        <v>185</v>
      </c>
      <c r="C165" s="130" t="s">
        <v>742</v>
      </c>
      <c r="D165" s="131" t="s">
        <v>746</v>
      </c>
      <c r="E165" s="132" t="s">
        <v>184</v>
      </c>
      <c r="F165" s="63">
        <v>14458773</v>
      </c>
      <c r="G165" s="63">
        <v>0</v>
      </c>
      <c r="H165" s="63">
        <v>0</v>
      </c>
      <c r="I165" s="63">
        <v>0</v>
      </c>
      <c r="J165" s="63">
        <v>14458773</v>
      </c>
      <c r="K165" s="63">
        <v>-76445</v>
      </c>
      <c r="L165" s="63">
        <v>0</v>
      </c>
      <c r="M165" s="63">
        <v>0</v>
      </c>
      <c r="N165" s="63">
        <v>0</v>
      </c>
      <c r="O165" s="63">
        <v>-76445</v>
      </c>
      <c r="P165" s="63">
        <v>-25324</v>
      </c>
      <c r="Q165" s="63">
        <v>0</v>
      </c>
      <c r="R165" s="63">
        <v>0</v>
      </c>
      <c r="S165" s="63">
        <v>0</v>
      </c>
      <c r="T165" s="63">
        <v>-25324</v>
      </c>
      <c r="U165" s="63">
        <v>14357004</v>
      </c>
      <c r="V165" s="63">
        <v>0</v>
      </c>
      <c r="W165" s="63">
        <v>0</v>
      </c>
      <c r="X165" s="63">
        <v>0</v>
      </c>
      <c r="Y165" s="63">
        <v>14357004</v>
      </c>
      <c r="Z165" s="63">
        <v>484575</v>
      </c>
      <c r="AA165" s="63">
        <v>0</v>
      </c>
      <c r="AB165" s="63">
        <v>0</v>
      </c>
      <c r="AC165" s="63">
        <v>0</v>
      </c>
      <c r="AD165" s="63">
        <v>484575</v>
      </c>
      <c r="AE165" s="63">
        <v>0</v>
      </c>
      <c r="AF165" s="63">
        <v>0</v>
      </c>
      <c r="AG165" s="63">
        <v>0</v>
      </c>
      <c r="AH165" s="63">
        <v>0</v>
      </c>
      <c r="AI165" s="63">
        <v>0</v>
      </c>
      <c r="AJ165" s="63">
        <v>0</v>
      </c>
      <c r="AK165" s="63">
        <v>0</v>
      </c>
      <c r="AL165" s="63">
        <v>0</v>
      </c>
      <c r="AM165" s="63">
        <v>0</v>
      </c>
      <c r="AN165" s="63">
        <v>0</v>
      </c>
      <c r="AP165" s="533">
        <v>0</v>
      </c>
      <c r="AQ165" s="533">
        <v>0</v>
      </c>
      <c r="AR165" s="533">
        <v>0</v>
      </c>
      <c r="AS165" s="533">
        <v>0</v>
      </c>
      <c r="AT165" s="534"/>
      <c r="AU165" s="594"/>
      <c r="AV165" s="595"/>
      <c r="AW165" s="595"/>
      <c r="AX165" s="595"/>
    </row>
    <row r="166" spans="1:50" x14ac:dyDescent="0.2">
      <c r="A166" s="201">
        <v>159</v>
      </c>
      <c r="B166" s="129" t="s">
        <v>186</v>
      </c>
      <c r="C166" s="130" t="s">
        <v>742</v>
      </c>
      <c r="D166" s="131" t="s">
        <v>752</v>
      </c>
      <c r="E166" s="132" t="s">
        <v>766</v>
      </c>
      <c r="F166" s="63">
        <v>16036003</v>
      </c>
      <c r="G166" s="63">
        <v>0</v>
      </c>
      <c r="H166" s="63">
        <v>0</v>
      </c>
      <c r="I166" s="63">
        <v>0</v>
      </c>
      <c r="J166" s="63">
        <v>16036003</v>
      </c>
      <c r="K166" s="63">
        <v>-155000</v>
      </c>
      <c r="L166" s="63">
        <v>0</v>
      </c>
      <c r="M166" s="63">
        <v>0</v>
      </c>
      <c r="N166" s="63">
        <v>0</v>
      </c>
      <c r="O166" s="63">
        <v>-155000</v>
      </c>
      <c r="P166" s="63">
        <v>-504906</v>
      </c>
      <c r="Q166" s="63">
        <v>0</v>
      </c>
      <c r="R166" s="63">
        <v>0</v>
      </c>
      <c r="S166" s="63">
        <v>0</v>
      </c>
      <c r="T166" s="63">
        <v>-504906</v>
      </c>
      <c r="U166" s="63">
        <v>15376097</v>
      </c>
      <c r="V166" s="63">
        <v>0</v>
      </c>
      <c r="W166" s="63">
        <v>0</v>
      </c>
      <c r="X166" s="63">
        <v>0</v>
      </c>
      <c r="Y166" s="63">
        <v>15376097</v>
      </c>
      <c r="Z166" s="63">
        <v>0</v>
      </c>
      <c r="AA166" s="63">
        <v>0</v>
      </c>
      <c r="AB166" s="63">
        <v>0</v>
      </c>
      <c r="AC166" s="63">
        <v>0</v>
      </c>
      <c r="AD166" s="63">
        <v>0</v>
      </c>
      <c r="AE166" s="63">
        <v>0</v>
      </c>
      <c r="AF166" s="63">
        <v>0</v>
      </c>
      <c r="AG166" s="63">
        <v>0</v>
      </c>
      <c r="AH166" s="63">
        <v>0</v>
      </c>
      <c r="AI166" s="63">
        <v>0</v>
      </c>
      <c r="AJ166" s="63">
        <v>0</v>
      </c>
      <c r="AK166" s="63">
        <v>0</v>
      </c>
      <c r="AL166" s="63">
        <v>0</v>
      </c>
      <c r="AM166" s="63">
        <v>0</v>
      </c>
      <c r="AN166" s="63">
        <v>0</v>
      </c>
      <c r="AP166" s="533">
        <v>0</v>
      </c>
      <c r="AQ166" s="533">
        <v>0</v>
      </c>
      <c r="AR166" s="533">
        <v>0</v>
      </c>
      <c r="AS166" s="533">
        <v>0</v>
      </c>
      <c r="AT166" s="534"/>
      <c r="AU166" s="594"/>
      <c r="AV166" s="595"/>
      <c r="AW166" s="595"/>
      <c r="AX166" s="595"/>
    </row>
    <row r="167" spans="1:50" x14ac:dyDescent="0.2">
      <c r="A167" s="201">
        <v>160</v>
      </c>
      <c r="B167" s="129" t="s">
        <v>188</v>
      </c>
      <c r="C167" s="130" t="s">
        <v>749</v>
      </c>
      <c r="D167" s="131" t="s">
        <v>744</v>
      </c>
      <c r="E167" s="132" t="s">
        <v>187</v>
      </c>
      <c r="F167" s="63">
        <v>342314969</v>
      </c>
      <c r="G167" s="63">
        <v>6225862</v>
      </c>
      <c r="H167" s="63">
        <v>4855221</v>
      </c>
      <c r="I167" s="63">
        <v>0</v>
      </c>
      <c r="J167" s="63">
        <v>353396052</v>
      </c>
      <c r="K167" s="63">
        <v>-8557874</v>
      </c>
      <c r="L167" s="63">
        <v>-132448</v>
      </c>
      <c r="M167" s="63">
        <v>-144579</v>
      </c>
      <c r="N167" s="63">
        <v>0</v>
      </c>
      <c r="O167" s="63">
        <v>-8834901</v>
      </c>
      <c r="P167" s="63">
        <v>-34410960</v>
      </c>
      <c r="Q167" s="63">
        <v>-3208</v>
      </c>
      <c r="R167" s="63">
        <v>0</v>
      </c>
      <c r="S167" s="63">
        <v>0</v>
      </c>
      <c r="T167" s="63">
        <v>-34414168</v>
      </c>
      <c r="U167" s="63">
        <v>299346135</v>
      </c>
      <c r="V167" s="63">
        <v>6090206</v>
      </c>
      <c r="W167" s="63">
        <v>4710642</v>
      </c>
      <c r="X167" s="63">
        <v>0</v>
      </c>
      <c r="Y167" s="63">
        <v>310146983</v>
      </c>
      <c r="Z167" s="63">
        <v>0</v>
      </c>
      <c r="AA167" s="63">
        <v>0</v>
      </c>
      <c r="AB167" s="63">
        <v>0</v>
      </c>
      <c r="AC167" s="63">
        <v>0</v>
      </c>
      <c r="AD167" s="63">
        <v>0</v>
      </c>
      <c r="AE167" s="63">
        <v>0</v>
      </c>
      <c r="AF167" s="63">
        <v>0</v>
      </c>
      <c r="AG167" s="63">
        <v>0</v>
      </c>
      <c r="AH167" s="63">
        <v>6896353</v>
      </c>
      <c r="AI167" s="63">
        <v>5633897</v>
      </c>
      <c r="AJ167" s="63">
        <v>0</v>
      </c>
      <c r="AK167" s="63">
        <v>0</v>
      </c>
      <c r="AL167" s="63">
        <v>0</v>
      </c>
      <c r="AM167" s="63">
        <v>0</v>
      </c>
      <c r="AN167" s="63">
        <v>0</v>
      </c>
      <c r="AP167" s="533" t="s">
        <v>768</v>
      </c>
      <c r="AQ167" s="533" t="s">
        <v>791</v>
      </c>
      <c r="AR167" s="533" t="s">
        <v>1000</v>
      </c>
      <c r="AS167" s="533">
        <v>0</v>
      </c>
      <c r="AT167" s="534"/>
      <c r="AU167" s="594"/>
      <c r="AV167" s="600"/>
      <c r="AW167" s="599"/>
      <c r="AX167" s="595"/>
    </row>
    <row r="168" spans="1:50" x14ac:dyDescent="0.2">
      <c r="A168" s="201">
        <v>161</v>
      </c>
      <c r="B168" s="129" t="s">
        <v>190</v>
      </c>
      <c r="C168" s="130" t="s">
        <v>742</v>
      </c>
      <c r="D168" s="131" t="s">
        <v>745</v>
      </c>
      <c r="E168" s="132" t="s">
        <v>189</v>
      </c>
      <c r="F168" s="63">
        <v>30199119</v>
      </c>
      <c r="G168" s="63">
        <v>0</v>
      </c>
      <c r="H168" s="63">
        <v>0</v>
      </c>
      <c r="I168" s="63">
        <v>0</v>
      </c>
      <c r="J168" s="63">
        <v>30199119</v>
      </c>
      <c r="K168" s="63">
        <v>-450000</v>
      </c>
      <c r="L168" s="63">
        <v>0</v>
      </c>
      <c r="M168" s="63">
        <v>0</v>
      </c>
      <c r="N168" s="63">
        <v>0</v>
      </c>
      <c r="O168" s="63">
        <v>-450000</v>
      </c>
      <c r="P168" s="63">
        <v>-2000000</v>
      </c>
      <c r="Q168" s="63">
        <v>0</v>
      </c>
      <c r="R168" s="63">
        <v>0</v>
      </c>
      <c r="S168" s="63">
        <v>0</v>
      </c>
      <c r="T168" s="63">
        <v>-2000000</v>
      </c>
      <c r="U168" s="63">
        <v>27749119</v>
      </c>
      <c r="V168" s="63">
        <v>0</v>
      </c>
      <c r="W168" s="63">
        <v>0</v>
      </c>
      <c r="X168" s="63">
        <v>0</v>
      </c>
      <c r="Y168" s="63">
        <v>27749119</v>
      </c>
      <c r="Z168" s="63">
        <v>0</v>
      </c>
      <c r="AA168" s="63">
        <v>0</v>
      </c>
      <c r="AB168" s="63">
        <v>0</v>
      </c>
      <c r="AC168" s="63">
        <v>0</v>
      </c>
      <c r="AD168" s="63">
        <v>0</v>
      </c>
      <c r="AE168" s="63">
        <v>0</v>
      </c>
      <c r="AF168" s="63">
        <v>0</v>
      </c>
      <c r="AG168" s="63">
        <v>0</v>
      </c>
      <c r="AH168" s="63">
        <v>0</v>
      </c>
      <c r="AI168" s="63">
        <v>0</v>
      </c>
      <c r="AJ168" s="63">
        <v>0</v>
      </c>
      <c r="AK168" s="63">
        <v>0</v>
      </c>
      <c r="AL168" s="63">
        <v>0</v>
      </c>
      <c r="AM168" s="63">
        <v>0</v>
      </c>
      <c r="AN168" s="63">
        <v>0</v>
      </c>
      <c r="AP168" s="533">
        <v>0</v>
      </c>
      <c r="AQ168" s="533">
        <v>0</v>
      </c>
      <c r="AR168" s="533">
        <v>0</v>
      </c>
      <c r="AS168" s="533">
        <v>0</v>
      </c>
      <c r="AT168" s="534"/>
      <c r="AU168" s="594"/>
      <c r="AV168" s="595"/>
      <c r="AW168" s="595"/>
      <c r="AX168" s="595"/>
    </row>
    <row r="169" spans="1:50" x14ac:dyDescent="0.2">
      <c r="A169" s="201">
        <v>162</v>
      </c>
      <c r="B169" s="129" t="s">
        <v>191</v>
      </c>
      <c r="C169" s="130" t="s">
        <v>501</v>
      </c>
      <c r="D169" s="131" t="s">
        <v>743</v>
      </c>
      <c r="E169" s="132" t="s">
        <v>536</v>
      </c>
      <c r="F169" s="63">
        <v>94124006</v>
      </c>
      <c r="G169" s="63">
        <v>0</v>
      </c>
      <c r="H169" s="63">
        <v>0</v>
      </c>
      <c r="I169" s="63">
        <v>0</v>
      </c>
      <c r="J169" s="63">
        <v>94124006</v>
      </c>
      <c r="K169" s="63">
        <v>-1000000</v>
      </c>
      <c r="L169" s="63">
        <v>0</v>
      </c>
      <c r="M169" s="63">
        <v>0</v>
      </c>
      <c r="N169" s="63">
        <v>0</v>
      </c>
      <c r="O169" s="63">
        <v>-1000000</v>
      </c>
      <c r="P169" s="63">
        <v>-1407863</v>
      </c>
      <c r="Q169" s="63">
        <v>0</v>
      </c>
      <c r="R169" s="63">
        <v>0</v>
      </c>
      <c r="S169" s="63">
        <v>0</v>
      </c>
      <c r="T169" s="63">
        <v>-1407863</v>
      </c>
      <c r="U169" s="63">
        <v>91716143</v>
      </c>
      <c r="V169" s="63">
        <v>0</v>
      </c>
      <c r="W169" s="63">
        <v>0</v>
      </c>
      <c r="X169" s="63">
        <v>0</v>
      </c>
      <c r="Y169" s="63">
        <v>91716143</v>
      </c>
      <c r="Z169" s="63">
        <v>0</v>
      </c>
      <c r="AA169" s="63">
        <v>0</v>
      </c>
      <c r="AB169" s="63">
        <v>0</v>
      </c>
      <c r="AC169" s="63">
        <v>0</v>
      </c>
      <c r="AD169" s="63">
        <v>0</v>
      </c>
      <c r="AE169" s="63">
        <v>0</v>
      </c>
      <c r="AF169" s="63">
        <v>0</v>
      </c>
      <c r="AG169" s="63">
        <v>0</v>
      </c>
      <c r="AH169" s="63">
        <v>0</v>
      </c>
      <c r="AI169" s="63">
        <v>0</v>
      </c>
      <c r="AJ169" s="63">
        <v>0</v>
      </c>
      <c r="AK169" s="63">
        <v>0</v>
      </c>
      <c r="AL169" s="63">
        <v>0</v>
      </c>
      <c r="AM169" s="63">
        <v>0</v>
      </c>
      <c r="AN169" s="63">
        <v>0</v>
      </c>
      <c r="AP169" s="533">
        <v>0</v>
      </c>
      <c r="AQ169" s="533">
        <v>0</v>
      </c>
      <c r="AR169" s="533">
        <v>0</v>
      </c>
      <c r="AS169" s="533">
        <v>0</v>
      </c>
      <c r="AT169" s="534"/>
      <c r="AU169" s="594"/>
      <c r="AV169" s="595"/>
      <c r="AW169" s="595"/>
      <c r="AX169" s="595"/>
    </row>
    <row r="170" spans="1:50" x14ac:dyDescent="0.2">
      <c r="A170" s="201">
        <v>163</v>
      </c>
      <c r="B170" s="129" t="s">
        <v>193</v>
      </c>
      <c r="C170" s="130" t="s">
        <v>742</v>
      </c>
      <c r="D170" s="131" t="s">
        <v>745</v>
      </c>
      <c r="E170" s="132" t="s">
        <v>192</v>
      </c>
      <c r="F170" s="63">
        <v>13941388</v>
      </c>
      <c r="G170" s="63">
        <v>0</v>
      </c>
      <c r="H170" s="63">
        <v>0</v>
      </c>
      <c r="I170" s="63">
        <v>0</v>
      </c>
      <c r="J170" s="63">
        <v>13941388</v>
      </c>
      <c r="K170" s="63">
        <v>-34524</v>
      </c>
      <c r="L170" s="63">
        <v>0</v>
      </c>
      <c r="M170" s="63">
        <v>0</v>
      </c>
      <c r="N170" s="63">
        <v>0</v>
      </c>
      <c r="O170" s="63">
        <v>-34524</v>
      </c>
      <c r="P170" s="63">
        <v>-131739</v>
      </c>
      <c r="Q170" s="63">
        <v>0</v>
      </c>
      <c r="R170" s="63">
        <v>0</v>
      </c>
      <c r="S170" s="63">
        <v>0</v>
      </c>
      <c r="T170" s="63">
        <v>-131739</v>
      </c>
      <c r="U170" s="63">
        <v>13775125</v>
      </c>
      <c r="V170" s="63">
        <v>0</v>
      </c>
      <c r="W170" s="63">
        <v>0</v>
      </c>
      <c r="X170" s="63">
        <v>0</v>
      </c>
      <c r="Y170" s="63">
        <v>13775125</v>
      </c>
      <c r="Z170" s="63">
        <v>90000</v>
      </c>
      <c r="AA170" s="63">
        <v>0</v>
      </c>
      <c r="AB170" s="63">
        <v>0</v>
      </c>
      <c r="AC170" s="63">
        <v>0</v>
      </c>
      <c r="AD170" s="63">
        <v>90000</v>
      </c>
      <c r="AE170" s="63">
        <v>0</v>
      </c>
      <c r="AF170" s="63">
        <v>0</v>
      </c>
      <c r="AG170" s="63">
        <v>0</v>
      </c>
      <c r="AH170" s="63">
        <v>0</v>
      </c>
      <c r="AI170" s="63">
        <v>0</v>
      </c>
      <c r="AJ170" s="63">
        <v>0</v>
      </c>
      <c r="AK170" s="63">
        <v>0</v>
      </c>
      <c r="AL170" s="63">
        <v>0</v>
      </c>
      <c r="AM170" s="63">
        <v>0</v>
      </c>
      <c r="AN170" s="63">
        <v>0</v>
      </c>
      <c r="AP170" s="533">
        <v>0</v>
      </c>
      <c r="AQ170" s="533">
        <v>0</v>
      </c>
      <c r="AR170" s="533">
        <v>0</v>
      </c>
      <c r="AS170" s="533">
        <v>0</v>
      </c>
      <c r="AT170" s="534"/>
      <c r="AU170" s="597"/>
      <c r="AV170" s="598"/>
      <c r="AW170" s="598"/>
      <c r="AX170" s="598"/>
    </row>
    <row r="171" spans="1:50" x14ac:dyDescent="0.2">
      <c r="A171" s="201">
        <v>164</v>
      </c>
      <c r="B171" s="129" t="s">
        <v>195</v>
      </c>
      <c r="C171" s="130" t="s">
        <v>742</v>
      </c>
      <c r="D171" s="131" t="s">
        <v>751</v>
      </c>
      <c r="E171" s="132" t="s">
        <v>194</v>
      </c>
      <c r="F171" s="63">
        <v>35375654</v>
      </c>
      <c r="G171" s="63">
        <v>0</v>
      </c>
      <c r="H171" s="63">
        <v>0</v>
      </c>
      <c r="I171" s="63">
        <v>0</v>
      </c>
      <c r="J171" s="63">
        <v>35375654</v>
      </c>
      <c r="K171" s="63">
        <v>-138499</v>
      </c>
      <c r="L171" s="63">
        <v>0</v>
      </c>
      <c r="M171" s="63">
        <v>0</v>
      </c>
      <c r="N171" s="63">
        <v>0</v>
      </c>
      <c r="O171" s="63">
        <v>-138499</v>
      </c>
      <c r="P171" s="63">
        <v>-2073214</v>
      </c>
      <c r="Q171" s="63">
        <v>0</v>
      </c>
      <c r="R171" s="63">
        <v>0</v>
      </c>
      <c r="S171" s="63">
        <v>0</v>
      </c>
      <c r="T171" s="63">
        <v>-2073214</v>
      </c>
      <c r="U171" s="63">
        <v>33163941</v>
      </c>
      <c r="V171" s="63">
        <v>0</v>
      </c>
      <c r="W171" s="63">
        <v>0</v>
      </c>
      <c r="X171" s="63">
        <v>0</v>
      </c>
      <c r="Y171" s="63">
        <v>33163941</v>
      </c>
      <c r="Z171" s="63">
        <v>150906</v>
      </c>
      <c r="AA171" s="63">
        <v>0</v>
      </c>
      <c r="AB171" s="63">
        <v>0</v>
      </c>
      <c r="AC171" s="63">
        <v>0</v>
      </c>
      <c r="AD171" s="63">
        <v>150906</v>
      </c>
      <c r="AE171" s="63">
        <v>0</v>
      </c>
      <c r="AF171" s="63">
        <v>0</v>
      </c>
      <c r="AG171" s="63">
        <v>0</v>
      </c>
      <c r="AH171" s="63">
        <v>0</v>
      </c>
      <c r="AI171" s="63">
        <v>0</v>
      </c>
      <c r="AJ171" s="63">
        <v>0</v>
      </c>
      <c r="AK171" s="63">
        <v>0</v>
      </c>
      <c r="AL171" s="63">
        <v>0</v>
      </c>
      <c r="AM171" s="63">
        <v>0</v>
      </c>
      <c r="AN171" s="63">
        <v>0</v>
      </c>
      <c r="AP171" s="533">
        <v>0</v>
      </c>
      <c r="AQ171" s="533">
        <v>0</v>
      </c>
      <c r="AR171" s="533">
        <v>0</v>
      </c>
      <c r="AS171" s="533">
        <v>0</v>
      </c>
      <c r="AT171" s="534"/>
      <c r="AU171" s="594"/>
      <c r="AV171" s="595"/>
      <c r="AW171" s="595"/>
      <c r="AX171" s="595"/>
    </row>
    <row r="172" spans="1:50" x14ac:dyDescent="0.2">
      <c r="A172" s="201">
        <v>165</v>
      </c>
      <c r="B172" s="129" t="s">
        <v>197</v>
      </c>
      <c r="C172" s="130" t="s">
        <v>747</v>
      </c>
      <c r="D172" s="131" t="s">
        <v>748</v>
      </c>
      <c r="E172" s="132" t="s">
        <v>196</v>
      </c>
      <c r="F172" s="63">
        <v>89538492</v>
      </c>
      <c r="G172" s="63">
        <v>0</v>
      </c>
      <c r="H172" s="63">
        <v>0</v>
      </c>
      <c r="I172" s="63">
        <v>0</v>
      </c>
      <c r="J172" s="63">
        <v>89538492</v>
      </c>
      <c r="K172" s="63">
        <v>-1250000</v>
      </c>
      <c r="L172" s="63">
        <v>0</v>
      </c>
      <c r="M172" s="63">
        <v>0</v>
      </c>
      <c r="N172" s="63">
        <v>0</v>
      </c>
      <c r="O172" s="63">
        <v>-1250000</v>
      </c>
      <c r="P172" s="63">
        <v>-270296</v>
      </c>
      <c r="Q172" s="63">
        <v>0</v>
      </c>
      <c r="R172" s="63">
        <v>0</v>
      </c>
      <c r="S172" s="63">
        <v>0</v>
      </c>
      <c r="T172" s="63">
        <v>-270296</v>
      </c>
      <c r="U172" s="63">
        <v>88018196</v>
      </c>
      <c r="V172" s="63">
        <v>0</v>
      </c>
      <c r="W172" s="63">
        <v>0</v>
      </c>
      <c r="X172" s="63">
        <v>0</v>
      </c>
      <c r="Y172" s="63">
        <v>88018196</v>
      </c>
      <c r="Z172" s="63">
        <v>0</v>
      </c>
      <c r="AA172" s="63">
        <v>0</v>
      </c>
      <c r="AB172" s="63">
        <v>0</v>
      </c>
      <c r="AC172" s="63">
        <v>0</v>
      </c>
      <c r="AD172" s="63">
        <v>0</v>
      </c>
      <c r="AE172" s="63">
        <v>0</v>
      </c>
      <c r="AF172" s="63">
        <v>0</v>
      </c>
      <c r="AG172" s="63">
        <v>0</v>
      </c>
      <c r="AH172" s="63">
        <v>0</v>
      </c>
      <c r="AI172" s="63">
        <v>0</v>
      </c>
      <c r="AJ172" s="63">
        <v>0</v>
      </c>
      <c r="AK172" s="63">
        <v>0</v>
      </c>
      <c r="AL172" s="63">
        <v>0</v>
      </c>
      <c r="AM172" s="63">
        <v>0</v>
      </c>
      <c r="AN172" s="63">
        <v>0</v>
      </c>
      <c r="AP172" s="533">
        <v>0</v>
      </c>
      <c r="AQ172" s="533">
        <v>0</v>
      </c>
      <c r="AR172" s="533">
        <v>0</v>
      </c>
      <c r="AS172" s="533">
        <v>0</v>
      </c>
      <c r="AT172" s="534"/>
      <c r="AU172" s="594"/>
      <c r="AV172" s="595"/>
      <c r="AW172" s="595"/>
      <c r="AX172" s="595"/>
    </row>
    <row r="173" spans="1:50" x14ac:dyDescent="0.2">
      <c r="A173" s="201">
        <v>166</v>
      </c>
      <c r="B173" s="129" t="s">
        <v>199</v>
      </c>
      <c r="C173" s="130" t="s">
        <v>742</v>
      </c>
      <c r="D173" s="131" t="s">
        <v>751</v>
      </c>
      <c r="E173" s="132" t="s">
        <v>198</v>
      </c>
      <c r="F173" s="63">
        <v>15752330</v>
      </c>
      <c r="G173" s="63">
        <v>0</v>
      </c>
      <c r="H173" s="63">
        <v>0</v>
      </c>
      <c r="I173" s="63">
        <v>0</v>
      </c>
      <c r="J173" s="63">
        <v>15752330</v>
      </c>
      <c r="K173" s="63">
        <v>-100000</v>
      </c>
      <c r="L173" s="63">
        <v>0</v>
      </c>
      <c r="M173" s="63">
        <v>0</v>
      </c>
      <c r="N173" s="63">
        <v>0</v>
      </c>
      <c r="O173" s="63">
        <v>-100000</v>
      </c>
      <c r="P173" s="63">
        <v>-150000</v>
      </c>
      <c r="Q173" s="63">
        <v>0</v>
      </c>
      <c r="R173" s="63">
        <v>0</v>
      </c>
      <c r="S173" s="63">
        <v>0</v>
      </c>
      <c r="T173" s="63">
        <v>-150000</v>
      </c>
      <c r="U173" s="63">
        <v>15502330</v>
      </c>
      <c r="V173" s="63">
        <v>0</v>
      </c>
      <c r="W173" s="63">
        <v>0</v>
      </c>
      <c r="X173" s="63">
        <v>0</v>
      </c>
      <c r="Y173" s="63">
        <v>15502330</v>
      </c>
      <c r="Z173" s="63">
        <v>128045</v>
      </c>
      <c r="AA173" s="63">
        <v>0</v>
      </c>
      <c r="AB173" s="63">
        <v>0</v>
      </c>
      <c r="AC173" s="63">
        <v>0</v>
      </c>
      <c r="AD173" s="63">
        <v>128045</v>
      </c>
      <c r="AE173" s="63">
        <v>0</v>
      </c>
      <c r="AF173" s="63">
        <v>0</v>
      </c>
      <c r="AG173" s="63">
        <v>0</v>
      </c>
      <c r="AH173" s="63">
        <v>0</v>
      </c>
      <c r="AI173" s="63">
        <v>0</v>
      </c>
      <c r="AJ173" s="63">
        <v>0</v>
      </c>
      <c r="AK173" s="63">
        <v>0</v>
      </c>
      <c r="AL173" s="63">
        <v>0</v>
      </c>
      <c r="AM173" s="63">
        <v>0</v>
      </c>
      <c r="AN173" s="63">
        <v>0</v>
      </c>
      <c r="AP173" s="533">
        <v>0</v>
      </c>
      <c r="AQ173" s="533">
        <v>0</v>
      </c>
      <c r="AR173" s="533">
        <v>0</v>
      </c>
      <c r="AS173" s="533">
        <v>0</v>
      </c>
      <c r="AT173" s="534"/>
      <c r="AU173" s="594"/>
      <c r="AV173" s="595"/>
      <c r="AW173" s="595"/>
      <c r="AX173" s="595"/>
    </row>
    <row r="174" spans="1:50" x14ac:dyDescent="0.2">
      <c r="A174" s="201">
        <v>167</v>
      </c>
      <c r="B174" s="129" t="s">
        <v>201</v>
      </c>
      <c r="C174" s="130" t="s">
        <v>742</v>
      </c>
      <c r="D174" s="131" t="s">
        <v>746</v>
      </c>
      <c r="E174" s="132" t="s">
        <v>200</v>
      </c>
      <c r="F174" s="63">
        <v>23389817</v>
      </c>
      <c r="G174" s="63">
        <v>0</v>
      </c>
      <c r="H174" s="63">
        <v>0</v>
      </c>
      <c r="I174" s="63">
        <v>0</v>
      </c>
      <c r="J174" s="63">
        <v>23389817</v>
      </c>
      <c r="K174" s="63">
        <v>-141500</v>
      </c>
      <c r="L174" s="63">
        <v>0</v>
      </c>
      <c r="M174" s="63">
        <v>0</v>
      </c>
      <c r="N174" s="63">
        <v>0</v>
      </c>
      <c r="O174" s="63">
        <v>-141500</v>
      </c>
      <c r="P174" s="63">
        <v>-544800</v>
      </c>
      <c r="Q174" s="63">
        <v>0</v>
      </c>
      <c r="R174" s="63">
        <v>0</v>
      </c>
      <c r="S174" s="63">
        <v>0</v>
      </c>
      <c r="T174" s="63">
        <v>-544800</v>
      </c>
      <c r="U174" s="63">
        <v>22703517</v>
      </c>
      <c r="V174" s="63">
        <v>0</v>
      </c>
      <c r="W174" s="63">
        <v>0</v>
      </c>
      <c r="X174" s="63">
        <v>0</v>
      </c>
      <c r="Y174" s="63">
        <v>22703517</v>
      </c>
      <c r="Z174" s="63">
        <v>299150</v>
      </c>
      <c r="AA174" s="63">
        <v>0</v>
      </c>
      <c r="AB174" s="63">
        <v>0</v>
      </c>
      <c r="AC174" s="63">
        <v>0</v>
      </c>
      <c r="AD174" s="63">
        <v>299150</v>
      </c>
      <c r="AE174" s="63">
        <v>0</v>
      </c>
      <c r="AF174" s="63">
        <v>0</v>
      </c>
      <c r="AG174" s="63">
        <v>0</v>
      </c>
      <c r="AH174" s="63">
        <v>0</v>
      </c>
      <c r="AI174" s="63">
        <v>0</v>
      </c>
      <c r="AJ174" s="63">
        <v>0</v>
      </c>
      <c r="AK174" s="63">
        <v>0</v>
      </c>
      <c r="AL174" s="63">
        <v>0</v>
      </c>
      <c r="AM174" s="63">
        <v>0</v>
      </c>
      <c r="AN174" s="63">
        <v>0</v>
      </c>
      <c r="AP174" s="533" t="s">
        <v>768</v>
      </c>
      <c r="AQ174" s="533" t="s">
        <v>996</v>
      </c>
      <c r="AR174" s="533">
        <v>0</v>
      </c>
      <c r="AS174" s="533">
        <v>0</v>
      </c>
      <c r="AT174" s="534"/>
      <c r="AU174" s="594"/>
      <c r="AV174" s="599"/>
      <c r="AW174" s="595"/>
      <c r="AX174" s="595"/>
    </row>
    <row r="175" spans="1:50" x14ac:dyDescent="0.2">
      <c r="A175" s="201">
        <v>168</v>
      </c>
      <c r="B175" s="129" t="s">
        <v>203</v>
      </c>
      <c r="C175" s="130" t="s">
        <v>742</v>
      </c>
      <c r="D175" s="131" t="s">
        <v>743</v>
      </c>
      <c r="E175" s="132" t="s">
        <v>202</v>
      </c>
      <c r="F175" s="63">
        <v>45850600</v>
      </c>
      <c r="G175" s="63">
        <v>0</v>
      </c>
      <c r="H175" s="63">
        <v>0</v>
      </c>
      <c r="I175" s="63">
        <v>0</v>
      </c>
      <c r="J175" s="63">
        <v>45850600</v>
      </c>
      <c r="K175" s="63">
        <v>-458506</v>
      </c>
      <c r="L175" s="63">
        <v>0</v>
      </c>
      <c r="M175" s="63">
        <v>0</v>
      </c>
      <c r="N175" s="63">
        <v>0</v>
      </c>
      <c r="O175" s="63">
        <v>-458506</v>
      </c>
      <c r="P175" s="63">
        <v>-1133785</v>
      </c>
      <c r="Q175" s="63">
        <v>0</v>
      </c>
      <c r="R175" s="63">
        <v>0</v>
      </c>
      <c r="S175" s="63">
        <v>0</v>
      </c>
      <c r="T175" s="63">
        <v>-1133785</v>
      </c>
      <c r="U175" s="63">
        <v>44258309</v>
      </c>
      <c r="V175" s="63">
        <v>0</v>
      </c>
      <c r="W175" s="63">
        <v>0</v>
      </c>
      <c r="X175" s="63">
        <v>0</v>
      </c>
      <c r="Y175" s="63">
        <v>44258309</v>
      </c>
      <c r="Z175" s="63">
        <v>0</v>
      </c>
      <c r="AA175" s="63">
        <v>0</v>
      </c>
      <c r="AB175" s="63">
        <v>0</v>
      </c>
      <c r="AC175" s="63">
        <v>0</v>
      </c>
      <c r="AD175" s="63">
        <v>0</v>
      </c>
      <c r="AE175" s="63">
        <v>0</v>
      </c>
      <c r="AF175" s="63">
        <v>0</v>
      </c>
      <c r="AG175" s="63">
        <v>0</v>
      </c>
      <c r="AH175" s="63">
        <v>0</v>
      </c>
      <c r="AI175" s="63">
        <v>0</v>
      </c>
      <c r="AJ175" s="63">
        <v>0</v>
      </c>
      <c r="AK175" s="63">
        <v>0</v>
      </c>
      <c r="AL175" s="63">
        <v>0</v>
      </c>
      <c r="AM175" s="63">
        <v>0</v>
      </c>
      <c r="AN175" s="63">
        <v>0</v>
      </c>
      <c r="AP175" s="533">
        <v>0</v>
      </c>
      <c r="AQ175" s="533">
        <v>0</v>
      </c>
      <c r="AR175" s="533">
        <v>0</v>
      </c>
      <c r="AS175" s="533">
        <v>0</v>
      </c>
      <c r="AT175" s="534"/>
      <c r="AU175" s="594"/>
      <c r="AV175" s="595"/>
      <c r="AW175" s="595"/>
      <c r="AX175" s="595"/>
    </row>
    <row r="176" spans="1:50" x14ac:dyDescent="0.2">
      <c r="A176" s="201">
        <v>169</v>
      </c>
      <c r="B176" s="129" t="s">
        <v>204</v>
      </c>
      <c r="C176" s="130" t="s">
        <v>501</v>
      </c>
      <c r="D176" s="131" t="s">
        <v>755</v>
      </c>
      <c r="E176" s="132" t="s">
        <v>517</v>
      </c>
      <c r="F176" s="63">
        <v>42877156</v>
      </c>
      <c r="G176" s="63">
        <v>0</v>
      </c>
      <c r="H176" s="63">
        <v>0</v>
      </c>
      <c r="I176" s="63">
        <v>0</v>
      </c>
      <c r="J176" s="63">
        <v>42877156</v>
      </c>
      <c r="K176" s="63">
        <v>-900000</v>
      </c>
      <c r="L176" s="63">
        <v>0</v>
      </c>
      <c r="M176" s="63">
        <v>0</v>
      </c>
      <c r="N176" s="63">
        <v>0</v>
      </c>
      <c r="O176" s="63">
        <v>-900000</v>
      </c>
      <c r="P176" s="63">
        <v>-1100000</v>
      </c>
      <c r="Q176" s="63">
        <v>0</v>
      </c>
      <c r="R176" s="63">
        <v>0</v>
      </c>
      <c r="S176" s="63">
        <v>0</v>
      </c>
      <c r="T176" s="63">
        <v>-1100000</v>
      </c>
      <c r="U176" s="63">
        <v>40877156</v>
      </c>
      <c r="V176" s="63">
        <v>0</v>
      </c>
      <c r="W176" s="63">
        <v>0</v>
      </c>
      <c r="X176" s="63">
        <v>0</v>
      </c>
      <c r="Y176" s="63">
        <v>40877156</v>
      </c>
      <c r="Z176" s="63">
        <v>0</v>
      </c>
      <c r="AA176" s="63">
        <v>0</v>
      </c>
      <c r="AB176" s="63">
        <v>0</v>
      </c>
      <c r="AC176" s="63">
        <v>0</v>
      </c>
      <c r="AD176" s="63">
        <v>0</v>
      </c>
      <c r="AE176" s="63">
        <v>0</v>
      </c>
      <c r="AF176" s="63">
        <v>0</v>
      </c>
      <c r="AG176" s="63">
        <v>0</v>
      </c>
      <c r="AH176" s="63">
        <v>0</v>
      </c>
      <c r="AI176" s="63">
        <v>3303024</v>
      </c>
      <c r="AJ176" s="63">
        <v>0</v>
      </c>
      <c r="AK176" s="63">
        <v>0</v>
      </c>
      <c r="AL176" s="63">
        <v>0</v>
      </c>
      <c r="AM176" s="63">
        <v>0</v>
      </c>
      <c r="AN176" s="63">
        <v>0</v>
      </c>
      <c r="AP176" s="533" t="s">
        <v>768</v>
      </c>
      <c r="AQ176" s="533" t="s">
        <v>784</v>
      </c>
      <c r="AR176" s="533" t="s">
        <v>991</v>
      </c>
      <c r="AS176" s="533">
        <v>0</v>
      </c>
      <c r="AT176" s="534"/>
      <c r="AU176" s="594"/>
      <c r="AV176" s="600"/>
      <c r="AW176" s="601"/>
      <c r="AX176" s="595"/>
    </row>
    <row r="177" spans="1:50" x14ac:dyDescent="0.2">
      <c r="A177" s="201">
        <v>170</v>
      </c>
      <c r="B177" s="129" t="s">
        <v>205</v>
      </c>
      <c r="C177" s="130" t="s">
        <v>501</v>
      </c>
      <c r="D177" s="131" t="s">
        <v>743</v>
      </c>
      <c r="E177" s="132" t="s">
        <v>511</v>
      </c>
      <c r="F177" s="63">
        <v>168487777</v>
      </c>
      <c r="G177" s="63">
        <v>0</v>
      </c>
      <c r="H177" s="63">
        <v>0</v>
      </c>
      <c r="I177" s="63">
        <v>0</v>
      </c>
      <c r="J177" s="63">
        <v>168487777</v>
      </c>
      <c r="K177" s="63">
        <v>-1007000</v>
      </c>
      <c r="L177" s="63">
        <v>0</v>
      </c>
      <c r="M177" s="63">
        <v>0</v>
      </c>
      <c r="N177" s="63">
        <v>0</v>
      </c>
      <c r="O177" s="63">
        <v>-1007000</v>
      </c>
      <c r="P177" s="63">
        <v>-9000000</v>
      </c>
      <c r="Q177" s="63">
        <v>0</v>
      </c>
      <c r="R177" s="63">
        <v>0</v>
      </c>
      <c r="S177" s="63">
        <v>0</v>
      </c>
      <c r="T177" s="63">
        <v>-9000000</v>
      </c>
      <c r="U177" s="63">
        <v>158480777</v>
      </c>
      <c r="V177" s="63">
        <v>0</v>
      </c>
      <c r="W177" s="63">
        <v>0</v>
      </c>
      <c r="X177" s="63">
        <v>0</v>
      </c>
      <c r="Y177" s="63">
        <v>158480777</v>
      </c>
      <c r="Z177" s="63">
        <v>182144</v>
      </c>
      <c r="AA177" s="63">
        <v>0</v>
      </c>
      <c r="AB177" s="63">
        <v>0</v>
      </c>
      <c r="AC177" s="63">
        <v>0</v>
      </c>
      <c r="AD177" s="63">
        <v>182144</v>
      </c>
      <c r="AE177" s="63">
        <v>0</v>
      </c>
      <c r="AF177" s="63">
        <v>0</v>
      </c>
      <c r="AG177" s="63">
        <v>0</v>
      </c>
      <c r="AH177" s="63">
        <v>0</v>
      </c>
      <c r="AI177" s="63">
        <v>0</v>
      </c>
      <c r="AJ177" s="63">
        <v>0</v>
      </c>
      <c r="AK177" s="63">
        <v>0</v>
      </c>
      <c r="AL177" s="63">
        <v>0</v>
      </c>
      <c r="AM177" s="63">
        <v>0</v>
      </c>
      <c r="AN177" s="63">
        <v>0</v>
      </c>
      <c r="AP177" s="533">
        <v>0</v>
      </c>
      <c r="AQ177" s="533">
        <v>0</v>
      </c>
      <c r="AR177" s="533">
        <v>0</v>
      </c>
      <c r="AS177" s="533">
        <v>0</v>
      </c>
      <c r="AT177" s="534"/>
      <c r="AU177" s="594"/>
      <c r="AV177" s="595"/>
      <c r="AW177" s="595"/>
      <c r="AX177" s="595"/>
    </row>
    <row r="178" spans="1:50" x14ac:dyDescent="0.2">
      <c r="A178" s="201">
        <v>171</v>
      </c>
      <c r="B178" s="129" t="s">
        <v>207</v>
      </c>
      <c r="C178" s="130" t="s">
        <v>742</v>
      </c>
      <c r="D178" s="131" t="s">
        <v>743</v>
      </c>
      <c r="E178" s="132" t="s">
        <v>206</v>
      </c>
      <c r="F178" s="63">
        <v>40118711</v>
      </c>
      <c r="G178" s="63">
        <v>0</v>
      </c>
      <c r="H178" s="63">
        <v>0</v>
      </c>
      <c r="I178" s="63">
        <v>0</v>
      </c>
      <c r="J178" s="63">
        <v>40118711</v>
      </c>
      <c r="K178" s="63">
        <v>-150000</v>
      </c>
      <c r="L178" s="63">
        <v>0</v>
      </c>
      <c r="M178" s="63">
        <v>0</v>
      </c>
      <c r="N178" s="63">
        <v>0</v>
      </c>
      <c r="O178" s="63">
        <v>-150000</v>
      </c>
      <c r="P178" s="63">
        <v>-685000</v>
      </c>
      <c r="Q178" s="63">
        <v>0</v>
      </c>
      <c r="R178" s="63">
        <v>0</v>
      </c>
      <c r="S178" s="63">
        <v>0</v>
      </c>
      <c r="T178" s="63">
        <v>-685000</v>
      </c>
      <c r="U178" s="63">
        <v>39283711</v>
      </c>
      <c r="V178" s="63">
        <v>0</v>
      </c>
      <c r="W178" s="63">
        <v>0</v>
      </c>
      <c r="X178" s="63">
        <v>0</v>
      </c>
      <c r="Y178" s="63">
        <v>39283711</v>
      </c>
      <c r="Z178" s="63">
        <v>0</v>
      </c>
      <c r="AA178" s="63">
        <v>0</v>
      </c>
      <c r="AB178" s="63">
        <v>0</v>
      </c>
      <c r="AC178" s="63">
        <v>0</v>
      </c>
      <c r="AD178" s="63">
        <v>0</v>
      </c>
      <c r="AE178" s="63">
        <v>0</v>
      </c>
      <c r="AF178" s="63">
        <v>0</v>
      </c>
      <c r="AG178" s="63">
        <v>0</v>
      </c>
      <c r="AH178" s="63">
        <v>0</v>
      </c>
      <c r="AI178" s="63">
        <v>0</v>
      </c>
      <c r="AJ178" s="63">
        <v>0</v>
      </c>
      <c r="AK178" s="63">
        <v>0</v>
      </c>
      <c r="AL178" s="63">
        <v>0</v>
      </c>
      <c r="AM178" s="63">
        <v>0</v>
      </c>
      <c r="AN178" s="63">
        <v>0</v>
      </c>
      <c r="AP178" s="533">
        <v>0</v>
      </c>
      <c r="AQ178" s="533">
        <v>0</v>
      </c>
      <c r="AR178" s="533">
        <v>0</v>
      </c>
      <c r="AS178" s="533">
        <v>0</v>
      </c>
      <c r="AT178" s="534"/>
      <c r="AU178" s="594"/>
      <c r="AV178" s="595"/>
      <c r="AW178" s="595"/>
      <c r="AX178" s="595"/>
    </row>
    <row r="179" spans="1:50" x14ac:dyDescent="0.2">
      <c r="A179" s="201">
        <v>172</v>
      </c>
      <c r="B179" s="129" t="s">
        <v>209</v>
      </c>
      <c r="C179" s="130" t="s">
        <v>742</v>
      </c>
      <c r="D179" s="131" t="s">
        <v>743</v>
      </c>
      <c r="E179" s="132" t="s">
        <v>208</v>
      </c>
      <c r="F179" s="63">
        <v>67946291</v>
      </c>
      <c r="G179" s="63">
        <v>0</v>
      </c>
      <c r="H179" s="63">
        <v>0</v>
      </c>
      <c r="I179" s="63">
        <v>0</v>
      </c>
      <c r="J179" s="63">
        <v>67946291</v>
      </c>
      <c r="K179" s="63">
        <v>-339731</v>
      </c>
      <c r="L179" s="63">
        <v>0</v>
      </c>
      <c r="M179" s="63">
        <v>0</v>
      </c>
      <c r="N179" s="63">
        <v>0</v>
      </c>
      <c r="O179" s="63">
        <v>-339731</v>
      </c>
      <c r="P179" s="63">
        <v>-1690476</v>
      </c>
      <c r="Q179" s="63">
        <v>0</v>
      </c>
      <c r="R179" s="63">
        <v>0</v>
      </c>
      <c r="S179" s="63">
        <v>0</v>
      </c>
      <c r="T179" s="63">
        <v>-1690476</v>
      </c>
      <c r="U179" s="63">
        <v>65916084</v>
      </c>
      <c r="V179" s="63">
        <v>0</v>
      </c>
      <c r="W179" s="63">
        <v>0</v>
      </c>
      <c r="X179" s="63">
        <v>0</v>
      </c>
      <c r="Y179" s="63">
        <v>65916084</v>
      </c>
      <c r="Z179" s="63">
        <v>21868</v>
      </c>
      <c r="AA179" s="63">
        <v>0</v>
      </c>
      <c r="AB179" s="63">
        <v>0</v>
      </c>
      <c r="AC179" s="63">
        <v>0</v>
      </c>
      <c r="AD179" s="63">
        <v>21868</v>
      </c>
      <c r="AE179" s="63">
        <v>0</v>
      </c>
      <c r="AF179" s="63">
        <v>0</v>
      </c>
      <c r="AG179" s="63">
        <v>0</v>
      </c>
      <c r="AH179" s="63">
        <v>0</v>
      </c>
      <c r="AI179" s="63">
        <v>0</v>
      </c>
      <c r="AJ179" s="63">
        <v>0</v>
      </c>
      <c r="AK179" s="63">
        <v>0</v>
      </c>
      <c r="AL179" s="63">
        <v>0</v>
      </c>
      <c r="AM179" s="63">
        <v>0</v>
      </c>
      <c r="AN179" s="63">
        <v>0</v>
      </c>
      <c r="AP179" s="533">
        <v>0</v>
      </c>
      <c r="AQ179" s="533">
        <v>0</v>
      </c>
      <c r="AR179" s="533">
        <v>0</v>
      </c>
      <c r="AS179" s="533">
        <v>0</v>
      </c>
      <c r="AT179" s="534"/>
      <c r="AU179" s="594"/>
      <c r="AV179" s="595"/>
      <c r="AW179" s="595"/>
      <c r="AX179" s="595"/>
    </row>
    <row r="180" spans="1:50" x14ac:dyDescent="0.2">
      <c r="A180" s="201">
        <v>173</v>
      </c>
      <c r="B180" s="129" t="s">
        <v>210</v>
      </c>
      <c r="C180" s="130" t="s">
        <v>742</v>
      </c>
      <c r="D180" s="131" t="s">
        <v>745</v>
      </c>
      <c r="E180" s="132" t="s">
        <v>546</v>
      </c>
      <c r="F180" s="63">
        <v>40044485</v>
      </c>
      <c r="G180" s="63">
        <v>0</v>
      </c>
      <c r="H180" s="63">
        <v>0</v>
      </c>
      <c r="I180" s="63">
        <v>0</v>
      </c>
      <c r="J180" s="63">
        <v>40044485</v>
      </c>
      <c r="K180" s="63">
        <v>-250000</v>
      </c>
      <c r="L180" s="63">
        <v>0</v>
      </c>
      <c r="M180" s="63">
        <v>0</v>
      </c>
      <c r="N180" s="63">
        <v>0</v>
      </c>
      <c r="O180" s="63">
        <v>-250000</v>
      </c>
      <c r="P180" s="63">
        <v>-1000000</v>
      </c>
      <c r="Q180" s="63">
        <v>0</v>
      </c>
      <c r="R180" s="63">
        <v>0</v>
      </c>
      <c r="S180" s="63">
        <v>0</v>
      </c>
      <c r="T180" s="63">
        <v>-1000000</v>
      </c>
      <c r="U180" s="63">
        <v>38794485</v>
      </c>
      <c r="V180" s="63">
        <v>0</v>
      </c>
      <c r="W180" s="63">
        <v>0</v>
      </c>
      <c r="X180" s="63">
        <v>0</v>
      </c>
      <c r="Y180" s="63">
        <v>38794485</v>
      </c>
      <c r="Z180" s="63">
        <v>80000</v>
      </c>
      <c r="AA180" s="63">
        <v>0</v>
      </c>
      <c r="AB180" s="63">
        <v>0</v>
      </c>
      <c r="AC180" s="63">
        <v>0</v>
      </c>
      <c r="AD180" s="63">
        <v>80000</v>
      </c>
      <c r="AE180" s="63">
        <v>0</v>
      </c>
      <c r="AF180" s="63">
        <v>0</v>
      </c>
      <c r="AG180" s="63">
        <v>0</v>
      </c>
      <c r="AH180" s="63">
        <v>0</v>
      </c>
      <c r="AI180" s="63">
        <v>0</v>
      </c>
      <c r="AJ180" s="63">
        <v>0</v>
      </c>
      <c r="AK180" s="63">
        <v>0</v>
      </c>
      <c r="AL180" s="63">
        <v>0</v>
      </c>
      <c r="AM180" s="63">
        <v>0</v>
      </c>
      <c r="AN180" s="63">
        <v>0</v>
      </c>
      <c r="AP180" s="533">
        <v>0</v>
      </c>
      <c r="AQ180" s="533">
        <v>0</v>
      </c>
      <c r="AR180" s="533">
        <v>0</v>
      </c>
      <c r="AS180" s="533">
        <v>0</v>
      </c>
      <c r="AT180" s="534"/>
      <c r="AU180" s="594"/>
      <c r="AV180" s="595"/>
      <c r="AW180" s="595"/>
      <c r="AX180" s="595"/>
    </row>
    <row r="181" spans="1:50" x14ac:dyDescent="0.2">
      <c r="A181" s="201">
        <v>174</v>
      </c>
      <c r="B181" s="129" t="s">
        <v>211</v>
      </c>
      <c r="C181" s="130" t="s">
        <v>749</v>
      </c>
      <c r="D181" s="131" t="s">
        <v>755</v>
      </c>
      <c r="E181" s="132" t="s">
        <v>760</v>
      </c>
      <c r="F181" s="63">
        <v>150970729</v>
      </c>
      <c r="G181" s="63">
        <v>451525</v>
      </c>
      <c r="H181" s="63">
        <v>5586959</v>
      </c>
      <c r="I181" s="63">
        <v>0</v>
      </c>
      <c r="J181" s="63">
        <v>157009213</v>
      </c>
      <c r="K181" s="63">
        <v>-2114527</v>
      </c>
      <c r="L181" s="63">
        <v>-6333</v>
      </c>
      <c r="M181" s="63">
        <v>-91723</v>
      </c>
      <c r="N181" s="63">
        <v>0</v>
      </c>
      <c r="O181" s="63">
        <v>-2212583</v>
      </c>
      <c r="P181" s="63">
        <v>-804731</v>
      </c>
      <c r="Q181" s="63">
        <v>0</v>
      </c>
      <c r="R181" s="63">
        <v>0</v>
      </c>
      <c r="S181" s="63">
        <v>0</v>
      </c>
      <c r="T181" s="63">
        <v>-804731</v>
      </c>
      <c r="U181" s="63">
        <v>148051471</v>
      </c>
      <c r="V181" s="63">
        <v>445192</v>
      </c>
      <c r="W181" s="63">
        <v>5495236</v>
      </c>
      <c r="X181" s="63">
        <v>0</v>
      </c>
      <c r="Y181" s="63">
        <v>153991899</v>
      </c>
      <c r="Z181" s="63">
        <v>0</v>
      </c>
      <c r="AA181" s="63">
        <v>0</v>
      </c>
      <c r="AB181" s="63">
        <v>0</v>
      </c>
      <c r="AC181" s="63">
        <v>0</v>
      </c>
      <c r="AD181" s="63">
        <v>0</v>
      </c>
      <c r="AE181" s="63">
        <v>0</v>
      </c>
      <c r="AF181" s="63">
        <v>0</v>
      </c>
      <c r="AG181" s="63">
        <v>0</v>
      </c>
      <c r="AH181" s="63">
        <v>69741</v>
      </c>
      <c r="AI181" s="63">
        <v>6021755</v>
      </c>
      <c r="AJ181" s="63">
        <v>0</v>
      </c>
      <c r="AK181" s="63">
        <v>375451</v>
      </c>
      <c r="AL181" s="63">
        <v>0</v>
      </c>
      <c r="AM181" s="63">
        <v>0</v>
      </c>
      <c r="AN181" s="63">
        <v>375451</v>
      </c>
      <c r="AP181" s="533" t="s">
        <v>768</v>
      </c>
      <c r="AQ181" s="533" t="s">
        <v>1001</v>
      </c>
      <c r="AR181" s="533">
        <v>0</v>
      </c>
      <c r="AS181" s="533">
        <v>0</v>
      </c>
      <c r="AT181" s="534"/>
      <c r="AU181" s="594"/>
      <c r="AV181" s="599"/>
      <c r="AW181" s="595"/>
      <c r="AX181" s="595"/>
    </row>
    <row r="182" spans="1:50" x14ac:dyDescent="0.2">
      <c r="A182" s="201">
        <v>175</v>
      </c>
      <c r="B182" s="129" t="s">
        <v>213</v>
      </c>
      <c r="C182" s="130" t="s">
        <v>742</v>
      </c>
      <c r="D182" s="131" t="s">
        <v>752</v>
      </c>
      <c r="E182" s="132" t="s">
        <v>212</v>
      </c>
      <c r="F182" s="63">
        <v>36487588</v>
      </c>
      <c r="G182" s="63">
        <v>0</v>
      </c>
      <c r="H182" s="63">
        <v>0</v>
      </c>
      <c r="I182" s="63">
        <v>0</v>
      </c>
      <c r="J182" s="63">
        <v>36487588</v>
      </c>
      <c r="K182" s="63">
        <v>-500000</v>
      </c>
      <c r="L182" s="63">
        <v>0</v>
      </c>
      <c r="M182" s="63">
        <v>0</v>
      </c>
      <c r="N182" s="63">
        <v>0</v>
      </c>
      <c r="O182" s="63">
        <v>-500000</v>
      </c>
      <c r="P182" s="63">
        <v>-1919416</v>
      </c>
      <c r="Q182" s="63">
        <v>0</v>
      </c>
      <c r="R182" s="63">
        <v>0</v>
      </c>
      <c r="S182" s="63">
        <v>0</v>
      </c>
      <c r="T182" s="63">
        <v>-1919416</v>
      </c>
      <c r="U182" s="63">
        <v>34068172</v>
      </c>
      <c r="V182" s="63">
        <v>0</v>
      </c>
      <c r="W182" s="63">
        <v>0</v>
      </c>
      <c r="X182" s="63">
        <v>0</v>
      </c>
      <c r="Y182" s="63">
        <v>34068172</v>
      </c>
      <c r="Z182" s="63">
        <v>0</v>
      </c>
      <c r="AA182" s="63">
        <v>0</v>
      </c>
      <c r="AB182" s="63">
        <v>0</v>
      </c>
      <c r="AC182" s="63">
        <v>0</v>
      </c>
      <c r="AD182" s="63">
        <v>0</v>
      </c>
      <c r="AE182" s="63">
        <v>0</v>
      </c>
      <c r="AF182" s="63">
        <v>0</v>
      </c>
      <c r="AG182" s="63">
        <v>0</v>
      </c>
      <c r="AH182" s="63">
        <v>0</v>
      </c>
      <c r="AI182" s="63">
        <v>0</v>
      </c>
      <c r="AJ182" s="63">
        <v>0</v>
      </c>
      <c r="AK182" s="63">
        <v>0</v>
      </c>
      <c r="AL182" s="63">
        <v>0</v>
      </c>
      <c r="AM182" s="63">
        <v>0</v>
      </c>
      <c r="AN182" s="63">
        <v>0</v>
      </c>
      <c r="AP182" s="533" t="s">
        <v>768</v>
      </c>
      <c r="AQ182" s="533" t="s">
        <v>792</v>
      </c>
      <c r="AR182" s="533" t="s">
        <v>781</v>
      </c>
      <c r="AS182" s="533">
        <v>0</v>
      </c>
      <c r="AT182" s="534"/>
      <c r="AU182" s="594"/>
      <c r="AV182" s="595"/>
      <c r="AW182" s="595"/>
      <c r="AX182" s="595"/>
    </row>
    <row r="183" spans="1:50" x14ac:dyDescent="0.2">
      <c r="A183" s="201">
        <v>176</v>
      </c>
      <c r="B183" s="129" t="s">
        <v>215</v>
      </c>
      <c r="C183" s="130" t="s">
        <v>747</v>
      </c>
      <c r="D183" s="131" t="s">
        <v>748</v>
      </c>
      <c r="E183" s="132" t="s">
        <v>214</v>
      </c>
      <c r="F183" s="63">
        <v>139496906</v>
      </c>
      <c r="G183" s="63">
        <v>460128</v>
      </c>
      <c r="H183" s="63">
        <v>0</v>
      </c>
      <c r="I183" s="63">
        <v>0</v>
      </c>
      <c r="J183" s="63">
        <v>139957034</v>
      </c>
      <c r="K183" s="63">
        <v>-2092453</v>
      </c>
      <c r="L183" s="63">
        <v>0</v>
      </c>
      <c r="M183" s="63">
        <v>0</v>
      </c>
      <c r="N183" s="63">
        <v>0</v>
      </c>
      <c r="O183" s="63">
        <v>-2092453</v>
      </c>
      <c r="P183" s="63">
        <v>-4672644</v>
      </c>
      <c r="Q183" s="63">
        <v>0</v>
      </c>
      <c r="R183" s="63">
        <v>0</v>
      </c>
      <c r="S183" s="63">
        <v>0</v>
      </c>
      <c r="T183" s="63">
        <v>-4672644</v>
      </c>
      <c r="U183" s="63">
        <v>132731809</v>
      </c>
      <c r="V183" s="63">
        <v>460128</v>
      </c>
      <c r="W183" s="63">
        <v>0</v>
      </c>
      <c r="X183" s="63">
        <v>0</v>
      </c>
      <c r="Y183" s="63">
        <v>133191937</v>
      </c>
      <c r="Z183" s="63">
        <v>0</v>
      </c>
      <c r="AA183" s="63">
        <v>0</v>
      </c>
      <c r="AB183" s="63">
        <v>0</v>
      </c>
      <c r="AC183" s="63">
        <v>0</v>
      </c>
      <c r="AD183" s="63">
        <v>0</v>
      </c>
      <c r="AE183" s="63">
        <v>0</v>
      </c>
      <c r="AF183" s="63">
        <v>0</v>
      </c>
      <c r="AG183" s="63">
        <v>0</v>
      </c>
      <c r="AH183" s="63">
        <v>241749</v>
      </c>
      <c r="AI183" s="63">
        <v>0</v>
      </c>
      <c r="AJ183" s="63">
        <v>0</v>
      </c>
      <c r="AK183" s="63">
        <v>218379</v>
      </c>
      <c r="AL183" s="63">
        <v>0</v>
      </c>
      <c r="AM183" s="63">
        <v>0</v>
      </c>
      <c r="AN183" s="63">
        <v>218379</v>
      </c>
      <c r="AP183" s="533" t="s">
        <v>768</v>
      </c>
      <c r="AQ183" s="533" t="s">
        <v>793</v>
      </c>
      <c r="AR183" s="533">
        <v>0</v>
      </c>
      <c r="AS183" s="533">
        <v>0</v>
      </c>
      <c r="AT183" s="534"/>
      <c r="AU183" s="594"/>
      <c r="AV183" s="595"/>
      <c r="AW183" s="595"/>
      <c r="AX183" s="595"/>
    </row>
    <row r="184" spans="1:50" x14ac:dyDescent="0.2">
      <c r="A184" s="201">
        <v>177</v>
      </c>
      <c r="B184" s="129" t="s">
        <v>217</v>
      </c>
      <c r="C184" s="130" t="s">
        <v>742</v>
      </c>
      <c r="D184" s="131" t="s">
        <v>751</v>
      </c>
      <c r="E184" s="132" t="s">
        <v>216</v>
      </c>
      <c r="F184" s="63">
        <v>34545606</v>
      </c>
      <c r="G184" s="63">
        <v>0</v>
      </c>
      <c r="H184" s="63">
        <v>0</v>
      </c>
      <c r="I184" s="63">
        <v>0</v>
      </c>
      <c r="J184" s="63">
        <v>34545606</v>
      </c>
      <c r="K184" s="63">
        <v>-345456</v>
      </c>
      <c r="L184" s="63">
        <v>0</v>
      </c>
      <c r="M184" s="63">
        <v>0</v>
      </c>
      <c r="N184" s="63">
        <v>0</v>
      </c>
      <c r="O184" s="63">
        <v>-345456</v>
      </c>
      <c r="P184" s="63">
        <v>-241819</v>
      </c>
      <c r="Q184" s="63">
        <v>0</v>
      </c>
      <c r="R184" s="63">
        <v>0</v>
      </c>
      <c r="S184" s="63">
        <v>0</v>
      </c>
      <c r="T184" s="63">
        <v>-241819</v>
      </c>
      <c r="U184" s="63">
        <v>33958331</v>
      </c>
      <c r="V184" s="63">
        <v>0</v>
      </c>
      <c r="W184" s="63">
        <v>0</v>
      </c>
      <c r="X184" s="63">
        <v>0</v>
      </c>
      <c r="Y184" s="63">
        <v>33958331</v>
      </c>
      <c r="Z184" s="63">
        <v>171000</v>
      </c>
      <c r="AA184" s="63">
        <v>0</v>
      </c>
      <c r="AB184" s="63">
        <v>0</v>
      </c>
      <c r="AC184" s="63">
        <v>0</v>
      </c>
      <c r="AD184" s="63">
        <v>171000</v>
      </c>
      <c r="AE184" s="63">
        <v>0</v>
      </c>
      <c r="AF184" s="63">
        <v>0</v>
      </c>
      <c r="AG184" s="63">
        <v>0</v>
      </c>
      <c r="AH184" s="63">
        <v>0</v>
      </c>
      <c r="AI184" s="63">
        <v>0</v>
      </c>
      <c r="AJ184" s="63">
        <v>0</v>
      </c>
      <c r="AK184" s="63">
        <v>0</v>
      </c>
      <c r="AL184" s="63">
        <v>0</v>
      </c>
      <c r="AM184" s="63">
        <v>0</v>
      </c>
      <c r="AN184" s="63">
        <v>0</v>
      </c>
      <c r="AP184" s="533">
        <v>0</v>
      </c>
      <c r="AQ184" s="533">
        <v>0</v>
      </c>
      <c r="AR184" s="533">
        <v>0</v>
      </c>
      <c r="AS184" s="533">
        <v>0</v>
      </c>
      <c r="AT184" s="534"/>
      <c r="AU184" s="594"/>
      <c r="AV184" s="595"/>
      <c r="AW184" s="595"/>
      <c r="AX184" s="595"/>
    </row>
    <row r="185" spans="1:50" x14ac:dyDescent="0.2">
      <c r="A185" s="201">
        <v>178</v>
      </c>
      <c r="B185" s="129" t="s">
        <v>219</v>
      </c>
      <c r="C185" s="130" t="s">
        <v>742</v>
      </c>
      <c r="D185" s="131" t="s">
        <v>751</v>
      </c>
      <c r="E185" s="132" t="s">
        <v>218</v>
      </c>
      <c r="F185" s="63">
        <v>14443320</v>
      </c>
      <c r="G185" s="63">
        <v>0</v>
      </c>
      <c r="H185" s="63">
        <v>0</v>
      </c>
      <c r="I185" s="63">
        <v>0</v>
      </c>
      <c r="J185" s="63">
        <v>14443320</v>
      </c>
      <c r="K185" s="63">
        <v>-433299</v>
      </c>
      <c r="L185" s="63">
        <v>0</v>
      </c>
      <c r="M185" s="63">
        <v>0</v>
      </c>
      <c r="N185" s="63">
        <v>0</v>
      </c>
      <c r="O185" s="63">
        <v>-433299</v>
      </c>
      <c r="P185" s="63">
        <v>-965496</v>
      </c>
      <c r="Q185" s="63">
        <v>0</v>
      </c>
      <c r="R185" s="63">
        <v>0</v>
      </c>
      <c r="S185" s="63">
        <v>0</v>
      </c>
      <c r="T185" s="63">
        <v>-965496</v>
      </c>
      <c r="U185" s="63">
        <v>13044525</v>
      </c>
      <c r="V185" s="63">
        <v>0</v>
      </c>
      <c r="W185" s="63">
        <v>0</v>
      </c>
      <c r="X185" s="63">
        <v>0</v>
      </c>
      <c r="Y185" s="63">
        <v>13044525</v>
      </c>
      <c r="Z185" s="63">
        <v>0</v>
      </c>
      <c r="AA185" s="63">
        <v>0</v>
      </c>
      <c r="AB185" s="63">
        <v>0</v>
      </c>
      <c r="AC185" s="63">
        <v>0</v>
      </c>
      <c r="AD185" s="63">
        <v>0</v>
      </c>
      <c r="AE185" s="63">
        <v>0</v>
      </c>
      <c r="AF185" s="63">
        <v>0</v>
      </c>
      <c r="AG185" s="63">
        <v>0</v>
      </c>
      <c r="AH185" s="63">
        <v>0</v>
      </c>
      <c r="AI185" s="63">
        <v>0</v>
      </c>
      <c r="AJ185" s="63">
        <v>0</v>
      </c>
      <c r="AK185" s="63">
        <v>0</v>
      </c>
      <c r="AL185" s="63">
        <v>0</v>
      </c>
      <c r="AM185" s="63">
        <v>0</v>
      </c>
      <c r="AN185" s="63">
        <v>0</v>
      </c>
      <c r="AP185" s="533">
        <v>0</v>
      </c>
      <c r="AQ185" s="533">
        <v>0</v>
      </c>
      <c r="AR185" s="533">
        <v>0</v>
      </c>
      <c r="AS185" s="533">
        <v>0</v>
      </c>
      <c r="AT185" s="534"/>
      <c r="AU185" s="594"/>
      <c r="AV185" s="595"/>
      <c r="AW185" s="595"/>
      <c r="AX185" s="595"/>
    </row>
    <row r="186" spans="1:50" x14ac:dyDescent="0.2">
      <c r="A186" s="201">
        <v>179</v>
      </c>
      <c r="B186" s="129" t="s">
        <v>221</v>
      </c>
      <c r="C186" s="130" t="s">
        <v>742</v>
      </c>
      <c r="D186" s="131" t="s">
        <v>745</v>
      </c>
      <c r="E186" s="132" t="s">
        <v>220</v>
      </c>
      <c r="F186" s="63">
        <v>16881029</v>
      </c>
      <c r="G186" s="63">
        <v>0</v>
      </c>
      <c r="H186" s="63">
        <v>0</v>
      </c>
      <c r="I186" s="63">
        <v>0</v>
      </c>
      <c r="J186" s="63">
        <v>16881029</v>
      </c>
      <c r="K186" s="63">
        <v>-126608</v>
      </c>
      <c r="L186" s="63">
        <v>0</v>
      </c>
      <c r="M186" s="63">
        <v>0</v>
      </c>
      <c r="N186" s="63">
        <v>0</v>
      </c>
      <c r="O186" s="63">
        <v>-126608</v>
      </c>
      <c r="P186" s="63">
        <v>-293789</v>
      </c>
      <c r="Q186" s="63">
        <v>0</v>
      </c>
      <c r="R186" s="63">
        <v>0</v>
      </c>
      <c r="S186" s="63">
        <v>0</v>
      </c>
      <c r="T186" s="63">
        <v>-293789</v>
      </c>
      <c r="U186" s="63">
        <v>16460632</v>
      </c>
      <c r="V186" s="63">
        <v>0</v>
      </c>
      <c r="W186" s="63">
        <v>0</v>
      </c>
      <c r="X186" s="63">
        <v>0</v>
      </c>
      <c r="Y186" s="63">
        <v>16460632</v>
      </c>
      <c r="Z186" s="63">
        <v>0</v>
      </c>
      <c r="AA186" s="63">
        <v>0</v>
      </c>
      <c r="AB186" s="63">
        <v>0</v>
      </c>
      <c r="AC186" s="63">
        <v>0</v>
      </c>
      <c r="AD186" s="63">
        <v>0</v>
      </c>
      <c r="AE186" s="63">
        <v>0</v>
      </c>
      <c r="AF186" s="63">
        <v>0</v>
      </c>
      <c r="AG186" s="63">
        <v>0</v>
      </c>
      <c r="AH186" s="63">
        <v>0</v>
      </c>
      <c r="AI186" s="63">
        <v>0</v>
      </c>
      <c r="AJ186" s="63">
        <v>0</v>
      </c>
      <c r="AK186" s="63">
        <v>0</v>
      </c>
      <c r="AL186" s="63">
        <v>0</v>
      </c>
      <c r="AM186" s="63">
        <v>0</v>
      </c>
      <c r="AN186" s="63">
        <v>0</v>
      </c>
      <c r="AP186" s="533">
        <v>0</v>
      </c>
      <c r="AQ186" s="533">
        <v>0</v>
      </c>
      <c r="AR186" s="533">
        <v>0</v>
      </c>
      <c r="AS186" s="533">
        <v>0</v>
      </c>
      <c r="AT186" s="534"/>
      <c r="AU186" s="594"/>
      <c r="AV186" s="595"/>
      <c r="AW186" s="595"/>
      <c r="AX186" s="595"/>
    </row>
    <row r="187" spans="1:50" x14ac:dyDescent="0.2">
      <c r="A187" s="201">
        <v>180</v>
      </c>
      <c r="B187" s="129" t="s">
        <v>222</v>
      </c>
      <c r="C187" s="130" t="s">
        <v>501</v>
      </c>
      <c r="D187" s="131" t="s">
        <v>750</v>
      </c>
      <c r="E187" s="132" t="s">
        <v>534</v>
      </c>
      <c r="F187" s="63">
        <v>71865175</v>
      </c>
      <c r="G187" s="63">
        <v>0</v>
      </c>
      <c r="H187" s="63">
        <v>0</v>
      </c>
      <c r="I187" s="63">
        <v>0</v>
      </c>
      <c r="J187" s="63">
        <v>71865175</v>
      </c>
      <c r="K187" s="63">
        <v>-718652</v>
      </c>
      <c r="L187" s="63">
        <v>0</v>
      </c>
      <c r="M187" s="63">
        <v>0</v>
      </c>
      <c r="N187" s="63">
        <v>0</v>
      </c>
      <c r="O187" s="63">
        <v>-718652</v>
      </c>
      <c r="P187" s="63">
        <v>-3602891</v>
      </c>
      <c r="Q187" s="63">
        <v>0</v>
      </c>
      <c r="R187" s="63">
        <v>0</v>
      </c>
      <c r="S187" s="63">
        <v>0</v>
      </c>
      <c r="T187" s="63">
        <v>-3602891</v>
      </c>
      <c r="U187" s="63">
        <v>67543632</v>
      </c>
      <c r="V187" s="63">
        <v>0</v>
      </c>
      <c r="W187" s="63">
        <v>0</v>
      </c>
      <c r="X187" s="63">
        <v>0</v>
      </c>
      <c r="Y187" s="63">
        <v>67543632</v>
      </c>
      <c r="Z187" s="63">
        <v>0</v>
      </c>
      <c r="AA187" s="63">
        <v>0</v>
      </c>
      <c r="AB187" s="63">
        <v>0</v>
      </c>
      <c r="AC187" s="63">
        <v>0</v>
      </c>
      <c r="AD187" s="63">
        <v>0</v>
      </c>
      <c r="AE187" s="63">
        <v>0</v>
      </c>
      <c r="AF187" s="63">
        <v>0</v>
      </c>
      <c r="AG187" s="63">
        <v>0</v>
      </c>
      <c r="AH187" s="63">
        <v>0</v>
      </c>
      <c r="AI187" s="63">
        <v>0</v>
      </c>
      <c r="AJ187" s="63">
        <v>0</v>
      </c>
      <c r="AK187" s="63">
        <v>0</v>
      </c>
      <c r="AL187" s="63">
        <v>0</v>
      </c>
      <c r="AM187" s="63">
        <v>0</v>
      </c>
      <c r="AN187" s="63">
        <v>0</v>
      </c>
      <c r="AP187" s="533" t="s">
        <v>768</v>
      </c>
      <c r="AQ187" s="533" t="s">
        <v>777</v>
      </c>
      <c r="AR187" s="533" t="s">
        <v>778</v>
      </c>
      <c r="AS187" s="533" t="s">
        <v>994</v>
      </c>
      <c r="AT187" s="534"/>
      <c r="AU187" s="603"/>
      <c r="AV187" s="600"/>
      <c r="AW187" s="600"/>
      <c r="AX187" s="599"/>
    </row>
    <row r="188" spans="1:50" x14ac:dyDescent="0.2">
      <c r="A188" s="201">
        <v>181</v>
      </c>
      <c r="B188" s="129" t="s">
        <v>224</v>
      </c>
      <c r="C188" s="130" t="s">
        <v>742</v>
      </c>
      <c r="D188" s="131" t="s">
        <v>746</v>
      </c>
      <c r="E188" s="132" t="s">
        <v>223</v>
      </c>
      <c r="F188" s="63">
        <v>40145123</v>
      </c>
      <c r="G188" s="63">
        <v>0</v>
      </c>
      <c r="H188" s="63">
        <v>0</v>
      </c>
      <c r="I188" s="63">
        <v>0</v>
      </c>
      <c r="J188" s="63">
        <v>40145123</v>
      </c>
      <c r="K188" s="63">
        <v>-550000</v>
      </c>
      <c r="L188" s="63">
        <v>0</v>
      </c>
      <c r="M188" s="63">
        <v>0</v>
      </c>
      <c r="N188" s="63">
        <v>0</v>
      </c>
      <c r="O188" s="63">
        <v>-550000</v>
      </c>
      <c r="P188" s="63">
        <v>-77000</v>
      </c>
      <c r="Q188" s="63">
        <v>0</v>
      </c>
      <c r="R188" s="63">
        <v>0</v>
      </c>
      <c r="S188" s="63">
        <v>0</v>
      </c>
      <c r="T188" s="63">
        <v>-77000</v>
      </c>
      <c r="U188" s="63">
        <v>39518123</v>
      </c>
      <c r="V188" s="63">
        <v>0</v>
      </c>
      <c r="W188" s="63">
        <v>0</v>
      </c>
      <c r="X188" s="63">
        <v>0</v>
      </c>
      <c r="Y188" s="63">
        <v>39518123</v>
      </c>
      <c r="Z188" s="63">
        <v>37026</v>
      </c>
      <c r="AA188" s="63">
        <v>0</v>
      </c>
      <c r="AB188" s="63">
        <v>0</v>
      </c>
      <c r="AC188" s="63">
        <v>0</v>
      </c>
      <c r="AD188" s="63">
        <v>37026</v>
      </c>
      <c r="AE188" s="63">
        <v>0</v>
      </c>
      <c r="AF188" s="63">
        <v>0</v>
      </c>
      <c r="AG188" s="63">
        <v>0</v>
      </c>
      <c r="AH188" s="63">
        <v>0</v>
      </c>
      <c r="AI188" s="63">
        <v>0</v>
      </c>
      <c r="AJ188" s="63">
        <v>0</v>
      </c>
      <c r="AK188" s="63">
        <v>0</v>
      </c>
      <c r="AL188" s="63">
        <v>0</v>
      </c>
      <c r="AM188" s="63">
        <v>0</v>
      </c>
      <c r="AN188" s="63">
        <v>0</v>
      </c>
      <c r="AP188" s="533">
        <v>0</v>
      </c>
      <c r="AQ188" s="533">
        <v>0</v>
      </c>
      <c r="AR188" s="533">
        <v>0</v>
      </c>
      <c r="AS188" s="533">
        <v>0</v>
      </c>
      <c r="AT188" s="534"/>
      <c r="AU188" s="594"/>
      <c r="AV188" s="595"/>
      <c r="AW188" s="595"/>
      <c r="AX188" s="595"/>
    </row>
    <row r="189" spans="1:50" x14ac:dyDescent="0.2">
      <c r="A189" s="201">
        <v>182</v>
      </c>
      <c r="B189" s="129" t="s">
        <v>226</v>
      </c>
      <c r="C189" s="130" t="s">
        <v>742</v>
      </c>
      <c r="D189" s="131" t="s">
        <v>745</v>
      </c>
      <c r="E189" s="132" t="s">
        <v>225</v>
      </c>
      <c r="F189" s="63">
        <v>27006763</v>
      </c>
      <c r="G189" s="63">
        <v>0</v>
      </c>
      <c r="H189" s="63">
        <v>0</v>
      </c>
      <c r="I189" s="63">
        <v>0</v>
      </c>
      <c r="J189" s="63">
        <v>27006763</v>
      </c>
      <c r="K189" s="63">
        <v>-50000</v>
      </c>
      <c r="L189" s="63">
        <v>0</v>
      </c>
      <c r="M189" s="63">
        <v>0</v>
      </c>
      <c r="N189" s="63">
        <v>0</v>
      </c>
      <c r="O189" s="63">
        <v>-50000</v>
      </c>
      <c r="P189" s="63">
        <v>-793544</v>
      </c>
      <c r="Q189" s="63">
        <v>0</v>
      </c>
      <c r="R189" s="63">
        <v>0</v>
      </c>
      <c r="S189" s="63">
        <v>0</v>
      </c>
      <c r="T189" s="63">
        <v>-793544</v>
      </c>
      <c r="U189" s="63">
        <v>26163219</v>
      </c>
      <c r="V189" s="63">
        <v>0</v>
      </c>
      <c r="W189" s="63">
        <v>0</v>
      </c>
      <c r="X189" s="63">
        <v>0</v>
      </c>
      <c r="Y189" s="63">
        <v>26163219</v>
      </c>
      <c r="Z189" s="63">
        <v>1767604</v>
      </c>
      <c r="AA189" s="63">
        <v>0</v>
      </c>
      <c r="AB189" s="63">
        <v>0</v>
      </c>
      <c r="AC189" s="63">
        <v>0</v>
      </c>
      <c r="AD189" s="63">
        <v>1767604</v>
      </c>
      <c r="AE189" s="63">
        <v>0</v>
      </c>
      <c r="AF189" s="63">
        <v>0</v>
      </c>
      <c r="AG189" s="63">
        <v>0</v>
      </c>
      <c r="AH189" s="63">
        <v>0</v>
      </c>
      <c r="AI189" s="63">
        <v>0</v>
      </c>
      <c r="AJ189" s="63">
        <v>0</v>
      </c>
      <c r="AK189" s="63">
        <v>0</v>
      </c>
      <c r="AL189" s="63">
        <v>0</v>
      </c>
      <c r="AM189" s="63">
        <v>0</v>
      </c>
      <c r="AN189" s="63">
        <v>0</v>
      </c>
      <c r="AP189" s="533">
        <v>0</v>
      </c>
      <c r="AQ189" s="533">
        <v>0</v>
      </c>
      <c r="AR189" s="533">
        <v>0</v>
      </c>
      <c r="AS189" s="533">
        <v>0</v>
      </c>
      <c r="AT189" s="534"/>
      <c r="AU189" s="594"/>
      <c r="AV189" s="595"/>
      <c r="AW189" s="595"/>
      <c r="AX189" s="595"/>
    </row>
    <row r="190" spans="1:50" x14ac:dyDescent="0.2">
      <c r="A190" s="201">
        <v>183</v>
      </c>
      <c r="B190" s="129" t="s">
        <v>227</v>
      </c>
      <c r="C190" s="130" t="s">
        <v>501</v>
      </c>
      <c r="D190" s="131" t="s">
        <v>750</v>
      </c>
      <c r="E190" s="132" t="s">
        <v>535</v>
      </c>
      <c r="F190" s="63">
        <v>91989598</v>
      </c>
      <c r="G190" s="63">
        <v>1140615</v>
      </c>
      <c r="H190" s="63">
        <v>888192</v>
      </c>
      <c r="I190" s="63">
        <v>0</v>
      </c>
      <c r="J190" s="63">
        <v>94018405</v>
      </c>
      <c r="K190" s="63">
        <v>-600000</v>
      </c>
      <c r="L190" s="63">
        <v>0</v>
      </c>
      <c r="M190" s="63">
        <v>0</v>
      </c>
      <c r="N190" s="63">
        <v>0</v>
      </c>
      <c r="O190" s="63">
        <v>-600000</v>
      </c>
      <c r="P190" s="63">
        <v>-1500000</v>
      </c>
      <c r="Q190" s="63">
        <v>0</v>
      </c>
      <c r="R190" s="63">
        <v>0</v>
      </c>
      <c r="S190" s="63">
        <v>0</v>
      </c>
      <c r="T190" s="63">
        <v>-1500000</v>
      </c>
      <c r="U190" s="63">
        <v>89889598</v>
      </c>
      <c r="V190" s="63">
        <v>1140615</v>
      </c>
      <c r="W190" s="63">
        <v>888192</v>
      </c>
      <c r="X190" s="63">
        <v>0</v>
      </c>
      <c r="Y190" s="63">
        <v>91918405</v>
      </c>
      <c r="Z190" s="63">
        <v>2283360</v>
      </c>
      <c r="AA190" s="63">
        <v>0</v>
      </c>
      <c r="AB190" s="63">
        <v>0</v>
      </c>
      <c r="AC190" s="63">
        <v>0</v>
      </c>
      <c r="AD190" s="63">
        <v>2283360</v>
      </c>
      <c r="AE190" s="63">
        <v>0</v>
      </c>
      <c r="AF190" s="63">
        <v>0</v>
      </c>
      <c r="AG190" s="63">
        <v>0</v>
      </c>
      <c r="AH190" s="63">
        <v>983459</v>
      </c>
      <c r="AI190" s="63">
        <v>888192</v>
      </c>
      <c r="AJ190" s="63">
        <v>0</v>
      </c>
      <c r="AK190" s="63">
        <v>157156</v>
      </c>
      <c r="AL190" s="63">
        <v>0</v>
      </c>
      <c r="AM190" s="63">
        <v>0</v>
      </c>
      <c r="AN190" s="63">
        <v>157156</v>
      </c>
      <c r="AP190" s="533" t="s">
        <v>768</v>
      </c>
      <c r="AQ190" s="533" t="s">
        <v>778</v>
      </c>
      <c r="AR190" s="533" t="s">
        <v>994</v>
      </c>
      <c r="AS190" s="533">
        <v>0</v>
      </c>
      <c r="AT190" s="534"/>
      <c r="AU190" s="603"/>
      <c r="AV190" s="600"/>
      <c r="AW190" s="599"/>
      <c r="AX190" s="604"/>
    </row>
    <row r="191" spans="1:50" x14ac:dyDescent="0.2">
      <c r="A191" s="201">
        <v>184</v>
      </c>
      <c r="B191" s="129" t="s">
        <v>229</v>
      </c>
      <c r="C191" s="130" t="s">
        <v>742</v>
      </c>
      <c r="D191" s="131" t="s">
        <v>746</v>
      </c>
      <c r="E191" s="132" t="s">
        <v>228</v>
      </c>
      <c r="F191" s="63">
        <v>26006696</v>
      </c>
      <c r="G191" s="63">
        <v>0</v>
      </c>
      <c r="H191" s="63">
        <v>0</v>
      </c>
      <c r="I191" s="63">
        <v>0</v>
      </c>
      <c r="J191" s="63">
        <v>26006696</v>
      </c>
      <c r="K191" s="63">
        <v>-75000</v>
      </c>
      <c r="L191" s="63">
        <v>0</v>
      </c>
      <c r="M191" s="63">
        <v>0</v>
      </c>
      <c r="N191" s="63">
        <v>0</v>
      </c>
      <c r="O191" s="63">
        <v>-75000</v>
      </c>
      <c r="P191" s="63">
        <v>-140000</v>
      </c>
      <c r="Q191" s="63">
        <v>0</v>
      </c>
      <c r="R191" s="63">
        <v>0</v>
      </c>
      <c r="S191" s="63">
        <v>0</v>
      </c>
      <c r="T191" s="63">
        <v>-140000</v>
      </c>
      <c r="U191" s="63">
        <v>25791696</v>
      </c>
      <c r="V191" s="63">
        <v>0</v>
      </c>
      <c r="W191" s="63">
        <v>0</v>
      </c>
      <c r="X191" s="63">
        <v>0</v>
      </c>
      <c r="Y191" s="63">
        <v>25791696</v>
      </c>
      <c r="Z191" s="63">
        <v>584188</v>
      </c>
      <c r="AA191" s="63">
        <v>0</v>
      </c>
      <c r="AB191" s="63">
        <v>0</v>
      </c>
      <c r="AC191" s="63">
        <v>0</v>
      </c>
      <c r="AD191" s="63">
        <v>584188</v>
      </c>
      <c r="AE191" s="63">
        <v>0</v>
      </c>
      <c r="AF191" s="63">
        <v>0</v>
      </c>
      <c r="AG191" s="63">
        <v>0</v>
      </c>
      <c r="AH191" s="63">
        <v>0</v>
      </c>
      <c r="AI191" s="63">
        <v>0</v>
      </c>
      <c r="AJ191" s="63">
        <v>0</v>
      </c>
      <c r="AK191" s="63">
        <v>0</v>
      </c>
      <c r="AL191" s="63">
        <v>0</v>
      </c>
      <c r="AM191" s="63">
        <v>0</v>
      </c>
      <c r="AN191" s="63">
        <v>0</v>
      </c>
      <c r="AP191" s="533" t="s">
        <v>768</v>
      </c>
      <c r="AQ191" s="533" t="s">
        <v>996</v>
      </c>
      <c r="AR191" s="533">
        <v>0</v>
      </c>
      <c r="AS191" s="533">
        <v>0</v>
      </c>
      <c r="AT191" s="534"/>
      <c r="AU191" s="594"/>
      <c r="AV191" s="599"/>
      <c r="AW191" s="595"/>
      <c r="AX191" s="595"/>
    </row>
    <row r="192" spans="1:50" x14ac:dyDescent="0.2">
      <c r="A192" s="201">
        <v>185</v>
      </c>
      <c r="B192" s="129" t="s">
        <v>230</v>
      </c>
      <c r="C192" s="130" t="s">
        <v>501</v>
      </c>
      <c r="D192" s="131" t="s">
        <v>751</v>
      </c>
      <c r="E192" s="132" t="s">
        <v>503</v>
      </c>
      <c r="F192" s="63">
        <v>64235365</v>
      </c>
      <c r="G192" s="63">
        <v>679697</v>
      </c>
      <c r="H192" s="63">
        <v>0</v>
      </c>
      <c r="I192" s="63">
        <v>0</v>
      </c>
      <c r="J192" s="63">
        <v>64915062</v>
      </c>
      <c r="K192" s="63">
        <v>-1157144</v>
      </c>
      <c r="L192" s="63">
        <v>-12235</v>
      </c>
      <c r="M192" s="63">
        <v>0</v>
      </c>
      <c r="N192" s="63">
        <v>0</v>
      </c>
      <c r="O192" s="63">
        <v>-1169379</v>
      </c>
      <c r="P192" s="63">
        <v>-1170492</v>
      </c>
      <c r="Q192" s="63">
        <v>-13899</v>
      </c>
      <c r="R192" s="63">
        <v>0</v>
      </c>
      <c r="S192" s="63">
        <v>0</v>
      </c>
      <c r="T192" s="63">
        <v>-1184391</v>
      </c>
      <c r="U192" s="63">
        <v>61907729</v>
      </c>
      <c r="V192" s="63">
        <v>653563</v>
      </c>
      <c r="W192" s="63">
        <v>0</v>
      </c>
      <c r="X192" s="63">
        <v>0</v>
      </c>
      <c r="Y192" s="63">
        <v>62561292</v>
      </c>
      <c r="Z192" s="63">
        <v>63398</v>
      </c>
      <c r="AA192" s="63">
        <v>0</v>
      </c>
      <c r="AB192" s="63">
        <v>0</v>
      </c>
      <c r="AC192" s="63">
        <v>0</v>
      </c>
      <c r="AD192" s="63">
        <v>63398</v>
      </c>
      <c r="AE192" s="63">
        <v>0</v>
      </c>
      <c r="AF192" s="63">
        <v>0</v>
      </c>
      <c r="AG192" s="63">
        <v>0</v>
      </c>
      <c r="AH192" s="63">
        <v>200354</v>
      </c>
      <c r="AI192" s="63">
        <v>0</v>
      </c>
      <c r="AJ192" s="63">
        <v>0</v>
      </c>
      <c r="AK192" s="63">
        <v>453209</v>
      </c>
      <c r="AL192" s="63">
        <v>0</v>
      </c>
      <c r="AM192" s="63">
        <v>0</v>
      </c>
      <c r="AN192" s="63">
        <v>453209</v>
      </c>
      <c r="AP192" s="533" t="s">
        <v>768</v>
      </c>
      <c r="AQ192" s="533" t="s">
        <v>770</v>
      </c>
      <c r="AR192" s="533">
        <v>0</v>
      </c>
      <c r="AS192" s="533">
        <v>0</v>
      </c>
      <c r="AT192" s="534"/>
      <c r="AU192" s="594"/>
      <c r="AV192" s="595"/>
      <c r="AW192" s="595"/>
      <c r="AX192" s="595"/>
    </row>
    <row r="193" spans="1:50" x14ac:dyDescent="0.2">
      <c r="A193" s="201">
        <v>186</v>
      </c>
      <c r="B193" s="129" t="s">
        <v>232</v>
      </c>
      <c r="C193" s="130" t="s">
        <v>749</v>
      </c>
      <c r="D193" s="131" t="s">
        <v>755</v>
      </c>
      <c r="E193" s="132" t="s">
        <v>231</v>
      </c>
      <c r="F193" s="63">
        <v>60889205</v>
      </c>
      <c r="G193" s="63">
        <v>615092</v>
      </c>
      <c r="H193" s="63">
        <v>0</v>
      </c>
      <c r="I193" s="63">
        <v>0</v>
      </c>
      <c r="J193" s="63">
        <v>61504297</v>
      </c>
      <c r="K193" s="63">
        <v>-250000</v>
      </c>
      <c r="L193" s="63">
        <v>0</v>
      </c>
      <c r="M193" s="63">
        <v>0</v>
      </c>
      <c r="N193" s="63">
        <v>0</v>
      </c>
      <c r="O193" s="63">
        <v>-250000</v>
      </c>
      <c r="P193" s="63">
        <v>-600000</v>
      </c>
      <c r="Q193" s="63">
        <v>0</v>
      </c>
      <c r="R193" s="63">
        <v>0</v>
      </c>
      <c r="S193" s="63">
        <v>0</v>
      </c>
      <c r="T193" s="63">
        <v>-600000</v>
      </c>
      <c r="U193" s="63">
        <v>60039205</v>
      </c>
      <c r="V193" s="63">
        <v>615092</v>
      </c>
      <c r="W193" s="63">
        <v>0</v>
      </c>
      <c r="X193" s="63">
        <v>0</v>
      </c>
      <c r="Y193" s="63">
        <v>60654297</v>
      </c>
      <c r="Z193" s="63">
        <v>0</v>
      </c>
      <c r="AA193" s="63">
        <v>0</v>
      </c>
      <c r="AB193" s="63">
        <v>0</v>
      </c>
      <c r="AC193" s="63">
        <v>0</v>
      </c>
      <c r="AD193" s="63">
        <v>0</v>
      </c>
      <c r="AE193" s="63">
        <v>0</v>
      </c>
      <c r="AF193" s="63">
        <v>0</v>
      </c>
      <c r="AG193" s="63">
        <v>0</v>
      </c>
      <c r="AH193" s="63">
        <v>555434</v>
      </c>
      <c r="AI193" s="63">
        <v>0</v>
      </c>
      <c r="AJ193" s="63">
        <v>0</v>
      </c>
      <c r="AK193" s="63">
        <v>59658</v>
      </c>
      <c r="AL193" s="63">
        <v>0</v>
      </c>
      <c r="AM193" s="63">
        <v>0</v>
      </c>
      <c r="AN193" s="63">
        <v>59658</v>
      </c>
      <c r="AP193" s="533" t="s">
        <v>768</v>
      </c>
      <c r="AQ193" s="533" t="s">
        <v>794</v>
      </c>
      <c r="AR193" s="533">
        <v>0</v>
      </c>
      <c r="AS193" s="533">
        <v>0</v>
      </c>
      <c r="AT193" s="534"/>
      <c r="AU193" s="594"/>
      <c r="AV193" s="595"/>
      <c r="AW193" s="595"/>
      <c r="AX193" s="595"/>
    </row>
    <row r="194" spans="1:50" x14ac:dyDescent="0.2">
      <c r="A194" s="201">
        <v>187</v>
      </c>
      <c r="B194" s="129" t="s">
        <v>234</v>
      </c>
      <c r="C194" s="130" t="s">
        <v>742</v>
      </c>
      <c r="D194" s="131" t="s">
        <v>752</v>
      </c>
      <c r="E194" s="132" t="s">
        <v>233</v>
      </c>
      <c r="F194" s="63">
        <v>45031354</v>
      </c>
      <c r="G194" s="63">
        <v>0</v>
      </c>
      <c r="H194" s="63">
        <v>0</v>
      </c>
      <c r="I194" s="63">
        <v>0</v>
      </c>
      <c r="J194" s="63">
        <v>45031354</v>
      </c>
      <c r="K194" s="63">
        <v>-160000</v>
      </c>
      <c r="L194" s="63">
        <v>0</v>
      </c>
      <c r="M194" s="63">
        <v>0</v>
      </c>
      <c r="N194" s="63">
        <v>0</v>
      </c>
      <c r="O194" s="63">
        <v>-160000</v>
      </c>
      <c r="P194" s="63">
        <v>-1300000</v>
      </c>
      <c r="Q194" s="63">
        <v>0</v>
      </c>
      <c r="R194" s="63">
        <v>0</v>
      </c>
      <c r="S194" s="63">
        <v>0</v>
      </c>
      <c r="T194" s="63">
        <v>-1300000</v>
      </c>
      <c r="U194" s="63">
        <v>43571354</v>
      </c>
      <c r="V194" s="63">
        <v>0</v>
      </c>
      <c r="W194" s="63">
        <v>0</v>
      </c>
      <c r="X194" s="63">
        <v>0</v>
      </c>
      <c r="Y194" s="63">
        <v>43571354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63">
        <v>0</v>
      </c>
      <c r="AF194" s="63">
        <v>0</v>
      </c>
      <c r="AG194" s="63">
        <v>0</v>
      </c>
      <c r="AH194" s="63">
        <v>0</v>
      </c>
      <c r="AI194" s="63">
        <v>0</v>
      </c>
      <c r="AJ194" s="63">
        <v>0</v>
      </c>
      <c r="AK194" s="63">
        <v>0</v>
      </c>
      <c r="AL194" s="63">
        <v>0</v>
      </c>
      <c r="AM194" s="63">
        <v>0</v>
      </c>
      <c r="AN194" s="63">
        <v>0</v>
      </c>
      <c r="AP194" s="533">
        <v>0</v>
      </c>
      <c r="AQ194" s="533">
        <v>0</v>
      </c>
      <c r="AR194" s="533">
        <v>0</v>
      </c>
      <c r="AS194" s="533">
        <v>0</v>
      </c>
      <c r="AT194" s="534"/>
      <c r="AU194" s="594"/>
      <c r="AV194" s="595"/>
      <c r="AW194" s="595"/>
      <c r="AX194" s="595"/>
    </row>
    <row r="195" spans="1:50" x14ac:dyDescent="0.2">
      <c r="A195" s="201">
        <v>188</v>
      </c>
      <c r="B195" s="129" t="s">
        <v>245</v>
      </c>
      <c r="C195" s="130" t="s">
        <v>742</v>
      </c>
      <c r="D195" s="131" t="s">
        <v>745</v>
      </c>
      <c r="E195" s="132" t="s">
        <v>244</v>
      </c>
      <c r="F195" s="63">
        <v>53420270</v>
      </c>
      <c r="G195" s="63">
        <v>0</v>
      </c>
      <c r="H195" s="63">
        <v>0</v>
      </c>
      <c r="I195" s="63">
        <v>0</v>
      </c>
      <c r="J195" s="63">
        <v>53420270</v>
      </c>
      <c r="K195" s="63">
        <v>-340000</v>
      </c>
      <c r="L195" s="63">
        <v>0</v>
      </c>
      <c r="M195" s="63">
        <v>0</v>
      </c>
      <c r="N195" s="63">
        <v>0</v>
      </c>
      <c r="O195" s="63">
        <v>-340000</v>
      </c>
      <c r="P195" s="63">
        <v>-1874708</v>
      </c>
      <c r="Q195" s="63">
        <v>0</v>
      </c>
      <c r="R195" s="63">
        <v>0</v>
      </c>
      <c r="S195" s="63">
        <v>0</v>
      </c>
      <c r="T195" s="63">
        <v>-1874708</v>
      </c>
      <c r="U195" s="63">
        <v>51205562</v>
      </c>
      <c r="V195" s="63">
        <v>0</v>
      </c>
      <c r="W195" s="63">
        <v>0</v>
      </c>
      <c r="X195" s="63">
        <v>0</v>
      </c>
      <c r="Y195" s="63">
        <v>51205562</v>
      </c>
      <c r="Z195" s="63">
        <v>80000</v>
      </c>
      <c r="AA195" s="63">
        <v>0</v>
      </c>
      <c r="AB195" s="63">
        <v>0</v>
      </c>
      <c r="AC195" s="63">
        <v>0</v>
      </c>
      <c r="AD195" s="63">
        <v>80000</v>
      </c>
      <c r="AE195" s="63">
        <v>0</v>
      </c>
      <c r="AF195" s="63">
        <v>0</v>
      </c>
      <c r="AG195" s="63">
        <v>0</v>
      </c>
      <c r="AH195" s="63">
        <v>0</v>
      </c>
      <c r="AI195" s="63">
        <v>0</v>
      </c>
      <c r="AJ195" s="63">
        <v>0</v>
      </c>
      <c r="AK195" s="63">
        <v>0</v>
      </c>
      <c r="AL195" s="63">
        <v>0</v>
      </c>
      <c r="AM195" s="63">
        <v>0</v>
      </c>
      <c r="AN195" s="63">
        <v>0</v>
      </c>
      <c r="AP195" s="533">
        <v>0</v>
      </c>
      <c r="AQ195" s="533">
        <v>0</v>
      </c>
      <c r="AR195" s="533">
        <v>0</v>
      </c>
      <c r="AS195" s="533">
        <v>0</v>
      </c>
      <c r="AT195" s="534"/>
      <c r="AU195" s="594"/>
      <c r="AV195" s="595"/>
      <c r="AW195" s="595"/>
      <c r="AX195" s="595"/>
    </row>
    <row r="196" spans="1:50" x14ac:dyDescent="0.2">
      <c r="A196" s="201">
        <v>189</v>
      </c>
      <c r="B196" s="129" t="s">
        <v>247</v>
      </c>
      <c r="C196" s="130" t="s">
        <v>742</v>
      </c>
      <c r="D196" s="131" t="s">
        <v>745</v>
      </c>
      <c r="E196" s="132" t="s">
        <v>246</v>
      </c>
      <c r="F196" s="63">
        <v>100006276</v>
      </c>
      <c r="G196" s="63">
        <v>2393112</v>
      </c>
      <c r="H196" s="63">
        <v>0</v>
      </c>
      <c r="I196" s="63">
        <v>0</v>
      </c>
      <c r="J196" s="63">
        <v>102399388</v>
      </c>
      <c r="K196" s="63">
        <v>-504881</v>
      </c>
      <c r="L196" s="63">
        <v>-11966</v>
      </c>
      <c r="M196" s="63">
        <v>0</v>
      </c>
      <c r="N196" s="63">
        <v>0</v>
      </c>
      <c r="O196" s="63">
        <v>-516847</v>
      </c>
      <c r="P196" s="63">
        <v>-405462</v>
      </c>
      <c r="Q196" s="63">
        <v>0</v>
      </c>
      <c r="R196" s="63">
        <v>0</v>
      </c>
      <c r="S196" s="63">
        <v>0</v>
      </c>
      <c r="T196" s="63">
        <v>-405462</v>
      </c>
      <c r="U196" s="63">
        <v>99095933</v>
      </c>
      <c r="V196" s="63">
        <v>2381146</v>
      </c>
      <c r="W196" s="63">
        <v>0</v>
      </c>
      <c r="X196" s="63">
        <v>0</v>
      </c>
      <c r="Y196" s="63">
        <v>101477079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63">
        <v>0</v>
      </c>
      <c r="AF196" s="63">
        <v>0</v>
      </c>
      <c r="AG196" s="63">
        <v>0</v>
      </c>
      <c r="AH196" s="63">
        <v>3435842</v>
      </c>
      <c r="AI196" s="63">
        <v>0</v>
      </c>
      <c r="AJ196" s="63">
        <v>0</v>
      </c>
      <c r="AK196" s="63">
        <v>0</v>
      </c>
      <c r="AL196" s="63">
        <v>0</v>
      </c>
      <c r="AM196" s="63">
        <v>0</v>
      </c>
      <c r="AN196" s="63">
        <v>0</v>
      </c>
      <c r="AP196" s="533" t="s">
        <v>768</v>
      </c>
      <c r="AQ196" s="533" t="s">
        <v>795</v>
      </c>
      <c r="AR196" s="533">
        <v>0</v>
      </c>
      <c r="AS196" s="533">
        <v>0</v>
      </c>
      <c r="AT196" s="534"/>
      <c r="AU196" s="594"/>
      <c r="AV196" s="595"/>
      <c r="AW196" s="595"/>
      <c r="AX196" s="595"/>
    </row>
    <row r="197" spans="1:50" x14ac:dyDescent="0.2">
      <c r="A197" s="201">
        <v>190</v>
      </c>
      <c r="B197" s="129" t="s">
        <v>249</v>
      </c>
      <c r="C197" s="130" t="s">
        <v>501</v>
      </c>
      <c r="D197" s="131" t="s">
        <v>755</v>
      </c>
      <c r="E197" s="132" t="s">
        <v>248</v>
      </c>
      <c r="F197" s="63">
        <v>81707337</v>
      </c>
      <c r="G197" s="63">
        <v>42774</v>
      </c>
      <c r="H197" s="63">
        <v>0</v>
      </c>
      <c r="I197" s="63">
        <v>0</v>
      </c>
      <c r="J197" s="63">
        <v>81750111</v>
      </c>
      <c r="K197" s="63">
        <v>-745017</v>
      </c>
      <c r="L197" s="63">
        <v>0</v>
      </c>
      <c r="M197" s="63">
        <v>0</v>
      </c>
      <c r="N197" s="63">
        <v>0</v>
      </c>
      <c r="O197" s="63">
        <v>-745017</v>
      </c>
      <c r="P197" s="63">
        <v>-2000000</v>
      </c>
      <c r="Q197" s="63">
        <v>0</v>
      </c>
      <c r="R197" s="63">
        <v>0</v>
      </c>
      <c r="S197" s="63">
        <v>0</v>
      </c>
      <c r="T197" s="63">
        <v>-2000000</v>
      </c>
      <c r="U197" s="63">
        <v>78962320</v>
      </c>
      <c r="V197" s="63">
        <v>42774</v>
      </c>
      <c r="W197" s="63">
        <v>0</v>
      </c>
      <c r="X197" s="63">
        <v>0</v>
      </c>
      <c r="Y197" s="63">
        <v>79005094</v>
      </c>
      <c r="Z197" s="63">
        <v>1376308</v>
      </c>
      <c r="AA197" s="63">
        <v>0</v>
      </c>
      <c r="AB197" s="63">
        <v>0</v>
      </c>
      <c r="AC197" s="63">
        <v>0</v>
      </c>
      <c r="AD197" s="63">
        <v>1376308</v>
      </c>
      <c r="AE197" s="63">
        <v>0</v>
      </c>
      <c r="AF197" s="63">
        <v>0</v>
      </c>
      <c r="AG197" s="63">
        <v>0</v>
      </c>
      <c r="AH197" s="63">
        <v>11945</v>
      </c>
      <c r="AI197" s="63">
        <v>0</v>
      </c>
      <c r="AJ197" s="63">
        <v>0</v>
      </c>
      <c r="AK197" s="63">
        <v>30829</v>
      </c>
      <c r="AL197" s="63">
        <v>0</v>
      </c>
      <c r="AM197" s="63">
        <v>0</v>
      </c>
      <c r="AN197" s="63">
        <v>30829</v>
      </c>
      <c r="AP197" s="533" t="s">
        <v>768</v>
      </c>
      <c r="AQ197" s="533" t="s">
        <v>796</v>
      </c>
      <c r="AR197" s="533">
        <v>0</v>
      </c>
      <c r="AS197" s="533">
        <v>0</v>
      </c>
      <c r="AT197" s="534"/>
      <c r="AU197" s="594"/>
      <c r="AV197" s="595"/>
      <c r="AW197" s="595"/>
      <c r="AX197" s="595"/>
    </row>
    <row r="198" spans="1:50" x14ac:dyDescent="0.2">
      <c r="A198" s="201">
        <v>191</v>
      </c>
      <c r="B198" s="129" t="s">
        <v>251</v>
      </c>
      <c r="C198" s="130" t="s">
        <v>742</v>
      </c>
      <c r="D198" s="131" t="s">
        <v>746</v>
      </c>
      <c r="E198" s="132" t="s">
        <v>250</v>
      </c>
      <c r="F198" s="63">
        <v>80652903</v>
      </c>
      <c r="G198" s="63">
        <v>0</v>
      </c>
      <c r="H198" s="63">
        <v>0</v>
      </c>
      <c r="I198" s="63">
        <v>0</v>
      </c>
      <c r="J198" s="63">
        <v>80652903</v>
      </c>
      <c r="K198" s="63">
        <v>-806529</v>
      </c>
      <c r="L198" s="63">
        <v>0</v>
      </c>
      <c r="M198" s="63">
        <v>0</v>
      </c>
      <c r="N198" s="63">
        <v>0</v>
      </c>
      <c r="O198" s="63">
        <v>-806529</v>
      </c>
      <c r="P198" s="63">
        <v>-1713058</v>
      </c>
      <c r="Q198" s="63">
        <v>0</v>
      </c>
      <c r="R198" s="63">
        <v>0</v>
      </c>
      <c r="S198" s="63">
        <v>0</v>
      </c>
      <c r="T198" s="63">
        <v>-1713058</v>
      </c>
      <c r="U198" s="63">
        <v>78133316</v>
      </c>
      <c r="V198" s="63">
        <v>0</v>
      </c>
      <c r="W198" s="63">
        <v>0</v>
      </c>
      <c r="X198" s="63">
        <v>0</v>
      </c>
      <c r="Y198" s="63">
        <v>78133316</v>
      </c>
      <c r="Z198" s="63">
        <v>0</v>
      </c>
      <c r="AA198" s="63">
        <v>0</v>
      </c>
      <c r="AB198" s="63">
        <v>0</v>
      </c>
      <c r="AC198" s="63">
        <v>0</v>
      </c>
      <c r="AD198" s="63">
        <v>0</v>
      </c>
      <c r="AE198" s="63">
        <v>0</v>
      </c>
      <c r="AF198" s="63">
        <v>0</v>
      </c>
      <c r="AG198" s="63">
        <v>0</v>
      </c>
      <c r="AH198" s="63">
        <v>0</v>
      </c>
      <c r="AI198" s="63">
        <v>0</v>
      </c>
      <c r="AJ198" s="63">
        <v>0</v>
      </c>
      <c r="AK198" s="63">
        <v>0</v>
      </c>
      <c r="AL198" s="63">
        <v>0</v>
      </c>
      <c r="AM198" s="63">
        <v>0</v>
      </c>
      <c r="AN198" s="63">
        <v>0</v>
      </c>
      <c r="AP198" s="533">
        <v>0</v>
      </c>
      <c r="AQ198" s="533">
        <v>0</v>
      </c>
      <c r="AR198" s="533">
        <v>0</v>
      </c>
      <c r="AS198" s="533">
        <v>0</v>
      </c>
      <c r="AT198" s="534"/>
      <c r="AU198" s="594"/>
      <c r="AV198" s="599"/>
      <c r="AW198" s="595"/>
      <c r="AX198" s="595"/>
    </row>
    <row r="199" spans="1:50" x14ac:dyDescent="0.2">
      <c r="A199" s="201">
        <v>192</v>
      </c>
      <c r="B199" s="129" t="s">
        <v>252</v>
      </c>
      <c r="C199" s="130" t="s">
        <v>501</v>
      </c>
      <c r="D199" s="131" t="s">
        <v>745</v>
      </c>
      <c r="E199" s="132" t="s">
        <v>545</v>
      </c>
      <c r="F199" s="63">
        <v>122521458</v>
      </c>
      <c r="G199" s="63">
        <v>4167842</v>
      </c>
      <c r="H199" s="63">
        <v>5573260</v>
      </c>
      <c r="I199" s="63">
        <v>0</v>
      </c>
      <c r="J199" s="63">
        <v>132262560</v>
      </c>
      <c r="K199" s="63">
        <v>-1122000</v>
      </c>
      <c r="L199" s="63">
        <v>0</v>
      </c>
      <c r="M199" s="63">
        <v>-204000</v>
      </c>
      <c r="N199" s="63">
        <v>0</v>
      </c>
      <c r="O199" s="63">
        <v>-1326000</v>
      </c>
      <c r="P199" s="63">
        <v>-4152386</v>
      </c>
      <c r="Q199" s="63">
        <v>-20000</v>
      </c>
      <c r="R199" s="63">
        <v>-175000</v>
      </c>
      <c r="S199" s="63">
        <v>0</v>
      </c>
      <c r="T199" s="63">
        <v>-4347386</v>
      </c>
      <c r="U199" s="63">
        <v>117247072</v>
      </c>
      <c r="V199" s="63">
        <v>4147842</v>
      </c>
      <c r="W199" s="63">
        <v>5194260</v>
      </c>
      <c r="X199" s="63">
        <v>0</v>
      </c>
      <c r="Y199" s="63">
        <v>126589174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63">
        <v>0</v>
      </c>
      <c r="AF199" s="63">
        <v>0</v>
      </c>
      <c r="AG199" s="63">
        <v>0</v>
      </c>
      <c r="AH199" s="63">
        <v>4137735</v>
      </c>
      <c r="AI199" s="63">
        <v>5904735</v>
      </c>
      <c r="AJ199" s="63">
        <v>0</v>
      </c>
      <c r="AK199" s="63">
        <v>10107</v>
      </c>
      <c r="AL199" s="63">
        <v>0</v>
      </c>
      <c r="AM199" s="63">
        <v>0</v>
      </c>
      <c r="AN199" s="63">
        <v>10107</v>
      </c>
      <c r="AP199" s="533" t="s">
        <v>768</v>
      </c>
      <c r="AQ199" s="533" t="s">
        <v>797</v>
      </c>
      <c r="AR199" s="533" t="s">
        <v>798</v>
      </c>
      <c r="AS199" s="533">
        <v>0</v>
      </c>
      <c r="AT199" s="534"/>
      <c r="AU199" s="594"/>
      <c r="AV199" s="595"/>
      <c r="AW199" s="595"/>
      <c r="AX199" s="595"/>
    </row>
    <row r="200" spans="1:50" x14ac:dyDescent="0.2">
      <c r="A200" s="201">
        <v>193</v>
      </c>
      <c r="B200" s="129" t="s">
        <v>253</v>
      </c>
      <c r="C200" s="130" t="s">
        <v>742</v>
      </c>
      <c r="D200" s="131" t="s">
        <v>752</v>
      </c>
      <c r="E200" s="132" t="s">
        <v>550</v>
      </c>
      <c r="F200" s="63">
        <v>36973530</v>
      </c>
      <c r="G200" s="63">
        <v>0</v>
      </c>
      <c r="H200" s="63">
        <v>0</v>
      </c>
      <c r="I200" s="63">
        <v>0</v>
      </c>
      <c r="J200" s="63">
        <v>36973530</v>
      </c>
      <c r="K200" s="63">
        <v>-364937</v>
      </c>
      <c r="L200" s="63">
        <v>0</v>
      </c>
      <c r="M200" s="63">
        <v>0</v>
      </c>
      <c r="N200" s="63">
        <v>0</v>
      </c>
      <c r="O200" s="63">
        <v>-364937</v>
      </c>
      <c r="P200" s="63">
        <v>-1029613</v>
      </c>
      <c r="Q200" s="63">
        <v>0</v>
      </c>
      <c r="R200" s="63">
        <v>0</v>
      </c>
      <c r="S200" s="63">
        <v>0</v>
      </c>
      <c r="T200" s="63">
        <v>-1029613</v>
      </c>
      <c r="U200" s="63">
        <v>35578980</v>
      </c>
      <c r="V200" s="63">
        <v>0</v>
      </c>
      <c r="W200" s="63">
        <v>0</v>
      </c>
      <c r="X200" s="63">
        <v>0</v>
      </c>
      <c r="Y200" s="63">
        <v>35578980</v>
      </c>
      <c r="Z200" s="63">
        <v>0</v>
      </c>
      <c r="AA200" s="63">
        <v>0</v>
      </c>
      <c r="AB200" s="63">
        <v>0</v>
      </c>
      <c r="AC200" s="63">
        <v>0</v>
      </c>
      <c r="AD200" s="63">
        <v>0</v>
      </c>
      <c r="AE200" s="63">
        <v>0</v>
      </c>
      <c r="AF200" s="63">
        <v>0</v>
      </c>
      <c r="AG200" s="63">
        <v>0</v>
      </c>
      <c r="AH200" s="63">
        <v>0</v>
      </c>
      <c r="AI200" s="63">
        <v>0</v>
      </c>
      <c r="AJ200" s="63">
        <v>0</v>
      </c>
      <c r="AK200" s="63">
        <v>0</v>
      </c>
      <c r="AL200" s="63">
        <v>0</v>
      </c>
      <c r="AM200" s="63">
        <v>0</v>
      </c>
      <c r="AN200" s="63">
        <v>0</v>
      </c>
      <c r="AP200" s="533">
        <v>0</v>
      </c>
      <c r="AQ200" s="533">
        <v>0</v>
      </c>
      <c r="AR200" s="533">
        <v>0</v>
      </c>
      <c r="AS200" s="533">
        <v>0</v>
      </c>
      <c r="AT200" s="534"/>
      <c r="AU200" s="594"/>
      <c r="AV200" s="595"/>
      <c r="AW200" s="595"/>
      <c r="AX200" s="595"/>
    </row>
    <row r="201" spans="1:50" x14ac:dyDescent="0.2">
      <c r="A201" s="201">
        <v>194</v>
      </c>
      <c r="B201" s="129" t="s">
        <v>254</v>
      </c>
      <c r="C201" s="130" t="s">
        <v>742</v>
      </c>
      <c r="D201" s="131" t="s">
        <v>745</v>
      </c>
      <c r="E201" s="132" t="s">
        <v>543</v>
      </c>
      <c r="F201" s="63">
        <v>12596882</v>
      </c>
      <c r="G201" s="63">
        <v>0</v>
      </c>
      <c r="H201" s="63">
        <v>0</v>
      </c>
      <c r="I201" s="63">
        <v>0</v>
      </c>
      <c r="J201" s="63">
        <v>12596882</v>
      </c>
      <c r="K201" s="63">
        <v>-65000</v>
      </c>
      <c r="L201" s="63">
        <v>0</v>
      </c>
      <c r="M201" s="63">
        <v>0</v>
      </c>
      <c r="N201" s="63">
        <v>0</v>
      </c>
      <c r="O201" s="63">
        <v>-65000</v>
      </c>
      <c r="P201" s="63">
        <v>-226622</v>
      </c>
      <c r="Q201" s="63">
        <v>0</v>
      </c>
      <c r="R201" s="63">
        <v>0</v>
      </c>
      <c r="S201" s="63">
        <v>0</v>
      </c>
      <c r="T201" s="63">
        <v>-226622</v>
      </c>
      <c r="U201" s="63">
        <v>12305260</v>
      </c>
      <c r="V201" s="63">
        <v>0</v>
      </c>
      <c r="W201" s="63">
        <v>0</v>
      </c>
      <c r="X201" s="63">
        <v>0</v>
      </c>
      <c r="Y201" s="63">
        <v>12305260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63">
        <v>0</v>
      </c>
      <c r="AF201" s="63">
        <v>0</v>
      </c>
      <c r="AG201" s="63">
        <v>0</v>
      </c>
      <c r="AH201" s="63">
        <v>0</v>
      </c>
      <c r="AI201" s="63">
        <v>0</v>
      </c>
      <c r="AJ201" s="63">
        <v>0</v>
      </c>
      <c r="AK201" s="63">
        <v>0</v>
      </c>
      <c r="AL201" s="63">
        <v>0</v>
      </c>
      <c r="AM201" s="63">
        <v>0</v>
      </c>
      <c r="AN201" s="63">
        <v>0</v>
      </c>
      <c r="AP201" s="533">
        <v>0</v>
      </c>
      <c r="AQ201" s="533">
        <v>0</v>
      </c>
      <c r="AR201" s="533">
        <v>0</v>
      </c>
      <c r="AS201" s="533">
        <v>0</v>
      </c>
      <c r="AT201" s="534"/>
      <c r="AU201" s="594"/>
      <c r="AV201" s="595"/>
      <c r="AW201" s="595"/>
      <c r="AX201" s="595"/>
    </row>
    <row r="202" spans="1:50" x14ac:dyDescent="0.2">
      <c r="A202" s="201">
        <v>195</v>
      </c>
      <c r="B202" s="129" t="s">
        <v>256</v>
      </c>
      <c r="C202" s="130" t="s">
        <v>749</v>
      </c>
      <c r="D202" s="131" t="s">
        <v>744</v>
      </c>
      <c r="E202" s="132" t="s">
        <v>255</v>
      </c>
      <c r="F202" s="63">
        <v>63022787</v>
      </c>
      <c r="G202" s="63">
        <v>0</v>
      </c>
      <c r="H202" s="63">
        <v>0</v>
      </c>
      <c r="I202" s="63">
        <v>0</v>
      </c>
      <c r="J202" s="63">
        <v>63022787</v>
      </c>
      <c r="K202" s="63">
        <v>-2277846</v>
      </c>
      <c r="L202" s="63">
        <v>0</v>
      </c>
      <c r="M202" s="63">
        <v>0</v>
      </c>
      <c r="N202" s="63">
        <v>0</v>
      </c>
      <c r="O202" s="63">
        <v>-2277846</v>
      </c>
      <c r="P202" s="63">
        <v>-1150000</v>
      </c>
      <c r="Q202" s="63">
        <v>0</v>
      </c>
      <c r="R202" s="63">
        <v>0</v>
      </c>
      <c r="S202" s="63">
        <v>0</v>
      </c>
      <c r="T202" s="63">
        <v>-1150000</v>
      </c>
      <c r="U202" s="63">
        <v>59594941</v>
      </c>
      <c r="V202" s="63">
        <v>0</v>
      </c>
      <c r="W202" s="63">
        <v>0</v>
      </c>
      <c r="X202" s="63">
        <v>0</v>
      </c>
      <c r="Y202" s="63">
        <v>59594941</v>
      </c>
      <c r="Z202" s="63">
        <v>1912</v>
      </c>
      <c r="AA202" s="63">
        <v>0</v>
      </c>
      <c r="AB202" s="63">
        <v>0</v>
      </c>
      <c r="AC202" s="63">
        <v>0</v>
      </c>
      <c r="AD202" s="63">
        <v>1912</v>
      </c>
      <c r="AE202" s="63">
        <v>0</v>
      </c>
      <c r="AF202" s="63">
        <v>0</v>
      </c>
      <c r="AG202" s="63">
        <v>0</v>
      </c>
      <c r="AH202" s="63">
        <v>0</v>
      </c>
      <c r="AI202" s="63">
        <v>0</v>
      </c>
      <c r="AJ202" s="63">
        <v>0</v>
      </c>
      <c r="AK202" s="63">
        <v>0</v>
      </c>
      <c r="AL202" s="63">
        <v>0</v>
      </c>
      <c r="AM202" s="63">
        <v>0</v>
      </c>
      <c r="AN202" s="63">
        <v>0</v>
      </c>
      <c r="AP202" s="533">
        <v>0</v>
      </c>
      <c r="AQ202" s="533">
        <v>0</v>
      </c>
      <c r="AR202" s="533">
        <v>0</v>
      </c>
      <c r="AS202" s="533">
        <v>0</v>
      </c>
      <c r="AT202" s="534"/>
      <c r="AU202" s="597"/>
      <c r="AV202" s="598"/>
      <c r="AW202" s="598"/>
      <c r="AX202" s="598"/>
    </row>
    <row r="203" spans="1:50" x14ac:dyDescent="0.2">
      <c r="A203" s="201">
        <v>196</v>
      </c>
      <c r="B203" s="129" t="s">
        <v>258</v>
      </c>
      <c r="C203" s="130" t="s">
        <v>742</v>
      </c>
      <c r="D203" s="131" t="s">
        <v>743</v>
      </c>
      <c r="E203" s="132" t="s">
        <v>257</v>
      </c>
      <c r="F203" s="63">
        <v>88304446</v>
      </c>
      <c r="G203" s="63">
        <v>0</v>
      </c>
      <c r="H203" s="63">
        <v>0</v>
      </c>
      <c r="I203" s="63">
        <v>0</v>
      </c>
      <c r="J203" s="63">
        <v>88304446</v>
      </c>
      <c r="K203" s="63">
        <v>-600000</v>
      </c>
      <c r="L203" s="63">
        <v>0</v>
      </c>
      <c r="M203" s="63">
        <v>0</v>
      </c>
      <c r="N203" s="63">
        <v>0</v>
      </c>
      <c r="O203" s="63">
        <v>-600000</v>
      </c>
      <c r="P203" s="63">
        <v>-2757984</v>
      </c>
      <c r="Q203" s="63">
        <v>0</v>
      </c>
      <c r="R203" s="63">
        <v>0</v>
      </c>
      <c r="S203" s="63">
        <v>0</v>
      </c>
      <c r="T203" s="63">
        <v>-2757984</v>
      </c>
      <c r="U203" s="63">
        <v>84946462</v>
      </c>
      <c r="V203" s="63">
        <v>0</v>
      </c>
      <c r="W203" s="63">
        <v>0</v>
      </c>
      <c r="X203" s="63">
        <v>0</v>
      </c>
      <c r="Y203" s="63">
        <v>84946462</v>
      </c>
      <c r="Z203" s="63">
        <v>12052</v>
      </c>
      <c r="AA203" s="63">
        <v>0</v>
      </c>
      <c r="AB203" s="63">
        <v>0</v>
      </c>
      <c r="AC203" s="63">
        <v>0</v>
      </c>
      <c r="AD203" s="63">
        <v>12052</v>
      </c>
      <c r="AE203" s="63">
        <v>0</v>
      </c>
      <c r="AF203" s="63">
        <v>0</v>
      </c>
      <c r="AG203" s="63">
        <v>0</v>
      </c>
      <c r="AH203" s="63">
        <v>0</v>
      </c>
      <c r="AI203" s="63">
        <v>0</v>
      </c>
      <c r="AJ203" s="63">
        <v>0</v>
      </c>
      <c r="AK203" s="63">
        <v>0</v>
      </c>
      <c r="AL203" s="63">
        <v>0</v>
      </c>
      <c r="AM203" s="63">
        <v>0</v>
      </c>
      <c r="AN203" s="63">
        <v>0</v>
      </c>
      <c r="AP203" s="533">
        <v>0</v>
      </c>
      <c r="AQ203" s="533">
        <v>0</v>
      </c>
      <c r="AR203" s="533">
        <v>0</v>
      </c>
      <c r="AS203" s="533">
        <v>0</v>
      </c>
      <c r="AT203" s="534"/>
      <c r="AU203" s="594"/>
      <c r="AV203" s="595"/>
      <c r="AW203" s="595"/>
      <c r="AX203" s="595"/>
    </row>
    <row r="204" spans="1:50" x14ac:dyDescent="0.2">
      <c r="A204" s="201">
        <v>197</v>
      </c>
      <c r="B204" s="129" t="s">
        <v>260</v>
      </c>
      <c r="C204" s="130" t="s">
        <v>742</v>
      </c>
      <c r="D204" s="131" t="s">
        <v>744</v>
      </c>
      <c r="E204" s="132" t="s">
        <v>259</v>
      </c>
      <c r="F204" s="63">
        <v>20387220</v>
      </c>
      <c r="G204" s="63">
        <v>0</v>
      </c>
      <c r="H204" s="63">
        <v>0</v>
      </c>
      <c r="I204" s="63">
        <v>0</v>
      </c>
      <c r="J204" s="63">
        <v>20387220</v>
      </c>
      <c r="K204" s="63">
        <v>-527831</v>
      </c>
      <c r="L204" s="63">
        <v>0</v>
      </c>
      <c r="M204" s="63">
        <v>0</v>
      </c>
      <c r="N204" s="63">
        <v>0</v>
      </c>
      <c r="O204" s="63">
        <v>-527831</v>
      </c>
      <c r="P204" s="63">
        <v>-500000</v>
      </c>
      <c r="Q204" s="63">
        <v>0</v>
      </c>
      <c r="R204" s="63">
        <v>0</v>
      </c>
      <c r="S204" s="63">
        <v>0</v>
      </c>
      <c r="T204" s="63">
        <v>-500000</v>
      </c>
      <c r="U204" s="63">
        <v>19359389</v>
      </c>
      <c r="V204" s="63">
        <v>0</v>
      </c>
      <c r="W204" s="63">
        <v>0</v>
      </c>
      <c r="X204" s="63">
        <v>0</v>
      </c>
      <c r="Y204" s="63">
        <v>19359389</v>
      </c>
      <c r="Z204" s="63">
        <v>0</v>
      </c>
      <c r="AA204" s="63">
        <v>0</v>
      </c>
      <c r="AB204" s="63">
        <v>0</v>
      </c>
      <c r="AC204" s="63">
        <v>0</v>
      </c>
      <c r="AD204" s="63">
        <v>0</v>
      </c>
      <c r="AE204" s="63">
        <v>0</v>
      </c>
      <c r="AF204" s="63">
        <v>0</v>
      </c>
      <c r="AG204" s="63">
        <v>0</v>
      </c>
      <c r="AH204" s="63">
        <v>0</v>
      </c>
      <c r="AI204" s="63">
        <v>0</v>
      </c>
      <c r="AJ204" s="63">
        <v>0</v>
      </c>
      <c r="AK204" s="63">
        <v>0</v>
      </c>
      <c r="AL204" s="63">
        <v>0</v>
      </c>
      <c r="AM204" s="63">
        <v>0</v>
      </c>
      <c r="AN204" s="63">
        <v>0</v>
      </c>
      <c r="AP204" s="533">
        <v>0</v>
      </c>
      <c r="AQ204" s="533">
        <v>0</v>
      </c>
      <c r="AR204" s="533">
        <v>0</v>
      </c>
      <c r="AS204" s="533">
        <v>0</v>
      </c>
      <c r="AT204" s="534"/>
      <c r="AU204" s="594"/>
      <c r="AV204" s="595"/>
      <c r="AW204" s="595"/>
      <c r="AX204" s="595"/>
    </row>
    <row r="205" spans="1:50" x14ac:dyDescent="0.2">
      <c r="A205" s="201">
        <v>198</v>
      </c>
      <c r="B205" s="129" t="s">
        <v>261</v>
      </c>
      <c r="C205" s="130" t="s">
        <v>501</v>
      </c>
      <c r="D205" s="131" t="s">
        <v>746</v>
      </c>
      <c r="E205" s="132" t="s">
        <v>512</v>
      </c>
      <c r="F205" s="63">
        <v>102872633</v>
      </c>
      <c r="G205" s="63">
        <v>0</v>
      </c>
      <c r="H205" s="63">
        <v>0</v>
      </c>
      <c r="I205" s="63">
        <v>0</v>
      </c>
      <c r="J205" s="63">
        <v>102872633</v>
      </c>
      <c r="K205" s="63">
        <v>-1106249</v>
      </c>
      <c r="L205" s="63">
        <v>0</v>
      </c>
      <c r="M205" s="63">
        <v>0</v>
      </c>
      <c r="N205" s="63">
        <v>0</v>
      </c>
      <c r="O205" s="63">
        <v>-1106249</v>
      </c>
      <c r="P205" s="63">
        <v>-2669000</v>
      </c>
      <c r="Q205" s="63">
        <v>0</v>
      </c>
      <c r="R205" s="63">
        <v>0</v>
      </c>
      <c r="S205" s="63">
        <v>0</v>
      </c>
      <c r="T205" s="63">
        <v>-2669000</v>
      </c>
      <c r="U205" s="63">
        <v>99097384</v>
      </c>
      <c r="V205" s="63">
        <v>0</v>
      </c>
      <c r="W205" s="63">
        <v>0</v>
      </c>
      <c r="X205" s="63">
        <v>0</v>
      </c>
      <c r="Y205" s="63">
        <v>99097384</v>
      </c>
      <c r="Z205" s="63">
        <v>340000</v>
      </c>
      <c r="AA205" s="63">
        <v>0</v>
      </c>
      <c r="AB205" s="63">
        <v>0</v>
      </c>
      <c r="AC205" s="63">
        <v>0</v>
      </c>
      <c r="AD205" s="63">
        <v>340000</v>
      </c>
      <c r="AE205" s="63">
        <v>0</v>
      </c>
      <c r="AF205" s="63">
        <v>0</v>
      </c>
      <c r="AG205" s="63">
        <v>0</v>
      </c>
      <c r="AH205" s="63">
        <v>0</v>
      </c>
      <c r="AI205" s="63">
        <v>0</v>
      </c>
      <c r="AJ205" s="63">
        <v>0</v>
      </c>
      <c r="AK205" s="63">
        <v>0</v>
      </c>
      <c r="AL205" s="63">
        <v>0</v>
      </c>
      <c r="AM205" s="63">
        <v>0</v>
      </c>
      <c r="AN205" s="63">
        <v>0</v>
      </c>
      <c r="AP205" s="533">
        <v>0</v>
      </c>
      <c r="AQ205" s="533">
        <v>0</v>
      </c>
      <c r="AR205" s="533">
        <v>0</v>
      </c>
      <c r="AS205" s="533">
        <v>0</v>
      </c>
      <c r="AT205" s="534"/>
      <c r="AU205" s="594"/>
      <c r="AV205" s="595"/>
      <c r="AW205" s="595"/>
      <c r="AX205" s="595"/>
    </row>
    <row r="206" spans="1:50" x14ac:dyDescent="0.2">
      <c r="A206" s="201">
        <v>199</v>
      </c>
      <c r="B206" s="129" t="s">
        <v>262</v>
      </c>
      <c r="C206" s="130" t="s">
        <v>501</v>
      </c>
      <c r="D206" s="131" t="s">
        <v>751</v>
      </c>
      <c r="E206" s="132" t="s">
        <v>522</v>
      </c>
      <c r="F206" s="63">
        <v>96049253</v>
      </c>
      <c r="G206" s="63">
        <v>0</v>
      </c>
      <c r="H206" s="63">
        <v>0</v>
      </c>
      <c r="I206" s="63">
        <v>0</v>
      </c>
      <c r="J206" s="63">
        <v>96049253</v>
      </c>
      <c r="K206" s="63">
        <v>-533910</v>
      </c>
      <c r="L206" s="63">
        <v>0</v>
      </c>
      <c r="M206" s="63">
        <v>0</v>
      </c>
      <c r="N206" s="63">
        <v>0</v>
      </c>
      <c r="O206" s="63">
        <v>-533910</v>
      </c>
      <c r="P206" s="63">
        <v>-918686</v>
      </c>
      <c r="Q206" s="63">
        <v>0</v>
      </c>
      <c r="R206" s="63">
        <v>0</v>
      </c>
      <c r="S206" s="63">
        <v>0</v>
      </c>
      <c r="T206" s="63">
        <v>-918686</v>
      </c>
      <c r="U206" s="63">
        <v>94596657</v>
      </c>
      <c r="V206" s="63">
        <v>0</v>
      </c>
      <c r="W206" s="63">
        <v>0</v>
      </c>
      <c r="X206" s="63">
        <v>0</v>
      </c>
      <c r="Y206" s="63">
        <v>94596657</v>
      </c>
      <c r="Z206" s="63">
        <v>267138</v>
      </c>
      <c r="AA206" s="63">
        <v>0</v>
      </c>
      <c r="AB206" s="63">
        <v>0</v>
      </c>
      <c r="AC206" s="63">
        <v>0</v>
      </c>
      <c r="AD206" s="63">
        <v>267138</v>
      </c>
      <c r="AE206" s="63">
        <v>0</v>
      </c>
      <c r="AF206" s="63">
        <v>0</v>
      </c>
      <c r="AG206" s="63">
        <v>0</v>
      </c>
      <c r="AH206" s="63">
        <v>0</v>
      </c>
      <c r="AI206" s="63">
        <v>0</v>
      </c>
      <c r="AJ206" s="63">
        <v>0</v>
      </c>
      <c r="AK206" s="63">
        <v>0</v>
      </c>
      <c r="AL206" s="63">
        <v>0</v>
      </c>
      <c r="AM206" s="63">
        <v>0</v>
      </c>
      <c r="AN206" s="63">
        <v>0</v>
      </c>
      <c r="AP206" s="533">
        <v>0</v>
      </c>
      <c r="AQ206" s="533">
        <v>0</v>
      </c>
      <c r="AR206" s="533">
        <v>0</v>
      </c>
      <c r="AS206" s="533">
        <v>0</v>
      </c>
      <c r="AT206" s="534"/>
      <c r="AU206" s="594"/>
      <c r="AV206" s="595"/>
      <c r="AW206" s="595"/>
      <c r="AX206" s="595"/>
    </row>
    <row r="207" spans="1:50" x14ac:dyDescent="0.2">
      <c r="A207" s="201">
        <v>200</v>
      </c>
      <c r="B207" s="129" t="s">
        <v>263</v>
      </c>
      <c r="C207" s="130" t="s">
        <v>501</v>
      </c>
      <c r="D207" s="131" t="s">
        <v>751</v>
      </c>
      <c r="E207" s="132" t="s">
        <v>524</v>
      </c>
      <c r="F207" s="63">
        <v>61794918</v>
      </c>
      <c r="G207" s="63">
        <v>0</v>
      </c>
      <c r="H207" s="63">
        <v>0</v>
      </c>
      <c r="I207" s="63">
        <v>0</v>
      </c>
      <c r="J207" s="63">
        <v>61794918</v>
      </c>
      <c r="K207" s="63">
        <v>-500000</v>
      </c>
      <c r="L207" s="63">
        <v>0</v>
      </c>
      <c r="M207" s="63">
        <v>0</v>
      </c>
      <c r="N207" s="63">
        <v>0</v>
      </c>
      <c r="O207" s="63">
        <v>-500000</v>
      </c>
      <c r="P207" s="63">
        <v>-794315</v>
      </c>
      <c r="Q207" s="63">
        <v>0</v>
      </c>
      <c r="R207" s="63">
        <v>0</v>
      </c>
      <c r="S207" s="63">
        <v>0</v>
      </c>
      <c r="T207" s="63">
        <v>-794315</v>
      </c>
      <c r="U207" s="63">
        <v>60500603</v>
      </c>
      <c r="V207" s="63">
        <v>0</v>
      </c>
      <c r="W207" s="63">
        <v>0</v>
      </c>
      <c r="X207" s="63">
        <v>0</v>
      </c>
      <c r="Y207" s="63">
        <v>60500603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63">
        <v>0</v>
      </c>
      <c r="AF207" s="63">
        <v>0</v>
      </c>
      <c r="AG207" s="63">
        <v>0</v>
      </c>
      <c r="AH207" s="63">
        <v>0</v>
      </c>
      <c r="AI207" s="63">
        <v>0</v>
      </c>
      <c r="AJ207" s="63">
        <v>0</v>
      </c>
      <c r="AK207" s="63">
        <v>0</v>
      </c>
      <c r="AL207" s="63">
        <v>0</v>
      </c>
      <c r="AM207" s="63">
        <v>0</v>
      </c>
      <c r="AN207" s="63">
        <v>0</v>
      </c>
      <c r="AP207" s="533">
        <v>0</v>
      </c>
      <c r="AQ207" s="533">
        <v>0</v>
      </c>
      <c r="AR207" s="533">
        <v>0</v>
      </c>
      <c r="AS207" s="533">
        <v>0</v>
      </c>
      <c r="AT207" s="534"/>
      <c r="AU207" s="594"/>
      <c r="AV207" s="595"/>
      <c r="AW207" s="595"/>
      <c r="AX207" s="595"/>
    </row>
    <row r="208" spans="1:50" x14ac:dyDescent="0.2">
      <c r="A208" s="201">
        <v>201</v>
      </c>
      <c r="B208" s="129" t="s">
        <v>264</v>
      </c>
      <c r="C208" s="130" t="s">
        <v>501</v>
      </c>
      <c r="D208" s="131" t="s">
        <v>743</v>
      </c>
      <c r="E208" s="132" t="s">
        <v>530</v>
      </c>
      <c r="F208" s="63">
        <v>85307019</v>
      </c>
      <c r="G208" s="63">
        <v>0</v>
      </c>
      <c r="H208" s="63">
        <v>0</v>
      </c>
      <c r="I208" s="63">
        <v>0</v>
      </c>
      <c r="J208" s="63">
        <v>85307019</v>
      </c>
      <c r="K208" s="63">
        <v>-992200</v>
      </c>
      <c r="L208" s="63">
        <v>0</v>
      </c>
      <c r="M208" s="63">
        <v>0</v>
      </c>
      <c r="N208" s="63">
        <v>0</v>
      </c>
      <c r="O208" s="63">
        <v>-992200</v>
      </c>
      <c r="P208" s="63">
        <v>-2624101</v>
      </c>
      <c r="Q208" s="63">
        <v>0</v>
      </c>
      <c r="R208" s="63">
        <v>0</v>
      </c>
      <c r="S208" s="63">
        <v>0</v>
      </c>
      <c r="T208" s="63">
        <v>-2624101</v>
      </c>
      <c r="U208" s="63">
        <v>81690718</v>
      </c>
      <c r="V208" s="63">
        <v>0</v>
      </c>
      <c r="W208" s="63">
        <v>0</v>
      </c>
      <c r="X208" s="63">
        <v>0</v>
      </c>
      <c r="Y208" s="63">
        <v>81690718</v>
      </c>
      <c r="Z208" s="63">
        <v>0</v>
      </c>
      <c r="AA208" s="63">
        <v>0</v>
      </c>
      <c r="AB208" s="63">
        <v>0</v>
      </c>
      <c r="AC208" s="63">
        <v>0</v>
      </c>
      <c r="AD208" s="63">
        <v>0</v>
      </c>
      <c r="AE208" s="63">
        <v>0</v>
      </c>
      <c r="AF208" s="63">
        <v>0</v>
      </c>
      <c r="AG208" s="63">
        <v>0</v>
      </c>
      <c r="AH208" s="63">
        <v>0</v>
      </c>
      <c r="AI208" s="63">
        <v>0</v>
      </c>
      <c r="AJ208" s="63">
        <v>0</v>
      </c>
      <c r="AK208" s="63">
        <v>0</v>
      </c>
      <c r="AL208" s="63">
        <v>0</v>
      </c>
      <c r="AM208" s="63">
        <v>0</v>
      </c>
      <c r="AN208" s="63">
        <v>0</v>
      </c>
      <c r="AP208" s="533">
        <v>0</v>
      </c>
      <c r="AQ208" s="533">
        <v>0</v>
      </c>
      <c r="AR208" s="533">
        <v>0</v>
      </c>
      <c r="AS208" s="533">
        <v>0</v>
      </c>
      <c r="AT208" s="534"/>
      <c r="AU208" s="594"/>
      <c r="AV208" s="595"/>
      <c r="AW208" s="595"/>
      <c r="AX208" s="595"/>
    </row>
    <row r="209" spans="1:50" x14ac:dyDescent="0.2">
      <c r="A209" s="201">
        <v>202</v>
      </c>
      <c r="B209" s="129" t="s">
        <v>266</v>
      </c>
      <c r="C209" s="130" t="s">
        <v>742</v>
      </c>
      <c r="D209" s="131" t="s">
        <v>744</v>
      </c>
      <c r="E209" s="132" t="s">
        <v>265</v>
      </c>
      <c r="F209" s="63">
        <v>73465994</v>
      </c>
      <c r="G209" s="63">
        <v>0</v>
      </c>
      <c r="H209" s="63">
        <v>0</v>
      </c>
      <c r="I209" s="63">
        <v>0</v>
      </c>
      <c r="J209" s="63">
        <v>73465994</v>
      </c>
      <c r="K209" s="63">
        <v>-1469000</v>
      </c>
      <c r="L209" s="63">
        <v>0</v>
      </c>
      <c r="M209" s="63">
        <v>0</v>
      </c>
      <c r="N209" s="63">
        <v>0</v>
      </c>
      <c r="O209" s="63">
        <v>-1469000</v>
      </c>
      <c r="P209" s="63">
        <v>-3012470</v>
      </c>
      <c r="Q209" s="63">
        <v>0</v>
      </c>
      <c r="R209" s="63">
        <v>0</v>
      </c>
      <c r="S209" s="63">
        <v>0</v>
      </c>
      <c r="T209" s="63">
        <v>-3012470</v>
      </c>
      <c r="U209" s="63">
        <v>68984524</v>
      </c>
      <c r="V209" s="63">
        <v>0</v>
      </c>
      <c r="W209" s="63">
        <v>0</v>
      </c>
      <c r="X209" s="63">
        <v>0</v>
      </c>
      <c r="Y209" s="63">
        <v>68984524</v>
      </c>
      <c r="Z209" s="63">
        <v>2024</v>
      </c>
      <c r="AA209" s="63">
        <v>0</v>
      </c>
      <c r="AB209" s="63">
        <v>0</v>
      </c>
      <c r="AC209" s="63">
        <v>0</v>
      </c>
      <c r="AD209" s="63">
        <v>2024</v>
      </c>
      <c r="AE209" s="63">
        <v>0</v>
      </c>
      <c r="AF209" s="63">
        <v>0</v>
      </c>
      <c r="AG209" s="63">
        <v>0</v>
      </c>
      <c r="AH209" s="63">
        <v>0</v>
      </c>
      <c r="AI209" s="63">
        <v>0</v>
      </c>
      <c r="AJ209" s="63">
        <v>0</v>
      </c>
      <c r="AK209" s="63">
        <v>0</v>
      </c>
      <c r="AL209" s="63">
        <v>0</v>
      </c>
      <c r="AM209" s="63">
        <v>0</v>
      </c>
      <c r="AN209" s="63">
        <v>0</v>
      </c>
      <c r="AP209" s="533">
        <v>0</v>
      </c>
      <c r="AQ209" s="533">
        <v>0</v>
      </c>
      <c r="AR209" s="533">
        <v>0</v>
      </c>
      <c r="AS209" s="533">
        <v>0</v>
      </c>
      <c r="AT209" s="534"/>
      <c r="AU209" s="594"/>
      <c r="AV209" s="595"/>
      <c r="AW209" s="595"/>
      <c r="AX209" s="595"/>
    </row>
    <row r="210" spans="1:50" x14ac:dyDescent="0.2">
      <c r="A210" s="201">
        <v>203</v>
      </c>
      <c r="B210" s="129" t="s">
        <v>268</v>
      </c>
      <c r="C210" s="130" t="s">
        <v>742</v>
      </c>
      <c r="D210" s="131" t="s">
        <v>751</v>
      </c>
      <c r="E210" s="132" t="s">
        <v>267</v>
      </c>
      <c r="F210" s="63">
        <v>17578889</v>
      </c>
      <c r="G210" s="63">
        <v>0</v>
      </c>
      <c r="H210" s="63">
        <v>0</v>
      </c>
      <c r="I210" s="63">
        <v>0</v>
      </c>
      <c r="J210" s="63">
        <v>17578889</v>
      </c>
      <c r="K210" s="63">
        <v>-40000</v>
      </c>
      <c r="L210" s="63">
        <v>0</v>
      </c>
      <c r="M210" s="63">
        <v>0</v>
      </c>
      <c r="N210" s="63">
        <v>0</v>
      </c>
      <c r="O210" s="63">
        <v>-40000</v>
      </c>
      <c r="P210" s="63">
        <v>-870000</v>
      </c>
      <c r="Q210" s="63">
        <v>0</v>
      </c>
      <c r="R210" s="63">
        <v>0</v>
      </c>
      <c r="S210" s="63">
        <v>0</v>
      </c>
      <c r="T210" s="63">
        <v>-870000</v>
      </c>
      <c r="U210" s="63">
        <v>16668889</v>
      </c>
      <c r="V210" s="63">
        <v>0</v>
      </c>
      <c r="W210" s="63">
        <v>0</v>
      </c>
      <c r="X210" s="63">
        <v>0</v>
      </c>
      <c r="Y210" s="63">
        <v>16668889</v>
      </c>
      <c r="Z210" s="63">
        <v>145994</v>
      </c>
      <c r="AA210" s="63">
        <v>0</v>
      </c>
      <c r="AB210" s="63">
        <v>0</v>
      </c>
      <c r="AC210" s="63">
        <v>0</v>
      </c>
      <c r="AD210" s="63">
        <v>145994</v>
      </c>
      <c r="AE210" s="63">
        <v>0</v>
      </c>
      <c r="AF210" s="63">
        <v>0</v>
      </c>
      <c r="AG210" s="63">
        <v>0</v>
      </c>
      <c r="AH210" s="63">
        <v>0</v>
      </c>
      <c r="AI210" s="63">
        <v>0</v>
      </c>
      <c r="AJ210" s="63">
        <v>0</v>
      </c>
      <c r="AK210" s="63">
        <v>0</v>
      </c>
      <c r="AL210" s="63">
        <v>0</v>
      </c>
      <c r="AM210" s="63">
        <v>0</v>
      </c>
      <c r="AN210" s="63">
        <v>0</v>
      </c>
      <c r="AP210" s="533">
        <v>0</v>
      </c>
      <c r="AQ210" s="533">
        <v>0</v>
      </c>
      <c r="AR210" s="533">
        <v>0</v>
      </c>
      <c r="AS210" s="533">
        <v>0</v>
      </c>
      <c r="AT210" s="534"/>
      <c r="AU210" s="594"/>
      <c r="AV210" s="595"/>
      <c r="AW210" s="595"/>
      <c r="AX210" s="595"/>
    </row>
    <row r="211" spans="1:50" x14ac:dyDescent="0.2">
      <c r="A211" s="201">
        <v>204</v>
      </c>
      <c r="B211" s="129" t="s">
        <v>269</v>
      </c>
      <c r="C211" s="130" t="s">
        <v>501</v>
      </c>
      <c r="D211" s="131" t="s">
        <v>743</v>
      </c>
      <c r="E211" s="132" t="s">
        <v>507</v>
      </c>
      <c r="F211" s="63">
        <v>113709299</v>
      </c>
      <c r="G211" s="63">
        <v>0</v>
      </c>
      <c r="H211" s="63">
        <v>0</v>
      </c>
      <c r="I211" s="63">
        <v>0</v>
      </c>
      <c r="J211" s="63">
        <v>113709299</v>
      </c>
      <c r="K211" s="63">
        <v>-1137249</v>
      </c>
      <c r="L211" s="63">
        <v>0</v>
      </c>
      <c r="M211" s="63">
        <v>0</v>
      </c>
      <c r="N211" s="63">
        <v>0</v>
      </c>
      <c r="O211" s="63">
        <v>-1137249</v>
      </c>
      <c r="P211" s="63">
        <v>-5000000</v>
      </c>
      <c r="Q211" s="63">
        <v>0</v>
      </c>
      <c r="R211" s="63">
        <v>0</v>
      </c>
      <c r="S211" s="63">
        <v>0</v>
      </c>
      <c r="T211" s="63">
        <v>-5000000</v>
      </c>
      <c r="U211" s="63">
        <v>107572050</v>
      </c>
      <c r="V211" s="63">
        <v>0</v>
      </c>
      <c r="W211" s="63">
        <v>0</v>
      </c>
      <c r="X211" s="63">
        <v>0</v>
      </c>
      <c r="Y211" s="63">
        <v>107572050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63">
        <v>0</v>
      </c>
      <c r="AF211" s="63">
        <v>0</v>
      </c>
      <c r="AG211" s="63">
        <v>0</v>
      </c>
      <c r="AH211" s="63">
        <v>0</v>
      </c>
      <c r="AI211" s="63">
        <v>0</v>
      </c>
      <c r="AJ211" s="63">
        <v>0</v>
      </c>
      <c r="AK211" s="63">
        <v>0</v>
      </c>
      <c r="AL211" s="63">
        <v>0</v>
      </c>
      <c r="AM211" s="63">
        <v>0</v>
      </c>
      <c r="AN211" s="63">
        <v>0</v>
      </c>
      <c r="AP211" s="533">
        <v>0</v>
      </c>
      <c r="AQ211" s="533">
        <v>0</v>
      </c>
      <c r="AR211" s="533">
        <v>0</v>
      </c>
      <c r="AS211" s="533">
        <v>0</v>
      </c>
      <c r="AT211" s="534"/>
      <c r="AU211" s="594"/>
      <c r="AV211" s="595"/>
      <c r="AW211" s="595"/>
      <c r="AX211" s="595"/>
    </row>
    <row r="212" spans="1:50" x14ac:dyDescent="0.2">
      <c r="A212" s="201">
        <v>205</v>
      </c>
      <c r="B212" s="129" t="s">
        <v>271</v>
      </c>
      <c r="C212" s="130" t="s">
        <v>747</v>
      </c>
      <c r="D212" s="131" t="s">
        <v>748</v>
      </c>
      <c r="E212" s="132" t="s">
        <v>270</v>
      </c>
      <c r="F212" s="63">
        <v>57672558</v>
      </c>
      <c r="G212" s="63">
        <v>0</v>
      </c>
      <c r="H212" s="63">
        <v>0</v>
      </c>
      <c r="I212" s="63">
        <v>0</v>
      </c>
      <c r="J212" s="63">
        <v>57672558</v>
      </c>
      <c r="K212" s="63">
        <v>-1618500</v>
      </c>
      <c r="L212" s="63">
        <v>0</v>
      </c>
      <c r="M212" s="63">
        <v>0</v>
      </c>
      <c r="N212" s="63">
        <v>0</v>
      </c>
      <c r="O212" s="63">
        <v>-1618500</v>
      </c>
      <c r="P212" s="63">
        <v>0</v>
      </c>
      <c r="Q212" s="63">
        <v>0</v>
      </c>
      <c r="R212" s="63">
        <v>0</v>
      </c>
      <c r="S212" s="63">
        <v>0</v>
      </c>
      <c r="T212" s="63">
        <v>0</v>
      </c>
      <c r="U212" s="63">
        <v>56054058</v>
      </c>
      <c r="V212" s="63">
        <v>0</v>
      </c>
      <c r="W212" s="63">
        <v>0</v>
      </c>
      <c r="X212" s="63">
        <v>0</v>
      </c>
      <c r="Y212" s="63">
        <v>56054058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63">
        <v>0</v>
      </c>
      <c r="AF212" s="63">
        <v>0</v>
      </c>
      <c r="AG212" s="63">
        <v>0</v>
      </c>
      <c r="AH212" s="63">
        <v>0</v>
      </c>
      <c r="AI212" s="63">
        <v>0</v>
      </c>
      <c r="AJ212" s="63">
        <v>0</v>
      </c>
      <c r="AK212" s="63">
        <v>0</v>
      </c>
      <c r="AL212" s="63">
        <v>0</v>
      </c>
      <c r="AM212" s="63">
        <v>0</v>
      </c>
      <c r="AN212" s="63">
        <v>0</v>
      </c>
      <c r="AP212" s="533">
        <v>0</v>
      </c>
      <c r="AQ212" s="533">
        <v>0</v>
      </c>
      <c r="AR212" s="533">
        <v>0</v>
      </c>
      <c r="AS212" s="533">
        <v>0</v>
      </c>
      <c r="AT212" s="534"/>
      <c r="AU212" s="594"/>
      <c r="AV212" s="595"/>
      <c r="AW212" s="595"/>
      <c r="AX212" s="595"/>
    </row>
    <row r="213" spans="1:50" x14ac:dyDescent="0.2">
      <c r="A213" s="201">
        <v>206</v>
      </c>
      <c r="B213" s="129" t="s">
        <v>272</v>
      </c>
      <c r="C213" s="130" t="s">
        <v>501</v>
      </c>
      <c r="D213" s="131" t="s">
        <v>755</v>
      </c>
      <c r="E213" s="132" t="s">
        <v>518</v>
      </c>
      <c r="F213" s="63">
        <v>48703127</v>
      </c>
      <c r="G213" s="63">
        <v>0</v>
      </c>
      <c r="H213" s="63">
        <v>0</v>
      </c>
      <c r="I213" s="63">
        <v>0</v>
      </c>
      <c r="J213" s="63">
        <v>48703127</v>
      </c>
      <c r="K213" s="63">
        <v>0</v>
      </c>
      <c r="L213" s="63">
        <v>0</v>
      </c>
      <c r="M213" s="63">
        <v>0</v>
      </c>
      <c r="N213" s="63">
        <v>0</v>
      </c>
      <c r="O213" s="63">
        <v>0</v>
      </c>
      <c r="P213" s="63">
        <v>-12537670</v>
      </c>
      <c r="Q213" s="63">
        <v>0</v>
      </c>
      <c r="R213" s="63">
        <v>0</v>
      </c>
      <c r="S213" s="63">
        <v>0</v>
      </c>
      <c r="T213" s="63">
        <v>-12537670</v>
      </c>
      <c r="U213" s="63">
        <v>36165457</v>
      </c>
      <c r="V213" s="63">
        <v>0</v>
      </c>
      <c r="W213" s="63">
        <v>0</v>
      </c>
      <c r="X213" s="63">
        <v>0</v>
      </c>
      <c r="Y213" s="63">
        <v>36165457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63">
        <v>0</v>
      </c>
      <c r="AF213" s="63">
        <v>0</v>
      </c>
      <c r="AG213" s="63">
        <v>0</v>
      </c>
      <c r="AH213" s="63">
        <v>0</v>
      </c>
      <c r="AI213" s="63">
        <v>0</v>
      </c>
      <c r="AJ213" s="63">
        <v>0</v>
      </c>
      <c r="AK213" s="63">
        <v>0</v>
      </c>
      <c r="AL213" s="63">
        <v>0</v>
      </c>
      <c r="AM213" s="63">
        <v>0</v>
      </c>
      <c r="AN213" s="63">
        <v>0</v>
      </c>
      <c r="AP213" s="533" t="s">
        <v>768</v>
      </c>
      <c r="AQ213" s="533" t="s">
        <v>784</v>
      </c>
      <c r="AR213" s="533">
        <v>0</v>
      </c>
      <c r="AS213" s="533">
        <v>0</v>
      </c>
      <c r="AT213" s="534"/>
      <c r="AU213" s="594"/>
      <c r="AV213" s="595"/>
      <c r="AW213" s="595"/>
      <c r="AX213" s="595"/>
    </row>
    <row r="214" spans="1:50" x14ac:dyDescent="0.2">
      <c r="A214" s="201">
        <v>207</v>
      </c>
      <c r="B214" s="129" t="s">
        <v>274</v>
      </c>
      <c r="C214" s="130" t="s">
        <v>742</v>
      </c>
      <c r="D214" s="131" t="s">
        <v>752</v>
      </c>
      <c r="E214" s="132" t="s">
        <v>273</v>
      </c>
      <c r="F214" s="63">
        <v>38479510.43</v>
      </c>
      <c r="G214" s="63">
        <v>0</v>
      </c>
      <c r="H214" s="63">
        <v>0</v>
      </c>
      <c r="I214" s="63">
        <v>0</v>
      </c>
      <c r="J214" s="63">
        <v>38479510.43</v>
      </c>
      <c r="K214" s="63">
        <v>-384795</v>
      </c>
      <c r="L214" s="63">
        <v>0</v>
      </c>
      <c r="M214" s="63">
        <v>0</v>
      </c>
      <c r="N214" s="63">
        <v>0</v>
      </c>
      <c r="O214" s="63">
        <v>-384795</v>
      </c>
      <c r="P214" s="63">
        <v>-238000</v>
      </c>
      <c r="Q214" s="63">
        <v>0</v>
      </c>
      <c r="R214" s="63">
        <v>0</v>
      </c>
      <c r="S214" s="63">
        <v>0</v>
      </c>
      <c r="T214" s="63">
        <v>-238000</v>
      </c>
      <c r="U214" s="63">
        <v>37856715.43</v>
      </c>
      <c r="V214" s="63">
        <v>0</v>
      </c>
      <c r="W214" s="63">
        <v>0</v>
      </c>
      <c r="X214" s="63">
        <v>0</v>
      </c>
      <c r="Y214" s="63">
        <v>37856715.43</v>
      </c>
      <c r="Z214" s="63">
        <v>0</v>
      </c>
      <c r="AA214" s="63">
        <v>0</v>
      </c>
      <c r="AB214" s="63">
        <v>0</v>
      </c>
      <c r="AC214" s="63">
        <v>0</v>
      </c>
      <c r="AD214" s="63">
        <v>0</v>
      </c>
      <c r="AE214" s="63">
        <v>0</v>
      </c>
      <c r="AF214" s="63">
        <v>0</v>
      </c>
      <c r="AG214" s="63">
        <v>0</v>
      </c>
      <c r="AH214" s="63">
        <v>0</v>
      </c>
      <c r="AI214" s="63">
        <v>0</v>
      </c>
      <c r="AJ214" s="63">
        <v>0</v>
      </c>
      <c r="AK214" s="63">
        <v>0</v>
      </c>
      <c r="AL214" s="63">
        <v>0</v>
      </c>
      <c r="AM214" s="63">
        <v>0</v>
      </c>
      <c r="AN214" s="63">
        <v>0</v>
      </c>
      <c r="AP214" s="533">
        <v>0</v>
      </c>
      <c r="AQ214" s="533">
        <v>0</v>
      </c>
      <c r="AR214" s="533">
        <v>0</v>
      </c>
      <c r="AS214" s="533">
        <v>0</v>
      </c>
      <c r="AT214" s="534"/>
      <c r="AU214" s="594"/>
      <c r="AV214" s="595"/>
      <c r="AW214" s="595"/>
      <c r="AX214" s="595"/>
    </row>
    <row r="215" spans="1:50" x14ac:dyDescent="0.2">
      <c r="A215" s="201">
        <v>208</v>
      </c>
      <c r="B215" s="129" t="s">
        <v>275</v>
      </c>
      <c r="C215" s="130" t="s">
        <v>742</v>
      </c>
      <c r="D215" s="131" t="s">
        <v>743</v>
      </c>
      <c r="E215" s="132" t="s">
        <v>549</v>
      </c>
      <c r="F215" s="63">
        <v>50113933</v>
      </c>
      <c r="G215" s="63">
        <v>0</v>
      </c>
      <c r="H215" s="63">
        <v>0</v>
      </c>
      <c r="I215" s="63">
        <v>0</v>
      </c>
      <c r="J215" s="63">
        <v>50113933</v>
      </c>
      <c r="K215" s="63">
        <v>-120000</v>
      </c>
      <c r="L215" s="63">
        <v>0</v>
      </c>
      <c r="M215" s="63">
        <v>0</v>
      </c>
      <c r="N215" s="63">
        <v>0</v>
      </c>
      <c r="O215" s="63">
        <v>-120000</v>
      </c>
      <c r="P215" s="63">
        <v>-1000000</v>
      </c>
      <c r="Q215" s="63">
        <v>0</v>
      </c>
      <c r="R215" s="63">
        <v>0</v>
      </c>
      <c r="S215" s="63">
        <v>0</v>
      </c>
      <c r="T215" s="63">
        <v>-1000000</v>
      </c>
      <c r="U215" s="63">
        <v>48993933</v>
      </c>
      <c r="V215" s="63">
        <v>0</v>
      </c>
      <c r="W215" s="63">
        <v>0</v>
      </c>
      <c r="X215" s="63">
        <v>0</v>
      </c>
      <c r="Y215" s="63">
        <v>48993933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63">
        <v>0</v>
      </c>
      <c r="AF215" s="63">
        <v>0</v>
      </c>
      <c r="AG215" s="63">
        <v>0</v>
      </c>
      <c r="AH215" s="63">
        <v>0</v>
      </c>
      <c r="AI215" s="63">
        <v>0</v>
      </c>
      <c r="AJ215" s="63">
        <v>0</v>
      </c>
      <c r="AK215" s="63">
        <v>0</v>
      </c>
      <c r="AL215" s="63">
        <v>0</v>
      </c>
      <c r="AM215" s="63">
        <v>0</v>
      </c>
      <c r="AN215" s="63">
        <v>0</v>
      </c>
      <c r="AP215" s="533">
        <v>0</v>
      </c>
      <c r="AQ215" s="533">
        <v>0</v>
      </c>
      <c r="AR215" s="533">
        <v>0</v>
      </c>
      <c r="AS215" s="533">
        <v>0</v>
      </c>
      <c r="AT215" s="534"/>
      <c r="AU215" s="594"/>
      <c r="AV215" s="595"/>
      <c r="AW215" s="595"/>
      <c r="AX215" s="595"/>
    </row>
    <row r="216" spans="1:50" x14ac:dyDescent="0.2">
      <c r="A216" s="201">
        <v>209</v>
      </c>
      <c r="B216" s="129" t="s">
        <v>277</v>
      </c>
      <c r="C216" s="130" t="s">
        <v>742</v>
      </c>
      <c r="D216" s="131" t="s">
        <v>744</v>
      </c>
      <c r="E216" s="132" t="s">
        <v>276</v>
      </c>
      <c r="F216" s="63">
        <v>13460379</v>
      </c>
      <c r="G216" s="63">
        <v>1903510</v>
      </c>
      <c r="H216" s="63">
        <v>0</v>
      </c>
      <c r="I216" s="63">
        <v>0</v>
      </c>
      <c r="J216" s="63">
        <v>15363889</v>
      </c>
      <c r="K216" s="63">
        <v>-153639</v>
      </c>
      <c r="L216" s="63">
        <v>0</v>
      </c>
      <c r="M216" s="63">
        <v>0</v>
      </c>
      <c r="N216" s="63">
        <v>0</v>
      </c>
      <c r="O216" s="63">
        <v>-153639</v>
      </c>
      <c r="P216" s="63">
        <v>-238241</v>
      </c>
      <c r="Q216" s="63">
        <v>0</v>
      </c>
      <c r="R216" s="63">
        <v>0</v>
      </c>
      <c r="S216" s="63">
        <v>0</v>
      </c>
      <c r="T216" s="63">
        <v>-238241</v>
      </c>
      <c r="U216" s="63">
        <v>13068499</v>
      </c>
      <c r="V216" s="63">
        <v>1903510</v>
      </c>
      <c r="W216" s="63">
        <v>0</v>
      </c>
      <c r="X216" s="63">
        <v>0</v>
      </c>
      <c r="Y216" s="63">
        <v>14972009</v>
      </c>
      <c r="Z216" s="63">
        <v>5034</v>
      </c>
      <c r="AA216" s="63">
        <v>9940</v>
      </c>
      <c r="AB216" s="63">
        <v>0</v>
      </c>
      <c r="AC216" s="63">
        <v>0</v>
      </c>
      <c r="AD216" s="63">
        <v>14974</v>
      </c>
      <c r="AE216" s="63">
        <v>0</v>
      </c>
      <c r="AF216" s="63">
        <v>0</v>
      </c>
      <c r="AG216" s="63">
        <v>0</v>
      </c>
      <c r="AH216" s="63">
        <v>1876823</v>
      </c>
      <c r="AI216" s="63">
        <v>0</v>
      </c>
      <c r="AJ216" s="63">
        <v>0</v>
      </c>
      <c r="AK216" s="63">
        <v>16747</v>
      </c>
      <c r="AL216" s="63">
        <v>0</v>
      </c>
      <c r="AM216" s="63">
        <v>0</v>
      </c>
      <c r="AN216" s="63">
        <v>16747</v>
      </c>
      <c r="AP216" s="533" t="s">
        <v>768</v>
      </c>
      <c r="AQ216" s="533" t="s">
        <v>780</v>
      </c>
      <c r="AR216" s="533">
        <v>0</v>
      </c>
      <c r="AS216" s="533">
        <v>0</v>
      </c>
      <c r="AT216" s="534"/>
      <c r="AU216" s="594"/>
      <c r="AV216" s="595"/>
      <c r="AW216" s="595"/>
      <c r="AX216" s="595"/>
    </row>
    <row r="217" spans="1:50" x14ac:dyDescent="0.2">
      <c r="A217" s="201">
        <v>210</v>
      </c>
      <c r="B217" s="129" t="s">
        <v>279</v>
      </c>
      <c r="C217" s="130" t="s">
        <v>747</v>
      </c>
      <c r="D217" s="131" t="s">
        <v>748</v>
      </c>
      <c r="E217" s="132" t="s">
        <v>278</v>
      </c>
      <c r="F217" s="63">
        <v>86696370</v>
      </c>
      <c r="G217" s="63">
        <v>0</v>
      </c>
      <c r="H217" s="63">
        <v>0</v>
      </c>
      <c r="I217" s="63">
        <v>0</v>
      </c>
      <c r="J217" s="63">
        <v>86696370</v>
      </c>
      <c r="K217" s="63">
        <v>-350000</v>
      </c>
      <c r="L217" s="63">
        <v>0</v>
      </c>
      <c r="M217" s="63">
        <v>0</v>
      </c>
      <c r="N217" s="63">
        <v>0</v>
      </c>
      <c r="O217" s="63">
        <v>-350000</v>
      </c>
      <c r="P217" s="63">
        <v>-1563000</v>
      </c>
      <c r="Q217" s="63">
        <v>0</v>
      </c>
      <c r="R217" s="63">
        <v>0</v>
      </c>
      <c r="S217" s="63">
        <v>0</v>
      </c>
      <c r="T217" s="63">
        <v>-1563000</v>
      </c>
      <c r="U217" s="63">
        <v>84783370</v>
      </c>
      <c r="V217" s="63">
        <v>0</v>
      </c>
      <c r="W217" s="63">
        <v>0</v>
      </c>
      <c r="X217" s="63">
        <v>0</v>
      </c>
      <c r="Y217" s="63">
        <v>84783370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63">
        <v>0</v>
      </c>
      <c r="AF217" s="63">
        <v>0</v>
      </c>
      <c r="AG217" s="63">
        <v>0</v>
      </c>
      <c r="AH217" s="63">
        <v>0</v>
      </c>
      <c r="AI217" s="63">
        <v>0</v>
      </c>
      <c r="AJ217" s="63">
        <v>0</v>
      </c>
      <c r="AK217" s="63">
        <v>0</v>
      </c>
      <c r="AL217" s="63">
        <v>0</v>
      </c>
      <c r="AM217" s="63">
        <v>0</v>
      </c>
      <c r="AN217" s="63">
        <v>0</v>
      </c>
      <c r="AP217" s="533">
        <v>0</v>
      </c>
      <c r="AQ217" s="533">
        <v>0</v>
      </c>
      <c r="AR217" s="533">
        <v>0</v>
      </c>
      <c r="AS217" s="533">
        <v>0</v>
      </c>
      <c r="AT217" s="534"/>
      <c r="AU217" s="594"/>
      <c r="AV217" s="595"/>
      <c r="AW217" s="595"/>
      <c r="AX217" s="595"/>
    </row>
    <row r="218" spans="1:50" x14ac:dyDescent="0.2">
      <c r="A218" s="201">
        <v>211</v>
      </c>
      <c r="B218" s="129" t="s">
        <v>281</v>
      </c>
      <c r="C218" s="130" t="s">
        <v>742</v>
      </c>
      <c r="D218" s="131" t="s">
        <v>750</v>
      </c>
      <c r="E218" s="132" t="s">
        <v>280</v>
      </c>
      <c r="F218" s="63">
        <v>14130889</v>
      </c>
      <c r="G218" s="63">
        <v>0</v>
      </c>
      <c r="H218" s="63">
        <v>0</v>
      </c>
      <c r="I218" s="63">
        <v>0</v>
      </c>
      <c r="J218" s="63">
        <v>14130889</v>
      </c>
      <c r="K218" s="63">
        <v>-100000</v>
      </c>
      <c r="L218" s="63">
        <v>0</v>
      </c>
      <c r="M218" s="63">
        <v>0</v>
      </c>
      <c r="N218" s="63">
        <v>0</v>
      </c>
      <c r="O218" s="63">
        <v>-100000</v>
      </c>
      <c r="P218" s="63">
        <v>-664000</v>
      </c>
      <c r="Q218" s="63">
        <v>0</v>
      </c>
      <c r="R218" s="63">
        <v>0</v>
      </c>
      <c r="S218" s="63">
        <v>0</v>
      </c>
      <c r="T218" s="63">
        <v>-664000</v>
      </c>
      <c r="U218" s="63">
        <v>13366889</v>
      </c>
      <c r="V218" s="63">
        <v>0</v>
      </c>
      <c r="W218" s="63">
        <v>0</v>
      </c>
      <c r="X218" s="63">
        <v>0</v>
      </c>
      <c r="Y218" s="63">
        <v>13366889</v>
      </c>
      <c r="Z218" s="63">
        <v>0</v>
      </c>
      <c r="AA218" s="63">
        <v>0</v>
      </c>
      <c r="AB218" s="63">
        <v>0</v>
      </c>
      <c r="AC218" s="63">
        <v>0</v>
      </c>
      <c r="AD218" s="63">
        <v>0</v>
      </c>
      <c r="AE218" s="63">
        <v>0</v>
      </c>
      <c r="AF218" s="63">
        <v>0</v>
      </c>
      <c r="AG218" s="63">
        <v>0</v>
      </c>
      <c r="AH218" s="63">
        <v>0</v>
      </c>
      <c r="AI218" s="63">
        <v>0</v>
      </c>
      <c r="AJ218" s="63">
        <v>0</v>
      </c>
      <c r="AK218" s="63">
        <v>0</v>
      </c>
      <c r="AL218" s="63">
        <v>0</v>
      </c>
      <c r="AM218" s="63">
        <v>0</v>
      </c>
      <c r="AN218" s="63">
        <v>0</v>
      </c>
      <c r="AP218" s="533">
        <v>0</v>
      </c>
      <c r="AQ218" s="533">
        <v>0</v>
      </c>
      <c r="AR218" s="533">
        <v>0</v>
      </c>
      <c r="AS218" s="533">
        <v>0</v>
      </c>
      <c r="AT218" s="534"/>
      <c r="AU218" s="594"/>
      <c r="AV218" s="595"/>
      <c r="AW218" s="595"/>
      <c r="AX218" s="595"/>
    </row>
    <row r="219" spans="1:50" x14ac:dyDescent="0.2">
      <c r="A219" s="201">
        <v>212</v>
      </c>
      <c r="B219" s="129" t="s">
        <v>283</v>
      </c>
      <c r="C219" s="130" t="s">
        <v>749</v>
      </c>
      <c r="D219" s="131" t="s">
        <v>744</v>
      </c>
      <c r="E219" s="132" t="s">
        <v>282</v>
      </c>
      <c r="F219" s="63">
        <v>67615346</v>
      </c>
      <c r="G219" s="63">
        <v>0</v>
      </c>
      <c r="H219" s="63">
        <v>0</v>
      </c>
      <c r="I219" s="63">
        <v>0</v>
      </c>
      <c r="J219" s="63">
        <v>67615346</v>
      </c>
      <c r="K219" s="63">
        <v>-1300000</v>
      </c>
      <c r="L219" s="63">
        <v>0</v>
      </c>
      <c r="M219" s="63">
        <v>0</v>
      </c>
      <c r="N219" s="63">
        <v>0</v>
      </c>
      <c r="O219" s="63">
        <v>-1300000</v>
      </c>
      <c r="P219" s="63">
        <v>-2930000</v>
      </c>
      <c r="Q219" s="63">
        <v>0</v>
      </c>
      <c r="R219" s="63">
        <v>0</v>
      </c>
      <c r="S219" s="63">
        <v>0</v>
      </c>
      <c r="T219" s="63">
        <v>-2930000</v>
      </c>
      <c r="U219" s="63">
        <v>63385346</v>
      </c>
      <c r="V219" s="63">
        <v>0</v>
      </c>
      <c r="W219" s="63">
        <v>0</v>
      </c>
      <c r="X219" s="63">
        <v>0</v>
      </c>
      <c r="Y219" s="63">
        <v>63385346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63">
        <v>0</v>
      </c>
      <c r="AF219" s="63">
        <v>0</v>
      </c>
      <c r="AG219" s="63">
        <v>0</v>
      </c>
      <c r="AH219" s="63">
        <v>0</v>
      </c>
      <c r="AI219" s="63">
        <v>0</v>
      </c>
      <c r="AJ219" s="63">
        <v>0</v>
      </c>
      <c r="AK219" s="63">
        <v>0</v>
      </c>
      <c r="AL219" s="63">
        <v>0</v>
      </c>
      <c r="AM219" s="63">
        <v>0</v>
      </c>
      <c r="AN219" s="63">
        <v>0</v>
      </c>
      <c r="AP219" s="533">
        <v>0</v>
      </c>
      <c r="AQ219" s="533">
        <v>0</v>
      </c>
      <c r="AR219" s="533">
        <v>0</v>
      </c>
      <c r="AS219" s="533">
        <v>0</v>
      </c>
      <c r="AT219" s="534"/>
      <c r="AU219" s="594"/>
      <c r="AV219" s="595"/>
      <c r="AW219" s="595"/>
      <c r="AX219" s="595"/>
    </row>
    <row r="220" spans="1:50" x14ac:dyDescent="0.2">
      <c r="A220" s="201">
        <v>213</v>
      </c>
      <c r="B220" s="129" t="s">
        <v>285</v>
      </c>
      <c r="C220" s="130" t="s">
        <v>742</v>
      </c>
      <c r="D220" s="131" t="s">
        <v>746</v>
      </c>
      <c r="E220" s="132" t="s">
        <v>284</v>
      </c>
      <c r="F220" s="63">
        <v>16418704</v>
      </c>
      <c r="G220" s="63">
        <v>0</v>
      </c>
      <c r="H220" s="63">
        <v>0</v>
      </c>
      <c r="I220" s="63">
        <v>0</v>
      </c>
      <c r="J220" s="63">
        <v>16418704</v>
      </c>
      <c r="K220" s="63">
        <v>-50000</v>
      </c>
      <c r="L220" s="63">
        <v>0</v>
      </c>
      <c r="M220" s="63">
        <v>0</v>
      </c>
      <c r="N220" s="63">
        <v>0</v>
      </c>
      <c r="O220" s="63">
        <v>-50000</v>
      </c>
      <c r="P220" s="63">
        <v>-140000</v>
      </c>
      <c r="Q220" s="63">
        <v>0</v>
      </c>
      <c r="R220" s="63">
        <v>0</v>
      </c>
      <c r="S220" s="63">
        <v>0</v>
      </c>
      <c r="T220" s="63">
        <v>-140000</v>
      </c>
      <c r="U220" s="63">
        <v>16228704</v>
      </c>
      <c r="V220" s="63">
        <v>0</v>
      </c>
      <c r="W220" s="63">
        <v>0</v>
      </c>
      <c r="X220" s="63">
        <v>0</v>
      </c>
      <c r="Y220" s="63">
        <v>16228704</v>
      </c>
      <c r="Z220" s="63">
        <v>19880</v>
      </c>
      <c r="AA220" s="63">
        <v>0</v>
      </c>
      <c r="AB220" s="63">
        <v>0</v>
      </c>
      <c r="AC220" s="63">
        <v>0</v>
      </c>
      <c r="AD220" s="63">
        <v>19880</v>
      </c>
      <c r="AE220" s="63">
        <v>0</v>
      </c>
      <c r="AF220" s="63">
        <v>0</v>
      </c>
      <c r="AG220" s="63">
        <v>0</v>
      </c>
      <c r="AH220" s="63">
        <v>0</v>
      </c>
      <c r="AI220" s="63">
        <v>0</v>
      </c>
      <c r="AJ220" s="63">
        <v>0</v>
      </c>
      <c r="AK220" s="63">
        <v>0</v>
      </c>
      <c r="AL220" s="63">
        <v>0</v>
      </c>
      <c r="AM220" s="63">
        <v>0</v>
      </c>
      <c r="AN220" s="63">
        <v>0</v>
      </c>
      <c r="AP220" s="533">
        <v>0</v>
      </c>
      <c r="AQ220" s="533">
        <v>0</v>
      </c>
      <c r="AR220" s="533">
        <v>0</v>
      </c>
      <c r="AS220" s="533">
        <v>0</v>
      </c>
      <c r="AT220" s="534"/>
      <c r="AU220" s="594"/>
      <c r="AV220" s="595"/>
      <c r="AW220" s="595"/>
      <c r="AX220" s="595"/>
    </row>
    <row r="221" spans="1:50" x14ac:dyDescent="0.2">
      <c r="A221" s="201">
        <v>214</v>
      </c>
      <c r="B221" s="129" t="s">
        <v>287</v>
      </c>
      <c r="C221" s="130" t="s">
        <v>742</v>
      </c>
      <c r="D221" s="131" t="s">
        <v>744</v>
      </c>
      <c r="E221" s="132" t="s">
        <v>286</v>
      </c>
      <c r="F221" s="63">
        <v>14712909</v>
      </c>
      <c r="G221" s="63">
        <v>0</v>
      </c>
      <c r="H221" s="63">
        <v>0</v>
      </c>
      <c r="I221" s="63">
        <v>0</v>
      </c>
      <c r="J221" s="63">
        <v>14712909</v>
      </c>
      <c r="K221" s="63">
        <v>-370795</v>
      </c>
      <c r="L221" s="63">
        <v>0</v>
      </c>
      <c r="M221" s="63">
        <v>0</v>
      </c>
      <c r="N221" s="63">
        <v>0</v>
      </c>
      <c r="O221" s="63">
        <v>-370795</v>
      </c>
      <c r="P221" s="63">
        <v>-250000</v>
      </c>
      <c r="Q221" s="63">
        <v>0</v>
      </c>
      <c r="R221" s="63">
        <v>0</v>
      </c>
      <c r="S221" s="63">
        <v>0</v>
      </c>
      <c r="T221" s="63">
        <v>-250000</v>
      </c>
      <c r="U221" s="63">
        <v>14092114</v>
      </c>
      <c r="V221" s="63">
        <v>0</v>
      </c>
      <c r="W221" s="63">
        <v>0</v>
      </c>
      <c r="X221" s="63">
        <v>0</v>
      </c>
      <c r="Y221" s="63">
        <v>14092114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63">
        <v>0</v>
      </c>
      <c r="AF221" s="63">
        <v>0</v>
      </c>
      <c r="AG221" s="63">
        <v>0</v>
      </c>
      <c r="AH221" s="63">
        <v>0</v>
      </c>
      <c r="AI221" s="63">
        <v>0</v>
      </c>
      <c r="AJ221" s="63">
        <v>0</v>
      </c>
      <c r="AK221" s="63">
        <v>0</v>
      </c>
      <c r="AL221" s="63">
        <v>0</v>
      </c>
      <c r="AM221" s="63">
        <v>0</v>
      </c>
      <c r="AN221" s="63">
        <v>0</v>
      </c>
      <c r="AP221" s="533">
        <v>0</v>
      </c>
      <c r="AQ221" s="533">
        <v>0</v>
      </c>
      <c r="AR221" s="533">
        <v>0</v>
      </c>
      <c r="AS221" s="533">
        <v>0</v>
      </c>
      <c r="AT221" s="534"/>
      <c r="AU221" s="594"/>
      <c r="AV221" s="595"/>
      <c r="AW221" s="595"/>
      <c r="AX221" s="595"/>
    </row>
    <row r="222" spans="1:50" x14ac:dyDescent="0.2">
      <c r="A222" s="201">
        <v>215</v>
      </c>
      <c r="B222" s="129" t="s">
        <v>289</v>
      </c>
      <c r="C222" s="130" t="s">
        <v>742</v>
      </c>
      <c r="D222" s="131" t="s">
        <v>743</v>
      </c>
      <c r="E222" s="132" t="s">
        <v>288</v>
      </c>
      <c r="F222" s="63">
        <v>18107794</v>
      </c>
      <c r="G222" s="63">
        <v>0</v>
      </c>
      <c r="H222" s="63">
        <v>0</v>
      </c>
      <c r="I222" s="63">
        <v>0</v>
      </c>
      <c r="J222" s="63">
        <v>18107794</v>
      </c>
      <c r="K222" s="63">
        <v>-181000</v>
      </c>
      <c r="L222" s="63">
        <v>0</v>
      </c>
      <c r="M222" s="63">
        <v>0</v>
      </c>
      <c r="N222" s="63">
        <v>0</v>
      </c>
      <c r="O222" s="63">
        <v>-181000</v>
      </c>
      <c r="P222" s="63">
        <v>-350000</v>
      </c>
      <c r="Q222" s="63">
        <v>0</v>
      </c>
      <c r="R222" s="63">
        <v>0</v>
      </c>
      <c r="S222" s="63">
        <v>0</v>
      </c>
      <c r="T222" s="63">
        <v>-350000</v>
      </c>
      <c r="U222" s="63">
        <v>17576794</v>
      </c>
      <c r="V222" s="63">
        <v>0</v>
      </c>
      <c r="W222" s="63">
        <v>0</v>
      </c>
      <c r="X222" s="63">
        <v>0</v>
      </c>
      <c r="Y222" s="63">
        <v>17576794</v>
      </c>
      <c r="Z222" s="63">
        <v>0</v>
      </c>
      <c r="AA222" s="63">
        <v>0</v>
      </c>
      <c r="AB222" s="63">
        <v>0</v>
      </c>
      <c r="AC222" s="63">
        <v>0</v>
      </c>
      <c r="AD222" s="63">
        <v>0</v>
      </c>
      <c r="AE222" s="63">
        <v>0</v>
      </c>
      <c r="AF222" s="63">
        <v>0</v>
      </c>
      <c r="AG222" s="63">
        <v>0</v>
      </c>
      <c r="AH222" s="63">
        <v>0</v>
      </c>
      <c r="AI222" s="63">
        <v>0</v>
      </c>
      <c r="AJ222" s="63">
        <v>0</v>
      </c>
      <c r="AK222" s="63">
        <v>0</v>
      </c>
      <c r="AL222" s="63">
        <v>0</v>
      </c>
      <c r="AM222" s="63">
        <v>0</v>
      </c>
      <c r="AN222" s="63">
        <v>0</v>
      </c>
      <c r="AP222" s="533">
        <v>0</v>
      </c>
      <c r="AQ222" s="533">
        <v>0</v>
      </c>
      <c r="AR222" s="533">
        <v>0</v>
      </c>
      <c r="AS222" s="533">
        <v>0</v>
      </c>
      <c r="AT222" s="534"/>
      <c r="AU222" s="594"/>
      <c r="AV222" s="595"/>
      <c r="AW222" s="595"/>
      <c r="AX222" s="595"/>
    </row>
    <row r="223" spans="1:50" x14ac:dyDescent="0.2">
      <c r="A223" s="201">
        <v>216</v>
      </c>
      <c r="B223" s="129" t="s">
        <v>291</v>
      </c>
      <c r="C223" s="130" t="s">
        <v>749</v>
      </c>
      <c r="D223" s="131" t="s">
        <v>750</v>
      </c>
      <c r="E223" s="132" t="s">
        <v>290</v>
      </c>
      <c r="F223" s="63">
        <v>79061411</v>
      </c>
      <c r="G223" s="63">
        <v>169637</v>
      </c>
      <c r="H223" s="63">
        <v>0</v>
      </c>
      <c r="I223" s="63">
        <v>0</v>
      </c>
      <c r="J223" s="63">
        <v>79231048</v>
      </c>
      <c r="K223" s="63">
        <v>-1000000</v>
      </c>
      <c r="L223" s="63">
        <v>0</v>
      </c>
      <c r="M223" s="63">
        <v>0</v>
      </c>
      <c r="N223" s="63">
        <v>0</v>
      </c>
      <c r="O223" s="63">
        <v>-1000000</v>
      </c>
      <c r="P223" s="63">
        <v>-3866949</v>
      </c>
      <c r="Q223" s="63">
        <v>0</v>
      </c>
      <c r="R223" s="63">
        <v>0</v>
      </c>
      <c r="S223" s="63">
        <v>0</v>
      </c>
      <c r="T223" s="63">
        <v>-3866949</v>
      </c>
      <c r="U223" s="63">
        <v>74194462</v>
      </c>
      <c r="V223" s="63">
        <v>169637</v>
      </c>
      <c r="W223" s="63">
        <v>0</v>
      </c>
      <c r="X223" s="63">
        <v>0</v>
      </c>
      <c r="Y223" s="63">
        <v>74364099</v>
      </c>
      <c r="Z223" s="63">
        <v>157798</v>
      </c>
      <c r="AA223" s="63">
        <v>0</v>
      </c>
      <c r="AB223" s="63">
        <v>0</v>
      </c>
      <c r="AC223" s="63">
        <v>0</v>
      </c>
      <c r="AD223" s="63">
        <v>157798</v>
      </c>
      <c r="AE223" s="63">
        <v>0</v>
      </c>
      <c r="AF223" s="63">
        <v>0</v>
      </c>
      <c r="AG223" s="63">
        <v>0</v>
      </c>
      <c r="AH223" s="63">
        <v>339626</v>
      </c>
      <c r="AI223" s="63">
        <v>0</v>
      </c>
      <c r="AJ223" s="63">
        <v>0</v>
      </c>
      <c r="AK223" s="63">
        <v>0</v>
      </c>
      <c r="AL223" s="63">
        <v>0</v>
      </c>
      <c r="AM223" s="63">
        <v>0</v>
      </c>
      <c r="AN223" s="63">
        <v>0</v>
      </c>
      <c r="AP223" s="533" t="s">
        <v>768</v>
      </c>
      <c r="AQ223" s="533" t="s">
        <v>774</v>
      </c>
      <c r="AR223" s="533">
        <v>0</v>
      </c>
      <c r="AS223" s="533">
        <v>0</v>
      </c>
      <c r="AT223" s="534"/>
      <c r="AU223" s="594"/>
      <c r="AV223" s="595"/>
      <c r="AW223" s="595"/>
      <c r="AX223" s="595"/>
    </row>
    <row r="224" spans="1:50" x14ac:dyDescent="0.2">
      <c r="A224" s="201">
        <v>217</v>
      </c>
      <c r="B224" s="129" t="s">
        <v>293</v>
      </c>
      <c r="C224" s="130" t="s">
        <v>742</v>
      </c>
      <c r="D224" s="131" t="s">
        <v>752</v>
      </c>
      <c r="E224" s="132" t="s">
        <v>292</v>
      </c>
      <c r="F224" s="63">
        <v>48906064</v>
      </c>
      <c r="G224" s="63">
        <v>0</v>
      </c>
      <c r="H224" s="63">
        <v>0</v>
      </c>
      <c r="I224" s="63">
        <v>0</v>
      </c>
      <c r="J224" s="63">
        <v>48906064</v>
      </c>
      <c r="K224" s="63">
        <v>-250000</v>
      </c>
      <c r="L224" s="63">
        <v>0</v>
      </c>
      <c r="M224" s="63">
        <v>0</v>
      </c>
      <c r="N224" s="63">
        <v>0</v>
      </c>
      <c r="O224" s="63">
        <v>-250000</v>
      </c>
      <c r="P224" s="63">
        <v>-1079048</v>
      </c>
      <c r="Q224" s="63">
        <v>0</v>
      </c>
      <c r="R224" s="63">
        <v>0</v>
      </c>
      <c r="S224" s="63">
        <v>0</v>
      </c>
      <c r="T224" s="63">
        <v>-1079048</v>
      </c>
      <c r="U224" s="63">
        <v>47577016</v>
      </c>
      <c r="V224" s="63">
        <v>0</v>
      </c>
      <c r="W224" s="63">
        <v>0</v>
      </c>
      <c r="X224" s="63">
        <v>0</v>
      </c>
      <c r="Y224" s="63">
        <v>47577016</v>
      </c>
      <c r="Z224" s="63">
        <v>0</v>
      </c>
      <c r="AA224" s="63">
        <v>0</v>
      </c>
      <c r="AB224" s="63">
        <v>0</v>
      </c>
      <c r="AC224" s="63">
        <v>0</v>
      </c>
      <c r="AD224" s="63">
        <v>0</v>
      </c>
      <c r="AE224" s="63">
        <v>0</v>
      </c>
      <c r="AF224" s="63">
        <v>0</v>
      </c>
      <c r="AG224" s="63">
        <v>0</v>
      </c>
      <c r="AH224" s="63">
        <v>0</v>
      </c>
      <c r="AI224" s="63">
        <v>0</v>
      </c>
      <c r="AJ224" s="63">
        <v>0</v>
      </c>
      <c r="AK224" s="63">
        <v>0</v>
      </c>
      <c r="AL224" s="63">
        <v>0</v>
      </c>
      <c r="AM224" s="63">
        <v>0</v>
      </c>
      <c r="AN224" s="63">
        <v>0</v>
      </c>
      <c r="AP224" s="533">
        <v>0</v>
      </c>
      <c r="AQ224" s="533">
        <v>0</v>
      </c>
      <c r="AR224" s="533">
        <v>0</v>
      </c>
      <c r="AS224" s="533">
        <v>0</v>
      </c>
      <c r="AT224" s="534"/>
      <c r="AU224" s="594"/>
      <c r="AV224" s="595"/>
      <c r="AW224" s="595"/>
      <c r="AX224" s="595"/>
    </row>
    <row r="225" spans="1:50" x14ac:dyDescent="0.2">
      <c r="A225" s="201">
        <v>218</v>
      </c>
      <c r="B225" s="129" t="s">
        <v>295</v>
      </c>
      <c r="C225" s="130" t="s">
        <v>742</v>
      </c>
      <c r="D225" s="131" t="s">
        <v>743</v>
      </c>
      <c r="E225" s="132" t="s">
        <v>294</v>
      </c>
      <c r="F225" s="63">
        <v>46233494</v>
      </c>
      <c r="G225" s="63">
        <v>0</v>
      </c>
      <c r="H225" s="63">
        <v>0</v>
      </c>
      <c r="I225" s="63">
        <v>0</v>
      </c>
      <c r="J225" s="63">
        <v>46233494</v>
      </c>
      <c r="K225" s="63">
        <v>-748000</v>
      </c>
      <c r="L225" s="63">
        <v>0</v>
      </c>
      <c r="M225" s="63">
        <v>0</v>
      </c>
      <c r="N225" s="63">
        <v>0</v>
      </c>
      <c r="O225" s="63">
        <v>-748000</v>
      </c>
      <c r="P225" s="63">
        <v>-1414000</v>
      </c>
      <c r="Q225" s="63">
        <v>0</v>
      </c>
      <c r="R225" s="63">
        <v>0</v>
      </c>
      <c r="S225" s="63">
        <v>0</v>
      </c>
      <c r="T225" s="63">
        <v>-1414000</v>
      </c>
      <c r="U225" s="63">
        <v>44071494</v>
      </c>
      <c r="V225" s="63">
        <v>0</v>
      </c>
      <c r="W225" s="63">
        <v>0</v>
      </c>
      <c r="X225" s="63">
        <v>0</v>
      </c>
      <c r="Y225" s="63">
        <v>44071494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63">
        <v>0</v>
      </c>
      <c r="AF225" s="63">
        <v>0</v>
      </c>
      <c r="AG225" s="63">
        <v>0</v>
      </c>
      <c r="AH225" s="63">
        <v>0</v>
      </c>
      <c r="AI225" s="63">
        <v>0</v>
      </c>
      <c r="AJ225" s="63">
        <v>0</v>
      </c>
      <c r="AK225" s="63">
        <v>0</v>
      </c>
      <c r="AL225" s="63">
        <v>0</v>
      </c>
      <c r="AM225" s="63">
        <v>0</v>
      </c>
      <c r="AN225" s="63">
        <v>0</v>
      </c>
      <c r="AP225" s="533">
        <v>0</v>
      </c>
      <c r="AQ225" s="533">
        <v>0</v>
      </c>
      <c r="AR225" s="533">
        <v>0</v>
      </c>
      <c r="AS225" s="533">
        <v>0</v>
      </c>
      <c r="AT225" s="534"/>
      <c r="AU225" s="594"/>
      <c r="AV225" s="599"/>
      <c r="AW225" s="595"/>
      <c r="AX225" s="595"/>
    </row>
    <row r="226" spans="1:50" x14ac:dyDescent="0.2">
      <c r="A226" s="201">
        <v>219</v>
      </c>
      <c r="B226" s="129" t="s">
        <v>297</v>
      </c>
      <c r="C226" s="130" t="s">
        <v>742</v>
      </c>
      <c r="D226" s="131" t="s">
        <v>745</v>
      </c>
      <c r="E226" s="132" t="s">
        <v>296</v>
      </c>
      <c r="F226" s="63">
        <v>28913928</v>
      </c>
      <c r="G226" s="63">
        <v>0</v>
      </c>
      <c r="H226" s="63">
        <v>0</v>
      </c>
      <c r="I226" s="63">
        <v>0</v>
      </c>
      <c r="J226" s="63">
        <v>28913928</v>
      </c>
      <c r="K226" s="63">
        <v>-120000</v>
      </c>
      <c r="L226" s="63">
        <v>0</v>
      </c>
      <c r="M226" s="63">
        <v>0</v>
      </c>
      <c r="N226" s="63">
        <v>0</v>
      </c>
      <c r="O226" s="63">
        <v>-120000</v>
      </c>
      <c r="P226" s="63">
        <v>-1826628</v>
      </c>
      <c r="Q226" s="63">
        <v>0</v>
      </c>
      <c r="R226" s="63">
        <v>0</v>
      </c>
      <c r="S226" s="63">
        <v>0</v>
      </c>
      <c r="T226" s="63">
        <v>-1826628</v>
      </c>
      <c r="U226" s="63">
        <v>26967300</v>
      </c>
      <c r="V226" s="63">
        <v>0</v>
      </c>
      <c r="W226" s="63">
        <v>0</v>
      </c>
      <c r="X226" s="63">
        <v>0</v>
      </c>
      <c r="Y226" s="63">
        <v>26967300</v>
      </c>
      <c r="Z226" s="63">
        <v>75000</v>
      </c>
      <c r="AA226" s="63">
        <v>0</v>
      </c>
      <c r="AB226" s="63">
        <v>0</v>
      </c>
      <c r="AC226" s="63">
        <v>0</v>
      </c>
      <c r="AD226" s="63">
        <v>75000</v>
      </c>
      <c r="AE226" s="63">
        <v>0</v>
      </c>
      <c r="AF226" s="63">
        <v>0</v>
      </c>
      <c r="AG226" s="63">
        <v>0</v>
      </c>
      <c r="AH226" s="63">
        <v>0</v>
      </c>
      <c r="AI226" s="63">
        <v>0</v>
      </c>
      <c r="AJ226" s="63">
        <v>0</v>
      </c>
      <c r="AK226" s="63">
        <v>0</v>
      </c>
      <c r="AL226" s="63">
        <v>0</v>
      </c>
      <c r="AM226" s="63">
        <v>0</v>
      </c>
      <c r="AN226" s="63">
        <v>0</v>
      </c>
      <c r="AP226" s="533">
        <v>0</v>
      </c>
      <c r="AQ226" s="533">
        <v>0</v>
      </c>
      <c r="AR226" s="533">
        <v>0</v>
      </c>
      <c r="AS226" s="533">
        <v>0</v>
      </c>
      <c r="AT226" s="534"/>
      <c r="AU226" s="594"/>
      <c r="AV226" s="595"/>
      <c r="AW226" s="595"/>
      <c r="AX226" s="595"/>
    </row>
    <row r="227" spans="1:50" x14ac:dyDescent="0.2">
      <c r="A227" s="201">
        <v>220</v>
      </c>
      <c r="B227" s="129" t="s">
        <v>299</v>
      </c>
      <c r="C227" s="130" t="s">
        <v>742</v>
      </c>
      <c r="D227" s="131" t="s">
        <v>743</v>
      </c>
      <c r="E227" s="132" t="s">
        <v>298</v>
      </c>
      <c r="F227" s="63">
        <v>49306147</v>
      </c>
      <c r="G227" s="63">
        <v>0</v>
      </c>
      <c r="H227" s="63">
        <v>0</v>
      </c>
      <c r="I227" s="63">
        <v>0</v>
      </c>
      <c r="J227" s="63">
        <v>49306147</v>
      </c>
      <c r="K227" s="63">
        <v>-207362</v>
      </c>
      <c r="L227" s="63">
        <v>0</v>
      </c>
      <c r="M227" s="63">
        <v>0</v>
      </c>
      <c r="N227" s="63">
        <v>0</v>
      </c>
      <c r="O227" s="63">
        <v>-207362</v>
      </c>
      <c r="P227" s="63">
        <v>-1432025</v>
      </c>
      <c r="Q227" s="63">
        <v>0</v>
      </c>
      <c r="R227" s="63">
        <v>0</v>
      </c>
      <c r="S227" s="63">
        <v>0</v>
      </c>
      <c r="T227" s="63">
        <v>-1432025</v>
      </c>
      <c r="U227" s="63">
        <v>47666760</v>
      </c>
      <c r="V227" s="63">
        <v>0</v>
      </c>
      <c r="W227" s="63">
        <v>0</v>
      </c>
      <c r="X227" s="63">
        <v>0</v>
      </c>
      <c r="Y227" s="63">
        <v>47666760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63">
        <v>0</v>
      </c>
      <c r="AF227" s="63">
        <v>0</v>
      </c>
      <c r="AG227" s="63">
        <v>0</v>
      </c>
      <c r="AH227" s="63">
        <v>0</v>
      </c>
      <c r="AI227" s="63">
        <v>0</v>
      </c>
      <c r="AJ227" s="63">
        <v>0</v>
      </c>
      <c r="AK227" s="63">
        <v>0</v>
      </c>
      <c r="AL227" s="63">
        <v>0</v>
      </c>
      <c r="AM227" s="63">
        <v>0</v>
      </c>
      <c r="AN227" s="63">
        <v>0</v>
      </c>
      <c r="AP227" s="533">
        <v>0</v>
      </c>
      <c r="AQ227" s="533">
        <v>0</v>
      </c>
      <c r="AR227" s="533">
        <v>0</v>
      </c>
      <c r="AS227" s="533">
        <v>0</v>
      </c>
      <c r="AT227" s="534"/>
      <c r="AU227" s="594"/>
      <c r="AV227" s="595"/>
      <c r="AW227" s="595"/>
      <c r="AX227" s="595"/>
    </row>
    <row r="228" spans="1:50" x14ac:dyDescent="0.2">
      <c r="A228" s="201">
        <v>221</v>
      </c>
      <c r="B228" s="129" t="s">
        <v>300</v>
      </c>
      <c r="C228" s="130" t="s">
        <v>501</v>
      </c>
      <c r="D228" s="131" t="s">
        <v>745</v>
      </c>
      <c r="E228" s="132" t="s">
        <v>541</v>
      </c>
      <c r="F228" s="63">
        <v>10827075</v>
      </c>
      <c r="G228" s="63">
        <v>0</v>
      </c>
      <c r="H228" s="63">
        <v>0</v>
      </c>
      <c r="I228" s="63">
        <v>0</v>
      </c>
      <c r="J228" s="63">
        <v>10827075</v>
      </c>
      <c r="K228" s="63">
        <v>-21000</v>
      </c>
      <c r="L228" s="63">
        <v>0</v>
      </c>
      <c r="M228" s="63">
        <v>0</v>
      </c>
      <c r="N228" s="63">
        <v>0</v>
      </c>
      <c r="O228" s="63">
        <v>-21000</v>
      </c>
      <c r="P228" s="63">
        <v>-131069</v>
      </c>
      <c r="Q228" s="63">
        <v>0</v>
      </c>
      <c r="R228" s="63">
        <v>0</v>
      </c>
      <c r="S228" s="63">
        <v>0</v>
      </c>
      <c r="T228" s="63">
        <v>-131069</v>
      </c>
      <c r="U228" s="63">
        <v>10675006</v>
      </c>
      <c r="V228" s="63">
        <v>0</v>
      </c>
      <c r="W228" s="63">
        <v>0</v>
      </c>
      <c r="X228" s="63">
        <v>0</v>
      </c>
      <c r="Y228" s="63">
        <v>10675006</v>
      </c>
      <c r="Z228" s="63">
        <v>35908</v>
      </c>
      <c r="AA228" s="63">
        <v>0</v>
      </c>
      <c r="AB228" s="63">
        <v>0</v>
      </c>
      <c r="AC228" s="63">
        <v>0</v>
      </c>
      <c r="AD228" s="63">
        <v>35908</v>
      </c>
      <c r="AE228" s="63">
        <v>0</v>
      </c>
      <c r="AF228" s="63">
        <v>0</v>
      </c>
      <c r="AG228" s="63">
        <v>0</v>
      </c>
      <c r="AH228" s="63">
        <v>0</v>
      </c>
      <c r="AI228" s="63">
        <v>0</v>
      </c>
      <c r="AJ228" s="63">
        <v>0</v>
      </c>
      <c r="AK228" s="63">
        <v>0</v>
      </c>
      <c r="AL228" s="63">
        <v>0</v>
      </c>
      <c r="AM228" s="63">
        <v>0</v>
      </c>
      <c r="AN228" s="63">
        <v>0</v>
      </c>
      <c r="AP228" s="533">
        <v>0</v>
      </c>
      <c r="AQ228" s="533">
        <v>0</v>
      </c>
      <c r="AR228" s="533">
        <v>0</v>
      </c>
      <c r="AS228" s="533">
        <v>0</v>
      </c>
      <c r="AT228" s="534"/>
      <c r="AU228" s="594"/>
      <c r="AV228" s="595"/>
      <c r="AW228" s="595"/>
      <c r="AX228" s="595"/>
    </row>
    <row r="229" spans="1:50" x14ac:dyDescent="0.2">
      <c r="A229" s="201">
        <v>222</v>
      </c>
      <c r="B229" s="129" t="s">
        <v>302</v>
      </c>
      <c r="C229" s="130" t="s">
        <v>742</v>
      </c>
      <c r="D229" s="131" t="s">
        <v>750</v>
      </c>
      <c r="E229" s="132" t="s">
        <v>301</v>
      </c>
      <c r="F229" s="63">
        <v>17530327</v>
      </c>
      <c r="G229" s="63">
        <v>0</v>
      </c>
      <c r="H229" s="63">
        <v>0</v>
      </c>
      <c r="I229" s="63">
        <v>0</v>
      </c>
      <c r="J229" s="63">
        <v>17530327</v>
      </c>
      <c r="K229" s="63">
        <v>-70000</v>
      </c>
      <c r="L229" s="63">
        <v>0</v>
      </c>
      <c r="M229" s="63">
        <v>0</v>
      </c>
      <c r="N229" s="63">
        <v>0</v>
      </c>
      <c r="O229" s="63">
        <v>-70000</v>
      </c>
      <c r="P229" s="63">
        <v>-410000</v>
      </c>
      <c r="Q229" s="63">
        <v>0</v>
      </c>
      <c r="R229" s="63">
        <v>0</v>
      </c>
      <c r="S229" s="63">
        <v>0</v>
      </c>
      <c r="T229" s="63">
        <v>-410000</v>
      </c>
      <c r="U229" s="63">
        <v>17050327</v>
      </c>
      <c r="V229" s="63">
        <v>0</v>
      </c>
      <c r="W229" s="63">
        <v>0</v>
      </c>
      <c r="X229" s="63">
        <v>0</v>
      </c>
      <c r="Y229" s="63">
        <v>17050327</v>
      </c>
      <c r="Z229" s="63">
        <v>19720</v>
      </c>
      <c r="AA229" s="63">
        <v>0</v>
      </c>
      <c r="AB229" s="63">
        <v>0</v>
      </c>
      <c r="AC229" s="63">
        <v>0</v>
      </c>
      <c r="AD229" s="63">
        <v>19720</v>
      </c>
      <c r="AE229" s="63">
        <v>0</v>
      </c>
      <c r="AF229" s="63">
        <v>0</v>
      </c>
      <c r="AG229" s="63">
        <v>0</v>
      </c>
      <c r="AH229" s="63">
        <v>0</v>
      </c>
      <c r="AI229" s="63">
        <v>0</v>
      </c>
      <c r="AJ229" s="63">
        <v>0</v>
      </c>
      <c r="AK229" s="63">
        <v>0</v>
      </c>
      <c r="AL229" s="63">
        <v>0</v>
      </c>
      <c r="AM229" s="63">
        <v>0</v>
      </c>
      <c r="AN229" s="63">
        <v>0</v>
      </c>
      <c r="AP229" s="533">
        <v>0</v>
      </c>
      <c r="AQ229" s="533">
        <v>0</v>
      </c>
      <c r="AR229" s="533">
        <v>0</v>
      </c>
      <c r="AS229" s="533">
        <v>0</v>
      </c>
      <c r="AT229" s="534"/>
      <c r="AU229" s="594"/>
      <c r="AV229" s="595"/>
      <c r="AW229" s="595"/>
      <c r="AX229" s="595"/>
    </row>
    <row r="230" spans="1:50" x14ac:dyDescent="0.2">
      <c r="A230" s="201">
        <v>223</v>
      </c>
      <c r="B230" s="129" t="s">
        <v>304</v>
      </c>
      <c r="C230" s="130" t="s">
        <v>749</v>
      </c>
      <c r="D230" s="131" t="s">
        <v>744</v>
      </c>
      <c r="E230" s="132" t="s">
        <v>303</v>
      </c>
      <c r="F230" s="63">
        <v>105559265</v>
      </c>
      <c r="G230" s="63">
        <v>0</v>
      </c>
      <c r="H230" s="63">
        <v>0</v>
      </c>
      <c r="I230" s="63">
        <v>0</v>
      </c>
      <c r="J230" s="63">
        <v>105559265</v>
      </c>
      <c r="K230" s="63">
        <v>-4759000</v>
      </c>
      <c r="L230" s="63">
        <v>0</v>
      </c>
      <c r="M230" s="63">
        <v>0</v>
      </c>
      <c r="N230" s="63">
        <v>0</v>
      </c>
      <c r="O230" s="63">
        <v>-4759000</v>
      </c>
      <c r="P230" s="63">
        <v>-4948032</v>
      </c>
      <c r="Q230" s="63">
        <v>0</v>
      </c>
      <c r="R230" s="63">
        <v>0</v>
      </c>
      <c r="S230" s="63">
        <v>0</v>
      </c>
      <c r="T230" s="63">
        <v>-4948032</v>
      </c>
      <c r="U230" s="63">
        <v>95852233</v>
      </c>
      <c r="V230" s="63">
        <v>0</v>
      </c>
      <c r="W230" s="63">
        <v>0</v>
      </c>
      <c r="X230" s="63">
        <v>0</v>
      </c>
      <c r="Y230" s="63">
        <v>95852233</v>
      </c>
      <c r="Z230" s="63">
        <v>0</v>
      </c>
      <c r="AA230" s="63">
        <v>0</v>
      </c>
      <c r="AB230" s="63">
        <v>0</v>
      </c>
      <c r="AC230" s="63">
        <v>0</v>
      </c>
      <c r="AD230" s="63">
        <v>0</v>
      </c>
      <c r="AE230" s="63">
        <v>0</v>
      </c>
      <c r="AF230" s="63">
        <v>0</v>
      </c>
      <c r="AG230" s="63">
        <v>0</v>
      </c>
      <c r="AH230" s="63">
        <v>0</v>
      </c>
      <c r="AI230" s="63">
        <v>0</v>
      </c>
      <c r="AJ230" s="63">
        <v>0</v>
      </c>
      <c r="AK230" s="63">
        <v>0</v>
      </c>
      <c r="AL230" s="63">
        <v>0</v>
      </c>
      <c r="AM230" s="63">
        <v>0</v>
      </c>
      <c r="AN230" s="63">
        <v>0</v>
      </c>
      <c r="AP230" s="533">
        <v>0</v>
      </c>
      <c r="AQ230" s="533">
        <v>0</v>
      </c>
      <c r="AR230" s="533">
        <v>0</v>
      </c>
      <c r="AS230" s="533">
        <v>0</v>
      </c>
      <c r="AT230" s="534"/>
      <c r="AU230" s="594"/>
      <c r="AV230" s="595"/>
      <c r="AW230" s="595"/>
      <c r="AX230" s="595"/>
    </row>
    <row r="231" spans="1:50" x14ac:dyDescent="0.2">
      <c r="A231" s="201">
        <v>224</v>
      </c>
      <c r="B231" s="129" t="s">
        <v>306</v>
      </c>
      <c r="C231" s="130" t="s">
        <v>749</v>
      </c>
      <c r="D231" s="131" t="s">
        <v>752</v>
      </c>
      <c r="E231" s="132" t="s">
        <v>305</v>
      </c>
      <c r="F231" s="63">
        <v>108398793</v>
      </c>
      <c r="G231" s="63">
        <v>0</v>
      </c>
      <c r="H231" s="63">
        <v>0</v>
      </c>
      <c r="I231" s="63">
        <v>0</v>
      </c>
      <c r="J231" s="63">
        <v>108398793</v>
      </c>
      <c r="K231" s="63">
        <v>-1517862</v>
      </c>
      <c r="L231" s="63">
        <v>0</v>
      </c>
      <c r="M231" s="63">
        <v>0</v>
      </c>
      <c r="N231" s="63">
        <v>0</v>
      </c>
      <c r="O231" s="63">
        <v>-1517862</v>
      </c>
      <c r="P231" s="63">
        <v>-980000</v>
      </c>
      <c r="Q231" s="63">
        <v>0</v>
      </c>
      <c r="R231" s="63">
        <v>0</v>
      </c>
      <c r="S231" s="63">
        <v>0</v>
      </c>
      <c r="T231" s="63">
        <v>-980000</v>
      </c>
      <c r="U231" s="63">
        <v>105900931</v>
      </c>
      <c r="V231" s="63">
        <v>0</v>
      </c>
      <c r="W231" s="63">
        <v>0</v>
      </c>
      <c r="X231" s="63">
        <v>0</v>
      </c>
      <c r="Y231" s="63">
        <v>105900931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63">
        <v>0</v>
      </c>
      <c r="AF231" s="63">
        <v>0</v>
      </c>
      <c r="AG231" s="63">
        <v>0</v>
      </c>
      <c r="AH231" s="63">
        <v>0</v>
      </c>
      <c r="AI231" s="63">
        <v>0</v>
      </c>
      <c r="AJ231" s="63">
        <v>0</v>
      </c>
      <c r="AK231" s="63">
        <v>0</v>
      </c>
      <c r="AL231" s="63">
        <v>0</v>
      </c>
      <c r="AM231" s="63">
        <v>0</v>
      </c>
      <c r="AN231" s="63">
        <v>0</v>
      </c>
      <c r="AP231" s="533">
        <v>0</v>
      </c>
      <c r="AQ231" s="533">
        <v>0</v>
      </c>
      <c r="AR231" s="533">
        <v>0</v>
      </c>
      <c r="AS231" s="533">
        <v>0</v>
      </c>
      <c r="AT231" s="534"/>
      <c r="AU231" s="594"/>
      <c r="AV231" s="595"/>
      <c r="AW231" s="595"/>
      <c r="AX231" s="595"/>
    </row>
    <row r="232" spans="1:50" x14ac:dyDescent="0.2">
      <c r="A232" s="201">
        <v>225</v>
      </c>
      <c r="B232" s="129" t="s">
        <v>308</v>
      </c>
      <c r="C232" s="130" t="s">
        <v>742</v>
      </c>
      <c r="D232" s="131" t="s">
        <v>750</v>
      </c>
      <c r="E232" s="132" t="s">
        <v>307</v>
      </c>
      <c r="F232" s="63">
        <v>35064315</v>
      </c>
      <c r="G232" s="63">
        <v>0</v>
      </c>
      <c r="H232" s="63">
        <v>0</v>
      </c>
      <c r="I232" s="63">
        <v>0</v>
      </c>
      <c r="J232" s="63">
        <v>35064315</v>
      </c>
      <c r="K232" s="63">
        <v>-250000</v>
      </c>
      <c r="L232" s="63">
        <v>0</v>
      </c>
      <c r="M232" s="63">
        <v>0</v>
      </c>
      <c r="N232" s="63">
        <v>0</v>
      </c>
      <c r="O232" s="63">
        <v>-250000</v>
      </c>
      <c r="P232" s="63">
        <v>-1500000</v>
      </c>
      <c r="Q232" s="63">
        <v>0</v>
      </c>
      <c r="R232" s="63">
        <v>0</v>
      </c>
      <c r="S232" s="63">
        <v>0</v>
      </c>
      <c r="T232" s="63">
        <v>-1500000</v>
      </c>
      <c r="U232" s="63">
        <v>33314315</v>
      </c>
      <c r="V232" s="63">
        <v>0</v>
      </c>
      <c r="W232" s="63">
        <v>0</v>
      </c>
      <c r="X232" s="63">
        <v>0</v>
      </c>
      <c r="Y232" s="63">
        <v>33314315</v>
      </c>
      <c r="Z232" s="63">
        <v>0</v>
      </c>
      <c r="AA232" s="63">
        <v>0</v>
      </c>
      <c r="AB232" s="63">
        <v>0</v>
      </c>
      <c r="AC232" s="63">
        <v>0</v>
      </c>
      <c r="AD232" s="63">
        <v>0</v>
      </c>
      <c r="AE232" s="63">
        <v>0</v>
      </c>
      <c r="AF232" s="63">
        <v>0</v>
      </c>
      <c r="AG232" s="63">
        <v>0</v>
      </c>
      <c r="AH232" s="63">
        <v>0</v>
      </c>
      <c r="AI232" s="63">
        <v>0</v>
      </c>
      <c r="AJ232" s="63">
        <v>0</v>
      </c>
      <c r="AK232" s="63">
        <v>0</v>
      </c>
      <c r="AL232" s="63">
        <v>0</v>
      </c>
      <c r="AM232" s="63">
        <v>0</v>
      </c>
      <c r="AN232" s="63">
        <v>0</v>
      </c>
      <c r="AP232" s="533">
        <v>0</v>
      </c>
      <c r="AQ232" s="533">
        <v>0</v>
      </c>
      <c r="AR232" s="533">
        <v>0</v>
      </c>
      <c r="AS232" s="533">
        <v>0</v>
      </c>
      <c r="AT232" s="534"/>
      <c r="AU232" s="594"/>
      <c r="AV232" s="595"/>
      <c r="AW232" s="595"/>
      <c r="AX232" s="595"/>
    </row>
    <row r="233" spans="1:50" x14ac:dyDescent="0.2">
      <c r="A233" s="201">
        <v>226</v>
      </c>
      <c r="B233" s="129" t="s">
        <v>310</v>
      </c>
      <c r="C233" s="130" t="s">
        <v>742</v>
      </c>
      <c r="D233" s="131" t="s">
        <v>751</v>
      </c>
      <c r="E233" s="132" t="s">
        <v>309</v>
      </c>
      <c r="F233" s="63">
        <v>39975618</v>
      </c>
      <c r="G233" s="63">
        <v>0</v>
      </c>
      <c r="H233" s="63">
        <v>0</v>
      </c>
      <c r="I233" s="63">
        <v>0</v>
      </c>
      <c r="J233" s="63">
        <v>39975618</v>
      </c>
      <c r="K233" s="63">
        <v>-198739</v>
      </c>
      <c r="L233" s="63">
        <v>0</v>
      </c>
      <c r="M233" s="63">
        <v>0</v>
      </c>
      <c r="N233" s="63">
        <v>0</v>
      </c>
      <c r="O233" s="63">
        <v>-198739</v>
      </c>
      <c r="P233" s="63">
        <v>-1098390</v>
      </c>
      <c r="Q233" s="63">
        <v>0</v>
      </c>
      <c r="R233" s="63">
        <v>0</v>
      </c>
      <c r="S233" s="63">
        <v>0</v>
      </c>
      <c r="T233" s="63">
        <v>-1098390</v>
      </c>
      <c r="U233" s="63">
        <v>38678489</v>
      </c>
      <c r="V233" s="63">
        <v>0</v>
      </c>
      <c r="W233" s="63">
        <v>0</v>
      </c>
      <c r="X233" s="63">
        <v>0</v>
      </c>
      <c r="Y233" s="63">
        <v>38678489</v>
      </c>
      <c r="Z233" s="63">
        <v>182775</v>
      </c>
      <c r="AA233" s="63">
        <v>0</v>
      </c>
      <c r="AB233" s="63">
        <v>0</v>
      </c>
      <c r="AC233" s="63">
        <v>0</v>
      </c>
      <c r="AD233" s="63">
        <v>182775</v>
      </c>
      <c r="AE233" s="63">
        <v>0</v>
      </c>
      <c r="AF233" s="63">
        <v>0</v>
      </c>
      <c r="AG233" s="63">
        <v>0</v>
      </c>
      <c r="AH233" s="63">
        <v>0</v>
      </c>
      <c r="AI233" s="63">
        <v>0</v>
      </c>
      <c r="AJ233" s="63">
        <v>0</v>
      </c>
      <c r="AK233" s="63">
        <v>0</v>
      </c>
      <c r="AL233" s="63">
        <v>0</v>
      </c>
      <c r="AM233" s="63">
        <v>0</v>
      </c>
      <c r="AN233" s="63">
        <v>0</v>
      </c>
      <c r="AP233" s="533">
        <v>0</v>
      </c>
      <c r="AQ233" s="533">
        <v>0</v>
      </c>
      <c r="AR233" s="533">
        <v>0</v>
      </c>
      <c r="AS233" s="533">
        <v>0</v>
      </c>
      <c r="AT233" s="534"/>
      <c r="AU233" s="594"/>
      <c r="AV233" s="599"/>
      <c r="AW233" s="595"/>
      <c r="AX233" s="595"/>
    </row>
    <row r="234" spans="1:50" x14ac:dyDescent="0.2">
      <c r="A234" s="201">
        <v>227</v>
      </c>
      <c r="B234" s="129" t="s">
        <v>312</v>
      </c>
      <c r="C234" s="130" t="s">
        <v>749</v>
      </c>
      <c r="D234" s="131" t="s">
        <v>744</v>
      </c>
      <c r="E234" s="132" t="s">
        <v>311</v>
      </c>
      <c r="F234" s="63">
        <v>73042594</v>
      </c>
      <c r="G234" s="63">
        <v>0</v>
      </c>
      <c r="H234" s="63">
        <v>0</v>
      </c>
      <c r="I234" s="63">
        <v>0</v>
      </c>
      <c r="J234" s="63">
        <v>73042594</v>
      </c>
      <c r="K234" s="63">
        <v>-1517000</v>
      </c>
      <c r="L234" s="63">
        <v>0</v>
      </c>
      <c r="M234" s="63">
        <v>0</v>
      </c>
      <c r="N234" s="63">
        <v>0</v>
      </c>
      <c r="O234" s="63">
        <v>-1517000</v>
      </c>
      <c r="P234" s="63">
        <v>-3901000</v>
      </c>
      <c r="Q234" s="63">
        <v>0</v>
      </c>
      <c r="R234" s="63">
        <v>0</v>
      </c>
      <c r="S234" s="63">
        <v>0</v>
      </c>
      <c r="T234" s="63">
        <v>-3901000</v>
      </c>
      <c r="U234" s="63">
        <v>67624594</v>
      </c>
      <c r="V234" s="63">
        <v>0</v>
      </c>
      <c r="W234" s="63">
        <v>0</v>
      </c>
      <c r="X234" s="63">
        <v>0</v>
      </c>
      <c r="Y234" s="63">
        <v>67624594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63">
        <v>0</v>
      </c>
      <c r="AF234" s="63">
        <v>0</v>
      </c>
      <c r="AG234" s="63">
        <v>0</v>
      </c>
      <c r="AH234" s="63">
        <v>0</v>
      </c>
      <c r="AI234" s="63">
        <v>0</v>
      </c>
      <c r="AJ234" s="63">
        <v>0</v>
      </c>
      <c r="AK234" s="63">
        <v>0</v>
      </c>
      <c r="AL234" s="63">
        <v>0</v>
      </c>
      <c r="AM234" s="63">
        <v>0</v>
      </c>
      <c r="AN234" s="63">
        <v>0</v>
      </c>
      <c r="AP234" s="533">
        <v>0</v>
      </c>
      <c r="AQ234" s="533">
        <v>0</v>
      </c>
      <c r="AR234" s="533">
        <v>0</v>
      </c>
      <c r="AS234" s="533">
        <v>0</v>
      </c>
      <c r="AT234" s="534"/>
      <c r="AU234" s="594"/>
      <c r="AV234" s="595"/>
      <c r="AW234" s="595"/>
      <c r="AX234" s="595"/>
    </row>
    <row r="235" spans="1:50" x14ac:dyDescent="0.2">
      <c r="A235" s="201">
        <v>228</v>
      </c>
      <c r="B235" s="129" t="s">
        <v>314</v>
      </c>
      <c r="C235" s="130" t="s">
        <v>742</v>
      </c>
      <c r="D235" s="131" t="s">
        <v>750</v>
      </c>
      <c r="E235" s="132" t="s">
        <v>313</v>
      </c>
      <c r="F235" s="63">
        <v>41810174</v>
      </c>
      <c r="G235" s="63">
        <v>0</v>
      </c>
      <c r="H235" s="63">
        <v>0</v>
      </c>
      <c r="I235" s="63">
        <v>0</v>
      </c>
      <c r="J235" s="63">
        <v>41810174</v>
      </c>
      <c r="K235" s="63">
        <v>-209051</v>
      </c>
      <c r="L235" s="63">
        <v>0</v>
      </c>
      <c r="M235" s="63">
        <v>0</v>
      </c>
      <c r="N235" s="63">
        <v>0</v>
      </c>
      <c r="O235" s="63">
        <v>-209051</v>
      </c>
      <c r="P235" s="63">
        <v>-1454758</v>
      </c>
      <c r="Q235" s="63">
        <v>0</v>
      </c>
      <c r="R235" s="63">
        <v>0</v>
      </c>
      <c r="S235" s="63">
        <v>0</v>
      </c>
      <c r="T235" s="63">
        <v>-1454758</v>
      </c>
      <c r="U235" s="63">
        <v>40146365</v>
      </c>
      <c r="V235" s="63">
        <v>0</v>
      </c>
      <c r="W235" s="63">
        <v>0</v>
      </c>
      <c r="X235" s="63">
        <v>0</v>
      </c>
      <c r="Y235" s="63">
        <v>40146365</v>
      </c>
      <c r="Z235" s="63">
        <v>7416100</v>
      </c>
      <c r="AA235" s="63">
        <v>0</v>
      </c>
      <c r="AB235" s="63">
        <v>0</v>
      </c>
      <c r="AC235" s="63">
        <v>0</v>
      </c>
      <c r="AD235" s="63">
        <v>7416100</v>
      </c>
      <c r="AE235" s="63">
        <v>0</v>
      </c>
      <c r="AF235" s="63">
        <v>0</v>
      </c>
      <c r="AG235" s="63">
        <v>0</v>
      </c>
      <c r="AH235" s="63">
        <v>0</v>
      </c>
      <c r="AI235" s="63">
        <v>0</v>
      </c>
      <c r="AJ235" s="63">
        <v>0</v>
      </c>
      <c r="AK235" s="63">
        <v>0</v>
      </c>
      <c r="AL235" s="63">
        <v>0</v>
      </c>
      <c r="AM235" s="63">
        <v>0</v>
      </c>
      <c r="AN235" s="63">
        <v>0</v>
      </c>
      <c r="AP235" s="533">
        <v>0</v>
      </c>
      <c r="AQ235" s="533">
        <v>0</v>
      </c>
      <c r="AR235" s="533">
        <v>0</v>
      </c>
      <c r="AS235" s="533">
        <v>0</v>
      </c>
      <c r="AT235" s="534"/>
      <c r="AU235" s="594"/>
      <c r="AV235" s="595"/>
      <c r="AW235" s="595"/>
      <c r="AX235" s="595"/>
    </row>
    <row r="236" spans="1:50" x14ac:dyDescent="0.2">
      <c r="A236" s="201">
        <v>229</v>
      </c>
      <c r="B236" s="129" t="s">
        <v>316</v>
      </c>
      <c r="C236" s="130" t="s">
        <v>742</v>
      </c>
      <c r="D236" s="131" t="s">
        <v>743</v>
      </c>
      <c r="E236" s="132" t="s">
        <v>315</v>
      </c>
      <c r="F236" s="63">
        <v>37458181</v>
      </c>
      <c r="G236" s="63">
        <v>0</v>
      </c>
      <c r="H236" s="63">
        <v>0</v>
      </c>
      <c r="I236" s="63">
        <v>0</v>
      </c>
      <c r="J236" s="63">
        <v>37458181</v>
      </c>
      <c r="K236" s="63">
        <v>-100000</v>
      </c>
      <c r="L236" s="63">
        <v>0</v>
      </c>
      <c r="M236" s="63">
        <v>0</v>
      </c>
      <c r="N236" s="63">
        <v>0</v>
      </c>
      <c r="O236" s="63">
        <v>-100000</v>
      </c>
      <c r="P236" s="63">
        <v>-457917</v>
      </c>
      <c r="Q236" s="63">
        <v>0</v>
      </c>
      <c r="R236" s="63">
        <v>0</v>
      </c>
      <c r="S236" s="63">
        <v>0</v>
      </c>
      <c r="T236" s="63">
        <v>-457917</v>
      </c>
      <c r="U236" s="63">
        <v>36900264</v>
      </c>
      <c r="V236" s="63">
        <v>0</v>
      </c>
      <c r="W236" s="63">
        <v>0</v>
      </c>
      <c r="X236" s="63">
        <v>0</v>
      </c>
      <c r="Y236" s="63">
        <v>36900264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63">
        <v>0</v>
      </c>
      <c r="AF236" s="63">
        <v>0</v>
      </c>
      <c r="AG236" s="63">
        <v>0</v>
      </c>
      <c r="AH236" s="63">
        <v>0</v>
      </c>
      <c r="AI236" s="63">
        <v>0</v>
      </c>
      <c r="AJ236" s="63">
        <v>0</v>
      </c>
      <c r="AK236" s="63">
        <v>0</v>
      </c>
      <c r="AL236" s="63">
        <v>0</v>
      </c>
      <c r="AM236" s="63">
        <v>0</v>
      </c>
      <c r="AN236" s="63">
        <v>0</v>
      </c>
      <c r="AP236" s="533">
        <v>0</v>
      </c>
      <c r="AQ236" s="533">
        <v>0</v>
      </c>
      <c r="AR236" s="533">
        <v>0</v>
      </c>
      <c r="AS236" s="533">
        <v>0</v>
      </c>
      <c r="AT236" s="534"/>
      <c r="AU236" s="594"/>
      <c r="AV236" s="595"/>
      <c r="AW236" s="595"/>
      <c r="AX236" s="595"/>
    </row>
    <row r="237" spans="1:50" x14ac:dyDescent="0.2">
      <c r="A237" s="201">
        <v>230</v>
      </c>
      <c r="B237" s="129" t="s">
        <v>318</v>
      </c>
      <c r="C237" s="130" t="s">
        <v>749</v>
      </c>
      <c r="D237" s="131" t="s">
        <v>750</v>
      </c>
      <c r="E237" s="132" t="s">
        <v>317</v>
      </c>
      <c r="F237" s="63">
        <v>218821775</v>
      </c>
      <c r="G237" s="63">
        <v>2672162</v>
      </c>
      <c r="H237" s="63">
        <v>1870987</v>
      </c>
      <c r="I237" s="63">
        <v>0</v>
      </c>
      <c r="J237" s="63">
        <v>223364924</v>
      </c>
      <c r="K237" s="63">
        <v>-1967794</v>
      </c>
      <c r="L237" s="63">
        <v>-24030</v>
      </c>
      <c r="M237" s="63">
        <v>-16825</v>
      </c>
      <c r="N237" s="63">
        <v>0</v>
      </c>
      <c r="O237" s="63">
        <v>-2008649</v>
      </c>
      <c r="P237" s="63">
        <v>-3316151</v>
      </c>
      <c r="Q237" s="63">
        <v>-40495</v>
      </c>
      <c r="R237" s="63">
        <v>-28354</v>
      </c>
      <c r="S237" s="63">
        <v>0</v>
      </c>
      <c r="T237" s="63">
        <v>-3385000</v>
      </c>
      <c r="U237" s="63">
        <v>213537830</v>
      </c>
      <c r="V237" s="63">
        <v>2607637</v>
      </c>
      <c r="W237" s="63">
        <v>1825808</v>
      </c>
      <c r="X237" s="63">
        <v>0</v>
      </c>
      <c r="Y237" s="63">
        <v>217971275</v>
      </c>
      <c r="Z237" s="63">
        <v>868197</v>
      </c>
      <c r="AA237" s="63">
        <v>0</v>
      </c>
      <c r="AB237" s="63">
        <v>0</v>
      </c>
      <c r="AC237" s="63">
        <v>0</v>
      </c>
      <c r="AD237" s="63">
        <v>868197</v>
      </c>
      <c r="AE237" s="63">
        <v>0</v>
      </c>
      <c r="AF237" s="63">
        <v>0</v>
      </c>
      <c r="AG237" s="63">
        <v>0</v>
      </c>
      <c r="AH237" s="63">
        <v>1695300</v>
      </c>
      <c r="AI237" s="63">
        <v>1541754</v>
      </c>
      <c r="AJ237" s="63">
        <v>0</v>
      </c>
      <c r="AK237" s="63">
        <v>912337</v>
      </c>
      <c r="AL237" s="63">
        <v>284054</v>
      </c>
      <c r="AM237" s="63">
        <v>0</v>
      </c>
      <c r="AN237" s="63">
        <v>1196391</v>
      </c>
      <c r="AP237" s="533" t="s">
        <v>768</v>
      </c>
      <c r="AQ237" s="533" t="s">
        <v>774</v>
      </c>
      <c r="AR237" s="533" t="s">
        <v>781</v>
      </c>
      <c r="AS237" s="533">
        <v>0</v>
      </c>
      <c r="AT237" s="534"/>
      <c r="AU237" s="594"/>
      <c r="AV237" s="595"/>
      <c r="AW237" s="595"/>
      <c r="AX237" s="595"/>
    </row>
    <row r="238" spans="1:50" x14ac:dyDescent="0.2">
      <c r="A238" s="201">
        <v>231</v>
      </c>
      <c r="B238" s="129" t="s">
        <v>320</v>
      </c>
      <c r="C238" s="130" t="s">
        <v>742</v>
      </c>
      <c r="D238" s="131" t="s">
        <v>743</v>
      </c>
      <c r="E238" s="132" t="s">
        <v>319</v>
      </c>
      <c r="F238" s="63">
        <v>29013429</v>
      </c>
      <c r="G238" s="63">
        <v>0</v>
      </c>
      <c r="H238" s="63">
        <v>0</v>
      </c>
      <c r="I238" s="63">
        <v>0</v>
      </c>
      <c r="J238" s="63">
        <v>29013429</v>
      </c>
      <c r="K238" s="63">
        <v>-190000</v>
      </c>
      <c r="L238" s="63">
        <v>0</v>
      </c>
      <c r="M238" s="63">
        <v>0</v>
      </c>
      <c r="N238" s="63">
        <v>0</v>
      </c>
      <c r="O238" s="63">
        <v>-190000</v>
      </c>
      <c r="P238" s="63">
        <v>-614890</v>
      </c>
      <c r="Q238" s="63">
        <v>0</v>
      </c>
      <c r="R238" s="63">
        <v>0</v>
      </c>
      <c r="S238" s="63">
        <v>0</v>
      </c>
      <c r="T238" s="63">
        <v>-614890</v>
      </c>
      <c r="U238" s="63">
        <v>28208539</v>
      </c>
      <c r="V238" s="63">
        <v>0</v>
      </c>
      <c r="W238" s="63">
        <v>0</v>
      </c>
      <c r="X238" s="63">
        <v>0</v>
      </c>
      <c r="Y238" s="63">
        <v>28208539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63">
        <v>0</v>
      </c>
      <c r="AF238" s="63">
        <v>0</v>
      </c>
      <c r="AG238" s="63">
        <v>0</v>
      </c>
      <c r="AH238" s="63">
        <v>0</v>
      </c>
      <c r="AI238" s="63">
        <v>0</v>
      </c>
      <c r="AJ238" s="63">
        <v>0</v>
      </c>
      <c r="AK238" s="63">
        <v>0</v>
      </c>
      <c r="AL238" s="63">
        <v>0</v>
      </c>
      <c r="AM238" s="63">
        <v>0</v>
      </c>
      <c r="AN238" s="63">
        <v>0</v>
      </c>
      <c r="AP238" s="533">
        <v>0</v>
      </c>
      <c r="AQ238" s="533">
        <v>0</v>
      </c>
      <c r="AR238" s="533">
        <v>0</v>
      </c>
      <c r="AS238" s="533">
        <v>0</v>
      </c>
      <c r="AT238" s="534"/>
      <c r="AU238" s="594"/>
      <c r="AV238" s="595"/>
      <c r="AW238" s="595"/>
      <c r="AX238" s="595"/>
    </row>
    <row r="239" spans="1:50" x14ac:dyDescent="0.2">
      <c r="A239" s="201">
        <v>232</v>
      </c>
      <c r="B239" s="129" t="s">
        <v>322</v>
      </c>
      <c r="C239" s="130" t="s">
        <v>501</v>
      </c>
      <c r="D239" s="131" t="s">
        <v>752</v>
      </c>
      <c r="E239" s="132" t="s">
        <v>321</v>
      </c>
      <c r="F239" s="63">
        <v>82115499</v>
      </c>
      <c r="G239" s="63">
        <v>0</v>
      </c>
      <c r="H239" s="63">
        <v>0</v>
      </c>
      <c r="I239" s="63">
        <v>0</v>
      </c>
      <c r="J239" s="63">
        <v>82115499</v>
      </c>
      <c r="K239" s="63">
        <v>-821155</v>
      </c>
      <c r="L239" s="63">
        <v>0</v>
      </c>
      <c r="M239" s="63">
        <v>0</v>
      </c>
      <c r="N239" s="63">
        <v>0</v>
      </c>
      <c r="O239" s="63">
        <v>-821155</v>
      </c>
      <c r="P239" s="63">
        <v>-1553877</v>
      </c>
      <c r="Q239" s="63">
        <v>0</v>
      </c>
      <c r="R239" s="63">
        <v>0</v>
      </c>
      <c r="S239" s="63">
        <v>0</v>
      </c>
      <c r="T239" s="63">
        <v>-1553877</v>
      </c>
      <c r="U239" s="63">
        <v>79740467</v>
      </c>
      <c r="V239" s="63">
        <v>0</v>
      </c>
      <c r="W239" s="63">
        <v>0</v>
      </c>
      <c r="X239" s="63">
        <v>0</v>
      </c>
      <c r="Y239" s="63">
        <v>79740467</v>
      </c>
      <c r="Z239" s="63">
        <v>202776</v>
      </c>
      <c r="AA239" s="63">
        <v>0</v>
      </c>
      <c r="AB239" s="63">
        <v>0</v>
      </c>
      <c r="AC239" s="63">
        <v>0</v>
      </c>
      <c r="AD239" s="63">
        <v>202776</v>
      </c>
      <c r="AE239" s="63">
        <v>0</v>
      </c>
      <c r="AF239" s="63">
        <v>0</v>
      </c>
      <c r="AG239" s="63">
        <v>0</v>
      </c>
      <c r="AH239" s="63">
        <v>0</v>
      </c>
      <c r="AI239" s="63">
        <v>0</v>
      </c>
      <c r="AJ239" s="63">
        <v>0</v>
      </c>
      <c r="AK239" s="63">
        <v>0</v>
      </c>
      <c r="AL239" s="63">
        <v>0</v>
      </c>
      <c r="AM239" s="63">
        <v>0</v>
      </c>
      <c r="AN239" s="63">
        <v>0</v>
      </c>
      <c r="AP239" s="533">
        <v>0</v>
      </c>
      <c r="AQ239" s="533">
        <v>0</v>
      </c>
      <c r="AR239" s="533">
        <v>0</v>
      </c>
      <c r="AS239" s="533">
        <v>0</v>
      </c>
      <c r="AT239" s="534"/>
      <c r="AU239" s="594"/>
      <c r="AV239" s="595"/>
      <c r="AW239" s="595"/>
      <c r="AX239" s="595"/>
    </row>
    <row r="240" spans="1:50" x14ac:dyDescent="0.2">
      <c r="A240" s="201">
        <v>233</v>
      </c>
      <c r="B240" s="129" t="s">
        <v>323</v>
      </c>
      <c r="C240" s="130" t="s">
        <v>501</v>
      </c>
      <c r="D240" s="131" t="s">
        <v>743</v>
      </c>
      <c r="E240" s="132" t="s">
        <v>508</v>
      </c>
      <c r="F240" s="63">
        <v>102433819</v>
      </c>
      <c r="G240" s="63">
        <v>0</v>
      </c>
      <c r="H240" s="63">
        <v>0</v>
      </c>
      <c r="I240" s="63">
        <v>0</v>
      </c>
      <c r="J240" s="63">
        <v>102433819</v>
      </c>
      <c r="K240" s="63">
        <v>-2056362</v>
      </c>
      <c r="L240" s="63">
        <v>0</v>
      </c>
      <c r="M240" s="63">
        <v>0</v>
      </c>
      <c r="N240" s="63">
        <v>0</v>
      </c>
      <c r="O240" s="63">
        <v>-2056362</v>
      </c>
      <c r="P240" s="63">
        <v>-1455249</v>
      </c>
      <c r="Q240" s="63">
        <v>0</v>
      </c>
      <c r="R240" s="63">
        <v>0</v>
      </c>
      <c r="S240" s="63">
        <v>0</v>
      </c>
      <c r="T240" s="63">
        <v>-1455249</v>
      </c>
      <c r="U240" s="63">
        <v>98922208</v>
      </c>
      <c r="V240" s="63">
        <v>0</v>
      </c>
      <c r="W240" s="63">
        <v>0</v>
      </c>
      <c r="X240" s="63">
        <v>0</v>
      </c>
      <c r="Y240" s="63">
        <v>98922208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63">
        <v>0</v>
      </c>
      <c r="AF240" s="63">
        <v>0</v>
      </c>
      <c r="AG240" s="63">
        <v>0</v>
      </c>
      <c r="AH240" s="63">
        <v>0</v>
      </c>
      <c r="AI240" s="63">
        <v>0</v>
      </c>
      <c r="AJ240" s="63">
        <v>0</v>
      </c>
      <c r="AK240" s="63">
        <v>0</v>
      </c>
      <c r="AL240" s="63">
        <v>0</v>
      </c>
      <c r="AM240" s="63">
        <v>0</v>
      </c>
      <c r="AN240" s="63">
        <v>0</v>
      </c>
      <c r="AP240" s="533">
        <v>0</v>
      </c>
      <c r="AQ240" s="533">
        <v>0</v>
      </c>
      <c r="AR240" s="533">
        <v>0</v>
      </c>
      <c r="AS240" s="533">
        <v>0</v>
      </c>
      <c r="AT240" s="534"/>
      <c r="AU240" s="594"/>
      <c r="AV240" s="595"/>
      <c r="AW240" s="595"/>
      <c r="AX240" s="595"/>
    </row>
    <row r="241" spans="1:50" x14ac:dyDescent="0.2">
      <c r="A241" s="201">
        <v>234</v>
      </c>
      <c r="B241" s="129" t="s">
        <v>325</v>
      </c>
      <c r="C241" s="130" t="s">
        <v>749</v>
      </c>
      <c r="D241" s="131" t="s">
        <v>752</v>
      </c>
      <c r="E241" s="132" t="s">
        <v>324</v>
      </c>
      <c r="F241" s="63">
        <v>123755895</v>
      </c>
      <c r="G241" s="63">
        <v>0</v>
      </c>
      <c r="H241" s="63">
        <v>0</v>
      </c>
      <c r="I241" s="63">
        <v>0</v>
      </c>
      <c r="J241" s="63">
        <v>123755895</v>
      </c>
      <c r="K241" s="63">
        <v>-618779</v>
      </c>
      <c r="L241" s="63">
        <v>0</v>
      </c>
      <c r="M241" s="63">
        <v>0</v>
      </c>
      <c r="N241" s="63">
        <v>0</v>
      </c>
      <c r="O241" s="63">
        <v>-618779</v>
      </c>
      <c r="P241" s="63">
        <v>-2673740</v>
      </c>
      <c r="Q241" s="63">
        <v>0</v>
      </c>
      <c r="R241" s="63">
        <v>0</v>
      </c>
      <c r="S241" s="63">
        <v>0</v>
      </c>
      <c r="T241" s="63">
        <v>-2673740</v>
      </c>
      <c r="U241" s="63">
        <v>120463376</v>
      </c>
      <c r="V241" s="63">
        <v>0</v>
      </c>
      <c r="W241" s="63">
        <v>0</v>
      </c>
      <c r="X241" s="63">
        <v>0</v>
      </c>
      <c r="Y241" s="63">
        <v>120463376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63">
        <v>0</v>
      </c>
      <c r="AF241" s="63">
        <v>0</v>
      </c>
      <c r="AG241" s="63">
        <v>0</v>
      </c>
      <c r="AH241" s="63">
        <v>0</v>
      </c>
      <c r="AI241" s="63">
        <v>0</v>
      </c>
      <c r="AJ241" s="63">
        <v>0</v>
      </c>
      <c r="AK241" s="63">
        <v>0</v>
      </c>
      <c r="AL241" s="63">
        <v>0</v>
      </c>
      <c r="AM241" s="63">
        <v>0</v>
      </c>
      <c r="AN241" s="63">
        <v>0</v>
      </c>
      <c r="AP241" s="533">
        <v>0</v>
      </c>
      <c r="AQ241" s="533">
        <v>0</v>
      </c>
      <c r="AR241" s="533">
        <v>0</v>
      </c>
      <c r="AS241" s="533">
        <v>0</v>
      </c>
      <c r="AT241" s="534"/>
      <c r="AU241" s="594"/>
      <c r="AV241" s="595"/>
      <c r="AW241" s="595"/>
      <c r="AX241" s="595"/>
    </row>
    <row r="242" spans="1:50" x14ac:dyDescent="0.2">
      <c r="A242" s="201">
        <v>235</v>
      </c>
      <c r="B242" s="129" t="s">
        <v>327</v>
      </c>
      <c r="C242" s="130" t="s">
        <v>742</v>
      </c>
      <c r="D242" s="131" t="s">
        <v>743</v>
      </c>
      <c r="E242" s="132" t="s">
        <v>326</v>
      </c>
      <c r="F242" s="63">
        <v>33596575</v>
      </c>
      <c r="G242" s="63">
        <v>0</v>
      </c>
      <c r="H242" s="63">
        <v>0</v>
      </c>
      <c r="I242" s="63">
        <v>0</v>
      </c>
      <c r="J242" s="63">
        <v>33596575</v>
      </c>
      <c r="K242" s="63">
        <v>-335966</v>
      </c>
      <c r="L242" s="63">
        <v>0</v>
      </c>
      <c r="M242" s="63">
        <v>0</v>
      </c>
      <c r="N242" s="63">
        <v>0</v>
      </c>
      <c r="O242" s="63">
        <v>-335966</v>
      </c>
      <c r="P242" s="63">
        <v>-170518</v>
      </c>
      <c r="Q242" s="63">
        <v>0</v>
      </c>
      <c r="R242" s="63">
        <v>0</v>
      </c>
      <c r="S242" s="63">
        <v>0</v>
      </c>
      <c r="T242" s="63">
        <v>-170518</v>
      </c>
      <c r="U242" s="63">
        <v>33090091</v>
      </c>
      <c r="V242" s="63">
        <v>0</v>
      </c>
      <c r="W242" s="63">
        <v>0</v>
      </c>
      <c r="X242" s="63">
        <v>0</v>
      </c>
      <c r="Y242" s="63">
        <v>33090091</v>
      </c>
      <c r="Z242" s="63">
        <v>0</v>
      </c>
      <c r="AA242" s="63">
        <v>0</v>
      </c>
      <c r="AB242" s="63">
        <v>0</v>
      </c>
      <c r="AC242" s="63">
        <v>0</v>
      </c>
      <c r="AD242" s="63">
        <v>0</v>
      </c>
      <c r="AE242" s="63">
        <v>0</v>
      </c>
      <c r="AF242" s="63">
        <v>0</v>
      </c>
      <c r="AG242" s="63">
        <v>0</v>
      </c>
      <c r="AH242" s="63">
        <v>0</v>
      </c>
      <c r="AI242" s="63">
        <v>0</v>
      </c>
      <c r="AJ242" s="63">
        <v>0</v>
      </c>
      <c r="AK242" s="63">
        <v>0</v>
      </c>
      <c r="AL242" s="63">
        <v>0</v>
      </c>
      <c r="AM242" s="63">
        <v>0</v>
      </c>
      <c r="AN242" s="63">
        <v>0</v>
      </c>
      <c r="AP242" s="533">
        <v>0</v>
      </c>
      <c r="AQ242" s="533">
        <v>0</v>
      </c>
      <c r="AR242" s="533">
        <v>0</v>
      </c>
      <c r="AS242" s="533">
        <v>0</v>
      </c>
      <c r="AT242" s="534"/>
      <c r="AU242" s="594"/>
      <c r="AV242" s="595"/>
      <c r="AW242" s="595"/>
      <c r="AX242" s="595"/>
    </row>
    <row r="243" spans="1:50" x14ac:dyDescent="0.2">
      <c r="A243" s="201">
        <v>236</v>
      </c>
      <c r="B243" s="129" t="s">
        <v>329</v>
      </c>
      <c r="C243" s="130" t="s">
        <v>742</v>
      </c>
      <c r="D243" s="131" t="s">
        <v>746</v>
      </c>
      <c r="E243" s="132" t="s">
        <v>328</v>
      </c>
      <c r="F243" s="63">
        <v>75014121</v>
      </c>
      <c r="G243" s="63">
        <v>0</v>
      </c>
      <c r="H243" s="63">
        <v>0</v>
      </c>
      <c r="I243" s="63">
        <v>0</v>
      </c>
      <c r="J243" s="63">
        <v>75014121</v>
      </c>
      <c r="K243" s="63">
        <v>-152000</v>
      </c>
      <c r="L243" s="63">
        <v>0</v>
      </c>
      <c r="M243" s="63">
        <v>0</v>
      </c>
      <c r="N243" s="63">
        <v>0</v>
      </c>
      <c r="O243" s="63">
        <v>-152000</v>
      </c>
      <c r="P243" s="63">
        <v>-1500000</v>
      </c>
      <c r="Q243" s="63">
        <v>0</v>
      </c>
      <c r="R243" s="63">
        <v>0</v>
      </c>
      <c r="S243" s="63">
        <v>0</v>
      </c>
      <c r="T243" s="63">
        <v>-1500000</v>
      </c>
      <c r="U243" s="63">
        <v>73362121</v>
      </c>
      <c r="V243" s="63">
        <v>0</v>
      </c>
      <c r="W243" s="63">
        <v>0</v>
      </c>
      <c r="X243" s="63">
        <v>0</v>
      </c>
      <c r="Y243" s="63">
        <v>73362121</v>
      </c>
      <c r="Z243" s="63">
        <v>548372</v>
      </c>
      <c r="AA243" s="63">
        <v>0</v>
      </c>
      <c r="AB243" s="63">
        <v>0</v>
      </c>
      <c r="AC243" s="63">
        <v>0</v>
      </c>
      <c r="AD243" s="63">
        <v>548372</v>
      </c>
      <c r="AE243" s="63">
        <v>0</v>
      </c>
      <c r="AF243" s="63">
        <v>0</v>
      </c>
      <c r="AG243" s="63">
        <v>0</v>
      </c>
      <c r="AH243" s="63">
        <v>0</v>
      </c>
      <c r="AI243" s="63">
        <v>0</v>
      </c>
      <c r="AJ243" s="63">
        <v>0</v>
      </c>
      <c r="AK243" s="63">
        <v>0</v>
      </c>
      <c r="AL243" s="63">
        <v>0</v>
      </c>
      <c r="AM243" s="63">
        <v>0</v>
      </c>
      <c r="AN243" s="63">
        <v>0</v>
      </c>
      <c r="AP243" s="533" t="s">
        <v>768</v>
      </c>
      <c r="AQ243" s="533" t="s">
        <v>993</v>
      </c>
      <c r="AR243" s="533">
        <v>0</v>
      </c>
      <c r="AS243" s="533">
        <v>0</v>
      </c>
      <c r="AT243" s="534"/>
      <c r="AU243" s="594"/>
      <c r="AV243" s="599"/>
      <c r="AW243" s="595"/>
      <c r="AX243" s="595"/>
    </row>
    <row r="244" spans="1:50" x14ac:dyDescent="0.2">
      <c r="A244" s="201">
        <v>237</v>
      </c>
      <c r="B244" s="129" t="s">
        <v>331</v>
      </c>
      <c r="C244" s="130" t="s">
        <v>742</v>
      </c>
      <c r="D244" s="131" t="s">
        <v>745</v>
      </c>
      <c r="E244" s="132" t="s">
        <v>330</v>
      </c>
      <c r="F244" s="63">
        <v>23946679</v>
      </c>
      <c r="G244" s="63">
        <v>0</v>
      </c>
      <c r="H244" s="63">
        <v>0</v>
      </c>
      <c r="I244" s="63">
        <v>0</v>
      </c>
      <c r="J244" s="63">
        <v>23946679</v>
      </c>
      <c r="K244" s="63">
        <v>0</v>
      </c>
      <c r="L244" s="63">
        <v>0</v>
      </c>
      <c r="M244" s="63">
        <v>0</v>
      </c>
      <c r="N244" s="63">
        <v>0</v>
      </c>
      <c r="O244" s="63">
        <v>0</v>
      </c>
      <c r="P244" s="63">
        <v>-321000</v>
      </c>
      <c r="Q244" s="63">
        <v>0</v>
      </c>
      <c r="R244" s="63">
        <v>0</v>
      </c>
      <c r="S244" s="63">
        <v>0</v>
      </c>
      <c r="T244" s="63">
        <v>-321000</v>
      </c>
      <c r="U244" s="63">
        <v>23625679</v>
      </c>
      <c r="V244" s="63">
        <v>0</v>
      </c>
      <c r="W244" s="63">
        <v>0</v>
      </c>
      <c r="X244" s="63">
        <v>0</v>
      </c>
      <c r="Y244" s="63">
        <v>23625679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63">
        <v>0</v>
      </c>
      <c r="AF244" s="63">
        <v>0</v>
      </c>
      <c r="AG244" s="63">
        <v>0</v>
      </c>
      <c r="AH244" s="63">
        <v>0</v>
      </c>
      <c r="AI244" s="63">
        <v>0</v>
      </c>
      <c r="AJ244" s="63">
        <v>0</v>
      </c>
      <c r="AK244" s="63">
        <v>0</v>
      </c>
      <c r="AL244" s="63">
        <v>0</v>
      </c>
      <c r="AM244" s="63">
        <v>0</v>
      </c>
      <c r="AN244" s="63">
        <v>0</v>
      </c>
      <c r="AP244" s="533">
        <v>0</v>
      </c>
      <c r="AQ244" s="533">
        <v>0</v>
      </c>
      <c r="AR244" s="533">
        <v>0</v>
      </c>
      <c r="AS244" s="533">
        <v>0</v>
      </c>
      <c r="AT244" s="534"/>
      <c r="AU244" s="594"/>
      <c r="AV244" s="595"/>
      <c r="AW244" s="595"/>
      <c r="AX244" s="595"/>
    </row>
    <row r="245" spans="1:50" x14ac:dyDescent="0.2">
      <c r="A245" s="201">
        <v>238</v>
      </c>
      <c r="B245" s="129" t="s">
        <v>332</v>
      </c>
      <c r="C245" s="130" t="s">
        <v>501</v>
      </c>
      <c r="D245" s="131" t="s">
        <v>751</v>
      </c>
      <c r="E245" s="132" t="s">
        <v>502</v>
      </c>
      <c r="F245" s="63">
        <v>145342492</v>
      </c>
      <c r="G245" s="63">
        <v>5575118</v>
      </c>
      <c r="H245" s="63">
        <v>0</v>
      </c>
      <c r="I245" s="63">
        <v>0</v>
      </c>
      <c r="J245" s="63">
        <v>150917610</v>
      </c>
      <c r="K245" s="63">
        <v>-300000</v>
      </c>
      <c r="L245" s="63">
        <v>0</v>
      </c>
      <c r="M245" s="63">
        <v>0</v>
      </c>
      <c r="N245" s="63">
        <v>0</v>
      </c>
      <c r="O245" s="63">
        <v>-300000</v>
      </c>
      <c r="P245" s="63">
        <v>-1315000</v>
      </c>
      <c r="Q245" s="63">
        <v>-24000</v>
      </c>
      <c r="R245" s="63">
        <v>0</v>
      </c>
      <c r="S245" s="63">
        <v>0</v>
      </c>
      <c r="T245" s="63">
        <v>-1339000</v>
      </c>
      <c r="U245" s="63">
        <v>143727492</v>
      </c>
      <c r="V245" s="63">
        <v>5551118</v>
      </c>
      <c r="W245" s="63">
        <v>0</v>
      </c>
      <c r="X245" s="63">
        <v>0</v>
      </c>
      <c r="Y245" s="63">
        <v>149278610</v>
      </c>
      <c r="Z245" s="63">
        <v>196898</v>
      </c>
      <c r="AA245" s="63">
        <v>0</v>
      </c>
      <c r="AB245" s="63">
        <v>0</v>
      </c>
      <c r="AC245" s="63">
        <v>0</v>
      </c>
      <c r="AD245" s="63">
        <v>196898</v>
      </c>
      <c r="AE245" s="63">
        <v>0</v>
      </c>
      <c r="AF245" s="63">
        <v>0</v>
      </c>
      <c r="AG245" s="63">
        <v>0</v>
      </c>
      <c r="AH245" s="63">
        <v>645975</v>
      </c>
      <c r="AI245" s="63">
        <v>0</v>
      </c>
      <c r="AJ245" s="63">
        <v>0</v>
      </c>
      <c r="AK245" s="63">
        <v>4905143</v>
      </c>
      <c r="AL245" s="63">
        <v>0</v>
      </c>
      <c r="AM245" s="63">
        <v>0</v>
      </c>
      <c r="AN245" s="63">
        <v>4905143</v>
      </c>
      <c r="AP245" s="533" t="s">
        <v>768</v>
      </c>
      <c r="AQ245" s="533" t="s">
        <v>770</v>
      </c>
      <c r="AR245" s="533">
        <v>0</v>
      </c>
      <c r="AS245" s="533">
        <v>0</v>
      </c>
      <c r="AT245" s="534"/>
      <c r="AU245" s="594"/>
      <c r="AV245" s="595"/>
      <c r="AW245" s="595"/>
      <c r="AX245" s="595"/>
    </row>
    <row r="246" spans="1:50" x14ac:dyDescent="0.2">
      <c r="A246" s="201">
        <v>239</v>
      </c>
      <c r="B246" s="129" t="s">
        <v>334</v>
      </c>
      <c r="C246" s="130" t="s">
        <v>742</v>
      </c>
      <c r="D246" s="131" t="s">
        <v>751</v>
      </c>
      <c r="E246" s="132" t="s">
        <v>333</v>
      </c>
      <c r="F246" s="63">
        <v>31824307</v>
      </c>
      <c r="G246" s="63">
        <v>0</v>
      </c>
      <c r="H246" s="63">
        <v>0</v>
      </c>
      <c r="I246" s="63">
        <v>0</v>
      </c>
      <c r="J246" s="63">
        <v>31824307</v>
      </c>
      <c r="K246" s="63">
        <v>-318243</v>
      </c>
      <c r="L246" s="63">
        <v>0</v>
      </c>
      <c r="M246" s="63">
        <v>0</v>
      </c>
      <c r="N246" s="63">
        <v>0</v>
      </c>
      <c r="O246" s="63">
        <v>-318243</v>
      </c>
      <c r="P246" s="63">
        <v>-768148</v>
      </c>
      <c r="Q246" s="63">
        <v>0</v>
      </c>
      <c r="R246" s="63">
        <v>0</v>
      </c>
      <c r="S246" s="63">
        <v>0</v>
      </c>
      <c r="T246" s="63">
        <v>-768148</v>
      </c>
      <c r="U246" s="63">
        <v>30737916</v>
      </c>
      <c r="V246" s="63">
        <v>0</v>
      </c>
      <c r="W246" s="63">
        <v>0</v>
      </c>
      <c r="X246" s="63">
        <v>0</v>
      </c>
      <c r="Y246" s="63">
        <v>30737916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63">
        <v>0</v>
      </c>
      <c r="AF246" s="63">
        <v>0</v>
      </c>
      <c r="AG246" s="63">
        <v>0</v>
      </c>
      <c r="AH246" s="63">
        <v>0</v>
      </c>
      <c r="AI246" s="63">
        <v>0</v>
      </c>
      <c r="AJ246" s="63">
        <v>0</v>
      </c>
      <c r="AK246" s="63">
        <v>0</v>
      </c>
      <c r="AL246" s="63">
        <v>0</v>
      </c>
      <c r="AM246" s="63">
        <v>0</v>
      </c>
      <c r="AN246" s="63">
        <v>0</v>
      </c>
      <c r="AP246" s="533">
        <v>0</v>
      </c>
      <c r="AQ246" s="533">
        <v>0</v>
      </c>
      <c r="AR246" s="533">
        <v>0</v>
      </c>
      <c r="AS246" s="533">
        <v>0</v>
      </c>
      <c r="AT246" s="534"/>
      <c r="AU246" s="594"/>
      <c r="AV246" s="595"/>
      <c r="AW246" s="595"/>
      <c r="AX246" s="595"/>
    </row>
    <row r="247" spans="1:50" x14ac:dyDescent="0.2">
      <c r="A247" s="201">
        <v>240</v>
      </c>
      <c r="B247" s="129" t="s">
        <v>336</v>
      </c>
      <c r="C247" s="130" t="s">
        <v>742</v>
      </c>
      <c r="D247" s="131" t="s">
        <v>745</v>
      </c>
      <c r="E247" s="132" t="s">
        <v>335</v>
      </c>
      <c r="F247" s="63">
        <v>27149196</v>
      </c>
      <c r="G247" s="63">
        <v>0</v>
      </c>
      <c r="H247" s="63">
        <v>0</v>
      </c>
      <c r="I247" s="63">
        <v>0</v>
      </c>
      <c r="J247" s="63">
        <v>27149196</v>
      </c>
      <c r="K247" s="63">
        <v>-279803</v>
      </c>
      <c r="L247" s="63">
        <v>0</v>
      </c>
      <c r="M247" s="63">
        <v>0</v>
      </c>
      <c r="N247" s="63">
        <v>0</v>
      </c>
      <c r="O247" s="63">
        <v>-279803</v>
      </c>
      <c r="P247" s="63">
        <v>-912270</v>
      </c>
      <c r="Q247" s="63">
        <v>0</v>
      </c>
      <c r="R247" s="63">
        <v>0</v>
      </c>
      <c r="S247" s="63">
        <v>0</v>
      </c>
      <c r="T247" s="63">
        <v>-912270</v>
      </c>
      <c r="U247" s="63">
        <v>25957123</v>
      </c>
      <c r="V247" s="63">
        <v>0</v>
      </c>
      <c r="W247" s="63">
        <v>0</v>
      </c>
      <c r="X247" s="63">
        <v>0</v>
      </c>
      <c r="Y247" s="63">
        <v>25957123</v>
      </c>
      <c r="Z247" s="63">
        <v>208777</v>
      </c>
      <c r="AA247" s="63">
        <v>0</v>
      </c>
      <c r="AB247" s="63">
        <v>0</v>
      </c>
      <c r="AC247" s="63">
        <v>0</v>
      </c>
      <c r="AD247" s="63">
        <v>208777</v>
      </c>
      <c r="AE247" s="63">
        <v>0</v>
      </c>
      <c r="AF247" s="63">
        <v>0</v>
      </c>
      <c r="AG247" s="63">
        <v>0</v>
      </c>
      <c r="AH247" s="63">
        <v>0</v>
      </c>
      <c r="AI247" s="63">
        <v>0</v>
      </c>
      <c r="AJ247" s="63">
        <v>0</v>
      </c>
      <c r="AK247" s="63">
        <v>0</v>
      </c>
      <c r="AL247" s="63">
        <v>0</v>
      </c>
      <c r="AM247" s="63">
        <v>0</v>
      </c>
      <c r="AN247" s="63">
        <v>0</v>
      </c>
      <c r="AP247" s="533">
        <v>0</v>
      </c>
      <c r="AQ247" s="533">
        <v>0</v>
      </c>
      <c r="AR247" s="533">
        <v>0</v>
      </c>
      <c r="AS247" s="533">
        <v>0</v>
      </c>
      <c r="AT247" s="534"/>
      <c r="AU247" s="594"/>
      <c r="AV247" s="595"/>
      <c r="AW247" s="595"/>
      <c r="AX247" s="595"/>
    </row>
    <row r="248" spans="1:50" x14ac:dyDescent="0.2">
      <c r="A248" s="201">
        <v>241</v>
      </c>
      <c r="B248" s="129" t="s">
        <v>338</v>
      </c>
      <c r="C248" s="130" t="s">
        <v>742</v>
      </c>
      <c r="D248" s="131" t="s">
        <v>745</v>
      </c>
      <c r="E248" s="132" t="s">
        <v>337</v>
      </c>
      <c r="F248" s="63">
        <v>41970757</v>
      </c>
      <c r="G248" s="63">
        <v>0</v>
      </c>
      <c r="H248" s="63">
        <v>0</v>
      </c>
      <c r="I248" s="63">
        <v>0</v>
      </c>
      <c r="J248" s="63">
        <v>41970757</v>
      </c>
      <c r="K248" s="63">
        <v>-300000</v>
      </c>
      <c r="L248" s="63">
        <v>0</v>
      </c>
      <c r="M248" s="63">
        <v>0</v>
      </c>
      <c r="N248" s="63">
        <v>0</v>
      </c>
      <c r="O248" s="63">
        <v>-300000</v>
      </c>
      <c r="P248" s="63">
        <v>-150000</v>
      </c>
      <c r="Q248" s="63">
        <v>0</v>
      </c>
      <c r="R248" s="63">
        <v>0</v>
      </c>
      <c r="S248" s="63">
        <v>0</v>
      </c>
      <c r="T248" s="63">
        <v>-150000</v>
      </c>
      <c r="U248" s="63">
        <v>41520757</v>
      </c>
      <c r="V248" s="63">
        <v>0</v>
      </c>
      <c r="W248" s="63">
        <v>0</v>
      </c>
      <c r="X248" s="63">
        <v>0</v>
      </c>
      <c r="Y248" s="63">
        <v>41520757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63">
        <v>0</v>
      </c>
      <c r="AF248" s="63">
        <v>0</v>
      </c>
      <c r="AG248" s="63">
        <v>0</v>
      </c>
      <c r="AH248" s="63">
        <v>0</v>
      </c>
      <c r="AI248" s="63">
        <v>0</v>
      </c>
      <c r="AJ248" s="63">
        <v>0</v>
      </c>
      <c r="AK248" s="63">
        <v>0</v>
      </c>
      <c r="AL248" s="63">
        <v>0</v>
      </c>
      <c r="AM248" s="63">
        <v>0</v>
      </c>
      <c r="AN248" s="63">
        <v>0</v>
      </c>
      <c r="AP248" s="533">
        <v>0</v>
      </c>
      <c r="AQ248" s="533">
        <v>0</v>
      </c>
      <c r="AR248" s="533">
        <v>0</v>
      </c>
      <c r="AS248" s="533">
        <v>0</v>
      </c>
      <c r="AT248" s="534"/>
      <c r="AU248" s="594"/>
      <c r="AV248" s="595"/>
      <c r="AW248" s="595"/>
      <c r="AX248" s="595"/>
    </row>
    <row r="249" spans="1:50" x14ac:dyDescent="0.2">
      <c r="A249" s="201">
        <v>242</v>
      </c>
      <c r="B249" s="129" t="s">
        <v>340</v>
      </c>
      <c r="C249" s="130" t="s">
        <v>742</v>
      </c>
      <c r="D249" s="131" t="s">
        <v>744</v>
      </c>
      <c r="E249" s="132" t="s">
        <v>339</v>
      </c>
      <c r="F249" s="63">
        <v>42923039</v>
      </c>
      <c r="G249" s="63">
        <v>0</v>
      </c>
      <c r="H249" s="63">
        <v>0</v>
      </c>
      <c r="I249" s="63">
        <v>0</v>
      </c>
      <c r="J249" s="63">
        <v>42923039</v>
      </c>
      <c r="K249" s="63">
        <v>-429231</v>
      </c>
      <c r="L249" s="63">
        <v>0</v>
      </c>
      <c r="M249" s="63">
        <v>0</v>
      </c>
      <c r="N249" s="63">
        <v>0</v>
      </c>
      <c r="O249" s="63">
        <v>-429231</v>
      </c>
      <c r="P249" s="63">
        <v>-200000</v>
      </c>
      <c r="Q249" s="63">
        <v>0</v>
      </c>
      <c r="R249" s="63">
        <v>0</v>
      </c>
      <c r="S249" s="63">
        <v>0</v>
      </c>
      <c r="T249" s="63">
        <v>-200000</v>
      </c>
      <c r="U249" s="63">
        <v>42293808</v>
      </c>
      <c r="V249" s="63">
        <v>0</v>
      </c>
      <c r="W249" s="63">
        <v>0</v>
      </c>
      <c r="X249" s="63">
        <v>0</v>
      </c>
      <c r="Y249" s="63">
        <v>42293808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63">
        <v>0</v>
      </c>
      <c r="AF249" s="63">
        <v>0</v>
      </c>
      <c r="AG249" s="63">
        <v>0</v>
      </c>
      <c r="AH249" s="63">
        <v>0</v>
      </c>
      <c r="AI249" s="63">
        <v>0</v>
      </c>
      <c r="AJ249" s="63">
        <v>0</v>
      </c>
      <c r="AK249" s="63">
        <v>0</v>
      </c>
      <c r="AL249" s="63">
        <v>0</v>
      </c>
      <c r="AM249" s="63">
        <v>0</v>
      </c>
      <c r="AN249" s="63">
        <v>0</v>
      </c>
      <c r="AP249" s="533">
        <v>0</v>
      </c>
      <c r="AQ249" s="533">
        <v>0</v>
      </c>
      <c r="AR249" s="533">
        <v>0</v>
      </c>
      <c r="AS249" s="533">
        <v>0</v>
      </c>
      <c r="AT249" s="534"/>
      <c r="AU249" s="594"/>
      <c r="AV249" s="595"/>
      <c r="AW249" s="595"/>
      <c r="AX249" s="595"/>
    </row>
    <row r="250" spans="1:50" x14ac:dyDescent="0.2">
      <c r="A250" s="201">
        <v>243</v>
      </c>
      <c r="B250" s="129" t="s">
        <v>342</v>
      </c>
      <c r="C250" s="130" t="s">
        <v>742</v>
      </c>
      <c r="D250" s="131" t="s">
        <v>746</v>
      </c>
      <c r="E250" s="132" t="s">
        <v>341</v>
      </c>
      <c r="F250" s="63">
        <v>32088778.039999999</v>
      </c>
      <c r="G250" s="63">
        <v>195392</v>
      </c>
      <c r="H250" s="63">
        <v>0</v>
      </c>
      <c r="I250" s="63">
        <v>0</v>
      </c>
      <c r="J250" s="63">
        <v>32284170.039999999</v>
      </c>
      <c r="K250" s="63">
        <v>-100000</v>
      </c>
      <c r="L250" s="63">
        <v>0</v>
      </c>
      <c r="M250" s="63">
        <v>0</v>
      </c>
      <c r="N250" s="63">
        <v>0</v>
      </c>
      <c r="O250" s="63">
        <v>-100000</v>
      </c>
      <c r="P250" s="63">
        <v>-565130</v>
      </c>
      <c r="Q250" s="63">
        <v>-3578</v>
      </c>
      <c r="R250" s="63">
        <v>0</v>
      </c>
      <c r="S250" s="63">
        <v>0</v>
      </c>
      <c r="T250" s="63">
        <v>-568708</v>
      </c>
      <c r="U250" s="63">
        <v>31423648.039999999</v>
      </c>
      <c r="V250" s="63">
        <v>191814</v>
      </c>
      <c r="W250" s="63">
        <v>0</v>
      </c>
      <c r="X250" s="63">
        <v>0</v>
      </c>
      <c r="Y250" s="63">
        <v>31615462.039999999</v>
      </c>
      <c r="Z250" s="63">
        <v>101554</v>
      </c>
      <c r="AA250" s="63">
        <v>0</v>
      </c>
      <c r="AB250" s="63">
        <v>0</v>
      </c>
      <c r="AC250" s="63">
        <v>0</v>
      </c>
      <c r="AD250" s="63">
        <v>101554</v>
      </c>
      <c r="AE250" s="63">
        <v>0</v>
      </c>
      <c r="AF250" s="63">
        <v>0</v>
      </c>
      <c r="AG250" s="63">
        <v>0</v>
      </c>
      <c r="AH250" s="63">
        <v>195392</v>
      </c>
      <c r="AI250" s="63">
        <v>0</v>
      </c>
      <c r="AJ250" s="63">
        <v>0</v>
      </c>
      <c r="AK250" s="63">
        <v>0</v>
      </c>
      <c r="AL250" s="63">
        <v>0</v>
      </c>
      <c r="AM250" s="63">
        <v>0</v>
      </c>
      <c r="AN250" s="63">
        <v>0</v>
      </c>
      <c r="AP250" s="533" t="s">
        <v>768</v>
      </c>
      <c r="AQ250" s="533" t="s">
        <v>996</v>
      </c>
      <c r="AR250" s="533">
        <v>0</v>
      </c>
      <c r="AS250" s="533">
        <v>0</v>
      </c>
      <c r="AT250" s="534"/>
      <c r="AU250" s="594"/>
      <c r="AV250" s="595"/>
      <c r="AW250" s="595"/>
      <c r="AX250" s="595"/>
    </row>
    <row r="251" spans="1:50" x14ac:dyDescent="0.2">
      <c r="A251" s="201">
        <v>244</v>
      </c>
      <c r="B251" s="129" t="s">
        <v>344</v>
      </c>
      <c r="C251" s="130" t="s">
        <v>742</v>
      </c>
      <c r="D251" s="131" t="s">
        <v>745</v>
      </c>
      <c r="E251" s="132" t="s">
        <v>343</v>
      </c>
      <c r="F251" s="63">
        <v>23150224</v>
      </c>
      <c r="G251" s="63">
        <v>0</v>
      </c>
      <c r="H251" s="63">
        <v>0</v>
      </c>
      <c r="I251" s="63">
        <v>0</v>
      </c>
      <c r="J251" s="63">
        <v>23150224</v>
      </c>
      <c r="K251" s="63">
        <v>-108819</v>
      </c>
      <c r="L251" s="63">
        <v>0</v>
      </c>
      <c r="M251" s="63">
        <v>0</v>
      </c>
      <c r="N251" s="63">
        <v>0</v>
      </c>
      <c r="O251" s="63">
        <v>-108819</v>
      </c>
      <c r="P251" s="63">
        <v>-62532</v>
      </c>
      <c r="Q251" s="63">
        <v>0</v>
      </c>
      <c r="R251" s="63">
        <v>0</v>
      </c>
      <c r="S251" s="63">
        <v>0</v>
      </c>
      <c r="T251" s="63">
        <v>-62532</v>
      </c>
      <c r="U251" s="63">
        <v>22978873</v>
      </c>
      <c r="V251" s="63">
        <v>0</v>
      </c>
      <c r="W251" s="63">
        <v>0</v>
      </c>
      <c r="X251" s="63">
        <v>0</v>
      </c>
      <c r="Y251" s="63">
        <v>22978873</v>
      </c>
      <c r="Z251" s="63">
        <v>257868</v>
      </c>
      <c r="AA251" s="63">
        <v>0</v>
      </c>
      <c r="AB251" s="63">
        <v>0</v>
      </c>
      <c r="AC251" s="63">
        <v>0</v>
      </c>
      <c r="AD251" s="63">
        <v>257868</v>
      </c>
      <c r="AE251" s="63">
        <v>0</v>
      </c>
      <c r="AF251" s="63">
        <v>0</v>
      </c>
      <c r="AG251" s="63">
        <v>0</v>
      </c>
      <c r="AH251" s="63">
        <v>0</v>
      </c>
      <c r="AI251" s="63">
        <v>0</v>
      </c>
      <c r="AJ251" s="63">
        <v>0</v>
      </c>
      <c r="AK251" s="63">
        <v>0</v>
      </c>
      <c r="AL251" s="63">
        <v>0</v>
      </c>
      <c r="AM251" s="63">
        <v>0</v>
      </c>
      <c r="AN251" s="63">
        <v>0</v>
      </c>
      <c r="AP251" s="533">
        <v>0</v>
      </c>
      <c r="AQ251" s="533">
        <v>0</v>
      </c>
      <c r="AR251" s="533">
        <v>0</v>
      </c>
      <c r="AS251" s="533">
        <v>0</v>
      </c>
      <c r="AT251" s="534"/>
      <c r="AU251" s="597"/>
      <c r="AV251" s="598"/>
      <c r="AW251" s="598"/>
      <c r="AX251" s="598"/>
    </row>
    <row r="252" spans="1:50" x14ac:dyDescent="0.2">
      <c r="A252" s="201">
        <v>245</v>
      </c>
      <c r="B252" s="129" t="s">
        <v>346</v>
      </c>
      <c r="C252" s="130" t="s">
        <v>742</v>
      </c>
      <c r="D252" s="131" t="s">
        <v>743</v>
      </c>
      <c r="E252" s="132" t="s">
        <v>345</v>
      </c>
      <c r="F252" s="63">
        <v>44651844</v>
      </c>
      <c r="G252" s="63">
        <v>440591</v>
      </c>
      <c r="H252" s="63">
        <v>0</v>
      </c>
      <c r="I252" s="63">
        <v>0</v>
      </c>
      <c r="J252" s="63">
        <v>45092435</v>
      </c>
      <c r="K252" s="63">
        <v>-535822</v>
      </c>
      <c r="L252" s="63">
        <v>-5287</v>
      </c>
      <c r="M252" s="63">
        <v>0</v>
      </c>
      <c r="N252" s="63">
        <v>0</v>
      </c>
      <c r="O252" s="63">
        <v>-541109</v>
      </c>
      <c r="P252" s="63">
        <v>-835116</v>
      </c>
      <c r="Q252" s="63">
        <v>-8240</v>
      </c>
      <c r="R252" s="63">
        <v>0</v>
      </c>
      <c r="S252" s="63">
        <v>0</v>
      </c>
      <c r="T252" s="63">
        <v>-843356</v>
      </c>
      <c r="U252" s="63">
        <v>43280906</v>
      </c>
      <c r="V252" s="63">
        <v>427064</v>
      </c>
      <c r="W252" s="63">
        <v>0</v>
      </c>
      <c r="X252" s="63">
        <v>0</v>
      </c>
      <c r="Y252" s="63">
        <v>43707970</v>
      </c>
      <c r="Z252" s="63">
        <v>90605</v>
      </c>
      <c r="AA252" s="63">
        <v>0</v>
      </c>
      <c r="AB252" s="63">
        <v>0</v>
      </c>
      <c r="AC252" s="63">
        <v>0</v>
      </c>
      <c r="AD252" s="63">
        <v>90605</v>
      </c>
      <c r="AE252" s="63">
        <v>0</v>
      </c>
      <c r="AF252" s="63">
        <v>0</v>
      </c>
      <c r="AG252" s="63">
        <v>0</v>
      </c>
      <c r="AH252" s="63">
        <v>187027</v>
      </c>
      <c r="AI252" s="63">
        <v>0</v>
      </c>
      <c r="AJ252" s="63">
        <v>0</v>
      </c>
      <c r="AK252" s="63">
        <v>240037</v>
      </c>
      <c r="AL252" s="63">
        <v>0</v>
      </c>
      <c r="AM252" s="63">
        <v>0</v>
      </c>
      <c r="AN252" s="63">
        <v>240037</v>
      </c>
      <c r="AP252" s="533" t="s">
        <v>768</v>
      </c>
      <c r="AQ252" s="533" t="s">
        <v>1002</v>
      </c>
      <c r="AR252" s="533">
        <v>0</v>
      </c>
      <c r="AS252" s="533">
        <v>0</v>
      </c>
      <c r="AT252" s="534"/>
      <c r="AU252" s="594"/>
      <c r="AV252" s="595"/>
      <c r="AW252" s="595"/>
      <c r="AX252" s="595"/>
    </row>
    <row r="253" spans="1:50" x14ac:dyDescent="0.2">
      <c r="A253" s="201">
        <v>246</v>
      </c>
      <c r="B253" s="129" t="s">
        <v>348</v>
      </c>
      <c r="C253" s="130" t="s">
        <v>742</v>
      </c>
      <c r="D253" s="131" t="s">
        <v>744</v>
      </c>
      <c r="E253" s="132" t="s">
        <v>347</v>
      </c>
      <c r="F253" s="63">
        <v>40115924</v>
      </c>
      <c r="G253" s="63">
        <v>0</v>
      </c>
      <c r="H253" s="63">
        <v>0</v>
      </c>
      <c r="I253" s="63">
        <v>0</v>
      </c>
      <c r="J253" s="63">
        <v>40115924</v>
      </c>
      <c r="K253" s="63">
        <v>-401000</v>
      </c>
      <c r="L253" s="63">
        <v>0</v>
      </c>
      <c r="M253" s="63">
        <v>0</v>
      </c>
      <c r="N253" s="63">
        <v>0</v>
      </c>
      <c r="O253" s="63">
        <v>-401000</v>
      </c>
      <c r="P253" s="63">
        <v>-642000</v>
      </c>
      <c r="Q253" s="63">
        <v>0</v>
      </c>
      <c r="R253" s="63">
        <v>0</v>
      </c>
      <c r="S253" s="63">
        <v>0</v>
      </c>
      <c r="T253" s="63">
        <v>-642000</v>
      </c>
      <c r="U253" s="63">
        <v>39072924</v>
      </c>
      <c r="V253" s="63">
        <v>0</v>
      </c>
      <c r="W253" s="63">
        <v>0</v>
      </c>
      <c r="X253" s="63">
        <v>0</v>
      </c>
      <c r="Y253" s="63">
        <v>39072924</v>
      </c>
      <c r="Z253" s="63">
        <v>0</v>
      </c>
      <c r="AA253" s="63">
        <v>0</v>
      </c>
      <c r="AB253" s="63">
        <v>0</v>
      </c>
      <c r="AC253" s="63">
        <v>0</v>
      </c>
      <c r="AD253" s="63">
        <v>0</v>
      </c>
      <c r="AE253" s="63">
        <v>0</v>
      </c>
      <c r="AF253" s="63">
        <v>0</v>
      </c>
      <c r="AG253" s="63">
        <v>0</v>
      </c>
      <c r="AH253" s="63">
        <v>0</v>
      </c>
      <c r="AI253" s="63">
        <v>0</v>
      </c>
      <c r="AJ253" s="63">
        <v>0</v>
      </c>
      <c r="AK253" s="63">
        <v>0</v>
      </c>
      <c r="AL253" s="63">
        <v>0</v>
      </c>
      <c r="AM253" s="63">
        <v>0</v>
      </c>
      <c r="AN253" s="63">
        <v>0</v>
      </c>
      <c r="AP253" s="533">
        <v>0</v>
      </c>
      <c r="AQ253" s="533">
        <v>0</v>
      </c>
      <c r="AR253" s="533">
        <v>0</v>
      </c>
      <c r="AS253" s="533">
        <v>0</v>
      </c>
      <c r="AT253" s="534"/>
      <c r="AU253" s="594"/>
      <c r="AV253" s="595"/>
      <c r="AW253" s="595"/>
      <c r="AX253" s="595"/>
    </row>
    <row r="254" spans="1:50" x14ac:dyDescent="0.2">
      <c r="A254" s="201">
        <v>247</v>
      </c>
      <c r="B254" s="129" t="s">
        <v>350</v>
      </c>
      <c r="C254" s="130" t="s">
        <v>742</v>
      </c>
      <c r="D254" s="131" t="s">
        <v>751</v>
      </c>
      <c r="E254" s="132" t="s">
        <v>349</v>
      </c>
      <c r="F254" s="63">
        <v>46324702</v>
      </c>
      <c r="G254" s="63">
        <v>0</v>
      </c>
      <c r="H254" s="63">
        <v>0</v>
      </c>
      <c r="I254" s="63">
        <v>0</v>
      </c>
      <c r="J254" s="63">
        <v>46324702</v>
      </c>
      <c r="K254" s="63">
        <v>-463247</v>
      </c>
      <c r="L254" s="63">
        <v>0</v>
      </c>
      <c r="M254" s="63">
        <v>0</v>
      </c>
      <c r="N254" s="63">
        <v>0</v>
      </c>
      <c r="O254" s="63">
        <v>-463247</v>
      </c>
      <c r="P254" s="63">
        <v>-1583915</v>
      </c>
      <c r="Q254" s="63">
        <v>0</v>
      </c>
      <c r="R254" s="63">
        <v>0</v>
      </c>
      <c r="S254" s="63">
        <v>0</v>
      </c>
      <c r="T254" s="63">
        <v>-1583915</v>
      </c>
      <c r="U254" s="63">
        <v>44277540</v>
      </c>
      <c r="V254" s="63">
        <v>0</v>
      </c>
      <c r="W254" s="63">
        <v>0</v>
      </c>
      <c r="X254" s="63">
        <v>0</v>
      </c>
      <c r="Y254" s="63">
        <v>44277540</v>
      </c>
      <c r="Z254" s="63">
        <v>246782</v>
      </c>
      <c r="AA254" s="63">
        <v>0</v>
      </c>
      <c r="AB254" s="63">
        <v>0</v>
      </c>
      <c r="AC254" s="63">
        <v>0</v>
      </c>
      <c r="AD254" s="63">
        <v>246782</v>
      </c>
      <c r="AE254" s="63">
        <v>0</v>
      </c>
      <c r="AF254" s="63">
        <v>0</v>
      </c>
      <c r="AG254" s="63">
        <v>0</v>
      </c>
      <c r="AH254" s="63">
        <v>0</v>
      </c>
      <c r="AI254" s="63">
        <v>0</v>
      </c>
      <c r="AJ254" s="63">
        <v>0</v>
      </c>
      <c r="AK254" s="63">
        <v>0</v>
      </c>
      <c r="AL254" s="63">
        <v>0</v>
      </c>
      <c r="AM254" s="63">
        <v>0</v>
      </c>
      <c r="AN254" s="63">
        <v>0</v>
      </c>
      <c r="AP254" s="533">
        <v>0</v>
      </c>
      <c r="AQ254" s="533">
        <v>0</v>
      </c>
      <c r="AR254" s="533">
        <v>0</v>
      </c>
      <c r="AS254" s="533">
        <v>0</v>
      </c>
      <c r="AT254" s="534"/>
      <c r="AU254" s="594"/>
      <c r="AV254" s="595"/>
      <c r="AW254" s="595"/>
      <c r="AX254" s="595"/>
    </row>
    <row r="255" spans="1:50" x14ac:dyDescent="0.2">
      <c r="A255" s="201">
        <v>248</v>
      </c>
      <c r="B255" s="129" t="s">
        <v>352</v>
      </c>
      <c r="C255" s="130" t="s">
        <v>742</v>
      </c>
      <c r="D255" s="131" t="s">
        <v>752</v>
      </c>
      <c r="E255" s="132" t="s">
        <v>351</v>
      </c>
      <c r="F255" s="63">
        <v>22885022</v>
      </c>
      <c r="G255" s="63">
        <v>2778137</v>
      </c>
      <c r="H255" s="63">
        <v>0</v>
      </c>
      <c r="I255" s="63">
        <v>0</v>
      </c>
      <c r="J255" s="63">
        <v>25663159</v>
      </c>
      <c r="K255" s="63">
        <v>-128616</v>
      </c>
      <c r="L255" s="63">
        <v>0</v>
      </c>
      <c r="M255" s="63">
        <v>0</v>
      </c>
      <c r="N255" s="63">
        <v>0</v>
      </c>
      <c r="O255" s="63">
        <v>-128616</v>
      </c>
      <c r="P255" s="63">
        <v>-214664</v>
      </c>
      <c r="Q255" s="63">
        <v>0</v>
      </c>
      <c r="R255" s="63">
        <v>0</v>
      </c>
      <c r="S255" s="63">
        <v>0</v>
      </c>
      <c r="T255" s="63">
        <v>-214664</v>
      </c>
      <c r="U255" s="63">
        <v>22541742</v>
      </c>
      <c r="V255" s="63">
        <v>2778137</v>
      </c>
      <c r="W255" s="63">
        <v>0</v>
      </c>
      <c r="X255" s="63">
        <v>0</v>
      </c>
      <c r="Y255" s="63">
        <v>25319879</v>
      </c>
      <c r="Z255" s="63">
        <v>217438</v>
      </c>
      <c r="AA255" s="63">
        <v>0</v>
      </c>
      <c r="AB255" s="63">
        <v>0</v>
      </c>
      <c r="AC255" s="63">
        <v>0</v>
      </c>
      <c r="AD255" s="63">
        <v>217438</v>
      </c>
      <c r="AE255" s="63">
        <v>0</v>
      </c>
      <c r="AF255" s="63">
        <v>0</v>
      </c>
      <c r="AG255" s="63">
        <v>0</v>
      </c>
      <c r="AH255" s="63">
        <v>0</v>
      </c>
      <c r="AI255" s="63">
        <v>0</v>
      </c>
      <c r="AJ255" s="63">
        <v>0</v>
      </c>
      <c r="AK255" s="63">
        <v>2778137</v>
      </c>
      <c r="AL255" s="63">
        <v>0</v>
      </c>
      <c r="AM255" s="63">
        <v>0</v>
      </c>
      <c r="AN255" s="63">
        <v>2778137</v>
      </c>
      <c r="AP255" s="533" t="s">
        <v>768</v>
      </c>
      <c r="AQ255" s="533" t="s">
        <v>799</v>
      </c>
      <c r="AR255" s="533">
        <v>0</v>
      </c>
      <c r="AS255" s="533">
        <v>0</v>
      </c>
      <c r="AT255" s="534"/>
      <c r="AU255" s="594"/>
      <c r="AV255" s="595"/>
      <c r="AW255" s="595"/>
      <c r="AX255" s="595"/>
    </row>
    <row r="256" spans="1:50" x14ac:dyDescent="0.2">
      <c r="A256" s="201">
        <v>249</v>
      </c>
      <c r="B256" s="129" t="s">
        <v>354</v>
      </c>
      <c r="C256" s="130" t="s">
        <v>749</v>
      </c>
      <c r="D256" s="131" t="s">
        <v>755</v>
      </c>
      <c r="E256" s="132" t="s">
        <v>353</v>
      </c>
      <c r="F256" s="63">
        <v>33126087</v>
      </c>
      <c r="G256" s="63">
        <v>0</v>
      </c>
      <c r="H256" s="63">
        <v>0</v>
      </c>
      <c r="I256" s="63">
        <v>0</v>
      </c>
      <c r="J256" s="63">
        <v>33126087</v>
      </c>
      <c r="K256" s="63">
        <v>-500000</v>
      </c>
      <c r="L256" s="63">
        <v>0</v>
      </c>
      <c r="M256" s="63">
        <v>0</v>
      </c>
      <c r="N256" s="63">
        <v>0</v>
      </c>
      <c r="O256" s="63">
        <v>-500000</v>
      </c>
      <c r="P256" s="63">
        <v>-1000000</v>
      </c>
      <c r="Q256" s="63">
        <v>0</v>
      </c>
      <c r="R256" s="63">
        <v>0</v>
      </c>
      <c r="S256" s="63">
        <v>0</v>
      </c>
      <c r="T256" s="63">
        <v>-1000000</v>
      </c>
      <c r="U256" s="63">
        <v>31626087</v>
      </c>
      <c r="V256" s="63">
        <v>0</v>
      </c>
      <c r="W256" s="63">
        <v>0</v>
      </c>
      <c r="X256" s="63">
        <v>0</v>
      </c>
      <c r="Y256" s="63">
        <v>31626087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63">
        <v>0</v>
      </c>
      <c r="AF256" s="63">
        <v>0</v>
      </c>
      <c r="AG256" s="63">
        <v>0</v>
      </c>
      <c r="AH256" s="63">
        <v>0</v>
      </c>
      <c r="AI256" s="63">
        <v>0</v>
      </c>
      <c r="AJ256" s="63">
        <v>0</v>
      </c>
      <c r="AK256" s="63">
        <v>0</v>
      </c>
      <c r="AL256" s="63">
        <v>0</v>
      </c>
      <c r="AM256" s="63">
        <v>0</v>
      </c>
      <c r="AN256" s="63">
        <v>0</v>
      </c>
      <c r="AP256" s="533">
        <v>0</v>
      </c>
      <c r="AQ256" s="533">
        <v>0</v>
      </c>
      <c r="AR256" s="533">
        <v>0</v>
      </c>
      <c r="AS256" s="533">
        <v>0</v>
      </c>
      <c r="AT256" s="534"/>
      <c r="AU256" s="597"/>
      <c r="AV256" s="598"/>
      <c r="AW256" s="598"/>
      <c r="AX256" s="598"/>
    </row>
    <row r="257" spans="1:50" x14ac:dyDescent="0.2">
      <c r="A257" s="201">
        <v>250</v>
      </c>
      <c r="B257" s="129" t="s">
        <v>355</v>
      </c>
      <c r="C257" s="130" t="s">
        <v>501</v>
      </c>
      <c r="D257" s="131" t="s">
        <v>743</v>
      </c>
      <c r="E257" s="132" t="s">
        <v>531</v>
      </c>
      <c r="F257" s="63">
        <v>106016261</v>
      </c>
      <c r="G257" s="63">
        <v>0</v>
      </c>
      <c r="H257" s="63">
        <v>0</v>
      </c>
      <c r="I257" s="63">
        <v>0</v>
      </c>
      <c r="J257" s="63">
        <v>106016261</v>
      </c>
      <c r="K257" s="63">
        <v>-1105469</v>
      </c>
      <c r="L257" s="63">
        <v>0</v>
      </c>
      <c r="M257" s="63">
        <v>0</v>
      </c>
      <c r="N257" s="63">
        <v>0</v>
      </c>
      <c r="O257" s="63">
        <v>-1105469</v>
      </c>
      <c r="P257" s="63">
        <v>-7696781</v>
      </c>
      <c r="Q257" s="63">
        <v>0</v>
      </c>
      <c r="R257" s="63">
        <v>0</v>
      </c>
      <c r="S257" s="63">
        <v>0</v>
      </c>
      <c r="T257" s="63">
        <v>-7696781</v>
      </c>
      <c r="U257" s="63">
        <v>97214011</v>
      </c>
      <c r="V257" s="63">
        <v>0</v>
      </c>
      <c r="W257" s="63">
        <v>0</v>
      </c>
      <c r="X257" s="63">
        <v>0</v>
      </c>
      <c r="Y257" s="63">
        <v>97214011</v>
      </c>
      <c r="Z257" s="63">
        <v>0</v>
      </c>
      <c r="AA257" s="63">
        <v>0</v>
      </c>
      <c r="AB257" s="63">
        <v>0</v>
      </c>
      <c r="AC257" s="63">
        <v>0</v>
      </c>
      <c r="AD257" s="63">
        <v>0</v>
      </c>
      <c r="AE257" s="63">
        <v>0</v>
      </c>
      <c r="AF257" s="63">
        <v>0</v>
      </c>
      <c r="AG257" s="63">
        <v>0</v>
      </c>
      <c r="AH257" s="63">
        <v>0</v>
      </c>
      <c r="AI257" s="63">
        <v>0</v>
      </c>
      <c r="AJ257" s="63">
        <v>0</v>
      </c>
      <c r="AK257" s="63">
        <v>0</v>
      </c>
      <c r="AL257" s="63">
        <v>0</v>
      </c>
      <c r="AM257" s="63">
        <v>0</v>
      </c>
      <c r="AN257" s="63">
        <v>0</v>
      </c>
      <c r="AP257" s="533">
        <v>0</v>
      </c>
      <c r="AQ257" s="533">
        <v>0</v>
      </c>
      <c r="AR257" s="533">
        <v>0</v>
      </c>
      <c r="AS257" s="533">
        <v>0</v>
      </c>
      <c r="AT257" s="534"/>
      <c r="AU257" s="594"/>
      <c r="AV257" s="595"/>
      <c r="AW257" s="595"/>
      <c r="AX257" s="595"/>
    </row>
    <row r="258" spans="1:50" x14ac:dyDescent="0.2">
      <c r="A258" s="201">
        <v>251</v>
      </c>
      <c r="B258" s="129" t="s">
        <v>356</v>
      </c>
      <c r="C258" s="130" t="s">
        <v>501</v>
      </c>
      <c r="D258" s="131" t="s">
        <v>746</v>
      </c>
      <c r="E258" s="132" t="s">
        <v>528</v>
      </c>
      <c r="F258" s="63">
        <v>48991842</v>
      </c>
      <c r="G258" s="63">
        <v>0</v>
      </c>
      <c r="H258" s="63">
        <v>0</v>
      </c>
      <c r="I258" s="63">
        <v>0</v>
      </c>
      <c r="J258" s="63">
        <v>48991842</v>
      </c>
      <c r="K258" s="63">
        <v>-750000</v>
      </c>
      <c r="L258" s="63">
        <v>0</v>
      </c>
      <c r="M258" s="63">
        <v>0</v>
      </c>
      <c r="N258" s="63">
        <v>0</v>
      </c>
      <c r="O258" s="63">
        <v>-750000</v>
      </c>
      <c r="P258" s="63">
        <v>-300000</v>
      </c>
      <c r="Q258" s="63">
        <v>0</v>
      </c>
      <c r="R258" s="63">
        <v>0</v>
      </c>
      <c r="S258" s="63">
        <v>0</v>
      </c>
      <c r="T258" s="63">
        <v>-300000</v>
      </c>
      <c r="U258" s="63">
        <v>47941842</v>
      </c>
      <c r="V258" s="63">
        <v>0</v>
      </c>
      <c r="W258" s="63">
        <v>0</v>
      </c>
      <c r="X258" s="63">
        <v>0</v>
      </c>
      <c r="Y258" s="63">
        <v>47941842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63">
        <v>0</v>
      </c>
      <c r="AF258" s="63">
        <v>0</v>
      </c>
      <c r="AG258" s="63">
        <v>0</v>
      </c>
      <c r="AH258" s="63">
        <v>0</v>
      </c>
      <c r="AI258" s="63">
        <v>0</v>
      </c>
      <c r="AJ258" s="63">
        <v>0</v>
      </c>
      <c r="AK258" s="63">
        <v>0</v>
      </c>
      <c r="AL258" s="63">
        <v>0</v>
      </c>
      <c r="AM258" s="63">
        <v>0</v>
      </c>
      <c r="AN258" s="63">
        <v>0</v>
      </c>
      <c r="AP258" s="533">
        <v>0</v>
      </c>
      <c r="AQ258" s="533">
        <v>0</v>
      </c>
      <c r="AR258" s="533">
        <v>0</v>
      </c>
      <c r="AS258" s="533">
        <v>0</v>
      </c>
      <c r="AT258" s="534"/>
      <c r="AU258" s="594"/>
      <c r="AV258" s="595"/>
      <c r="AW258" s="595"/>
      <c r="AX258" s="595"/>
    </row>
    <row r="259" spans="1:50" x14ac:dyDescent="0.2">
      <c r="A259" s="201">
        <v>252</v>
      </c>
      <c r="B259" s="129" t="s">
        <v>358</v>
      </c>
      <c r="C259" s="130" t="s">
        <v>754</v>
      </c>
      <c r="D259" s="131" t="s">
        <v>748</v>
      </c>
      <c r="E259" s="132" t="s">
        <v>357</v>
      </c>
      <c r="F259" s="63">
        <v>240006670</v>
      </c>
      <c r="G259" s="63">
        <v>0</v>
      </c>
      <c r="H259" s="63">
        <v>0</v>
      </c>
      <c r="I259" s="63">
        <v>0</v>
      </c>
      <c r="J259" s="63">
        <v>240006670</v>
      </c>
      <c r="K259" s="63">
        <v>-3066358</v>
      </c>
      <c r="L259" s="63">
        <v>0</v>
      </c>
      <c r="M259" s="63">
        <v>0</v>
      </c>
      <c r="N259" s="63">
        <v>0</v>
      </c>
      <c r="O259" s="63">
        <v>-3066358</v>
      </c>
      <c r="P259" s="63">
        <v>-5896842</v>
      </c>
      <c r="Q259" s="63">
        <v>0</v>
      </c>
      <c r="R259" s="63">
        <v>0</v>
      </c>
      <c r="S259" s="63">
        <v>0</v>
      </c>
      <c r="T259" s="63">
        <v>-5896842</v>
      </c>
      <c r="U259" s="63">
        <v>231043470</v>
      </c>
      <c r="V259" s="63">
        <v>0</v>
      </c>
      <c r="W259" s="63">
        <v>0</v>
      </c>
      <c r="X259" s="63">
        <v>0</v>
      </c>
      <c r="Y259" s="63">
        <v>231043470</v>
      </c>
      <c r="Z259" s="63">
        <v>0</v>
      </c>
      <c r="AA259" s="63">
        <v>0</v>
      </c>
      <c r="AB259" s="63">
        <v>0</v>
      </c>
      <c r="AC259" s="63">
        <v>0</v>
      </c>
      <c r="AD259" s="63">
        <v>0</v>
      </c>
      <c r="AE259" s="63">
        <v>0</v>
      </c>
      <c r="AF259" s="63">
        <v>0</v>
      </c>
      <c r="AG259" s="63">
        <v>0</v>
      </c>
      <c r="AH259" s="63">
        <v>0</v>
      </c>
      <c r="AI259" s="63">
        <v>0</v>
      </c>
      <c r="AJ259" s="63">
        <v>0</v>
      </c>
      <c r="AK259" s="63">
        <v>0</v>
      </c>
      <c r="AL259" s="63">
        <v>0</v>
      </c>
      <c r="AM259" s="63">
        <v>0</v>
      </c>
      <c r="AN259" s="63">
        <v>0</v>
      </c>
      <c r="AP259" s="533">
        <v>0</v>
      </c>
      <c r="AQ259" s="533">
        <v>0</v>
      </c>
      <c r="AR259" s="533">
        <v>0</v>
      </c>
      <c r="AS259" s="533">
        <v>0</v>
      </c>
      <c r="AT259" s="534"/>
      <c r="AU259" s="594"/>
      <c r="AV259" s="595"/>
      <c r="AW259" s="595"/>
      <c r="AX259" s="595"/>
    </row>
    <row r="260" spans="1:50" x14ac:dyDescent="0.2">
      <c r="A260" s="201">
        <v>253</v>
      </c>
      <c r="B260" s="129" t="s">
        <v>360</v>
      </c>
      <c r="C260" s="130" t="s">
        <v>742</v>
      </c>
      <c r="D260" s="131" t="s">
        <v>743</v>
      </c>
      <c r="E260" s="132" t="s">
        <v>359</v>
      </c>
      <c r="F260" s="63">
        <v>46392499</v>
      </c>
      <c r="G260" s="63">
        <v>0</v>
      </c>
      <c r="H260" s="63">
        <v>0</v>
      </c>
      <c r="I260" s="63">
        <v>0</v>
      </c>
      <c r="J260" s="63">
        <v>46392499</v>
      </c>
      <c r="K260" s="63">
        <v>-463925</v>
      </c>
      <c r="L260" s="63">
        <v>0</v>
      </c>
      <c r="M260" s="63">
        <v>0</v>
      </c>
      <c r="N260" s="63">
        <v>0</v>
      </c>
      <c r="O260" s="63">
        <v>-463925</v>
      </c>
      <c r="P260" s="63">
        <v>-263099</v>
      </c>
      <c r="Q260" s="63">
        <v>0</v>
      </c>
      <c r="R260" s="63">
        <v>0</v>
      </c>
      <c r="S260" s="63">
        <v>0</v>
      </c>
      <c r="T260" s="63">
        <v>-263099</v>
      </c>
      <c r="U260" s="63">
        <v>45665475</v>
      </c>
      <c r="V260" s="63">
        <v>0</v>
      </c>
      <c r="W260" s="63">
        <v>0</v>
      </c>
      <c r="X260" s="63">
        <v>0</v>
      </c>
      <c r="Y260" s="63">
        <v>45665475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63">
        <v>0</v>
      </c>
      <c r="AF260" s="63">
        <v>0</v>
      </c>
      <c r="AG260" s="63">
        <v>0</v>
      </c>
      <c r="AH260" s="63">
        <v>0</v>
      </c>
      <c r="AI260" s="63">
        <v>0</v>
      </c>
      <c r="AJ260" s="63">
        <v>0</v>
      </c>
      <c r="AK260" s="63">
        <v>0</v>
      </c>
      <c r="AL260" s="63">
        <v>0</v>
      </c>
      <c r="AM260" s="63">
        <v>0</v>
      </c>
      <c r="AN260" s="63">
        <v>0</v>
      </c>
      <c r="AP260" s="533">
        <v>0</v>
      </c>
      <c r="AQ260" s="533">
        <v>0</v>
      </c>
      <c r="AR260" s="533">
        <v>0</v>
      </c>
      <c r="AS260" s="533">
        <v>0</v>
      </c>
      <c r="AT260" s="534"/>
      <c r="AU260" s="594"/>
      <c r="AV260" s="595"/>
      <c r="AW260" s="595"/>
      <c r="AX260" s="595"/>
    </row>
    <row r="261" spans="1:50" x14ac:dyDescent="0.2">
      <c r="A261" s="201">
        <v>254</v>
      </c>
      <c r="B261" s="129" t="s">
        <v>362</v>
      </c>
      <c r="C261" s="130" t="s">
        <v>742</v>
      </c>
      <c r="D261" s="131" t="s">
        <v>746</v>
      </c>
      <c r="E261" s="132" t="s">
        <v>361</v>
      </c>
      <c r="F261" s="63">
        <v>66018762</v>
      </c>
      <c r="G261" s="63">
        <v>0</v>
      </c>
      <c r="H261" s="63">
        <v>0</v>
      </c>
      <c r="I261" s="63">
        <v>0</v>
      </c>
      <c r="J261" s="63">
        <v>66018762</v>
      </c>
      <c r="K261" s="63">
        <v>-200000</v>
      </c>
      <c r="L261" s="63">
        <v>0</v>
      </c>
      <c r="M261" s="63">
        <v>0</v>
      </c>
      <c r="N261" s="63">
        <v>0</v>
      </c>
      <c r="O261" s="63">
        <v>-200000</v>
      </c>
      <c r="P261" s="63">
        <v>-1520072</v>
      </c>
      <c r="Q261" s="63">
        <v>0</v>
      </c>
      <c r="R261" s="63">
        <v>0</v>
      </c>
      <c r="S261" s="63">
        <v>0</v>
      </c>
      <c r="T261" s="63">
        <v>-1520072</v>
      </c>
      <c r="U261" s="63">
        <v>64298690</v>
      </c>
      <c r="V261" s="63">
        <v>0</v>
      </c>
      <c r="W261" s="63">
        <v>0</v>
      </c>
      <c r="X261" s="63">
        <v>0</v>
      </c>
      <c r="Y261" s="63">
        <v>64298690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63">
        <v>0</v>
      </c>
      <c r="AF261" s="63">
        <v>0</v>
      </c>
      <c r="AG261" s="63">
        <v>0</v>
      </c>
      <c r="AH261" s="63">
        <v>0</v>
      </c>
      <c r="AI261" s="63">
        <v>0</v>
      </c>
      <c r="AJ261" s="63">
        <v>0</v>
      </c>
      <c r="AK261" s="63">
        <v>0</v>
      </c>
      <c r="AL261" s="63">
        <v>0</v>
      </c>
      <c r="AM261" s="63">
        <v>0</v>
      </c>
      <c r="AN261" s="63">
        <v>0</v>
      </c>
      <c r="AP261" s="533">
        <v>0</v>
      </c>
      <c r="AQ261" s="533">
        <v>0</v>
      </c>
      <c r="AR261" s="533">
        <v>0</v>
      </c>
      <c r="AS261" s="533">
        <v>0</v>
      </c>
      <c r="AT261" s="534"/>
      <c r="AU261" s="594"/>
      <c r="AV261" s="595"/>
      <c r="AW261" s="595"/>
      <c r="AX261" s="595"/>
    </row>
    <row r="262" spans="1:50" x14ac:dyDescent="0.2">
      <c r="A262" s="201">
        <v>255</v>
      </c>
      <c r="B262" s="129" t="s">
        <v>364</v>
      </c>
      <c r="C262" s="130" t="s">
        <v>742</v>
      </c>
      <c r="D262" s="131" t="s">
        <v>746</v>
      </c>
      <c r="E262" s="132" t="s">
        <v>363</v>
      </c>
      <c r="F262" s="63">
        <v>48772702</v>
      </c>
      <c r="G262" s="63">
        <v>0</v>
      </c>
      <c r="H262" s="63">
        <v>0</v>
      </c>
      <c r="I262" s="63">
        <v>0</v>
      </c>
      <c r="J262" s="63">
        <v>48772702</v>
      </c>
      <c r="K262" s="63">
        <v>-306336</v>
      </c>
      <c r="L262" s="63">
        <v>0</v>
      </c>
      <c r="M262" s="63">
        <v>0</v>
      </c>
      <c r="N262" s="63">
        <v>0</v>
      </c>
      <c r="O262" s="63">
        <v>-306336</v>
      </c>
      <c r="P262" s="63">
        <v>-776575</v>
      </c>
      <c r="Q262" s="63">
        <v>0</v>
      </c>
      <c r="R262" s="63">
        <v>0</v>
      </c>
      <c r="S262" s="63">
        <v>0</v>
      </c>
      <c r="T262" s="63">
        <v>-776575</v>
      </c>
      <c r="U262" s="63">
        <v>47689791</v>
      </c>
      <c r="V262" s="63">
        <v>0</v>
      </c>
      <c r="W262" s="63">
        <v>0</v>
      </c>
      <c r="X262" s="63">
        <v>0</v>
      </c>
      <c r="Y262" s="63">
        <v>47689791</v>
      </c>
      <c r="Z262" s="63">
        <v>262138</v>
      </c>
      <c r="AA262" s="63">
        <v>0</v>
      </c>
      <c r="AB262" s="63">
        <v>0</v>
      </c>
      <c r="AC262" s="63">
        <v>0</v>
      </c>
      <c r="AD262" s="63">
        <v>262138</v>
      </c>
      <c r="AE262" s="63">
        <v>0</v>
      </c>
      <c r="AF262" s="63">
        <v>0</v>
      </c>
      <c r="AG262" s="63">
        <v>0</v>
      </c>
      <c r="AH262" s="63">
        <v>0</v>
      </c>
      <c r="AI262" s="63">
        <v>0</v>
      </c>
      <c r="AJ262" s="63">
        <v>0</v>
      </c>
      <c r="AK262" s="63">
        <v>0</v>
      </c>
      <c r="AL262" s="63">
        <v>0</v>
      </c>
      <c r="AM262" s="63">
        <v>0</v>
      </c>
      <c r="AN262" s="63">
        <v>0</v>
      </c>
      <c r="AP262" s="533" t="s">
        <v>768</v>
      </c>
      <c r="AQ262" s="533" t="s">
        <v>993</v>
      </c>
      <c r="AR262" s="533" t="s">
        <v>996</v>
      </c>
      <c r="AS262" s="533">
        <v>0</v>
      </c>
      <c r="AT262" s="534"/>
      <c r="AU262" s="594"/>
      <c r="AV262" s="599"/>
      <c r="AW262" s="599"/>
      <c r="AX262" s="595"/>
    </row>
    <row r="263" spans="1:50" x14ac:dyDescent="0.2">
      <c r="A263" s="201">
        <v>256</v>
      </c>
      <c r="B263" s="129" t="s">
        <v>366</v>
      </c>
      <c r="C263" s="130" t="s">
        <v>749</v>
      </c>
      <c r="D263" s="131" t="s">
        <v>744</v>
      </c>
      <c r="E263" s="132" t="s">
        <v>365</v>
      </c>
      <c r="F263" s="63">
        <v>53222410</v>
      </c>
      <c r="G263" s="63">
        <v>0</v>
      </c>
      <c r="H263" s="63">
        <v>0</v>
      </c>
      <c r="I263" s="63">
        <v>0</v>
      </c>
      <c r="J263" s="63">
        <v>53222410</v>
      </c>
      <c r="K263" s="63">
        <v>-1500000</v>
      </c>
      <c r="L263" s="63">
        <v>0</v>
      </c>
      <c r="M263" s="63">
        <v>0</v>
      </c>
      <c r="N263" s="63">
        <v>0</v>
      </c>
      <c r="O263" s="63">
        <v>-1500000</v>
      </c>
      <c r="P263" s="63">
        <v>-1750000</v>
      </c>
      <c r="Q263" s="63">
        <v>0</v>
      </c>
      <c r="R263" s="63">
        <v>0</v>
      </c>
      <c r="S263" s="63">
        <v>0</v>
      </c>
      <c r="T263" s="63">
        <v>-1750000</v>
      </c>
      <c r="U263" s="63">
        <v>49972410</v>
      </c>
      <c r="V263" s="63">
        <v>0</v>
      </c>
      <c r="W263" s="63">
        <v>0</v>
      </c>
      <c r="X263" s="63">
        <v>0</v>
      </c>
      <c r="Y263" s="63">
        <v>49972410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63">
        <v>0</v>
      </c>
      <c r="AF263" s="63">
        <v>0</v>
      </c>
      <c r="AG263" s="63">
        <v>0</v>
      </c>
      <c r="AH263" s="63">
        <v>0</v>
      </c>
      <c r="AI263" s="63">
        <v>0</v>
      </c>
      <c r="AJ263" s="63">
        <v>0</v>
      </c>
      <c r="AK263" s="63">
        <v>0</v>
      </c>
      <c r="AL263" s="63">
        <v>0</v>
      </c>
      <c r="AM263" s="63">
        <v>0</v>
      </c>
      <c r="AN263" s="63">
        <v>0</v>
      </c>
      <c r="AP263" s="533">
        <v>0</v>
      </c>
      <c r="AQ263" s="533">
        <v>0</v>
      </c>
      <c r="AR263" s="533">
        <v>0</v>
      </c>
      <c r="AS263" s="533">
        <v>0</v>
      </c>
      <c r="AT263" s="534"/>
      <c r="AU263" s="597"/>
      <c r="AV263" s="598"/>
      <c r="AW263" s="598"/>
      <c r="AX263" s="598"/>
    </row>
    <row r="264" spans="1:50" x14ac:dyDescent="0.2">
      <c r="A264" s="201">
        <v>257</v>
      </c>
      <c r="B264" s="129" t="s">
        <v>368</v>
      </c>
      <c r="C264" s="130" t="s">
        <v>742</v>
      </c>
      <c r="D264" s="131" t="s">
        <v>752</v>
      </c>
      <c r="E264" s="132" t="s">
        <v>367</v>
      </c>
      <c r="F264" s="63">
        <v>47977315</v>
      </c>
      <c r="G264" s="63">
        <v>0</v>
      </c>
      <c r="H264" s="63">
        <v>0</v>
      </c>
      <c r="I264" s="63">
        <v>0</v>
      </c>
      <c r="J264" s="63">
        <v>47977315</v>
      </c>
      <c r="K264" s="63">
        <v>-500000</v>
      </c>
      <c r="L264" s="63">
        <v>0</v>
      </c>
      <c r="M264" s="63">
        <v>0</v>
      </c>
      <c r="N264" s="63">
        <v>0</v>
      </c>
      <c r="O264" s="63">
        <v>-500000</v>
      </c>
      <c r="P264" s="63">
        <v>-1000000</v>
      </c>
      <c r="Q264" s="63">
        <v>0</v>
      </c>
      <c r="R264" s="63">
        <v>0</v>
      </c>
      <c r="S264" s="63">
        <v>0</v>
      </c>
      <c r="T264" s="63">
        <v>-1000000</v>
      </c>
      <c r="U264" s="63">
        <v>46477315</v>
      </c>
      <c r="V264" s="63">
        <v>0</v>
      </c>
      <c r="W264" s="63">
        <v>0</v>
      </c>
      <c r="X264" s="63">
        <v>0</v>
      </c>
      <c r="Y264" s="63">
        <v>46477315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63">
        <v>0</v>
      </c>
      <c r="AF264" s="63">
        <v>0</v>
      </c>
      <c r="AG264" s="63">
        <v>0</v>
      </c>
      <c r="AH264" s="63">
        <v>0</v>
      </c>
      <c r="AI264" s="63">
        <v>0</v>
      </c>
      <c r="AJ264" s="63">
        <v>0</v>
      </c>
      <c r="AK264" s="63">
        <v>0</v>
      </c>
      <c r="AL264" s="63">
        <v>0</v>
      </c>
      <c r="AM264" s="63">
        <v>0</v>
      </c>
      <c r="AN264" s="63">
        <v>0</v>
      </c>
      <c r="AP264" s="533">
        <v>0</v>
      </c>
      <c r="AQ264" s="533">
        <v>0</v>
      </c>
      <c r="AR264" s="533">
        <v>0</v>
      </c>
      <c r="AS264" s="533">
        <v>0</v>
      </c>
      <c r="AT264" s="534"/>
      <c r="AU264" s="597"/>
      <c r="AV264" s="598"/>
      <c r="AW264" s="598"/>
      <c r="AX264" s="598"/>
    </row>
    <row r="265" spans="1:50" x14ac:dyDescent="0.2">
      <c r="A265" s="201">
        <v>258</v>
      </c>
      <c r="B265" s="129" t="s">
        <v>370</v>
      </c>
      <c r="C265" s="130" t="s">
        <v>742</v>
      </c>
      <c r="D265" s="131" t="s">
        <v>752</v>
      </c>
      <c r="E265" s="132" t="s">
        <v>369</v>
      </c>
      <c r="F265" s="63">
        <v>19205677</v>
      </c>
      <c r="G265" s="63">
        <v>0</v>
      </c>
      <c r="H265" s="63">
        <v>0</v>
      </c>
      <c r="I265" s="63">
        <v>0</v>
      </c>
      <c r="J265" s="63">
        <v>19205677</v>
      </c>
      <c r="K265" s="63">
        <v>-144043</v>
      </c>
      <c r="L265" s="63">
        <v>0</v>
      </c>
      <c r="M265" s="63">
        <v>0</v>
      </c>
      <c r="N265" s="63">
        <v>0</v>
      </c>
      <c r="O265" s="63">
        <v>-144043</v>
      </c>
      <c r="P265" s="63">
        <v>-324221</v>
      </c>
      <c r="Q265" s="63">
        <v>0</v>
      </c>
      <c r="R265" s="63">
        <v>0</v>
      </c>
      <c r="S265" s="63">
        <v>0</v>
      </c>
      <c r="T265" s="63">
        <v>-324221</v>
      </c>
      <c r="U265" s="63">
        <v>18737413</v>
      </c>
      <c r="V265" s="63">
        <v>0</v>
      </c>
      <c r="W265" s="63">
        <v>0</v>
      </c>
      <c r="X265" s="63">
        <v>0</v>
      </c>
      <c r="Y265" s="63">
        <v>18737413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63">
        <v>0</v>
      </c>
      <c r="AF265" s="63">
        <v>0</v>
      </c>
      <c r="AG265" s="63">
        <v>0</v>
      </c>
      <c r="AH265" s="63">
        <v>0</v>
      </c>
      <c r="AI265" s="63">
        <v>0</v>
      </c>
      <c r="AJ265" s="63">
        <v>0</v>
      </c>
      <c r="AK265" s="63">
        <v>0</v>
      </c>
      <c r="AL265" s="63">
        <v>0</v>
      </c>
      <c r="AM265" s="63">
        <v>0</v>
      </c>
      <c r="AN265" s="63">
        <v>0</v>
      </c>
      <c r="AP265" s="533">
        <v>0</v>
      </c>
      <c r="AQ265" s="533">
        <v>0</v>
      </c>
      <c r="AR265" s="533">
        <v>0</v>
      </c>
      <c r="AS265" s="533">
        <v>0</v>
      </c>
      <c r="AT265" s="534"/>
      <c r="AU265" s="594"/>
      <c r="AV265" s="595"/>
      <c r="AW265" s="595"/>
      <c r="AX265" s="595"/>
    </row>
    <row r="266" spans="1:50" x14ac:dyDescent="0.2">
      <c r="A266" s="201">
        <v>259</v>
      </c>
      <c r="B266" s="129" t="s">
        <v>372</v>
      </c>
      <c r="C266" s="130" t="s">
        <v>742</v>
      </c>
      <c r="D266" s="131" t="s">
        <v>746</v>
      </c>
      <c r="E266" s="132" t="s">
        <v>371</v>
      </c>
      <c r="F266" s="63">
        <v>47866616</v>
      </c>
      <c r="G266" s="63">
        <v>0</v>
      </c>
      <c r="H266" s="63">
        <v>0</v>
      </c>
      <c r="I266" s="63">
        <v>0</v>
      </c>
      <c r="J266" s="63">
        <v>47866616</v>
      </c>
      <c r="K266" s="63">
        <v>-800000</v>
      </c>
      <c r="L266" s="63">
        <v>0</v>
      </c>
      <c r="M266" s="63">
        <v>0</v>
      </c>
      <c r="N266" s="63">
        <v>0</v>
      </c>
      <c r="O266" s="63">
        <v>-800000</v>
      </c>
      <c r="P266" s="63">
        <v>-811000</v>
      </c>
      <c r="Q266" s="63">
        <v>0</v>
      </c>
      <c r="R266" s="63">
        <v>0</v>
      </c>
      <c r="S266" s="63">
        <v>0</v>
      </c>
      <c r="T266" s="63">
        <v>-811000</v>
      </c>
      <c r="U266" s="63">
        <v>46255616</v>
      </c>
      <c r="V266" s="63">
        <v>0</v>
      </c>
      <c r="W266" s="63">
        <v>0</v>
      </c>
      <c r="X266" s="63">
        <v>0</v>
      </c>
      <c r="Y266" s="63">
        <v>46255616</v>
      </c>
      <c r="Z266" s="63">
        <v>0</v>
      </c>
      <c r="AA266" s="63">
        <v>0</v>
      </c>
      <c r="AB266" s="63">
        <v>0</v>
      </c>
      <c r="AC266" s="63">
        <v>0</v>
      </c>
      <c r="AD266" s="63">
        <v>0</v>
      </c>
      <c r="AE266" s="63">
        <v>0</v>
      </c>
      <c r="AF266" s="63">
        <v>0</v>
      </c>
      <c r="AG266" s="63">
        <v>0</v>
      </c>
      <c r="AH266" s="63">
        <v>0</v>
      </c>
      <c r="AI266" s="63">
        <v>0</v>
      </c>
      <c r="AJ266" s="63">
        <v>0</v>
      </c>
      <c r="AK266" s="63">
        <v>0</v>
      </c>
      <c r="AL266" s="63">
        <v>0</v>
      </c>
      <c r="AM266" s="63">
        <v>0</v>
      </c>
      <c r="AN266" s="63">
        <v>0</v>
      </c>
      <c r="AP266" s="533">
        <v>0</v>
      </c>
      <c r="AQ266" s="533">
        <v>0</v>
      </c>
      <c r="AR266" s="533">
        <v>0</v>
      </c>
      <c r="AS266" s="533">
        <v>0</v>
      </c>
      <c r="AT266" s="534"/>
      <c r="AU266" s="594"/>
      <c r="AV266" s="595"/>
      <c r="AW266" s="595"/>
      <c r="AX266" s="595"/>
    </row>
    <row r="267" spans="1:50" x14ac:dyDescent="0.2">
      <c r="A267" s="201">
        <v>260</v>
      </c>
      <c r="B267" s="129" t="s">
        <v>374</v>
      </c>
      <c r="C267" s="130" t="s">
        <v>749</v>
      </c>
      <c r="D267" s="131" t="s">
        <v>744</v>
      </c>
      <c r="E267" s="132" t="s">
        <v>373</v>
      </c>
      <c r="F267" s="63">
        <v>100018000</v>
      </c>
      <c r="G267" s="63">
        <v>0</v>
      </c>
      <c r="H267" s="63">
        <v>0</v>
      </c>
      <c r="I267" s="63">
        <v>0</v>
      </c>
      <c r="J267" s="63">
        <v>100018000</v>
      </c>
      <c r="K267" s="63">
        <v>-2008000</v>
      </c>
      <c r="L267" s="63">
        <v>0</v>
      </c>
      <c r="M267" s="63">
        <v>0</v>
      </c>
      <c r="N267" s="63">
        <v>0</v>
      </c>
      <c r="O267" s="63">
        <v>-2008000</v>
      </c>
      <c r="P267" s="63">
        <v>-2008000</v>
      </c>
      <c r="Q267" s="63">
        <v>0</v>
      </c>
      <c r="R267" s="63">
        <v>0</v>
      </c>
      <c r="S267" s="63">
        <v>0</v>
      </c>
      <c r="T267" s="63">
        <v>-2008000</v>
      </c>
      <c r="U267" s="63">
        <v>96002000</v>
      </c>
      <c r="V267" s="63">
        <v>0</v>
      </c>
      <c r="W267" s="63">
        <v>0</v>
      </c>
      <c r="X267" s="63">
        <v>0</v>
      </c>
      <c r="Y267" s="63">
        <v>96002000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63">
        <v>0</v>
      </c>
      <c r="AF267" s="63">
        <v>0</v>
      </c>
      <c r="AG267" s="63">
        <v>0</v>
      </c>
      <c r="AH267" s="63">
        <v>6085584</v>
      </c>
      <c r="AI267" s="63">
        <v>0</v>
      </c>
      <c r="AJ267" s="63">
        <v>0</v>
      </c>
      <c r="AK267" s="63">
        <v>0</v>
      </c>
      <c r="AL267" s="63">
        <v>0</v>
      </c>
      <c r="AM267" s="63">
        <v>0</v>
      </c>
      <c r="AN267" s="63">
        <v>0</v>
      </c>
      <c r="AP267" s="533" t="s">
        <v>768</v>
      </c>
      <c r="AQ267" s="533" t="s">
        <v>800</v>
      </c>
      <c r="AR267" s="533">
        <v>0</v>
      </c>
      <c r="AS267" s="533">
        <v>0</v>
      </c>
      <c r="AT267" s="534"/>
      <c r="AU267" s="594"/>
      <c r="AV267" s="600"/>
      <c r="AW267" s="605"/>
      <c r="AX267" s="595"/>
    </row>
    <row r="268" spans="1:50" x14ac:dyDescent="0.2">
      <c r="A268" s="201">
        <v>261</v>
      </c>
      <c r="B268" s="129" t="s">
        <v>375</v>
      </c>
      <c r="C268" s="130" t="s">
        <v>501</v>
      </c>
      <c r="D268" s="131" t="s">
        <v>755</v>
      </c>
      <c r="E268" s="132" t="s">
        <v>519</v>
      </c>
      <c r="F268" s="63">
        <v>87287098</v>
      </c>
      <c r="G268" s="63">
        <v>175248</v>
      </c>
      <c r="H268" s="63">
        <v>26581</v>
      </c>
      <c r="I268" s="63">
        <v>0</v>
      </c>
      <c r="J268" s="63">
        <v>87488927</v>
      </c>
      <c r="K268" s="63">
        <v>-960158</v>
      </c>
      <c r="L268" s="63">
        <v>-1928</v>
      </c>
      <c r="M268" s="63">
        <v>-292</v>
      </c>
      <c r="N268" s="63">
        <v>0</v>
      </c>
      <c r="O268" s="63">
        <v>-962378</v>
      </c>
      <c r="P268" s="63">
        <v>-3625923</v>
      </c>
      <c r="Q268" s="63">
        <v>0</v>
      </c>
      <c r="R268" s="63">
        <v>0</v>
      </c>
      <c r="S268" s="63">
        <v>0</v>
      </c>
      <c r="T268" s="63">
        <v>-3625923</v>
      </c>
      <c r="U268" s="63">
        <v>82701017</v>
      </c>
      <c r="V268" s="63">
        <v>173320</v>
      </c>
      <c r="W268" s="63">
        <v>26289</v>
      </c>
      <c r="X268" s="63">
        <v>0</v>
      </c>
      <c r="Y268" s="63">
        <v>82900626</v>
      </c>
      <c r="Z268" s="63">
        <v>0</v>
      </c>
      <c r="AA268" s="63">
        <v>0</v>
      </c>
      <c r="AB268" s="63">
        <v>0</v>
      </c>
      <c r="AC268" s="63">
        <v>0</v>
      </c>
      <c r="AD268" s="63">
        <v>0</v>
      </c>
      <c r="AE268" s="63">
        <v>0</v>
      </c>
      <c r="AF268" s="63">
        <v>0</v>
      </c>
      <c r="AG268" s="63">
        <v>0</v>
      </c>
      <c r="AH268" s="63">
        <v>0</v>
      </c>
      <c r="AI268" s="63">
        <v>118803</v>
      </c>
      <c r="AJ268" s="63">
        <v>0</v>
      </c>
      <c r="AK268" s="63">
        <v>173320</v>
      </c>
      <c r="AL268" s="63">
        <v>0</v>
      </c>
      <c r="AM268" s="63">
        <v>0</v>
      </c>
      <c r="AN268" s="63">
        <v>173320</v>
      </c>
      <c r="AP268" s="533" t="s">
        <v>768</v>
      </c>
      <c r="AQ268" s="533" t="s">
        <v>784</v>
      </c>
      <c r="AR268" s="533" t="s">
        <v>991</v>
      </c>
      <c r="AS268" s="533">
        <v>0</v>
      </c>
      <c r="AT268" s="534"/>
      <c r="AU268" s="594"/>
      <c r="AV268" s="600"/>
      <c r="AW268" s="601"/>
      <c r="AX268" s="595"/>
    </row>
    <row r="269" spans="1:50" x14ac:dyDescent="0.2">
      <c r="A269" s="201">
        <v>262</v>
      </c>
      <c r="B269" s="129" t="s">
        <v>376</v>
      </c>
      <c r="C269" s="130" t="s">
        <v>501</v>
      </c>
      <c r="D269" s="131" t="s">
        <v>752</v>
      </c>
      <c r="E269" s="132" t="s">
        <v>548</v>
      </c>
      <c r="F269" s="63">
        <v>91815267</v>
      </c>
      <c r="G269" s="63">
        <v>0</v>
      </c>
      <c r="H269" s="63">
        <v>0</v>
      </c>
      <c r="I269" s="63">
        <v>0</v>
      </c>
      <c r="J269" s="63">
        <v>91815267</v>
      </c>
      <c r="K269" s="63">
        <v>-1900188</v>
      </c>
      <c r="L269" s="63">
        <v>0</v>
      </c>
      <c r="M269" s="63">
        <v>0</v>
      </c>
      <c r="N269" s="63">
        <v>0</v>
      </c>
      <c r="O269" s="63">
        <v>-1900188</v>
      </c>
      <c r="P269" s="63">
        <v>-2600000</v>
      </c>
      <c r="Q269" s="63">
        <v>0</v>
      </c>
      <c r="R269" s="63">
        <v>0</v>
      </c>
      <c r="S269" s="63">
        <v>0</v>
      </c>
      <c r="T269" s="63">
        <v>-2600000</v>
      </c>
      <c r="U269" s="63">
        <v>87315079</v>
      </c>
      <c r="V269" s="63">
        <v>0</v>
      </c>
      <c r="W269" s="63">
        <v>0</v>
      </c>
      <c r="X269" s="63">
        <v>0</v>
      </c>
      <c r="Y269" s="63">
        <v>87315079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63">
        <v>0</v>
      </c>
      <c r="AF269" s="63">
        <v>0</v>
      </c>
      <c r="AG269" s="63">
        <v>0</v>
      </c>
      <c r="AH269" s="63">
        <v>431260</v>
      </c>
      <c r="AI269" s="63">
        <v>0</v>
      </c>
      <c r="AJ269" s="63">
        <v>0</v>
      </c>
      <c r="AK269" s="63">
        <v>0</v>
      </c>
      <c r="AL269" s="63">
        <v>0</v>
      </c>
      <c r="AM269" s="63">
        <v>0</v>
      </c>
      <c r="AN269" s="63">
        <v>0</v>
      </c>
      <c r="AP269" s="533" t="s">
        <v>768</v>
      </c>
      <c r="AQ269" s="533" t="s">
        <v>1001</v>
      </c>
      <c r="AR269" s="533">
        <v>0</v>
      </c>
      <c r="AS269" s="533">
        <v>0</v>
      </c>
      <c r="AT269" s="534"/>
      <c r="AU269" s="594"/>
      <c r="AV269" s="599"/>
      <c r="AW269" s="599"/>
      <c r="AX269" s="595"/>
    </row>
    <row r="270" spans="1:50" x14ac:dyDescent="0.2">
      <c r="A270" s="201">
        <v>263</v>
      </c>
      <c r="B270" s="129" t="s">
        <v>378</v>
      </c>
      <c r="C270" s="130" t="s">
        <v>742</v>
      </c>
      <c r="D270" s="131" t="s">
        <v>752</v>
      </c>
      <c r="E270" s="132" t="s">
        <v>377</v>
      </c>
      <c r="F270" s="63">
        <v>55719451.139999993</v>
      </c>
      <c r="G270" s="63">
        <v>0</v>
      </c>
      <c r="H270" s="63">
        <v>0</v>
      </c>
      <c r="I270" s="63">
        <v>0</v>
      </c>
      <c r="J270" s="63">
        <v>55719451.139999993</v>
      </c>
      <c r="K270" s="63">
        <v>-400000</v>
      </c>
      <c r="L270" s="63">
        <v>0</v>
      </c>
      <c r="M270" s="63">
        <v>0</v>
      </c>
      <c r="N270" s="63">
        <v>0</v>
      </c>
      <c r="O270" s="63">
        <v>-400000</v>
      </c>
      <c r="P270" s="63">
        <v>-500000</v>
      </c>
      <c r="Q270" s="63">
        <v>0</v>
      </c>
      <c r="R270" s="63">
        <v>0</v>
      </c>
      <c r="S270" s="63">
        <v>0</v>
      </c>
      <c r="T270" s="63">
        <v>-500000</v>
      </c>
      <c r="U270" s="63">
        <v>54819451.139999993</v>
      </c>
      <c r="V270" s="63">
        <v>0</v>
      </c>
      <c r="W270" s="63">
        <v>0</v>
      </c>
      <c r="X270" s="63">
        <v>0</v>
      </c>
      <c r="Y270" s="63">
        <v>54819451.139999993</v>
      </c>
      <c r="Z270" s="63">
        <v>41000</v>
      </c>
      <c r="AA270" s="63">
        <v>0</v>
      </c>
      <c r="AB270" s="63">
        <v>0</v>
      </c>
      <c r="AC270" s="63">
        <v>0</v>
      </c>
      <c r="AD270" s="63">
        <v>41000</v>
      </c>
      <c r="AE270" s="63">
        <v>0</v>
      </c>
      <c r="AF270" s="63">
        <v>0</v>
      </c>
      <c r="AG270" s="63">
        <v>0</v>
      </c>
      <c r="AH270" s="63">
        <v>0</v>
      </c>
      <c r="AI270" s="63">
        <v>0</v>
      </c>
      <c r="AJ270" s="63">
        <v>0</v>
      </c>
      <c r="AK270" s="63">
        <v>0</v>
      </c>
      <c r="AL270" s="63">
        <v>0</v>
      </c>
      <c r="AM270" s="63">
        <v>0</v>
      </c>
      <c r="AN270" s="63">
        <v>0</v>
      </c>
      <c r="AP270" s="533">
        <v>0</v>
      </c>
      <c r="AQ270" s="533">
        <v>0</v>
      </c>
      <c r="AR270" s="533">
        <v>0</v>
      </c>
      <c r="AS270" s="533">
        <v>0</v>
      </c>
      <c r="AT270" s="534"/>
      <c r="AU270" s="594"/>
      <c r="AV270" s="595"/>
      <c r="AW270" s="595"/>
      <c r="AX270" s="595"/>
    </row>
    <row r="271" spans="1:50" x14ac:dyDescent="0.2">
      <c r="A271" s="201">
        <v>264</v>
      </c>
      <c r="B271" s="129" t="s">
        <v>380</v>
      </c>
      <c r="C271" s="130" t="s">
        <v>742</v>
      </c>
      <c r="D271" s="131" t="s">
        <v>751</v>
      </c>
      <c r="E271" s="132" t="s">
        <v>379</v>
      </c>
      <c r="F271" s="63">
        <v>28236204.82</v>
      </c>
      <c r="G271" s="63">
        <v>0</v>
      </c>
      <c r="H271" s="63">
        <v>0</v>
      </c>
      <c r="I271" s="63">
        <v>0</v>
      </c>
      <c r="J271" s="63">
        <v>28236204.82</v>
      </c>
      <c r="K271" s="63">
        <v>-250000</v>
      </c>
      <c r="L271" s="63">
        <v>0</v>
      </c>
      <c r="M271" s="63">
        <v>0</v>
      </c>
      <c r="N271" s="63">
        <v>0</v>
      </c>
      <c r="O271" s="63">
        <v>-250000</v>
      </c>
      <c r="P271" s="63">
        <v>-350000</v>
      </c>
      <c r="Q271" s="63">
        <v>0</v>
      </c>
      <c r="R271" s="63">
        <v>0</v>
      </c>
      <c r="S271" s="63">
        <v>0</v>
      </c>
      <c r="T271" s="63">
        <v>-350000</v>
      </c>
      <c r="U271" s="63">
        <v>27636204.82</v>
      </c>
      <c r="V271" s="63">
        <v>0</v>
      </c>
      <c r="W271" s="63">
        <v>0</v>
      </c>
      <c r="X271" s="63">
        <v>0</v>
      </c>
      <c r="Y271" s="63">
        <v>27636204.82</v>
      </c>
      <c r="Z271" s="63">
        <v>700</v>
      </c>
      <c r="AA271" s="63">
        <v>0</v>
      </c>
      <c r="AB271" s="63">
        <v>0</v>
      </c>
      <c r="AC271" s="63">
        <v>0</v>
      </c>
      <c r="AD271" s="63">
        <v>700</v>
      </c>
      <c r="AE271" s="63">
        <v>0</v>
      </c>
      <c r="AF271" s="63">
        <v>0</v>
      </c>
      <c r="AG271" s="63">
        <v>0</v>
      </c>
      <c r="AH271" s="63">
        <v>0</v>
      </c>
      <c r="AI271" s="63">
        <v>0</v>
      </c>
      <c r="AJ271" s="63">
        <v>0</v>
      </c>
      <c r="AK271" s="63">
        <v>0</v>
      </c>
      <c r="AL271" s="63">
        <v>0</v>
      </c>
      <c r="AM271" s="63">
        <v>0</v>
      </c>
      <c r="AN271" s="63">
        <v>0</v>
      </c>
      <c r="AP271" s="533">
        <v>0</v>
      </c>
      <c r="AQ271" s="533">
        <v>0</v>
      </c>
      <c r="AR271" s="533">
        <v>0</v>
      </c>
      <c r="AS271" s="533">
        <v>0</v>
      </c>
      <c r="AT271" s="534"/>
      <c r="AU271" s="594"/>
      <c r="AV271" s="595"/>
      <c r="AW271" s="595"/>
      <c r="AX271" s="595"/>
    </row>
    <row r="272" spans="1:50" x14ac:dyDescent="0.2">
      <c r="A272" s="201">
        <v>265</v>
      </c>
      <c r="B272" s="129" t="s">
        <v>382</v>
      </c>
      <c r="C272" s="130" t="s">
        <v>742</v>
      </c>
      <c r="D272" s="131" t="s">
        <v>746</v>
      </c>
      <c r="E272" s="132" t="s">
        <v>381</v>
      </c>
      <c r="F272" s="63">
        <v>70514690</v>
      </c>
      <c r="G272" s="63">
        <v>0</v>
      </c>
      <c r="H272" s="63">
        <v>0</v>
      </c>
      <c r="I272" s="63">
        <v>0</v>
      </c>
      <c r="J272" s="63">
        <v>70514690</v>
      </c>
      <c r="K272" s="63">
        <v>-347191</v>
      </c>
      <c r="L272" s="63">
        <v>0</v>
      </c>
      <c r="M272" s="63">
        <v>0</v>
      </c>
      <c r="N272" s="63">
        <v>0</v>
      </c>
      <c r="O272" s="63">
        <v>-347191</v>
      </c>
      <c r="P272" s="63">
        <v>-1326787</v>
      </c>
      <c r="Q272" s="63">
        <v>0</v>
      </c>
      <c r="R272" s="63">
        <v>0</v>
      </c>
      <c r="S272" s="63">
        <v>0</v>
      </c>
      <c r="T272" s="63">
        <v>-1326787</v>
      </c>
      <c r="U272" s="63">
        <v>68840712</v>
      </c>
      <c r="V272" s="63">
        <v>0</v>
      </c>
      <c r="W272" s="63">
        <v>0</v>
      </c>
      <c r="X272" s="63">
        <v>0</v>
      </c>
      <c r="Y272" s="63">
        <v>68840712</v>
      </c>
      <c r="Z272" s="63">
        <v>123256</v>
      </c>
      <c r="AA272" s="63">
        <v>0</v>
      </c>
      <c r="AB272" s="63">
        <v>0</v>
      </c>
      <c r="AC272" s="63">
        <v>0</v>
      </c>
      <c r="AD272" s="63">
        <v>123256</v>
      </c>
      <c r="AE272" s="63">
        <v>0</v>
      </c>
      <c r="AF272" s="63">
        <v>0</v>
      </c>
      <c r="AG272" s="63">
        <v>0</v>
      </c>
      <c r="AH272" s="63">
        <v>0</v>
      </c>
      <c r="AI272" s="63">
        <v>0</v>
      </c>
      <c r="AJ272" s="63">
        <v>0</v>
      </c>
      <c r="AK272" s="63">
        <v>0</v>
      </c>
      <c r="AL272" s="63">
        <v>0</v>
      </c>
      <c r="AM272" s="63">
        <v>0</v>
      </c>
      <c r="AN272" s="63">
        <v>0</v>
      </c>
      <c r="AP272" s="533">
        <v>0</v>
      </c>
      <c r="AQ272" s="533">
        <v>0</v>
      </c>
      <c r="AR272" s="533">
        <v>0</v>
      </c>
      <c r="AS272" s="533">
        <v>0</v>
      </c>
      <c r="AT272" s="534"/>
      <c r="AU272" s="594"/>
      <c r="AV272" s="595"/>
      <c r="AW272" s="595"/>
      <c r="AX272" s="595"/>
    </row>
    <row r="273" spans="1:50" x14ac:dyDescent="0.2">
      <c r="A273" s="201">
        <v>266</v>
      </c>
      <c r="B273" s="129" t="s">
        <v>384</v>
      </c>
      <c r="C273" s="130" t="s">
        <v>749</v>
      </c>
      <c r="D273" s="131" t="s">
        <v>755</v>
      </c>
      <c r="E273" s="132" t="s">
        <v>383</v>
      </c>
      <c r="F273" s="63">
        <v>92254276</v>
      </c>
      <c r="G273" s="63">
        <v>858306</v>
      </c>
      <c r="H273" s="63">
        <v>0</v>
      </c>
      <c r="I273" s="63">
        <v>0</v>
      </c>
      <c r="J273" s="63">
        <v>93112582</v>
      </c>
      <c r="K273" s="63">
        <v>-2500000</v>
      </c>
      <c r="L273" s="63">
        <v>0</v>
      </c>
      <c r="M273" s="63">
        <v>0</v>
      </c>
      <c r="N273" s="63">
        <v>0</v>
      </c>
      <c r="O273" s="63">
        <v>-2500000</v>
      </c>
      <c r="P273" s="63">
        <v>-700000</v>
      </c>
      <c r="Q273" s="63">
        <v>0</v>
      </c>
      <c r="R273" s="63">
        <v>0</v>
      </c>
      <c r="S273" s="63">
        <v>0</v>
      </c>
      <c r="T273" s="63">
        <v>-700000</v>
      </c>
      <c r="U273" s="63">
        <v>89054276</v>
      </c>
      <c r="V273" s="63">
        <v>858306</v>
      </c>
      <c r="W273" s="63">
        <v>0</v>
      </c>
      <c r="X273" s="63">
        <v>0</v>
      </c>
      <c r="Y273" s="63">
        <v>89912582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63">
        <v>0</v>
      </c>
      <c r="AF273" s="63">
        <v>0</v>
      </c>
      <c r="AG273" s="63">
        <v>0</v>
      </c>
      <c r="AH273" s="63">
        <v>143841</v>
      </c>
      <c r="AI273" s="63">
        <v>0</v>
      </c>
      <c r="AJ273" s="63">
        <v>0</v>
      </c>
      <c r="AK273" s="63">
        <v>714465</v>
      </c>
      <c r="AL273" s="63">
        <v>0</v>
      </c>
      <c r="AM273" s="63">
        <v>0</v>
      </c>
      <c r="AN273" s="63">
        <v>714465</v>
      </c>
      <c r="AP273" s="533" t="s">
        <v>768</v>
      </c>
      <c r="AQ273" s="533" t="s">
        <v>796</v>
      </c>
      <c r="AR273" s="533">
        <v>0</v>
      </c>
      <c r="AS273" s="533">
        <v>0</v>
      </c>
      <c r="AT273" s="534"/>
      <c r="AU273" s="594"/>
      <c r="AV273" s="595"/>
      <c r="AW273" s="595"/>
      <c r="AX273" s="595"/>
    </row>
    <row r="274" spans="1:50" x14ac:dyDescent="0.2">
      <c r="A274" s="201">
        <v>267</v>
      </c>
      <c r="B274" s="129" t="s">
        <v>386</v>
      </c>
      <c r="C274" s="130" t="s">
        <v>742</v>
      </c>
      <c r="D274" s="131" t="s">
        <v>743</v>
      </c>
      <c r="E274" s="132" t="s">
        <v>385</v>
      </c>
      <c r="F274" s="63">
        <v>37261694</v>
      </c>
      <c r="G274" s="63">
        <v>0</v>
      </c>
      <c r="H274" s="63">
        <v>0</v>
      </c>
      <c r="I274" s="63">
        <v>0</v>
      </c>
      <c r="J274" s="63">
        <v>37261694</v>
      </c>
      <c r="K274" s="63">
        <v>-500000</v>
      </c>
      <c r="L274" s="63">
        <v>0</v>
      </c>
      <c r="M274" s="63">
        <v>0</v>
      </c>
      <c r="N274" s="63">
        <v>0</v>
      </c>
      <c r="O274" s="63">
        <v>-500000</v>
      </c>
      <c r="P274" s="63">
        <v>-1500000</v>
      </c>
      <c r="Q274" s="63">
        <v>0</v>
      </c>
      <c r="R274" s="63">
        <v>0</v>
      </c>
      <c r="S274" s="63">
        <v>0</v>
      </c>
      <c r="T274" s="63">
        <v>-1500000</v>
      </c>
      <c r="U274" s="63">
        <v>35261694</v>
      </c>
      <c r="V274" s="63">
        <v>0</v>
      </c>
      <c r="W274" s="63">
        <v>0</v>
      </c>
      <c r="X274" s="63">
        <v>0</v>
      </c>
      <c r="Y274" s="63">
        <v>35261694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63">
        <v>0</v>
      </c>
      <c r="AF274" s="63">
        <v>0</v>
      </c>
      <c r="AG274" s="63">
        <v>0</v>
      </c>
      <c r="AH274" s="63">
        <v>0</v>
      </c>
      <c r="AI274" s="63">
        <v>0</v>
      </c>
      <c r="AJ274" s="63">
        <v>0</v>
      </c>
      <c r="AK274" s="63">
        <v>0</v>
      </c>
      <c r="AL274" s="63">
        <v>0</v>
      </c>
      <c r="AM274" s="63">
        <v>0</v>
      </c>
      <c r="AN274" s="63">
        <v>0</v>
      </c>
      <c r="AP274" s="533">
        <v>0</v>
      </c>
      <c r="AQ274" s="533">
        <v>0</v>
      </c>
      <c r="AR274" s="533">
        <v>0</v>
      </c>
      <c r="AS274" s="533">
        <v>0</v>
      </c>
      <c r="AT274" s="534"/>
      <c r="AU274" s="594"/>
      <c r="AV274" s="595"/>
      <c r="AW274" s="595"/>
      <c r="AX274" s="595"/>
    </row>
    <row r="275" spans="1:50" x14ac:dyDescent="0.2">
      <c r="A275" s="201">
        <v>268</v>
      </c>
      <c r="B275" s="129" t="s">
        <v>388</v>
      </c>
      <c r="C275" s="130" t="s">
        <v>747</v>
      </c>
      <c r="D275" s="131" t="s">
        <v>748</v>
      </c>
      <c r="E275" s="132" t="s">
        <v>387</v>
      </c>
      <c r="F275" s="63">
        <v>53684196</v>
      </c>
      <c r="G275" s="63">
        <v>0</v>
      </c>
      <c r="H275" s="63">
        <v>0</v>
      </c>
      <c r="I275" s="63">
        <v>0</v>
      </c>
      <c r="J275" s="63">
        <v>53684196</v>
      </c>
      <c r="K275" s="63">
        <v>-807422</v>
      </c>
      <c r="L275" s="63">
        <v>0</v>
      </c>
      <c r="M275" s="63">
        <v>0</v>
      </c>
      <c r="N275" s="63">
        <v>0</v>
      </c>
      <c r="O275" s="63">
        <v>-807422</v>
      </c>
      <c r="P275" s="63">
        <v>-459646</v>
      </c>
      <c r="Q275" s="63">
        <v>0</v>
      </c>
      <c r="R275" s="63">
        <v>0</v>
      </c>
      <c r="S275" s="63">
        <v>0</v>
      </c>
      <c r="T275" s="63">
        <v>-459646</v>
      </c>
      <c r="U275" s="63">
        <v>52417128</v>
      </c>
      <c r="V275" s="63">
        <v>0</v>
      </c>
      <c r="W275" s="63">
        <v>0</v>
      </c>
      <c r="X275" s="63">
        <v>0</v>
      </c>
      <c r="Y275" s="63">
        <v>52417128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63">
        <v>0</v>
      </c>
      <c r="AF275" s="63">
        <v>0</v>
      </c>
      <c r="AG275" s="63">
        <v>0</v>
      </c>
      <c r="AH275" s="63">
        <v>0</v>
      </c>
      <c r="AI275" s="63">
        <v>0</v>
      </c>
      <c r="AJ275" s="63">
        <v>0</v>
      </c>
      <c r="AK275" s="63">
        <v>0</v>
      </c>
      <c r="AL275" s="63">
        <v>0</v>
      </c>
      <c r="AM275" s="63">
        <v>0</v>
      </c>
      <c r="AN275" s="63">
        <v>0</v>
      </c>
      <c r="AP275" s="533">
        <v>0</v>
      </c>
      <c r="AQ275" s="533">
        <v>0</v>
      </c>
      <c r="AR275" s="533">
        <v>0</v>
      </c>
      <c r="AS275" s="533">
        <v>0</v>
      </c>
      <c r="AT275" s="534"/>
      <c r="AU275" s="594"/>
      <c r="AV275" s="595"/>
      <c r="AW275" s="595"/>
      <c r="AX275" s="595"/>
    </row>
    <row r="276" spans="1:50" x14ac:dyDescent="0.2">
      <c r="A276" s="201">
        <v>269</v>
      </c>
      <c r="B276" s="129" t="s">
        <v>390</v>
      </c>
      <c r="C276" s="130" t="s">
        <v>742</v>
      </c>
      <c r="D276" s="131" t="s">
        <v>743</v>
      </c>
      <c r="E276" s="132" t="s">
        <v>389</v>
      </c>
      <c r="F276" s="63">
        <v>48021010</v>
      </c>
      <c r="G276" s="63">
        <v>0</v>
      </c>
      <c r="H276" s="63">
        <v>0</v>
      </c>
      <c r="I276" s="63">
        <v>0</v>
      </c>
      <c r="J276" s="63">
        <v>48021010</v>
      </c>
      <c r="K276" s="63">
        <v>-201952</v>
      </c>
      <c r="L276" s="63">
        <v>0</v>
      </c>
      <c r="M276" s="63">
        <v>0</v>
      </c>
      <c r="N276" s="63">
        <v>0</v>
      </c>
      <c r="O276" s="63">
        <v>-201952</v>
      </c>
      <c r="P276" s="63">
        <v>-2658923</v>
      </c>
      <c r="Q276" s="63">
        <v>0</v>
      </c>
      <c r="R276" s="63">
        <v>0</v>
      </c>
      <c r="S276" s="63">
        <v>0</v>
      </c>
      <c r="T276" s="63">
        <v>-2658923</v>
      </c>
      <c r="U276" s="63">
        <v>45160135</v>
      </c>
      <c r="V276" s="63">
        <v>0</v>
      </c>
      <c r="W276" s="63">
        <v>0</v>
      </c>
      <c r="X276" s="63">
        <v>0</v>
      </c>
      <c r="Y276" s="63">
        <v>45160135</v>
      </c>
      <c r="Z276" s="63">
        <v>876513</v>
      </c>
      <c r="AA276" s="63">
        <v>0</v>
      </c>
      <c r="AB276" s="63">
        <v>0</v>
      </c>
      <c r="AC276" s="63">
        <v>0</v>
      </c>
      <c r="AD276" s="63">
        <v>876513</v>
      </c>
      <c r="AE276" s="63">
        <v>0</v>
      </c>
      <c r="AF276" s="63">
        <v>0</v>
      </c>
      <c r="AG276" s="63">
        <v>0</v>
      </c>
      <c r="AH276" s="63">
        <v>0</v>
      </c>
      <c r="AI276" s="63">
        <v>0</v>
      </c>
      <c r="AJ276" s="63">
        <v>0</v>
      </c>
      <c r="AK276" s="63">
        <v>0</v>
      </c>
      <c r="AL276" s="63">
        <v>0</v>
      </c>
      <c r="AM276" s="63">
        <v>0</v>
      </c>
      <c r="AN276" s="63">
        <v>0</v>
      </c>
      <c r="AP276" s="533">
        <v>0</v>
      </c>
      <c r="AQ276" s="533">
        <v>0</v>
      </c>
      <c r="AR276" s="533">
        <v>0</v>
      </c>
      <c r="AS276" s="533">
        <v>0</v>
      </c>
      <c r="AT276" s="534"/>
      <c r="AU276" s="594"/>
      <c r="AV276" s="595"/>
      <c r="AW276" s="595"/>
      <c r="AX276" s="595"/>
    </row>
    <row r="277" spans="1:50" x14ac:dyDescent="0.2">
      <c r="A277" s="201">
        <v>270</v>
      </c>
      <c r="B277" s="129" t="s">
        <v>391</v>
      </c>
      <c r="C277" s="130" t="s">
        <v>501</v>
      </c>
      <c r="D277" s="131" t="s">
        <v>751</v>
      </c>
      <c r="E277" s="132" t="s">
        <v>551</v>
      </c>
      <c r="F277" s="63">
        <v>114123178</v>
      </c>
      <c r="G277" s="63">
        <v>0</v>
      </c>
      <c r="H277" s="63">
        <v>0</v>
      </c>
      <c r="I277" s="63">
        <v>0</v>
      </c>
      <c r="J277" s="63">
        <v>114123178</v>
      </c>
      <c r="K277" s="63">
        <v>-2282464</v>
      </c>
      <c r="L277" s="63">
        <v>0</v>
      </c>
      <c r="M277" s="63">
        <v>0</v>
      </c>
      <c r="N277" s="63">
        <v>0</v>
      </c>
      <c r="O277" s="63">
        <v>-2282464</v>
      </c>
      <c r="P277" s="63">
        <v>-3786805</v>
      </c>
      <c r="Q277" s="63">
        <v>0</v>
      </c>
      <c r="R277" s="63">
        <v>0</v>
      </c>
      <c r="S277" s="63">
        <v>0</v>
      </c>
      <c r="T277" s="63">
        <v>-3786805</v>
      </c>
      <c r="U277" s="63">
        <v>108053909</v>
      </c>
      <c r="V277" s="63">
        <v>0</v>
      </c>
      <c r="W277" s="63">
        <v>0</v>
      </c>
      <c r="X277" s="63">
        <v>0</v>
      </c>
      <c r="Y277" s="63">
        <v>108053909</v>
      </c>
      <c r="Z277" s="63">
        <v>560476</v>
      </c>
      <c r="AA277" s="63">
        <v>0</v>
      </c>
      <c r="AB277" s="63">
        <v>0</v>
      </c>
      <c r="AC277" s="63">
        <v>0</v>
      </c>
      <c r="AD277" s="63">
        <v>560476</v>
      </c>
      <c r="AE277" s="63">
        <v>0</v>
      </c>
      <c r="AF277" s="63">
        <v>0</v>
      </c>
      <c r="AG277" s="63">
        <v>0</v>
      </c>
      <c r="AH277" s="63">
        <v>0</v>
      </c>
      <c r="AI277" s="63">
        <v>0</v>
      </c>
      <c r="AJ277" s="63">
        <v>0</v>
      </c>
      <c r="AK277" s="63">
        <v>0</v>
      </c>
      <c r="AL277" s="63">
        <v>0</v>
      </c>
      <c r="AM277" s="63">
        <v>0</v>
      </c>
      <c r="AN277" s="63">
        <v>0</v>
      </c>
      <c r="AP277" s="533">
        <v>0</v>
      </c>
      <c r="AQ277" s="533">
        <v>0</v>
      </c>
      <c r="AR277" s="533">
        <v>0</v>
      </c>
      <c r="AS277" s="533">
        <v>0</v>
      </c>
      <c r="AT277" s="534"/>
      <c r="AU277" s="594"/>
      <c r="AV277" s="595"/>
      <c r="AW277" s="595"/>
      <c r="AX277" s="595"/>
    </row>
    <row r="278" spans="1:50" x14ac:dyDescent="0.2">
      <c r="A278" s="201">
        <v>271</v>
      </c>
      <c r="B278" s="129" t="s">
        <v>393</v>
      </c>
      <c r="C278" s="130" t="s">
        <v>749</v>
      </c>
      <c r="D278" s="131" t="s">
        <v>744</v>
      </c>
      <c r="E278" s="132" t="s">
        <v>392</v>
      </c>
      <c r="F278" s="63">
        <v>62895063</v>
      </c>
      <c r="G278" s="63">
        <v>0</v>
      </c>
      <c r="H278" s="63">
        <v>0</v>
      </c>
      <c r="I278" s="63">
        <v>0</v>
      </c>
      <c r="J278" s="63">
        <v>62895063</v>
      </c>
      <c r="K278" s="63">
        <v>-954311</v>
      </c>
      <c r="L278" s="63">
        <v>0</v>
      </c>
      <c r="M278" s="63">
        <v>0</v>
      </c>
      <c r="N278" s="63">
        <v>0</v>
      </c>
      <c r="O278" s="63">
        <v>-954311</v>
      </c>
      <c r="P278" s="63">
        <v>-3072000</v>
      </c>
      <c r="Q278" s="63">
        <v>0</v>
      </c>
      <c r="R278" s="63">
        <v>0</v>
      </c>
      <c r="S278" s="63">
        <v>0</v>
      </c>
      <c r="T278" s="63">
        <v>-3072000</v>
      </c>
      <c r="U278" s="63">
        <v>58868752</v>
      </c>
      <c r="V278" s="63">
        <v>0</v>
      </c>
      <c r="W278" s="63">
        <v>0</v>
      </c>
      <c r="X278" s="63">
        <v>0</v>
      </c>
      <c r="Y278" s="63">
        <v>58868752</v>
      </c>
      <c r="Z278" s="63">
        <v>0</v>
      </c>
      <c r="AA278" s="63">
        <v>0</v>
      </c>
      <c r="AB278" s="63">
        <v>0</v>
      </c>
      <c r="AC278" s="63">
        <v>0</v>
      </c>
      <c r="AD278" s="63">
        <v>0</v>
      </c>
      <c r="AE278" s="63">
        <v>0</v>
      </c>
      <c r="AF278" s="63">
        <v>0</v>
      </c>
      <c r="AG278" s="63">
        <v>0</v>
      </c>
      <c r="AH278" s="63">
        <v>0</v>
      </c>
      <c r="AI278" s="63">
        <v>0</v>
      </c>
      <c r="AJ278" s="63">
        <v>0</v>
      </c>
      <c r="AK278" s="63">
        <v>0</v>
      </c>
      <c r="AL278" s="63">
        <v>0</v>
      </c>
      <c r="AM278" s="63">
        <v>0</v>
      </c>
      <c r="AN278" s="63">
        <v>0</v>
      </c>
      <c r="AP278" s="533">
        <v>0</v>
      </c>
      <c r="AQ278" s="533">
        <v>0</v>
      </c>
      <c r="AR278" s="533">
        <v>0</v>
      </c>
      <c r="AS278" s="533">
        <v>0</v>
      </c>
      <c r="AT278" s="534"/>
      <c r="AU278" s="594"/>
      <c r="AV278" s="595"/>
      <c r="AW278" s="595"/>
      <c r="AX278" s="595"/>
    </row>
    <row r="279" spans="1:50" x14ac:dyDescent="0.2">
      <c r="A279" s="201">
        <v>272</v>
      </c>
      <c r="B279" s="129" t="s">
        <v>395</v>
      </c>
      <c r="C279" s="130" t="s">
        <v>742</v>
      </c>
      <c r="D279" s="131" t="s">
        <v>752</v>
      </c>
      <c r="E279" s="132" t="s">
        <v>394</v>
      </c>
      <c r="F279" s="63">
        <v>34634909</v>
      </c>
      <c r="G279" s="63">
        <v>0</v>
      </c>
      <c r="H279" s="63">
        <v>0</v>
      </c>
      <c r="I279" s="63">
        <v>0</v>
      </c>
      <c r="J279" s="63">
        <v>34634909</v>
      </c>
      <c r="K279" s="63">
        <v>-215218</v>
      </c>
      <c r="L279" s="63">
        <v>0</v>
      </c>
      <c r="M279" s="63">
        <v>0</v>
      </c>
      <c r="N279" s="63">
        <v>0</v>
      </c>
      <c r="O279" s="63">
        <v>-215218</v>
      </c>
      <c r="P279" s="63">
        <v>-1172314</v>
      </c>
      <c r="Q279" s="63">
        <v>0</v>
      </c>
      <c r="R279" s="63">
        <v>0</v>
      </c>
      <c r="S279" s="63">
        <v>0</v>
      </c>
      <c r="T279" s="63">
        <v>-1172314</v>
      </c>
      <c r="U279" s="63">
        <v>33247377</v>
      </c>
      <c r="V279" s="63">
        <v>0</v>
      </c>
      <c r="W279" s="63">
        <v>0</v>
      </c>
      <c r="X279" s="63">
        <v>0</v>
      </c>
      <c r="Y279" s="63">
        <v>33247377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63">
        <v>0</v>
      </c>
      <c r="AF279" s="63">
        <v>0</v>
      </c>
      <c r="AG279" s="63">
        <v>0</v>
      </c>
      <c r="AH279" s="63">
        <v>0</v>
      </c>
      <c r="AI279" s="63">
        <v>0</v>
      </c>
      <c r="AJ279" s="63">
        <v>0</v>
      </c>
      <c r="AK279" s="63">
        <v>0</v>
      </c>
      <c r="AL279" s="63">
        <v>0</v>
      </c>
      <c r="AM279" s="63">
        <v>0</v>
      </c>
      <c r="AN279" s="63">
        <v>0</v>
      </c>
      <c r="AP279" s="533">
        <v>0</v>
      </c>
      <c r="AQ279" s="533">
        <v>0</v>
      </c>
      <c r="AR279" s="533">
        <v>0</v>
      </c>
      <c r="AS279" s="533">
        <v>0</v>
      </c>
      <c r="AT279" s="534"/>
      <c r="AU279" s="594"/>
      <c r="AV279" s="595"/>
      <c r="AW279" s="595"/>
      <c r="AX279" s="595"/>
    </row>
    <row r="280" spans="1:50" x14ac:dyDescent="0.2">
      <c r="A280" s="201">
        <v>273</v>
      </c>
      <c r="B280" s="129" t="s">
        <v>397</v>
      </c>
      <c r="C280" s="130" t="s">
        <v>742</v>
      </c>
      <c r="D280" s="131" t="s">
        <v>743</v>
      </c>
      <c r="E280" s="132" t="s">
        <v>396</v>
      </c>
      <c r="F280" s="63">
        <v>20905650</v>
      </c>
      <c r="G280" s="63">
        <v>0</v>
      </c>
      <c r="H280" s="63">
        <v>0</v>
      </c>
      <c r="I280" s="63">
        <v>0</v>
      </c>
      <c r="J280" s="63">
        <v>20905650</v>
      </c>
      <c r="K280" s="63">
        <v>-200000</v>
      </c>
      <c r="L280" s="63">
        <v>0</v>
      </c>
      <c r="M280" s="63">
        <v>0</v>
      </c>
      <c r="N280" s="63">
        <v>0</v>
      </c>
      <c r="O280" s="63">
        <v>-200000</v>
      </c>
      <c r="P280" s="63">
        <v>-350000</v>
      </c>
      <c r="Q280" s="63">
        <v>0</v>
      </c>
      <c r="R280" s="63">
        <v>0</v>
      </c>
      <c r="S280" s="63">
        <v>0</v>
      </c>
      <c r="T280" s="63">
        <v>-350000</v>
      </c>
      <c r="U280" s="63">
        <v>20355650</v>
      </c>
      <c r="V280" s="63">
        <v>0</v>
      </c>
      <c r="W280" s="63">
        <v>0</v>
      </c>
      <c r="X280" s="63">
        <v>0</v>
      </c>
      <c r="Y280" s="63">
        <v>20355650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63">
        <v>0</v>
      </c>
      <c r="AF280" s="63">
        <v>0</v>
      </c>
      <c r="AG280" s="63">
        <v>0</v>
      </c>
      <c r="AH280" s="63">
        <v>0</v>
      </c>
      <c r="AI280" s="63">
        <v>0</v>
      </c>
      <c r="AJ280" s="63">
        <v>0</v>
      </c>
      <c r="AK280" s="63">
        <v>0</v>
      </c>
      <c r="AL280" s="63">
        <v>0</v>
      </c>
      <c r="AM280" s="63">
        <v>0</v>
      </c>
      <c r="AN280" s="63">
        <v>0</v>
      </c>
      <c r="AP280" s="533">
        <v>0</v>
      </c>
      <c r="AQ280" s="533">
        <v>0</v>
      </c>
      <c r="AR280" s="533">
        <v>0</v>
      </c>
      <c r="AS280" s="533">
        <v>0</v>
      </c>
      <c r="AT280" s="534"/>
      <c r="AU280" s="594"/>
      <c r="AV280" s="595"/>
      <c r="AW280" s="595"/>
      <c r="AX280" s="595"/>
    </row>
    <row r="281" spans="1:50" x14ac:dyDescent="0.2">
      <c r="A281" s="201">
        <v>274</v>
      </c>
      <c r="B281" s="129" t="s">
        <v>399</v>
      </c>
      <c r="C281" s="130" t="s">
        <v>742</v>
      </c>
      <c r="D281" s="131" t="s">
        <v>751</v>
      </c>
      <c r="E281" s="132" t="s">
        <v>398</v>
      </c>
      <c r="F281" s="63">
        <v>42990907</v>
      </c>
      <c r="G281" s="63">
        <v>0</v>
      </c>
      <c r="H281" s="63">
        <v>0</v>
      </c>
      <c r="I281" s="63">
        <v>0</v>
      </c>
      <c r="J281" s="63">
        <v>42990907</v>
      </c>
      <c r="K281" s="63">
        <v>-300000</v>
      </c>
      <c r="L281" s="63">
        <v>0</v>
      </c>
      <c r="M281" s="63">
        <v>0</v>
      </c>
      <c r="N281" s="63">
        <v>0</v>
      </c>
      <c r="O281" s="63">
        <v>-300000</v>
      </c>
      <c r="P281" s="63">
        <v>-1500000</v>
      </c>
      <c r="Q281" s="63">
        <v>0</v>
      </c>
      <c r="R281" s="63">
        <v>0</v>
      </c>
      <c r="S281" s="63">
        <v>0</v>
      </c>
      <c r="T281" s="63">
        <v>-1500000</v>
      </c>
      <c r="U281" s="63">
        <v>41190907</v>
      </c>
      <c r="V281" s="63">
        <v>0</v>
      </c>
      <c r="W281" s="63">
        <v>0</v>
      </c>
      <c r="X281" s="63">
        <v>0</v>
      </c>
      <c r="Y281" s="63">
        <v>41190907</v>
      </c>
      <c r="Z281" s="63">
        <v>197557</v>
      </c>
      <c r="AA281" s="63">
        <v>0</v>
      </c>
      <c r="AB281" s="63">
        <v>0</v>
      </c>
      <c r="AC281" s="63">
        <v>0</v>
      </c>
      <c r="AD281" s="63">
        <v>197557</v>
      </c>
      <c r="AE281" s="63">
        <v>0</v>
      </c>
      <c r="AF281" s="63">
        <v>0</v>
      </c>
      <c r="AG281" s="63">
        <v>0</v>
      </c>
      <c r="AH281" s="63">
        <v>0</v>
      </c>
      <c r="AI281" s="63">
        <v>0</v>
      </c>
      <c r="AJ281" s="63">
        <v>0</v>
      </c>
      <c r="AK281" s="63">
        <v>0</v>
      </c>
      <c r="AL281" s="63">
        <v>0</v>
      </c>
      <c r="AM281" s="63">
        <v>0</v>
      </c>
      <c r="AN281" s="63">
        <v>0</v>
      </c>
      <c r="AP281" s="533">
        <v>0</v>
      </c>
      <c r="AQ281" s="533">
        <v>0</v>
      </c>
      <c r="AR281" s="533">
        <v>0</v>
      </c>
      <c r="AS281" s="533">
        <v>0</v>
      </c>
      <c r="AT281" s="534"/>
      <c r="AU281" s="594"/>
      <c r="AV281" s="595"/>
      <c r="AW281" s="595"/>
      <c r="AX281" s="595"/>
    </row>
    <row r="282" spans="1:50" x14ac:dyDescent="0.2">
      <c r="A282" s="201">
        <v>275</v>
      </c>
      <c r="B282" s="129" t="s">
        <v>401</v>
      </c>
      <c r="C282" s="130" t="s">
        <v>742</v>
      </c>
      <c r="D282" s="131" t="s">
        <v>751</v>
      </c>
      <c r="E282" s="132" t="s">
        <v>400</v>
      </c>
      <c r="F282" s="63">
        <v>34245498</v>
      </c>
      <c r="G282" s="63">
        <v>0</v>
      </c>
      <c r="H282" s="63">
        <v>0</v>
      </c>
      <c r="I282" s="63">
        <v>0</v>
      </c>
      <c r="J282" s="63">
        <v>34245498</v>
      </c>
      <c r="K282" s="63">
        <v>-100000</v>
      </c>
      <c r="L282" s="63">
        <v>0</v>
      </c>
      <c r="M282" s="63">
        <v>0</v>
      </c>
      <c r="N282" s="63">
        <v>0</v>
      </c>
      <c r="O282" s="63">
        <v>-100000</v>
      </c>
      <c r="P282" s="63">
        <v>-135000</v>
      </c>
      <c r="Q282" s="63">
        <v>0</v>
      </c>
      <c r="R282" s="63">
        <v>0</v>
      </c>
      <c r="S282" s="63">
        <v>0</v>
      </c>
      <c r="T282" s="63">
        <v>-135000</v>
      </c>
      <c r="U282" s="63">
        <v>34010498</v>
      </c>
      <c r="V282" s="63">
        <v>0</v>
      </c>
      <c r="W282" s="63">
        <v>0</v>
      </c>
      <c r="X282" s="63">
        <v>0</v>
      </c>
      <c r="Y282" s="63">
        <v>34010498</v>
      </c>
      <c r="Z282" s="63">
        <v>66946</v>
      </c>
      <c r="AA282" s="63">
        <v>0</v>
      </c>
      <c r="AB282" s="63">
        <v>0</v>
      </c>
      <c r="AC282" s="63">
        <v>0</v>
      </c>
      <c r="AD282" s="63">
        <v>66946</v>
      </c>
      <c r="AE282" s="63">
        <v>0</v>
      </c>
      <c r="AF282" s="63">
        <v>0</v>
      </c>
      <c r="AG282" s="63">
        <v>0</v>
      </c>
      <c r="AH282" s="63">
        <v>0</v>
      </c>
      <c r="AI282" s="63">
        <v>0</v>
      </c>
      <c r="AJ282" s="63">
        <v>0</v>
      </c>
      <c r="AK282" s="63">
        <v>0</v>
      </c>
      <c r="AL282" s="63">
        <v>0</v>
      </c>
      <c r="AM282" s="63">
        <v>0</v>
      </c>
      <c r="AN282" s="63">
        <v>0</v>
      </c>
      <c r="AP282" s="533">
        <v>0</v>
      </c>
      <c r="AQ282" s="533">
        <v>0</v>
      </c>
      <c r="AR282" s="533">
        <v>0</v>
      </c>
      <c r="AS282" s="533">
        <v>0</v>
      </c>
      <c r="AT282" s="534"/>
      <c r="AU282" s="594"/>
      <c r="AV282" s="595"/>
      <c r="AW282" s="595"/>
      <c r="AX282" s="595"/>
    </row>
    <row r="283" spans="1:50" x14ac:dyDescent="0.2">
      <c r="A283" s="201">
        <v>276</v>
      </c>
      <c r="B283" s="129" t="s">
        <v>402</v>
      </c>
      <c r="C283" s="130" t="s">
        <v>501</v>
      </c>
      <c r="D283" s="131" t="s">
        <v>752</v>
      </c>
      <c r="E283" s="132" t="s">
        <v>547</v>
      </c>
      <c r="F283" s="63">
        <v>72905034</v>
      </c>
      <c r="G283" s="63">
        <v>0</v>
      </c>
      <c r="H283" s="63">
        <v>0</v>
      </c>
      <c r="I283" s="63">
        <v>0</v>
      </c>
      <c r="J283" s="63">
        <v>72905034</v>
      </c>
      <c r="K283" s="63">
        <v>-939077</v>
      </c>
      <c r="L283" s="63">
        <v>0</v>
      </c>
      <c r="M283" s="63">
        <v>0</v>
      </c>
      <c r="N283" s="63">
        <v>0</v>
      </c>
      <c r="O283" s="63">
        <v>-939077</v>
      </c>
      <c r="P283" s="63">
        <v>-2882940</v>
      </c>
      <c r="Q283" s="63">
        <v>0</v>
      </c>
      <c r="R283" s="63">
        <v>0</v>
      </c>
      <c r="S283" s="63">
        <v>0</v>
      </c>
      <c r="T283" s="63">
        <v>-2882940</v>
      </c>
      <c r="U283" s="63">
        <v>69083017</v>
      </c>
      <c r="V283" s="63">
        <v>0</v>
      </c>
      <c r="W283" s="63">
        <v>0</v>
      </c>
      <c r="X283" s="63">
        <v>0</v>
      </c>
      <c r="Y283" s="63">
        <v>69083017</v>
      </c>
      <c r="Z283" s="63">
        <v>15780</v>
      </c>
      <c r="AA283" s="63">
        <v>0</v>
      </c>
      <c r="AB283" s="63">
        <v>0</v>
      </c>
      <c r="AC283" s="63">
        <v>0</v>
      </c>
      <c r="AD283" s="63">
        <v>15780</v>
      </c>
      <c r="AE283" s="63">
        <v>0</v>
      </c>
      <c r="AF283" s="63">
        <v>0</v>
      </c>
      <c r="AG283" s="63">
        <v>0</v>
      </c>
      <c r="AH283" s="63">
        <v>0</v>
      </c>
      <c r="AI283" s="63">
        <v>0</v>
      </c>
      <c r="AJ283" s="63">
        <v>0</v>
      </c>
      <c r="AK283" s="63">
        <v>0</v>
      </c>
      <c r="AL283" s="63">
        <v>0</v>
      </c>
      <c r="AM283" s="63">
        <v>0</v>
      </c>
      <c r="AN283" s="63">
        <v>0</v>
      </c>
      <c r="AP283" s="533">
        <v>0</v>
      </c>
      <c r="AQ283" s="533">
        <v>0</v>
      </c>
      <c r="AR283" s="533">
        <v>0</v>
      </c>
      <c r="AS283" s="533">
        <v>0</v>
      </c>
      <c r="AT283" s="534"/>
      <c r="AU283" s="594"/>
      <c r="AV283" s="595"/>
      <c r="AW283" s="595"/>
      <c r="AX283" s="595"/>
    </row>
    <row r="284" spans="1:50" x14ac:dyDescent="0.2">
      <c r="A284" s="201">
        <v>277</v>
      </c>
      <c r="B284" s="129" t="s">
        <v>404</v>
      </c>
      <c r="C284" s="130" t="s">
        <v>742</v>
      </c>
      <c r="D284" s="131" t="s">
        <v>746</v>
      </c>
      <c r="E284" s="132" t="s">
        <v>403</v>
      </c>
      <c r="F284" s="63">
        <v>27542508</v>
      </c>
      <c r="G284" s="63">
        <v>0</v>
      </c>
      <c r="H284" s="63">
        <v>0</v>
      </c>
      <c r="I284" s="63">
        <v>0</v>
      </c>
      <c r="J284" s="63">
        <v>27542508</v>
      </c>
      <c r="K284" s="63">
        <v>-200000</v>
      </c>
      <c r="L284" s="63">
        <v>0</v>
      </c>
      <c r="M284" s="63">
        <v>0</v>
      </c>
      <c r="N284" s="63">
        <v>0</v>
      </c>
      <c r="O284" s="63">
        <v>-200000</v>
      </c>
      <c r="P284" s="63">
        <v>-880000</v>
      </c>
      <c r="Q284" s="63">
        <v>0</v>
      </c>
      <c r="R284" s="63">
        <v>0</v>
      </c>
      <c r="S284" s="63">
        <v>0</v>
      </c>
      <c r="T284" s="63">
        <v>-880000</v>
      </c>
      <c r="U284" s="63">
        <v>26462508</v>
      </c>
      <c r="V284" s="63">
        <v>0</v>
      </c>
      <c r="W284" s="63">
        <v>0</v>
      </c>
      <c r="X284" s="63">
        <v>0</v>
      </c>
      <c r="Y284" s="63">
        <v>26462508</v>
      </c>
      <c r="Z284" s="63">
        <v>229117</v>
      </c>
      <c r="AA284" s="63">
        <v>0</v>
      </c>
      <c r="AB284" s="63">
        <v>0</v>
      </c>
      <c r="AC284" s="63">
        <v>0</v>
      </c>
      <c r="AD284" s="63">
        <v>229117</v>
      </c>
      <c r="AE284" s="63">
        <v>0</v>
      </c>
      <c r="AF284" s="63">
        <v>0</v>
      </c>
      <c r="AG284" s="63">
        <v>0</v>
      </c>
      <c r="AH284" s="63">
        <v>0</v>
      </c>
      <c r="AI284" s="63">
        <v>0</v>
      </c>
      <c r="AJ284" s="63">
        <v>0</v>
      </c>
      <c r="AK284" s="63">
        <v>0</v>
      </c>
      <c r="AL284" s="63">
        <v>0</v>
      </c>
      <c r="AM284" s="63">
        <v>0</v>
      </c>
      <c r="AN284" s="63">
        <v>0</v>
      </c>
      <c r="AP284" s="533">
        <v>0</v>
      </c>
      <c r="AQ284" s="533">
        <v>0</v>
      </c>
      <c r="AR284" s="533">
        <v>0</v>
      </c>
      <c r="AS284" s="533">
        <v>0</v>
      </c>
      <c r="AT284" s="534"/>
      <c r="AU284" s="594"/>
      <c r="AV284" s="595"/>
      <c r="AW284" s="595"/>
      <c r="AX284" s="595"/>
    </row>
    <row r="285" spans="1:50" x14ac:dyDescent="0.2">
      <c r="A285" s="201">
        <v>278</v>
      </c>
      <c r="B285" s="129" t="s">
        <v>406</v>
      </c>
      <c r="C285" s="130" t="s">
        <v>742</v>
      </c>
      <c r="D285" s="131" t="s">
        <v>743</v>
      </c>
      <c r="E285" s="132" t="s">
        <v>405</v>
      </c>
      <c r="F285" s="63">
        <v>51063182</v>
      </c>
      <c r="G285" s="63">
        <v>0</v>
      </c>
      <c r="H285" s="63">
        <v>0</v>
      </c>
      <c r="I285" s="63">
        <v>0</v>
      </c>
      <c r="J285" s="63">
        <v>51063182</v>
      </c>
      <c r="K285" s="63">
        <v>-510632</v>
      </c>
      <c r="L285" s="63">
        <v>0</v>
      </c>
      <c r="M285" s="63">
        <v>0</v>
      </c>
      <c r="N285" s="63">
        <v>0</v>
      </c>
      <c r="O285" s="63">
        <v>-510632</v>
      </c>
      <c r="P285" s="63">
        <v>-925000</v>
      </c>
      <c r="Q285" s="63">
        <v>0</v>
      </c>
      <c r="R285" s="63">
        <v>0</v>
      </c>
      <c r="S285" s="63">
        <v>0</v>
      </c>
      <c r="T285" s="63">
        <v>-925000</v>
      </c>
      <c r="U285" s="63">
        <v>49627550</v>
      </c>
      <c r="V285" s="63">
        <v>0</v>
      </c>
      <c r="W285" s="63">
        <v>0</v>
      </c>
      <c r="X285" s="63">
        <v>0</v>
      </c>
      <c r="Y285" s="63">
        <v>49627550</v>
      </c>
      <c r="Z285" s="63">
        <v>23359</v>
      </c>
      <c r="AA285" s="63">
        <v>0</v>
      </c>
      <c r="AB285" s="63">
        <v>0</v>
      </c>
      <c r="AC285" s="63">
        <v>0</v>
      </c>
      <c r="AD285" s="63">
        <v>23359</v>
      </c>
      <c r="AE285" s="63">
        <v>0</v>
      </c>
      <c r="AF285" s="63">
        <v>0</v>
      </c>
      <c r="AG285" s="63">
        <v>0</v>
      </c>
      <c r="AH285" s="63">
        <v>0</v>
      </c>
      <c r="AI285" s="63">
        <v>0</v>
      </c>
      <c r="AJ285" s="63">
        <v>0</v>
      </c>
      <c r="AK285" s="63">
        <v>0</v>
      </c>
      <c r="AL285" s="63">
        <v>0</v>
      </c>
      <c r="AM285" s="63">
        <v>0</v>
      </c>
      <c r="AN285" s="63">
        <v>0</v>
      </c>
      <c r="AP285" s="533">
        <v>0</v>
      </c>
      <c r="AQ285" s="533">
        <v>0</v>
      </c>
      <c r="AR285" s="533">
        <v>0</v>
      </c>
      <c r="AS285" s="533">
        <v>0</v>
      </c>
      <c r="AT285" s="534"/>
      <c r="AU285" s="594"/>
      <c r="AV285" s="595"/>
      <c r="AW285" s="595"/>
      <c r="AX285" s="595"/>
    </row>
    <row r="286" spans="1:50" x14ac:dyDescent="0.2">
      <c r="A286" s="201">
        <v>279</v>
      </c>
      <c r="B286" s="129" t="s">
        <v>408</v>
      </c>
      <c r="C286" s="130" t="s">
        <v>742</v>
      </c>
      <c r="D286" s="131" t="s">
        <v>751</v>
      </c>
      <c r="E286" s="132" t="s">
        <v>407</v>
      </c>
      <c r="F286" s="63">
        <v>35751030</v>
      </c>
      <c r="G286" s="63">
        <v>0</v>
      </c>
      <c r="H286" s="63">
        <v>0</v>
      </c>
      <c r="I286" s="63">
        <v>0</v>
      </c>
      <c r="J286" s="63">
        <v>35751030</v>
      </c>
      <c r="K286" s="63">
        <v>-200000</v>
      </c>
      <c r="L286" s="63">
        <v>0</v>
      </c>
      <c r="M286" s="63">
        <v>0</v>
      </c>
      <c r="N286" s="63">
        <v>0</v>
      </c>
      <c r="O286" s="63">
        <v>-200000</v>
      </c>
      <c r="P286" s="63">
        <v>-1071000</v>
      </c>
      <c r="Q286" s="63">
        <v>0</v>
      </c>
      <c r="R286" s="63">
        <v>0</v>
      </c>
      <c r="S286" s="63">
        <v>0</v>
      </c>
      <c r="T286" s="63">
        <v>-1071000</v>
      </c>
      <c r="U286" s="63">
        <v>34480030</v>
      </c>
      <c r="V286" s="63">
        <v>0</v>
      </c>
      <c r="W286" s="63">
        <v>0</v>
      </c>
      <c r="X286" s="63">
        <v>0</v>
      </c>
      <c r="Y286" s="63">
        <v>34480030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63">
        <v>0</v>
      </c>
      <c r="AF286" s="63">
        <v>0</v>
      </c>
      <c r="AG286" s="63">
        <v>0</v>
      </c>
      <c r="AH286" s="63">
        <v>0</v>
      </c>
      <c r="AI286" s="63">
        <v>0</v>
      </c>
      <c r="AJ286" s="63">
        <v>0</v>
      </c>
      <c r="AK286" s="63">
        <v>0</v>
      </c>
      <c r="AL286" s="63">
        <v>0</v>
      </c>
      <c r="AM286" s="63">
        <v>0</v>
      </c>
      <c r="AN286" s="63">
        <v>0</v>
      </c>
      <c r="AP286" s="533">
        <v>0</v>
      </c>
      <c r="AQ286" s="533">
        <v>0</v>
      </c>
      <c r="AR286" s="533">
        <v>0</v>
      </c>
      <c r="AS286" s="533">
        <v>0</v>
      </c>
      <c r="AT286" s="534"/>
      <c r="AU286" s="594"/>
      <c r="AV286" s="595"/>
      <c r="AW286" s="595"/>
      <c r="AX286" s="595"/>
    </row>
    <row r="287" spans="1:50" x14ac:dyDescent="0.2">
      <c r="A287" s="201">
        <v>280</v>
      </c>
      <c r="B287" s="129" t="s">
        <v>410</v>
      </c>
      <c r="C287" s="130" t="s">
        <v>742</v>
      </c>
      <c r="D287" s="131" t="s">
        <v>743</v>
      </c>
      <c r="E287" s="132" t="s">
        <v>409</v>
      </c>
      <c r="F287" s="63">
        <v>31780124</v>
      </c>
      <c r="G287" s="63">
        <v>0</v>
      </c>
      <c r="H287" s="63">
        <v>0</v>
      </c>
      <c r="I287" s="63">
        <v>0</v>
      </c>
      <c r="J287" s="63">
        <v>31780124</v>
      </c>
      <c r="K287" s="63">
        <v>-500000</v>
      </c>
      <c r="L287" s="63">
        <v>0</v>
      </c>
      <c r="M287" s="63">
        <v>0</v>
      </c>
      <c r="N287" s="63">
        <v>0</v>
      </c>
      <c r="O287" s="63">
        <v>-500000</v>
      </c>
      <c r="P287" s="63">
        <v>-1000000</v>
      </c>
      <c r="Q287" s="63">
        <v>0</v>
      </c>
      <c r="R287" s="63">
        <v>0</v>
      </c>
      <c r="S287" s="63">
        <v>0</v>
      </c>
      <c r="T287" s="63">
        <v>-1000000</v>
      </c>
      <c r="U287" s="63">
        <v>30280124</v>
      </c>
      <c r="V287" s="63">
        <v>0</v>
      </c>
      <c r="W287" s="63">
        <v>0</v>
      </c>
      <c r="X287" s="63">
        <v>0</v>
      </c>
      <c r="Y287" s="63">
        <v>30280124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63">
        <v>0</v>
      </c>
      <c r="AF287" s="63">
        <v>0</v>
      </c>
      <c r="AG287" s="63">
        <v>0</v>
      </c>
      <c r="AH287" s="63">
        <v>0</v>
      </c>
      <c r="AI287" s="63">
        <v>0</v>
      </c>
      <c r="AJ287" s="63">
        <v>0</v>
      </c>
      <c r="AK287" s="63">
        <v>0</v>
      </c>
      <c r="AL287" s="63">
        <v>0</v>
      </c>
      <c r="AM287" s="63">
        <v>0</v>
      </c>
      <c r="AN287" s="63">
        <v>0</v>
      </c>
      <c r="AP287" s="533">
        <v>0</v>
      </c>
      <c r="AQ287" s="533">
        <v>0</v>
      </c>
      <c r="AR287" s="533">
        <v>0</v>
      </c>
      <c r="AS287" s="533">
        <v>0</v>
      </c>
      <c r="AT287" s="534"/>
      <c r="AU287" s="594"/>
      <c r="AV287" s="595"/>
      <c r="AW287" s="595"/>
      <c r="AX287" s="595"/>
    </row>
    <row r="288" spans="1:50" x14ac:dyDescent="0.2">
      <c r="A288" s="201">
        <v>281</v>
      </c>
      <c r="B288" s="129" t="s">
        <v>412</v>
      </c>
      <c r="C288" s="130" t="s">
        <v>742</v>
      </c>
      <c r="D288" s="131" t="s">
        <v>746</v>
      </c>
      <c r="E288" s="132" t="s">
        <v>411</v>
      </c>
      <c r="F288" s="63">
        <v>29702346</v>
      </c>
      <c r="G288" s="63">
        <v>0</v>
      </c>
      <c r="H288" s="63">
        <v>0</v>
      </c>
      <c r="I288" s="63">
        <v>0</v>
      </c>
      <c r="J288" s="63">
        <v>29702346</v>
      </c>
      <c r="K288" s="63">
        <v>-172793</v>
      </c>
      <c r="L288" s="63">
        <v>0</v>
      </c>
      <c r="M288" s="63">
        <v>0</v>
      </c>
      <c r="N288" s="63">
        <v>0</v>
      </c>
      <c r="O288" s="63">
        <v>-172793</v>
      </c>
      <c r="P288" s="63">
        <v>-202681</v>
      </c>
      <c r="Q288" s="63">
        <v>0</v>
      </c>
      <c r="R288" s="63">
        <v>0</v>
      </c>
      <c r="S288" s="63">
        <v>0</v>
      </c>
      <c r="T288" s="63">
        <v>-202681</v>
      </c>
      <c r="U288" s="63">
        <v>29326872</v>
      </c>
      <c r="V288" s="63">
        <v>0</v>
      </c>
      <c r="W288" s="63">
        <v>0</v>
      </c>
      <c r="X288" s="63">
        <v>0</v>
      </c>
      <c r="Y288" s="63">
        <v>29326872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63">
        <v>0</v>
      </c>
      <c r="AF288" s="63">
        <v>0</v>
      </c>
      <c r="AG288" s="63">
        <v>0</v>
      </c>
      <c r="AH288" s="63">
        <v>0</v>
      </c>
      <c r="AI288" s="63">
        <v>0</v>
      </c>
      <c r="AJ288" s="63">
        <v>0</v>
      </c>
      <c r="AK288" s="63">
        <v>0</v>
      </c>
      <c r="AL288" s="63">
        <v>0</v>
      </c>
      <c r="AM288" s="63">
        <v>0</v>
      </c>
      <c r="AN288" s="63">
        <v>0</v>
      </c>
      <c r="AP288" s="533">
        <v>0</v>
      </c>
      <c r="AQ288" s="533">
        <v>0</v>
      </c>
      <c r="AR288" s="533">
        <v>0</v>
      </c>
      <c r="AS288" s="533">
        <v>0</v>
      </c>
      <c r="AT288" s="534"/>
      <c r="AU288" s="594"/>
      <c r="AV288" s="595"/>
      <c r="AW288" s="595"/>
      <c r="AX288" s="595"/>
    </row>
    <row r="289" spans="1:50" x14ac:dyDescent="0.2">
      <c r="A289" s="201">
        <v>282</v>
      </c>
      <c r="B289" s="129" t="s">
        <v>413</v>
      </c>
      <c r="C289" s="130" t="s">
        <v>501</v>
      </c>
      <c r="D289" s="131" t="s">
        <v>746</v>
      </c>
      <c r="E289" s="132" t="s">
        <v>529</v>
      </c>
      <c r="F289" s="63">
        <v>114488694</v>
      </c>
      <c r="G289" s="63">
        <v>0</v>
      </c>
      <c r="H289" s="63">
        <v>0</v>
      </c>
      <c r="I289" s="63">
        <v>0</v>
      </c>
      <c r="J289" s="63">
        <v>114488694</v>
      </c>
      <c r="K289" s="63">
        <v>-1242990</v>
      </c>
      <c r="L289" s="63">
        <v>0</v>
      </c>
      <c r="M289" s="63">
        <v>0</v>
      </c>
      <c r="N289" s="63">
        <v>0</v>
      </c>
      <c r="O289" s="63">
        <v>-1242990</v>
      </c>
      <c r="P289" s="63">
        <v>-1209401</v>
      </c>
      <c r="Q289" s="63">
        <v>0</v>
      </c>
      <c r="R289" s="63">
        <v>0</v>
      </c>
      <c r="S289" s="63">
        <v>0</v>
      </c>
      <c r="T289" s="63">
        <v>-1209401</v>
      </c>
      <c r="U289" s="63">
        <v>112036303</v>
      </c>
      <c r="V289" s="63">
        <v>0</v>
      </c>
      <c r="W289" s="63">
        <v>0</v>
      </c>
      <c r="X289" s="63">
        <v>0</v>
      </c>
      <c r="Y289" s="63">
        <v>112036303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63">
        <v>0</v>
      </c>
      <c r="AF289" s="63">
        <v>0</v>
      </c>
      <c r="AG289" s="63">
        <v>0</v>
      </c>
      <c r="AH289" s="63">
        <v>0</v>
      </c>
      <c r="AI289" s="63">
        <v>0</v>
      </c>
      <c r="AJ289" s="63">
        <v>0</v>
      </c>
      <c r="AK289" s="63">
        <v>0</v>
      </c>
      <c r="AL289" s="63">
        <v>0</v>
      </c>
      <c r="AM289" s="63">
        <v>0</v>
      </c>
      <c r="AN289" s="63">
        <v>0</v>
      </c>
      <c r="AP289" s="533">
        <v>0</v>
      </c>
      <c r="AQ289" s="533">
        <v>0</v>
      </c>
      <c r="AR289" s="533">
        <v>0</v>
      </c>
      <c r="AS289" s="533">
        <v>0</v>
      </c>
      <c r="AT289" s="534"/>
      <c r="AU289" s="594"/>
      <c r="AV289" s="595"/>
      <c r="AW289" s="595"/>
      <c r="AX289" s="595"/>
    </row>
    <row r="290" spans="1:50" x14ac:dyDescent="0.2">
      <c r="A290" s="201">
        <v>283</v>
      </c>
      <c r="B290" s="129" t="s">
        <v>414</v>
      </c>
      <c r="C290" s="130" t="s">
        <v>742</v>
      </c>
      <c r="D290" s="131" t="s">
        <v>743</v>
      </c>
      <c r="E290" s="132" t="s">
        <v>537</v>
      </c>
      <c r="F290" s="63">
        <v>55424002</v>
      </c>
      <c r="G290" s="63">
        <v>0</v>
      </c>
      <c r="H290" s="63">
        <v>0</v>
      </c>
      <c r="I290" s="63">
        <v>0</v>
      </c>
      <c r="J290" s="63">
        <v>55424002</v>
      </c>
      <c r="K290" s="63">
        <v>-400000</v>
      </c>
      <c r="L290" s="63">
        <v>0</v>
      </c>
      <c r="M290" s="63">
        <v>0</v>
      </c>
      <c r="N290" s="63">
        <v>0</v>
      </c>
      <c r="O290" s="63">
        <v>-400000</v>
      </c>
      <c r="P290" s="63">
        <v>-1054000</v>
      </c>
      <c r="Q290" s="63">
        <v>0</v>
      </c>
      <c r="R290" s="63">
        <v>0</v>
      </c>
      <c r="S290" s="63">
        <v>0</v>
      </c>
      <c r="T290" s="63">
        <v>-1054000</v>
      </c>
      <c r="U290" s="63">
        <v>53970002</v>
      </c>
      <c r="V290" s="63">
        <v>0</v>
      </c>
      <c r="W290" s="63">
        <v>0</v>
      </c>
      <c r="X290" s="63">
        <v>0</v>
      </c>
      <c r="Y290" s="63">
        <v>53970002</v>
      </c>
      <c r="Z290" s="63">
        <v>0</v>
      </c>
      <c r="AA290" s="63">
        <v>0</v>
      </c>
      <c r="AB290" s="63">
        <v>0</v>
      </c>
      <c r="AC290" s="63">
        <v>0</v>
      </c>
      <c r="AD290" s="63">
        <v>0</v>
      </c>
      <c r="AE290" s="63">
        <v>0</v>
      </c>
      <c r="AF290" s="63">
        <v>0</v>
      </c>
      <c r="AG290" s="63">
        <v>0</v>
      </c>
      <c r="AH290" s="63">
        <v>0</v>
      </c>
      <c r="AI290" s="63">
        <v>0</v>
      </c>
      <c r="AJ290" s="63">
        <v>0</v>
      </c>
      <c r="AK290" s="63">
        <v>0</v>
      </c>
      <c r="AL290" s="63">
        <v>0</v>
      </c>
      <c r="AM290" s="63">
        <v>0</v>
      </c>
      <c r="AN290" s="63">
        <v>0</v>
      </c>
      <c r="AP290" s="533">
        <v>0</v>
      </c>
      <c r="AQ290" s="533">
        <v>0</v>
      </c>
      <c r="AR290" s="533">
        <v>0</v>
      </c>
      <c r="AS290" s="533">
        <v>0</v>
      </c>
      <c r="AT290" s="534"/>
      <c r="AU290" s="594"/>
      <c r="AV290" s="595"/>
      <c r="AW290" s="595"/>
      <c r="AX290" s="595"/>
    </row>
    <row r="291" spans="1:50" x14ac:dyDescent="0.2">
      <c r="A291" s="201">
        <v>284</v>
      </c>
      <c r="B291" s="129" t="s">
        <v>415</v>
      </c>
      <c r="C291" s="130" t="s">
        <v>501</v>
      </c>
      <c r="D291" s="131" t="s">
        <v>751</v>
      </c>
      <c r="E291" s="132" t="s">
        <v>523</v>
      </c>
      <c r="F291" s="63">
        <v>38901826</v>
      </c>
      <c r="G291" s="63">
        <v>0</v>
      </c>
      <c r="H291" s="63">
        <v>0</v>
      </c>
      <c r="I291" s="63">
        <v>0</v>
      </c>
      <c r="J291" s="63">
        <v>38901826</v>
      </c>
      <c r="K291" s="63">
        <v>-500000</v>
      </c>
      <c r="L291" s="63">
        <v>0</v>
      </c>
      <c r="M291" s="63">
        <v>0</v>
      </c>
      <c r="N291" s="63">
        <v>0</v>
      </c>
      <c r="O291" s="63">
        <v>-500000</v>
      </c>
      <c r="P291" s="63">
        <v>-888060</v>
      </c>
      <c r="Q291" s="63">
        <v>0</v>
      </c>
      <c r="R291" s="63">
        <v>0</v>
      </c>
      <c r="S291" s="63">
        <v>0</v>
      </c>
      <c r="T291" s="63">
        <v>-888060</v>
      </c>
      <c r="U291" s="63">
        <v>37513766</v>
      </c>
      <c r="V291" s="63">
        <v>0</v>
      </c>
      <c r="W291" s="63">
        <v>0</v>
      </c>
      <c r="X291" s="63">
        <v>0</v>
      </c>
      <c r="Y291" s="63">
        <v>37513766</v>
      </c>
      <c r="Z291" s="63">
        <v>0</v>
      </c>
      <c r="AA291" s="63">
        <v>0</v>
      </c>
      <c r="AB291" s="63">
        <v>0</v>
      </c>
      <c r="AC291" s="63">
        <v>0</v>
      </c>
      <c r="AD291" s="63">
        <v>0</v>
      </c>
      <c r="AE291" s="63">
        <v>0</v>
      </c>
      <c r="AF291" s="63">
        <v>0</v>
      </c>
      <c r="AG291" s="63">
        <v>0</v>
      </c>
      <c r="AH291" s="63">
        <v>0</v>
      </c>
      <c r="AI291" s="63">
        <v>0</v>
      </c>
      <c r="AJ291" s="63">
        <v>0</v>
      </c>
      <c r="AK291" s="63">
        <v>0</v>
      </c>
      <c r="AL291" s="63">
        <v>0</v>
      </c>
      <c r="AM291" s="63">
        <v>0</v>
      </c>
      <c r="AN291" s="63">
        <v>0</v>
      </c>
      <c r="AP291" s="533">
        <v>0</v>
      </c>
      <c r="AQ291" s="533">
        <v>0</v>
      </c>
      <c r="AR291" s="533">
        <v>0</v>
      </c>
      <c r="AS291" s="533">
        <v>0</v>
      </c>
      <c r="AT291" s="534"/>
      <c r="AU291" s="594"/>
      <c r="AV291" s="595"/>
      <c r="AW291" s="595"/>
      <c r="AX291" s="595"/>
    </row>
    <row r="292" spans="1:50" x14ac:dyDescent="0.2">
      <c r="A292" s="201">
        <v>285</v>
      </c>
      <c r="B292" s="129" t="s">
        <v>417</v>
      </c>
      <c r="C292" s="130" t="s">
        <v>742</v>
      </c>
      <c r="D292" s="131" t="s">
        <v>751</v>
      </c>
      <c r="E292" s="132" t="s">
        <v>416</v>
      </c>
      <c r="F292" s="63">
        <v>11603749</v>
      </c>
      <c r="G292" s="63">
        <v>0</v>
      </c>
      <c r="H292" s="63">
        <v>0</v>
      </c>
      <c r="I292" s="63">
        <v>0</v>
      </c>
      <c r="J292" s="63">
        <v>11603749</v>
      </c>
      <c r="K292" s="63">
        <v>-60136</v>
      </c>
      <c r="L292" s="63">
        <v>0</v>
      </c>
      <c r="M292" s="63">
        <v>0</v>
      </c>
      <c r="N292" s="63">
        <v>0</v>
      </c>
      <c r="O292" s="63">
        <v>-60136</v>
      </c>
      <c r="P292" s="63">
        <v>-328531</v>
      </c>
      <c r="Q292" s="63">
        <v>0</v>
      </c>
      <c r="R292" s="63">
        <v>0</v>
      </c>
      <c r="S292" s="63">
        <v>0</v>
      </c>
      <c r="T292" s="63">
        <v>-328531</v>
      </c>
      <c r="U292" s="63">
        <v>11215082</v>
      </c>
      <c r="V292" s="63">
        <v>0</v>
      </c>
      <c r="W292" s="63">
        <v>0</v>
      </c>
      <c r="X292" s="63">
        <v>0</v>
      </c>
      <c r="Y292" s="63">
        <v>11215082</v>
      </c>
      <c r="Z292" s="63">
        <v>542595</v>
      </c>
      <c r="AA292" s="63">
        <v>0</v>
      </c>
      <c r="AB292" s="63">
        <v>0</v>
      </c>
      <c r="AC292" s="63">
        <v>0</v>
      </c>
      <c r="AD292" s="63">
        <v>542595</v>
      </c>
      <c r="AE292" s="63">
        <v>0</v>
      </c>
      <c r="AF292" s="63">
        <v>0</v>
      </c>
      <c r="AG292" s="63">
        <v>0</v>
      </c>
      <c r="AH292" s="63">
        <v>0</v>
      </c>
      <c r="AI292" s="63">
        <v>0</v>
      </c>
      <c r="AJ292" s="63">
        <v>0</v>
      </c>
      <c r="AK292" s="63">
        <v>0</v>
      </c>
      <c r="AL292" s="63">
        <v>0</v>
      </c>
      <c r="AM292" s="63">
        <v>0</v>
      </c>
      <c r="AN292" s="63">
        <v>0</v>
      </c>
      <c r="AP292" s="533">
        <v>0</v>
      </c>
      <c r="AQ292" s="533">
        <v>0</v>
      </c>
      <c r="AR292" s="533">
        <v>0</v>
      </c>
      <c r="AS292" s="533">
        <v>0</v>
      </c>
      <c r="AT292" s="534"/>
      <c r="AU292" s="594"/>
      <c r="AV292" s="595"/>
      <c r="AW292" s="595"/>
      <c r="AX292" s="595"/>
    </row>
    <row r="293" spans="1:50" x14ac:dyDescent="0.2">
      <c r="A293" s="201">
        <v>286</v>
      </c>
      <c r="B293" s="129" t="s">
        <v>419</v>
      </c>
      <c r="C293" s="130" t="s">
        <v>754</v>
      </c>
      <c r="D293" s="131" t="s">
        <v>748</v>
      </c>
      <c r="E293" s="132" t="s">
        <v>418</v>
      </c>
      <c r="F293" s="63">
        <v>398901164</v>
      </c>
      <c r="G293" s="63">
        <v>0</v>
      </c>
      <c r="H293" s="63">
        <v>0</v>
      </c>
      <c r="I293" s="63">
        <v>0</v>
      </c>
      <c r="J293" s="63">
        <v>398901164</v>
      </c>
      <c r="K293" s="63">
        <v>-1000000</v>
      </c>
      <c r="L293" s="63">
        <v>0</v>
      </c>
      <c r="M293" s="63">
        <v>0</v>
      </c>
      <c r="N293" s="63">
        <v>0</v>
      </c>
      <c r="O293" s="63">
        <v>-1000000</v>
      </c>
      <c r="P293" s="63">
        <v>-3000000</v>
      </c>
      <c r="Q293" s="63">
        <v>0</v>
      </c>
      <c r="R293" s="63">
        <v>0</v>
      </c>
      <c r="S293" s="63">
        <v>0</v>
      </c>
      <c r="T293" s="63">
        <v>-3000000</v>
      </c>
      <c r="U293" s="63">
        <v>394901164</v>
      </c>
      <c r="V293" s="63">
        <v>0</v>
      </c>
      <c r="W293" s="63">
        <v>0</v>
      </c>
      <c r="X293" s="63">
        <v>0</v>
      </c>
      <c r="Y293" s="63">
        <v>394901164</v>
      </c>
      <c r="Z293" s="63">
        <v>0</v>
      </c>
      <c r="AA293" s="63">
        <v>0</v>
      </c>
      <c r="AB293" s="63">
        <v>0</v>
      </c>
      <c r="AC293" s="63">
        <v>0</v>
      </c>
      <c r="AD293" s="63">
        <v>0</v>
      </c>
      <c r="AE293" s="63">
        <v>0</v>
      </c>
      <c r="AF293" s="63">
        <v>0</v>
      </c>
      <c r="AG293" s="63">
        <v>0</v>
      </c>
      <c r="AH293" s="63">
        <v>0</v>
      </c>
      <c r="AI293" s="63">
        <v>0</v>
      </c>
      <c r="AJ293" s="63">
        <v>0</v>
      </c>
      <c r="AK293" s="63">
        <v>0</v>
      </c>
      <c r="AL293" s="63">
        <v>0</v>
      </c>
      <c r="AM293" s="63">
        <v>0</v>
      </c>
      <c r="AN293" s="63">
        <v>0</v>
      </c>
      <c r="AP293" s="533">
        <v>0</v>
      </c>
      <c r="AQ293" s="533">
        <v>0</v>
      </c>
      <c r="AR293" s="533">
        <v>0</v>
      </c>
      <c r="AS293" s="533">
        <v>0</v>
      </c>
      <c r="AT293" s="534"/>
      <c r="AU293" s="594"/>
      <c r="AV293" s="595"/>
      <c r="AW293" s="595"/>
      <c r="AX293" s="595"/>
    </row>
    <row r="294" spans="1:50" x14ac:dyDescent="0.2">
      <c r="A294" s="201">
        <v>287</v>
      </c>
      <c r="B294" s="129" t="s">
        <v>421</v>
      </c>
      <c r="C294" s="130" t="s">
        <v>749</v>
      </c>
      <c r="D294" s="131" t="s">
        <v>744</v>
      </c>
      <c r="E294" s="132" t="s">
        <v>420</v>
      </c>
      <c r="F294" s="63">
        <v>176600353</v>
      </c>
      <c r="G294" s="63">
        <v>0</v>
      </c>
      <c r="H294" s="63">
        <v>0</v>
      </c>
      <c r="I294" s="63">
        <v>0</v>
      </c>
      <c r="J294" s="63">
        <v>176600353</v>
      </c>
      <c r="K294" s="63">
        <v>-2000000</v>
      </c>
      <c r="L294" s="63">
        <v>0</v>
      </c>
      <c r="M294" s="63">
        <v>0</v>
      </c>
      <c r="N294" s="63">
        <v>0</v>
      </c>
      <c r="O294" s="63">
        <v>-2000000</v>
      </c>
      <c r="P294" s="63">
        <v>-3960572</v>
      </c>
      <c r="Q294" s="63">
        <v>0</v>
      </c>
      <c r="R294" s="63">
        <v>0</v>
      </c>
      <c r="S294" s="63">
        <v>0</v>
      </c>
      <c r="T294" s="63">
        <v>-3960572</v>
      </c>
      <c r="U294" s="63">
        <v>170639781</v>
      </c>
      <c r="V294" s="63">
        <v>0</v>
      </c>
      <c r="W294" s="63">
        <v>0</v>
      </c>
      <c r="X294" s="63">
        <v>0</v>
      </c>
      <c r="Y294" s="63">
        <v>170639781</v>
      </c>
      <c r="Z294" s="63">
        <v>77532</v>
      </c>
      <c r="AA294" s="63">
        <v>0</v>
      </c>
      <c r="AB294" s="63">
        <v>0</v>
      </c>
      <c r="AC294" s="63">
        <v>0</v>
      </c>
      <c r="AD294" s="63">
        <v>77532</v>
      </c>
      <c r="AE294" s="63">
        <v>0</v>
      </c>
      <c r="AF294" s="63">
        <v>0</v>
      </c>
      <c r="AG294" s="63">
        <v>0</v>
      </c>
      <c r="AH294" s="63">
        <v>0</v>
      </c>
      <c r="AI294" s="63">
        <v>0</v>
      </c>
      <c r="AJ294" s="63">
        <v>0</v>
      </c>
      <c r="AK294" s="63">
        <v>0</v>
      </c>
      <c r="AL294" s="63">
        <v>0</v>
      </c>
      <c r="AM294" s="63">
        <v>0</v>
      </c>
      <c r="AN294" s="63">
        <v>0</v>
      </c>
      <c r="AP294" s="533">
        <v>0</v>
      </c>
      <c r="AQ294" s="533">
        <v>0</v>
      </c>
      <c r="AR294" s="533">
        <v>0</v>
      </c>
      <c r="AS294" s="533">
        <v>0</v>
      </c>
      <c r="AT294" s="534"/>
      <c r="AU294" s="594"/>
      <c r="AV294" s="595"/>
      <c r="AW294" s="595"/>
      <c r="AX294" s="595"/>
    </row>
    <row r="295" spans="1:50" x14ac:dyDescent="0.2">
      <c r="A295" s="201">
        <v>288</v>
      </c>
      <c r="B295" s="129" t="s">
        <v>423</v>
      </c>
      <c r="C295" s="130" t="s">
        <v>742</v>
      </c>
      <c r="D295" s="131" t="s">
        <v>743</v>
      </c>
      <c r="E295" s="132" t="s">
        <v>422</v>
      </c>
      <c r="F295" s="63">
        <v>54161802</v>
      </c>
      <c r="G295" s="63">
        <v>0</v>
      </c>
      <c r="H295" s="63">
        <v>0</v>
      </c>
      <c r="I295" s="63">
        <v>0</v>
      </c>
      <c r="J295" s="63">
        <v>54161802</v>
      </c>
      <c r="K295" s="63">
        <v>-650000</v>
      </c>
      <c r="L295" s="63">
        <v>0</v>
      </c>
      <c r="M295" s="63">
        <v>0</v>
      </c>
      <c r="N295" s="63">
        <v>0</v>
      </c>
      <c r="O295" s="63">
        <v>-650000</v>
      </c>
      <c r="P295" s="63">
        <v>-900000</v>
      </c>
      <c r="Q295" s="63">
        <v>0</v>
      </c>
      <c r="R295" s="63">
        <v>0</v>
      </c>
      <c r="S295" s="63">
        <v>0</v>
      </c>
      <c r="T295" s="63">
        <v>-900000</v>
      </c>
      <c r="U295" s="63">
        <v>52611802</v>
      </c>
      <c r="V295" s="63">
        <v>0</v>
      </c>
      <c r="W295" s="63">
        <v>0</v>
      </c>
      <c r="X295" s="63">
        <v>0</v>
      </c>
      <c r="Y295" s="63">
        <v>52611802</v>
      </c>
      <c r="Z295" s="63">
        <v>0</v>
      </c>
      <c r="AA295" s="63">
        <v>0</v>
      </c>
      <c r="AB295" s="63">
        <v>0</v>
      </c>
      <c r="AC295" s="63">
        <v>0</v>
      </c>
      <c r="AD295" s="63">
        <v>0</v>
      </c>
      <c r="AE295" s="63">
        <v>0</v>
      </c>
      <c r="AF295" s="63">
        <v>0</v>
      </c>
      <c r="AG295" s="63">
        <v>0</v>
      </c>
      <c r="AH295" s="63">
        <v>0</v>
      </c>
      <c r="AI295" s="63">
        <v>0</v>
      </c>
      <c r="AJ295" s="63">
        <v>0</v>
      </c>
      <c r="AK295" s="63">
        <v>0</v>
      </c>
      <c r="AL295" s="63">
        <v>0</v>
      </c>
      <c r="AM295" s="63">
        <v>0</v>
      </c>
      <c r="AN295" s="63">
        <v>0</v>
      </c>
      <c r="AP295" s="533">
        <v>0</v>
      </c>
      <c r="AQ295" s="533">
        <v>0</v>
      </c>
      <c r="AR295" s="533">
        <v>0</v>
      </c>
      <c r="AS295" s="533">
        <v>0</v>
      </c>
      <c r="AT295" s="534"/>
      <c r="AU295" s="594"/>
      <c r="AV295" s="595"/>
      <c r="AW295" s="595"/>
      <c r="AX295" s="595"/>
    </row>
    <row r="296" spans="1:50" x14ac:dyDescent="0.2">
      <c r="A296" s="201">
        <v>289</v>
      </c>
      <c r="B296" s="129" t="s">
        <v>425</v>
      </c>
      <c r="C296" s="130" t="s">
        <v>742</v>
      </c>
      <c r="D296" s="131" t="s">
        <v>746</v>
      </c>
      <c r="E296" s="132" t="s">
        <v>424</v>
      </c>
      <c r="F296" s="63">
        <v>45784817</v>
      </c>
      <c r="G296" s="63">
        <v>0</v>
      </c>
      <c r="H296" s="63">
        <v>0</v>
      </c>
      <c r="I296" s="63">
        <v>0</v>
      </c>
      <c r="J296" s="63">
        <v>45784817</v>
      </c>
      <c r="K296" s="63">
        <v>-457848</v>
      </c>
      <c r="L296" s="63">
        <v>0</v>
      </c>
      <c r="M296" s="63">
        <v>0</v>
      </c>
      <c r="N296" s="63">
        <v>0</v>
      </c>
      <c r="O296" s="63">
        <v>-457848</v>
      </c>
      <c r="P296" s="63">
        <v>-2021009</v>
      </c>
      <c r="Q296" s="63">
        <v>0</v>
      </c>
      <c r="R296" s="63">
        <v>0</v>
      </c>
      <c r="S296" s="63">
        <v>0</v>
      </c>
      <c r="T296" s="63">
        <v>-2021009</v>
      </c>
      <c r="U296" s="63">
        <v>43305960</v>
      </c>
      <c r="V296" s="63">
        <v>0</v>
      </c>
      <c r="W296" s="63">
        <v>0</v>
      </c>
      <c r="X296" s="63">
        <v>0</v>
      </c>
      <c r="Y296" s="63">
        <v>43305960</v>
      </c>
      <c r="Z296" s="63">
        <v>133817</v>
      </c>
      <c r="AA296" s="63">
        <v>0</v>
      </c>
      <c r="AB296" s="63">
        <v>0</v>
      </c>
      <c r="AC296" s="63">
        <v>0</v>
      </c>
      <c r="AD296" s="63">
        <v>133817</v>
      </c>
      <c r="AE296" s="63">
        <v>0</v>
      </c>
      <c r="AF296" s="63">
        <v>0</v>
      </c>
      <c r="AG296" s="63">
        <v>0</v>
      </c>
      <c r="AH296" s="63">
        <v>0</v>
      </c>
      <c r="AI296" s="63">
        <v>0</v>
      </c>
      <c r="AJ296" s="63">
        <v>0</v>
      </c>
      <c r="AK296" s="63">
        <v>0</v>
      </c>
      <c r="AL296" s="63">
        <v>0</v>
      </c>
      <c r="AM296" s="63">
        <v>0</v>
      </c>
      <c r="AN296" s="63">
        <v>0</v>
      </c>
      <c r="AP296" s="533">
        <v>0</v>
      </c>
      <c r="AQ296" s="533">
        <v>0</v>
      </c>
      <c r="AR296" s="533">
        <v>0</v>
      </c>
      <c r="AS296" s="533">
        <v>0</v>
      </c>
      <c r="AT296" s="534"/>
      <c r="AU296" s="594"/>
      <c r="AV296" s="595"/>
      <c r="AW296" s="595"/>
      <c r="AX296" s="595"/>
    </row>
    <row r="297" spans="1:50" x14ac:dyDescent="0.2">
      <c r="A297" s="201">
        <v>290</v>
      </c>
      <c r="B297" s="129" t="s">
        <v>427</v>
      </c>
      <c r="C297" s="130" t="s">
        <v>742</v>
      </c>
      <c r="D297" s="131" t="s">
        <v>743</v>
      </c>
      <c r="E297" s="132" t="s">
        <v>426</v>
      </c>
      <c r="F297" s="63">
        <v>55982022</v>
      </c>
      <c r="G297" s="63">
        <v>1930789</v>
      </c>
      <c r="H297" s="63">
        <v>1923046</v>
      </c>
      <c r="I297" s="63">
        <v>0</v>
      </c>
      <c r="J297" s="63">
        <v>59835857</v>
      </c>
      <c r="K297" s="63">
        <v>-559820</v>
      </c>
      <c r="L297" s="63">
        <v>-19308</v>
      </c>
      <c r="M297" s="63">
        <v>0</v>
      </c>
      <c r="N297" s="63">
        <v>0</v>
      </c>
      <c r="O297" s="63">
        <v>-579128</v>
      </c>
      <c r="P297" s="63">
        <v>-754841</v>
      </c>
      <c r="Q297" s="63">
        <v>-26034</v>
      </c>
      <c r="R297" s="63">
        <v>0</v>
      </c>
      <c r="S297" s="63">
        <v>0</v>
      </c>
      <c r="T297" s="63">
        <v>-780875</v>
      </c>
      <c r="U297" s="63">
        <v>54667361</v>
      </c>
      <c r="V297" s="63">
        <v>1885447</v>
      </c>
      <c r="W297" s="63">
        <v>1923046</v>
      </c>
      <c r="X297" s="63">
        <v>0</v>
      </c>
      <c r="Y297" s="63">
        <v>58475854</v>
      </c>
      <c r="Z297" s="63">
        <v>237069</v>
      </c>
      <c r="AA297" s="63">
        <v>0</v>
      </c>
      <c r="AB297" s="63">
        <v>0</v>
      </c>
      <c r="AC297" s="63">
        <v>0</v>
      </c>
      <c r="AD297" s="63">
        <v>237069</v>
      </c>
      <c r="AE297" s="63">
        <v>0</v>
      </c>
      <c r="AF297" s="63">
        <v>0</v>
      </c>
      <c r="AG297" s="63">
        <v>0</v>
      </c>
      <c r="AH297" s="63">
        <v>1218664</v>
      </c>
      <c r="AI297" s="63">
        <v>1208349</v>
      </c>
      <c r="AJ297" s="63">
        <v>0</v>
      </c>
      <c r="AK297" s="63">
        <v>666783</v>
      </c>
      <c r="AL297" s="63">
        <v>714697</v>
      </c>
      <c r="AM297" s="63">
        <v>0</v>
      </c>
      <c r="AN297" s="63">
        <v>1381480</v>
      </c>
      <c r="AP297" s="533" t="s">
        <v>768</v>
      </c>
      <c r="AQ297" s="533" t="s">
        <v>801</v>
      </c>
      <c r="AR297" s="533" t="s">
        <v>1003</v>
      </c>
      <c r="AS297" s="533">
        <v>0</v>
      </c>
      <c r="AT297" s="534"/>
      <c r="AU297" s="603"/>
      <c r="AV297" s="604"/>
      <c r="AW297" s="604"/>
      <c r="AX297" s="604"/>
    </row>
    <row r="298" spans="1:50" x14ac:dyDescent="0.2">
      <c r="A298" s="201">
        <v>291</v>
      </c>
      <c r="B298" s="129" t="s">
        <v>429</v>
      </c>
      <c r="C298" s="130" t="s">
        <v>749</v>
      </c>
      <c r="D298" s="131" t="s">
        <v>750</v>
      </c>
      <c r="E298" s="132" t="s">
        <v>428</v>
      </c>
      <c r="F298" s="63">
        <v>129780987</v>
      </c>
      <c r="G298" s="63">
        <v>0</v>
      </c>
      <c r="H298" s="63">
        <v>0</v>
      </c>
      <c r="I298" s="63">
        <v>0</v>
      </c>
      <c r="J298" s="63">
        <v>129780987</v>
      </c>
      <c r="K298" s="63">
        <v>-1000000</v>
      </c>
      <c r="L298" s="63">
        <v>0</v>
      </c>
      <c r="M298" s="63">
        <v>0</v>
      </c>
      <c r="N298" s="63">
        <v>0</v>
      </c>
      <c r="O298" s="63">
        <v>-1000000</v>
      </c>
      <c r="P298" s="63">
        <v>-4000000</v>
      </c>
      <c r="Q298" s="63">
        <v>0</v>
      </c>
      <c r="R298" s="63">
        <v>0</v>
      </c>
      <c r="S298" s="63">
        <v>0</v>
      </c>
      <c r="T298" s="63">
        <v>-4000000</v>
      </c>
      <c r="U298" s="63">
        <v>124780987</v>
      </c>
      <c r="V298" s="63">
        <v>0</v>
      </c>
      <c r="W298" s="63">
        <v>0</v>
      </c>
      <c r="X298" s="63">
        <v>0</v>
      </c>
      <c r="Y298" s="63">
        <v>124780987</v>
      </c>
      <c r="Z298" s="63">
        <v>0</v>
      </c>
      <c r="AA298" s="63">
        <v>0</v>
      </c>
      <c r="AB298" s="63">
        <v>0</v>
      </c>
      <c r="AC298" s="63">
        <v>0</v>
      </c>
      <c r="AD298" s="63">
        <v>0</v>
      </c>
      <c r="AE298" s="63">
        <v>0</v>
      </c>
      <c r="AF298" s="63">
        <v>0</v>
      </c>
      <c r="AG298" s="63">
        <v>0</v>
      </c>
      <c r="AH298" s="63">
        <v>0</v>
      </c>
      <c r="AI298" s="63">
        <v>0</v>
      </c>
      <c r="AJ298" s="63">
        <v>0</v>
      </c>
      <c r="AK298" s="63">
        <v>0</v>
      </c>
      <c r="AL298" s="63">
        <v>0</v>
      </c>
      <c r="AM298" s="63">
        <v>0</v>
      </c>
      <c r="AN298" s="63">
        <v>0</v>
      </c>
      <c r="AP298" s="533">
        <v>0</v>
      </c>
      <c r="AQ298" s="533">
        <v>0</v>
      </c>
      <c r="AR298" s="533">
        <v>0</v>
      </c>
      <c r="AS298" s="533">
        <v>0</v>
      </c>
      <c r="AT298" s="534"/>
      <c r="AU298" s="597"/>
      <c r="AV298" s="598"/>
      <c r="AW298" s="598"/>
      <c r="AX298" s="598"/>
    </row>
    <row r="299" spans="1:50" x14ac:dyDescent="0.2">
      <c r="A299" s="201">
        <v>292</v>
      </c>
      <c r="B299" s="129" t="s">
        <v>431</v>
      </c>
      <c r="C299" s="130" t="s">
        <v>749</v>
      </c>
      <c r="D299" s="131" t="s">
        <v>752</v>
      </c>
      <c r="E299" s="132" t="s">
        <v>430</v>
      </c>
      <c r="F299" s="63">
        <v>73371604</v>
      </c>
      <c r="G299" s="63">
        <v>192040</v>
      </c>
      <c r="H299" s="63">
        <v>0</v>
      </c>
      <c r="I299" s="63">
        <v>0</v>
      </c>
      <c r="J299" s="63">
        <v>73563644</v>
      </c>
      <c r="K299" s="63">
        <v>-1200000</v>
      </c>
      <c r="L299" s="63">
        <v>0</v>
      </c>
      <c r="M299" s="63">
        <v>0</v>
      </c>
      <c r="N299" s="63">
        <v>0</v>
      </c>
      <c r="O299" s="63">
        <v>-1200000</v>
      </c>
      <c r="P299" s="63">
        <v>-1543180</v>
      </c>
      <c r="Q299" s="63">
        <v>0</v>
      </c>
      <c r="R299" s="63">
        <v>0</v>
      </c>
      <c r="S299" s="63">
        <v>0</v>
      </c>
      <c r="T299" s="63">
        <v>-1543180</v>
      </c>
      <c r="U299" s="63">
        <v>70628424</v>
      </c>
      <c r="V299" s="63">
        <v>192040</v>
      </c>
      <c r="W299" s="63">
        <v>0</v>
      </c>
      <c r="X299" s="63">
        <v>0</v>
      </c>
      <c r="Y299" s="63">
        <v>70820464</v>
      </c>
      <c r="Z299" s="63">
        <v>0</v>
      </c>
      <c r="AA299" s="63">
        <v>0</v>
      </c>
      <c r="AB299" s="63">
        <v>0</v>
      </c>
      <c r="AC299" s="63">
        <v>0</v>
      </c>
      <c r="AD299" s="63">
        <v>0</v>
      </c>
      <c r="AE299" s="63">
        <v>0</v>
      </c>
      <c r="AF299" s="63">
        <v>0</v>
      </c>
      <c r="AG299" s="63">
        <v>0</v>
      </c>
      <c r="AH299" s="63">
        <v>177303</v>
      </c>
      <c r="AI299" s="63">
        <v>0</v>
      </c>
      <c r="AJ299" s="63">
        <v>0</v>
      </c>
      <c r="AK299" s="63">
        <v>14737</v>
      </c>
      <c r="AL299" s="63">
        <v>0</v>
      </c>
      <c r="AM299" s="63">
        <v>0</v>
      </c>
      <c r="AN299" s="63">
        <v>14737</v>
      </c>
      <c r="AP299" s="533" t="s">
        <v>768</v>
      </c>
      <c r="AQ299" s="533" t="s">
        <v>799</v>
      </c>
      <c r="AR299" s="533">
        <v>0</v>
      </c>
      <c r="AS299" s="533">
        <v>0</v>
      </c>
      <c r="AT299" s="534"/>
      <c r="AU299" s="594"/>
      <c r="AV299" s="595"/>
      <c r="AW299" s="595"/>
      <c r="AX299" s="595"/>
    </row>
    <row r="300" spans="1:50" x14ac:dyDescent="0.2">
      <c r="A300" s="201">
        <v>293</v>
      </c>
      <c r="B300" s="129" t="s">
        <v>433</v>
      </c>
      <c r="C300" s="130" t="s">
        <v>747</v>
      </c>
      <c r="D300" s="131" t="s">
        <v>748</v>
      </c>
      <c r="E300" s="132" t="s">
        <v>432</v>
      </c>
      <c r="F300" s="63">
        <v>59906487</v>
      </c>
      <c r="G300" s="63">
        <v>0</v>
      </c>
      <c r="H300" s="63">
        <v>0</v>
      </c>
      <c r="I300" s="63">
        <v>0</v>
      </c>
      <c r="J300" s="63">
        <v>59906487</v>
      </c>
      <c r="K300" s="63">
        <v>-1710556</v>
      </c>
      <c r="L300" s="63">
        <v>0</v>
      </c>
      <c r="M300" s="63">
        <v>0</v>
      </c>
      <c r="N300" s="63">
        <v>0</v>
      </c>
      <c r="O300" s="63">
        <v>-1710556</v>
      </c>
      <c r="P300" s="63">
        <v>-1059936</v>
      </c>
      <c r="Q300" s="63">
        <v>0</v>
      </c>
      <c r="R300" s="63">
        <v>0</v>
      </c>
      <c r="S300" s="63">
        <v>0</v>
      </c>
      <c r="T300" s="63">
        <v>-1059936</v>
      </c>
      <c r="U300" s="63">
        <v>57135995</v>
      </c>
      <c r="V300" s="63">
        <v>0</v>
      </c>
      <c r="W300" s="63">
        <v>0</v>
      </c>
      <c r="X300" s="63">
        <v>0</v>
      </c>
      <c r="Y300" s="63">
        <v>57135995</v>
      </c>
      <c r="Z300" s="63">
        <v>0</v>
      </c>
      <c r="AA300" s="63">
        <v>0</v>
      </c>
      <c r="AB300" s="63">
        <v>0</v>
      </c>
      <c r="AC300" s="63">
        <v>0</v>
      </c>
      <c r="AD300" s="63">
        <v>0</v>
      </c>
      <c r="AE300" s="63">
        <v>0</v>
      </c>
      <c r="AF300" s="63">
        <v>0</v>
      </c>
      <c r="AG300" s="63">
        <v>0</v>
      </c>
      <c r="AH300" s="63">
        <v>0</v>
      </c>
      <c r="AI300" s="63">
        <v>0</v>
      </c>
      <c r="AJ300" s="63">
        <v>0</v>
      </c>
      <c r="AK300" s="63">
        <v>0</v>
      </c>
      <c r="AL300" s="63">
        <v>0</v>
      </c>
      <c r="AM300" s="63">
        <v>0</v>
      </c>
      <c r="AN300" s="63">
        <v>0</v>
      </c>
      <c r="AP300" s="533">
        <v>0</v>
      </c>
      <c r="AQ300" s="533">
        <v>0</v>
      </c>
      <c r="AR300" s="533">
        <v>0</v>
      </c>
      <c r="AS300" s="533">
        <v>0</v>
      </c>
      <c r="AT300" s="534"/>
      <c r="AU300" s="594"/>
      <c r="AV300" s="595"/>
      <c r="AW300" s="595"/>
      <c r="AX300" s="595"/>
    </row>
    <row r="301" spans="1:50" x14ac:dyDescent="0.2">
      <c r="A301" s="201">
        <v>294</v>
      </c>
      <c r="B301" s="129" t="s">
        <v>435</v>
      </c>
      <c r="C301" s="130" t="s">
        <v>754</v>
      </c>
      <c r="D301" s="131" t="s">
        <v>748</v>
      </c>
      <c r="E301" s="132" t="s">
        <v>434</v>
      </c>
      <c r="F301" s="63">
        <v>104977712</v>
      </c>
      <c r="G301" s="63">
        <v>2882814</v>
      </c>
      <c r="H301" s="63">
        <v>0</v>
      </c>
      <c r="I301" s="63">
        <v>0</v>
      </c>
      <c r="J301" s="63">
        <v>107860526</v>
      </c>
      <c r="K301" s="63">
        <v>-960000</v>
      </c>
      <c r="L301" s="63">
        <v>-40000</v>
      </c>
      <c r="M301" s="63">
        <v>0</v>
      </c>
      <c r="N301" s="63">
        <v>0</v>
      </c>
      <c r="O301" s="63">
        <v>-1000000</v>
      </c>
      <c r="P301" s="63">
        <v>-1570200</v>
      </c>
      <c r="Q301" s="63">
        <v>-154000</v>
      </c>
      <c r="R301" s="63">
        <v>0</v>
      </c>
      <c r="S301" s="63">
        <v>0</v>
      </c>
      <c r="T301" s="63">
        <v>-1724200</v>
      </c>
      <c r="U301" s="63">
        <v>102447512</v>
      </c>
      <c r="V301" s="63">
        <v>2688814</v>
      </c>
      <c r="W301" s="63">
        <v>0</v>
      </c>
      <c r="X301" s="63">
        <v>0</v>
      </c>
      <c r="Y301" s="63">
        <v>105136326</v>
      </c>
      <c r="Z301" s="63">
        <v>0</v>
      </c>
      <c r="AA301" s="63">
        <v>0</v>
      </c>
      <c r="AB301" s="63">
        <v>0</v>
      </c>
      <c r="AC301" s="63">
        <v>0</v>
      </c>
      <c r="AD301" s="63">
        <v>0</v>
      </c>
      <c r="AE301" s="63">
        <v>0</v>
      </c>
      <c r="AF301" s="63">
        <v>0</v>
      </c>
      <c r="AG301" s="63">
        <v>0</v>
      </c>
      <c r="AH301" s="63">
        <v>4206450</v>
      </c>
      <c r="AI301" s="63">
        <v>0</v>
      </c>
      <c r="AJ301" s="63">
        <v>0</v>
      </c>
      <c r="AK301" s="63">
        <v>0</v>
      </c>
      <c r="AL301" s="63">
        <v>0</v>
      </c>
      <c r="AM301" s="63">
        <v>0</v>
      </c>
      <c r="AN301" s="63">
        <v>0</v>
      </c>
      <c r="AP301" s="533" t="s">
        <v>768</v>
      </c>
      <c r="AQ301" s="533" t="s">
        <v>1004</v>
      </c>
      <c r="AR301" s="533">
        <v>0</v>
      </c>
      <c r="AS301" s="533">
        <v>0</v>
      </c>
      <c r="AT301" s="534"/>
      <c r="AU301" s="594"/>
      <c r="AV301" s="595"/>
      <c r="AW301" s="595"/>
      <c r="AX301" s="595"/>
    </row>
    <row r="302" spans="1:50" x14ac:dyDescent="0.2">
      <c r="A302" s="201">
        <v>295</v>
      </c>
      <c r="B302" s="129" t="s">
        <v>436</v>
      </c>
      <c r="C302" s="130" t="s">
        <v>501</v>
      </c>
      <c r="D302" s="131" t="s">
        <v>744</v>
      </c>
      <c r="E302" s="132" t="s">
        <v>514</v>
      </c>
      <c r="F302" s="63">
        <v>117048737</v>
      </c>
      <c r="G302" s="63">
        <v>1141256</v>
      </c>
      <c r="H302" s="63">
        <v>0</v>
      </c>
      <c r="I302" s="63">
        <v>0</v>
      </c>
      <c r="J302" s="63">
        <v>118189993</v>
      </c>
      <c r="K302" s="63">
        <v>-845901</v>
      </c>
      <c r="L302" s="63">
        <v>-8248</v>
      </c>
      <c r="M302" s="63">
        <v>0</v>
      </c>
      <c r="N302" s="63">
        <v>0</v>
      </c>
      <c r="O302" s="63">
        <v>-854149</v>
      </c>
      <c r="P302" s="63">
        <v>-1328098</v>
      </c>
      <c r="Q302" s="63">
        <v>-12949</v>
      </c>
      <c r="R302" s="63">
        <v>0</v>
      </c>
      <c r="S302" s="63">
        <v>0</v>
      </c>
      <c r="T302" s="63">
        <v>-1341047</v>
      </c>
      <c r="U302" s="63">
        <v>114874738</v>
      </c>
      <c r="V302" s="63">
        <v>1120059</v>
      </c>
      <c r="W302" s="63">
        <v>0</v>
      </c>
      <c r="X302" s="63">
        <v>0</v>
      </c>
      <c r="Y302" s="63">
        <v>115994797</v>
      </c>
      <c r="Z302" s="63">
        <v>0</v>
      </c>
      <c r="AA302" s="63">
        <v>0</v>
      </c>
      <c r="AB302" s="63">
        <v>0</v>
      </c>
      <c r="AC302" s="63">
        <v>0</v>
      </c>
      <c r="AD302" s="63">
        <v>0</v>
      </c>
      <c r="AE302" s="63">
        <v>0</v>
      </c>
      <c r="AF302" s="63">
        <v>0</v>
      </c>
      <c r="AG302" s="63">
        <v>0</v>
      </c>
      <c r="AH302" s="63">
        <v>0</v>
      </c>
      <c r="AI302" s="63">
        <v>0</v>
      </c>
      <c r="AJ302" s="63">
        <v>0</v>
      </c>
      <c r="AK302" s="63">
        <v>1120059</v>
      </c>
      <c r="AL302" s="63">
        <v>0</v>
      </c>
      <c r="AM302" s="63">
        <v>0</v>
      </c>
      <c r="AN302" s="63">
        <v>1120059</v>
      </c>
      <c r="AP302" s="533" t="s">
        <v>768</v>
      </c>
      <c r="AQ302" s="533" t="s">
        <v>989</v>
      </c>
      <c r="AR302" s="533">
        <v>0</v>
      </c>
      <c r="AS302" s="533">
        <v>0</v>
      </c>
      <c r="AT302" s="534"/>
      <c r="AU302" s="594"/>
      <c r="AV302" s="599"/>
      <c r="AW302" s="595"/>
      <c r="AX302" s="595"/>
    </row>
    <row r="303" spans="1:50" x14ac:dyDescent="0.2">
      <c r="A303" s="201">
        <v>296</v>
      </c>
      <c r="B303" s="129" t="s">
        <v>438</v>
      </c>
      <c r="C303" s="130" t="s">
        <v>742</v>
      </c>
      <c r="D303" s="131" t="s">
        <v>752</v>
      </c>
      <c r="E303" s="132" t="s">
        <v>437</v>
      </c>
      <c r="F303" s="63">
        <v>70145410.590000004</v>
      </c>
      <c r="G303" s="63">
        <v>0</v>
      </c>
      <c r="H303" s="63">
        <v>0</v>
      </c>
      <c r="I303" s="63">
        <v>0</v>
      </c>
      <c r="J303" s="63">
        <v>70145410.590000004</v>
      </c>
      <c r="K303" s="63">
        <v>-523000</v>
      </c>
      <c r="L303" s="63">
        <v>0</v>
      </c>
      <c r="M303" s="63">
        <v>0</v>
      </c>
      <c r="N303" s="63">
        <v>0</v>
      </c>
      <c r="O303" s="63">
        <v>-523000</v>
      </c>
      <c r="P303" s="63">
        <v>-2164566</v>
      </c>
      <c r="Q303" s="63">
        <v>0</v>
      </c>
      <c r="R303" s="63">
        <v>0</v>
      </c>
      <c r="S303" s="63">
        <v>0</v>
      </c>
      <c r="T303" s="63">
        <v>-2164566</v>
      </c>
      <c r="U303" s="63">
        <v>67457844.590000004</v>
      </c>
      <c r="V303" s="63">
        <v>0</v>
      </c>
      <c r="W303" s="63">
        <v>0</v>
      </c>
      <c r="X303" s="63">
        <v>0</v>
      </c>
      <c r="Y303" s="63">
        <v>67457844.590000004</v>
      </c>
      <c r="Z303" s="63">
        <v>30000</v>
      </c>
      <c r="AA303" s="63">
        <v>0</v>
      </c>
      <c r="AB303" s="63">
        <v>0</v>
      </c>
      <c r="AC303" s="63">
        <v>0</v>
      </c>
      <c r="AD303" s="63">
        <v>30000</v>
      </c>
      <c r="AE303" s="63">
        <v>0</v>
      </c>
      <c r="AF303" s="63">
        <v>0</v>
      </c>
      <c r="AG303" s="63">
        <v>0</v>
      </c>
      <c r="AH303" s="63">
        <v>0</v>
      </c>
      <c r="AI303" s="63">
        <v>0</v>
      </c>
      <c r="AJ303" s="63">
        <v>0</v>
      </c>
      <c r="AK303" s="63">
        <v>0</v>
      </c>
      <c r="AL303" s="63">
        <v>0</v>
      </c>
      <c r="AM303" s="63">
        <v>0</v>
      </c>
      <c r="AN303" s="63">
        <v>0</v>
      </c>
      <c r="AP303" s="533">
        <v>0</v>
      </c>
      <c r="AQ303" s="533">
        <v>0</v>
      </c>
      <c r="AR303" s="533">
        <v>0</v>
      </c>
      <c r="AS303" s="533">
        <v>0</v>
      </c>
      <c r="AT303" s="534"/>
      <c r="AU303" s="594"/>
      <c r="AV303" s="595"/>
      <c r="AW303" s="595"/>
      <c r="AX303" s="595"/>
    </row>
    <row r="304" spans="1:50" x14ac:dyDescent="0.2">
      <c r="A304" s="201">
        <v>297</v>
      </c>
      <c r="B304" s="129" t="s">
        <v>440</v>
      </c>
      <c r="C304" s="130" t="s">
        <v>742</v>
      </c>
      <c r="D304" s="131" t="s">
        <v>746</v>
      </c>
      <c r="E304" s="132" t="s">
        <v>439</v>
      </c>
      <c r="F304" s="63">
        <v>64915611</v>
      </c>
      <c r="G304" s="63">
        <v>0</v>
      </c>
      <c r="H304" s="63">
        <v>0</v>
      </c>
      <c r="I304" s="63">
        <v>0</v>
      </c>
      <c r="J304" s="63">
        <v>64915611</v>
      </c>
      <c r="K304" s="63">
        <v>0</v>
      </c>
      <c r="L304" s="63">
        <v>0</v>
      </c>
      <c r="M304" s="63">
        <v>0</v>
      </c>
      <c r="N304" s="63">
        <v>0</v>
      </c>
      <c r="O304" s="63">
        <v>0</v>
      </c>
      <c r="P304" s="63">
        <v>-728146</v>
      </c>
      <c r="Q304" s="63">
        <v>0</v>
      </c>
      <c r="R304" s="63">
        <v>0</v>
      </c>
      <c r="S304" s="63">
        <v>0</v>
      </c>
      <c r="T304" s="63">
        <v>-728146</v>
      </c>
      <c r="U304" s="63">
        <v>64187465</v>
      </c>
      <c r="V304" s="63">
        <v>0</v>
      </c>
      <c r="W304" s="63">
        <v>0</v>
      </c>
      <c r="X304" s="63">
        <v>0</v>
      </c>
      <c r="Y304" s="63">
        <v>64187465</v>
      </c>
      <c r="Z304" s="63">
        <v>0</v>
      </c>
      <c r="AA304" s="63">
        <v>0</v>
      </c>
      <c r="AB304" s="63">
        <v>0</v>
      </c>
      <c r="AC304" s="63">
        <v>0</v>
      </c>
      <c r="AD304" s="63">
        <v>0</v>
      </c>
      <c r="AE304" s="63">
        <v>0</v>
      </c>
      <c r="AF304" s="63">
        <v>0</v>
      </c>
      <c r="AG304" s="63">
        <v>0</v>
      </c>
      <c r="AH304" s="63">
        <v>0</v>
      </c>
      <c r="AI304" s="63">
        <v>0</v>
      </c>
      <c r="AJ304" s="63">
        <v>0</v>
      </c>
      <c r="AK304" s="63">
        <v>0</v>
      </c>
      <c r="AL304" s="63">
        <v>0</v>
      </c>
      <c r="AM304" s="63">
        <v>0</v>
      </c>
      <c r="AN304" s="63">
        <v>0</v>
      </c>
      <c r="AP304" s="533">
        <v>0</v>
      </c>
      <c r="AQ304" s="533">
        <v>0</v>
      </c>
      <c r="AR304" s="533">
        <v>0</v>
      </c>
      <c r="AS304" s="533">
        <v>0</v>
      </c>
      <c r="AT304" s="534"/>
      <c r="AU304" s="594"/>
      <c r="AV304" s="595"/>
      <c r="AW304" s="595"/>
      <c r="AX304" s="595"/>
    </row>
    <row r="305" spans="1:50" x14ac:dyDescent="0.2">
      <c r="A305" s="201">
        <v>298</v>
      </c>
      <c r="B305" s="129" t="s">
        <v>442</v>
      </c>
      <c r="C305" s="130" t="s">
        <v>742</v>
      </c>
      <c r="D305" s="131" t="s">
        <v>746</v>
      </c>
      <c r="E305" s="132" t="s">
        <v>441</v>
      </c>
      <c r="F305" s="63">
        <v>28111384</v>
      </c>
      <c r="G305" s="63">
        <v>243946</v>
      </c>
      <c r="H305" s="63">
        <v>0</v>
      </c>
      <c r="I305" s="63">
        <v>0</v>
      </c>
      <c r="J305" s="63">
        <v>28355330</v>
      </c>
      <c r="K305" s="63">
        <v>-421671</v>
      </c>
      <c r="L305" s="63">
        <v>0</v>
      </c>
      <c r="M305" s="63">
        <v>0</v>
      </c>
      <c r="N305" s="63">
        <v>0</v>
      </c>
      <c r="O305" s="63">
        <v>-421671</v>
      </c>
      <c r="P305" s="63">
        <v>-519823</v>
      </c>
      <c r="Q305" s="63">
        <v>-4964</v>
      </c>
      <c r="R305" s="63">
        <v>0</v>
      </c>
      <c r="S305" s="63">
        <v>0</v>
      </c>
      <c r="T305" s="63">
        <v>-524787</v>
      </c>
      <c r="U305" s="63">
        <v>27169890</v>
      </c>
      <c r="V305" s="63">
        <v>238982</v>
      </c>
      <c r="W305" s="63">
        <v>0</v>
      </c>
      <c r="X305" s="63">
        <v>0</v>
      </c>
      <c r="Y305" s="63">
        <v>27408872</v>
      </c>
      <c r="Z305" s="63">
        <v>118783</v>
      </c>
      <c r="AA305" s="63">
        <v>0</v>
      </c>
      <c r="AB305" s="63">
        <v>0</v>
      </c>
      <c r="AC305" s="63">
        <v>0</v>
      </c>
      <c r="AD305" s="63">
        <v>118783</v>
      </c>
      <c r="AE305" s="63">
        <v>0</v>
      </c>
      <c r="AF305" s="63">
        <v>0</v>
      </c>
      <c r="AG305" s="63">
        <v>0</v>
      </c>
      <c r="AH305" s="63">
        <v>0</v>
      </c>
      <c r="AI305" s="63">
        <v>0</v>
      </c>
      <c r="AJ305" s="63">
        <v>0</v>
      </c>
      <c r="AK305" s="63">
        <v>238982</v>
      </c>
      <c r="AL305" s="63">
        <v>0</v>
      </c>
      <c r="AM305" s="63">
        <v>0</v>
      </c>
      <c r="AN305" s="63">
        <v>238982</v>
      </c>
      <c r="AP305" s="533" t="s">
        <v>768</v>
      </c>
      <c r="AQ305" s="533" t="s">
        <v>782</v>
      </c>
      <c r="AR305" s="533">
        <v>0</v>
      </c>
      <c r="AS305" s="533">
        <v>0</v>
      </c>
      <c r="AT305" s="534"/>
      <c r="AU305" s="594"/>
      <c r="AV305" s="595"/>
      <c r="AW305" s="595"/>
      <c r="AX305" s="595"/>
    </row>
    <row r="306" spans="1:50" x14ac:dyDescent="0.2">
      <c r="A306" s="201">
        <v>299</v>
      </c>
      <c r="B306" s="129" t="s">
        <v>444</v>
      </c>
      <c r="C306" s="130" t="s">
        <v>742</v>
      </c>
      <c r="D306" s="131" t="s">
        <v>743</v>
      </c>
      <c r="E306" s="132" t="s">
        <v>443</v>
      </c>
      <c r="F306" s="63">
        <v>38299186</v>
      </c>
      <c r="G306" s="63">
        <v>0</v>
      </c>
      <c r="H306" s="63">
        <v>0</v>
      </c>
      <c r="I306" s="63">
        <v>0</v>
      </c>
      <c r="J306" s="63">
        <v>38299186</v>
      </c>
      <c r="K306" s="63">
        <v>-191000</v>
      </c>
      <c r="L306" s="63">
        <v>0</v>
      </c>
      <c r="M306" s="63">
        <v>0</v>
      </c>
      <c r="N306" s="63">
        <v>0</v>
      </c>
      <c r="O306" s="63">
        <v>-191000</v>
      </c>
      <c r="P306" s="63">
        <v>-312000</v>
      </c>
      <c r="Q306" s="63">
        <v>0</v>
      </c>
      <c r="R306" s="63">
        <v>0</v>
      </c>
      <c r="S306" s="63">
        <v>0</v>
      </c>
      <c r="T306" s="63">
        <v>-312000</v>
      </c>
      <c r="U306" s="63">
        <v>37796186</v>
      </c>
      <c r="V306" s="63">
        <v>0</v>
      </c>
      <c r="W306" s="63">
        <v>0</v>
      </c>
      <c r="X306" s="63">
        <v>0</v>
      </c>
      <c r="Y306" s="63">
        <v>37796186</v>
      </c>
      <c r="Z306" s="63">
        <v>0</v>
      </c>
      <c r="AA306" s="63">
        <v>0</v>
      </c>
      <c r="AB306" s="63">
        <v>0</v>
      </c>
      <c r="AC306" s="63">
        <v>0</v>
      </c>
      <c r="AD306" s="63">
        <v>0</v>
      </c>
      <c r="AE306" s="63">
        <v>0</v>
      </c>
      <c r="AF306" s="63">
        <v>0</v>
      </c>
      <c r="AG306" s="63">
        <v>0</v>
      </c>
      <c r="AH306" s="63">
        <v>0</v>
      </c>
      <c r="AI306" s="63">
        <v>0</v>
      </c>
      <c r="AJ306" s="63">
        <v>0</v>
      </c>
      <c r="AK306" s="63">
        <v>0</v>
      </c>
      <c r="AL306" s="63">
        <v>0</v>
      </c>
      <c r="AM306" s="63">
        <v>0</v>
      </c>
      <c r="AN306" s="63">
        <v>0</v>
      </c>
      <c r="AP306" s="533">
        <v>0</v>
      </c>
      <c r="AQ306" s="533">
        <v>0</v>
      </c>
      <c r="AR306" s="533">
        <v>0</v>
      </c>
      <c r="AS306" s="533">
        <v>0</v>
      </c>
      <c r="AT306" s="534"/>
      <c r="AU306" s="594"/>
      <c r="AV306" s="595"/>
      <c r="AW306" s="595"/>
      <c r="AX306" s="595"/>
    </row>
    <row r="307" spans="1:50" x14ac:dyDescent="0.2">
      <c r="A307" s="201">
        <v>300</v>
      </c>
      <c r="B307" s="129" t="s">
        <v>446</v>
      </c>
      <c r="C307" s="130" t="s">
        <v>742</v>
      </c>
      <c r="D307" s="131" t="s">
        <v>743</v>
      </c>
      <c r="E307" s="132" t="s">
        <v>445</v>
      </c>
      <c r="F307" s="63">
        <v>31585744</v>
      </c>
      <c r="G307" s="63">
        <v>0</v>
      </c>
      <c r="H307" s="63">
        <v>0</v>
      </c>
      <c r="I307" s="63">
        <v>0</v>
      </c>
      <c r="J307" s="63">
        <v>31585744</v>
      </c>
      <c r="K307" s="63">
        <v>-313061</v>
      </c>
      <c r="L307" s="63">
        <v>0</v>
      </c>
      <c r="M307" s="63">
        <v>0</v>
      </c>
      <c r="N307" s="63">
        <v>0</v>
      </c>
      <c r="O307" s="63">
        <v>-313061</v>
      </c>
      <c r="P307" s="63">
        <v>-65000</v>
      </c>
      <c r="Q307" s="63">
        <v>0</v>
      </c>
      <c r="R307" s="63">
        <v>0</v>
      </c>
      <c r="S307" s="63">
        <v>0</v>
      </c>
      <c r="T307" s="63">
        <v>-65000</v>
      </c>
      <c r="U307" s="63">
        <v>31207683</v>
      </c>
      <c r="V307" s="63">
        <v>0</v>
      </c>
      <c r="W307" s="63">
        <v>0</v>
      </c>
      <c r="X307" s="63">
        <v>0</v>
      </c>
      <c r="Y307" s="63">
        <v>31207683</v>
      </c>
      <c r="Z307" s="63">
        <v>160507</v>
      </c>
      <c r="AA307" s="63">
        <v>0</v>
      </c>
      <c r="AB307" s="63">
        <v>0</v>
      </c>
      <c r="AC307" s="63">
        <v>0</v>
      </c>
      <c r="AD307" s="63">
        <v>160507</v>
      </c>
      <c r="AE307" s="63">
        <v>0</v>
      </c>
      <c r="AF307" s="63">
        <v>0</v>
      </c>
      <c r="AG307" s="63">
        <v>0</v>
      </c>
      <c r="AH307" s="63">
        <v>0</v>
      </c>
      <c r="AI307" s="63">
        <v>0</v>
      </c>
      <c r="AJ307" s="63">
        <v>0</v>
      </c>
      <c r="AK307" s="63">
        <v>0</v>
      </c>
      <c r="AL307" s="63">
        <v>0</v>
      </c>
      <c r="AM307" s="63">
        <v>0</v>
      </c>
      <c r="AN307" s="63">
        <v>0</v>
      </c>
      <c r="AP307" s="533">
        <v>0</v>
      </c>
      <c r="AQ307" s="533">
        <v>0</v>
      </c>
      <c r="AR307" s="533">
        <v>0</v>
      </c>
      <c r="AS307" s="533">
        <v>0</v>
      </c>
      <c r="AT307" s="534"/>
      <c r="AU307" s="594"/>
      <c r="AV307" s="595"/>
      <c r="AW307" s="595"/>
      <c r="AX307" s="595"/>
    </row>
    <row r="308" spans="1:50" x14ac:dyDescent="0.2">
      <c r="A308" s="201">
        <v>301</v>
      </c>
      <c r="B308" s="129" t="s">
        <v>448</v>
      </c>
      <c r="C308" s="130" t="s">
        <v>742</v>
      </c>
      <c r="D308" s="131" t="s">
        <v>745</v>
      </c>
      <c r="E308" s="132" t="s">
        <v>447</v>
      </c>
      <c r="F308" s="63">
        <v>30723758</v>
      </c>
      <c r="G308" s="63">
        <v>0</v>
      </c>
      <c r="H308" s="63">
        <v>0</v>
      </c>
      <c r="I308" s="63">
        <v>0</v>
      </c>
      <c r="J308" s="63">
        <v>30723758</v>
      </c>
      <c r="K308" s="63">
        <v>-200000</v>
      </c>
      <c r="L308" s="63">
        <v>0</v>
      </c>
      <c r="M308" s="63">
        <v>0</v>
      </c>
      <c r="N308" s="63">
        <v>0</v>
      </c>
      <c r="O308" s="63">
        <v>-200000</v>
      </c>
      <c r="P308" s="63">
        <v>-120000</v>
      </c>
      <c r="Q308" s="63">
        <v>0</v>
      </c>
      <c r="R308" s="63">
        <v>0</v>
      </c>
      <c r="S308" s="63">
        <v>0</v>
      </c>
      <c r="T308" s="63">
        <v>-120000</v>
      </c>
      <c r="U308" s="63">
        <v>30403758</v>
      </c>
      <c r="V308" s="63">
        <v>0</v>
      </c>
      <c r="W308" s="63">
        <v>0</v>
      </c>
      <c r="X308" s="63">
        <v>0</v>
      </c>
      <c r="Y308" s="63">
        <v>30403758</v>
      </c>
      <c r="Z308" s="63">
        <v>33987</v>
      </c>
      <c r="AA308" s="63">
        <v>0</v>
      </c>
      <c r="AB308" s="63">
        <v>0</v>
      </c>
      <c r="AC308" s="63">
        <v>0</v>
      </c>
      <c r="AD308" s="63">
        <v>33987</v>
      </c>
      <c r="AE308" s="63">
        <v>0</v>
      </c>
      <c r="AF308" s="63">
        <v>0</v>
      </c>
      <c r="AG308" s="63">
        <v>0</v>
      </c>
      <c r="AH308" s="63">
        <v>0</v>
      </c>
      <c r="AI308" s="63">
        <v>0</v>
      </c>
      <c r="AJ308" s="63">
        <v>0</v>
      </c>
      <c r="AK308" s="63">
        <v>0</v>
      </c>
      <c r="AL308" s="63">
        <v>0</v>
      </c>
      <c r="AM308" s="63">
        <v>0</v>
      </c>
      <c r="AN308" s="63">
        <v>0</v>
      </c>
      <c r="AP308" s="533">
        <v>0</v>
      </c>
      <c r="AQ308" s="533">
        <v>0</v>
      </c>
      <c r="AR308" s="533">
        <v>0</v>
      </c>
      <c r="AS308" s="533">
        <v>0</v>
      </c>
      <c r="AT308" s="534"/>
      <c r="AU308" s="594"/>
      <c r="AV308" s="595"/>
      <c r="AW308" s="595"/>
      <c r="AX308" s="595"/>
    </row>
    <row r="309" spans="1:50" x14ac:dyDescent="0.2">
      <c r="A309" s="201">
        <v>302</v>
      </c>
      <c r="B309" s="129" t="s">
        <v>450</v>
      </c>
      <c r="C309" s="130" t="s">
        <v>742</v>
      </c>
      <c r="D309" s="131" t="s">
        <v>746</v>
      </c>
      <c r="E309" s="132" t="s">
        <v>449</v>
      </c>
      <c r="F309" s="63">
        <v>61806203</v>
      </c>
      <c r="G309" s="63">
        <v>0</v>
      </c>
      <c r="H309" s="63">
        <v>0</v>
      </c>
      <c r="I309" s="63">
        <v>0</v>
      </c>
      <c r="J309" s="63">
        <v>61806203</v>
      </c>
      <c r="K309" s="63">
        <v>-531697</v>
      </c>
      <c r="L309" s="63">
        <v>0</v>
      </c>
      <c r="M309" s="63">
        <v>0</v>
      </c>
      <c r="N309" s="63">
        <v>0</v>
      </c>
      <c r="O309" s="63">
        <v>-531697</v>
      </c>
      <c r="P309" s="63">
        <v>-991145</v>
      </c>
      <c r="Q309" s="63">
        <v>0</v>
      </c>
      <c r="R309" s="63">
        <v>0</v>
      </c>
      <c r="S309" s="63">
        <v>0</v>
      </c>
      <c r="T309" s="63">
        <v>-991145</v>
      </c>
      <c r="U309" s="63">
        <v>60283361</v>
      </c>
      <c r="V309" s="63">
        <v>0</v>
      </c>
      <c r="W309" s="63">
        <v>0</v>
      </c>
      <c r="X309" s="63">
        <v>0</v>
      </c>
      <c r="Y309" s="63">
        <v>60283361</v>
      </c>
      <c r="Z309" s="63">
        <v>0</v>
      </c>
      <c r="AA309" s="63">
        <v>0</v>
      </c>
      <c r="AB309" s="63">
        <v>0</v>
      </c>
      <c r="AC309" s="63">
        <v>0</v>
      </c>
      <c r="AD309" s="63">
        <v>0</v>
      </c>
      <c r="AE309" s="63">
        <v>0</v>
      </c>
      <c r="AF309" s="63">
        <v>0</v>
      </c>
      <c r="AG309" s="63">
        <v>0</v>
      </c>
      <c r="AH309" s="63">
        <v>0</v>
      </c>
      <c r="AI309" s="63">
        <v>0</v>
      </c>
      <c r="AJ309" s="63">
        <v>0</v>
      </c>
      <c r="AK309" s="63">
        <v>0</v>
      </c>
      <c r="AL309" s="63">
        <v>0</v>
      </c>
      <c r="AM309" s="63">
        <v>0</v>
      </c>
      <c r="AN309" s="63">
        <v>0</v>
      </c>
      <c r="AP309" s="533">
        <v>0</v>
      </c>
      <c r="AQ309" s="533">
        <v>0</v>
      </c>
      <c r="AR309" s="533">
        <v>0</v>
      </c>
      <c r="AS309" s="533">
        <v>0</v>
      </c>
      <c r="AT309" s="534"/>
      <c r="AU309" s="594"/>
      <c r="AV309" s="595"/>
      <c r="AW309" s="595"/>
      <c r="AX309" s="595"/>
    </row>
    <row r="310" spans="1:50" x14ac:dyDescent="0.2">
      <c r="A310" s="201">
        <v>303</v>
      </c>
      <c r="B310" s="129" t="s">
        <v>451</v>
      </c>
      <c r="C310" s="130" t="s">
        <v>501</v>
      </c>
      <c r="D310" s="131" t="s">
        <v>743</v>
      </c>
      <c r="E310" s="132" t="s">
        <v>506</v>
      </c>
      <c r="F310" s="63">
        <v>89317610</v>
      </c>
      <c r="G310" s="63">
        <v>0</v>
      </c>
      <c r="H310" s="63">
        <v>0</v>
      </c>
      <c r="I310" s="63">
        <v>0</v>
      </c>
      <c r="J310" s="63">
        <v>89317610</v>
      </c>
      <c r="K310" s="63">
        <v>-250000</v>
      </c>
      <c r="L310" s="63">
        <v>0</v>
      </c>
      <c r="M310" s="63">
        <v>0</v>
      </c>
      <c r="N310" s="63">
        <v>0</v>
      </c>
      <c r="O310" s="63">
        <v>-250000</v>
      </c>
      <c r="P310" s="63">
        <v>-1400000</v>
      </c>
      <c r="Q310" s="63">
        <v>0</v>
      </c>
      <c r="R310" s="63">
        <v>0</v>
      </c>
      <c r="S310" s="63">
        <v>0</v>
      </c>
      <c r="T310" s="63">
        <v>-1400000</v>
      </c>
      <c r="U310" s="63">
        <v>87667610</v>
      </c>
      <c r="V310" s="63">
        <v>0</v>
      </c>
      <c r="W310" s="63">
        <v>0</v>
      </c>
      <c r="X310" s="63">
        <v>0</v>
      </c>
      <c r="Y310" s="63">
        <v>87667610</v>
      </c>
      <c r="Z310" s="63">
        <v>0</v>
      </c>
      <c r="AA310" s="63">
        <v>0</v>
      </c>
      <c r="AB310" s="63">
        <v>0</v>
      </c>
      <c r="AC310" s="63">
        <v>0</v>
      </c>
      <c r="AD310" s="63">
        <v>0</v>
      </c>
      <c r="AE310" s="63">
        <v>0</v>
      </c>
      <c r="AF310" s="63">
        <v>0</v>
      </c>
      <c r="AG310" s="63">
        <v>0</v>
      </c>
      <c r="AH310" s="63">
        <v>0</v>
      </c>
      <c r="AI310" s="63">
        <v>0</v>
      </c>
      <c r="AJ310" s="63">
        <v>0</v>
      </c>
      <c r="AK310" s="63">
        <v>0</v>
      </c>
      <c r="AL310" s="63">
        <v>0</v>
      </c>
      <c r="AM310" s="63">
        <v>0</v>
      </c>
      <c r="AN310" s="63">
        <v>0</v>
      </c>
      <c r="AP310" s="533">
        <v>0</v>
      </c>
      <c r="AQ310" s="533">
        <v>0</v>
      </c>
      <c r="AR310" s="533">
        <v>0</v>
      </c>
      <c r="AS310" s="533">
        <v>0</v>
      </c>
      <c r="AT310" s="534"/>
      <c r="AU310" s="594"/>
      <c r="AV310" s="595"/>
      <c r="AW310" s="595"/>
      <c r="AX310" s="595"/>
    </row>
    <row r="311" spans="1:50" x14ac:dyDescent="0.2">
      <c r="A311" s="201">
        <v>304</v>
      </c>
      <c r="B311" s="129" t="s">
        <v>453</v>
      </c>
      <c r="C311" s="130" t="s">
        <v>742</v>
      </c>
      <c r="D311" s="131" t="s">
        <v>751</v>
      </c>
      <c r="E311" s="132" t="s">
        <v>452</v>
      </c>
      <c r="F311" s="63">
        <v>11146789</v>
      </c>
      <c r="G311" s="63">
        <v>0</v>
      </c>
      <c r="H311" s="63">
        <v>0</v>
      </c>
      <c r="I311" s="63">
        <v>0</v>
      </c>
      <c r="J311" s="63">
        <v>11146789</v>
      </c>
      <c r="K311" s="63">
        <v>-111468</v>
      </c>
      <c r="L311" s="63">
        <v>0</v>
      </c>
      <c r="M311" s="63">
        <v>0</v>
      </c>
      <c r="N311" s="63">
        <v>0</v>
      </c>
      <c r="O311" s="63">
        <v>-111468</v>
      </c>
      <c r="P311" s="63">
        <v>-272235</v>
      </c>
      <c r="Q311" s="63">
        <v>0</v>
      </c>
      <c r="R311" s="63">
        <v>0</v>
      </c>
      <c r="S311" s="63">
        <v>0</v>
      </c>
      <c r="T311" s="63">
        <v>-272235</v>
      </c>
      <c r="U311" s="63">
        <v>10763086</v>
      </c>
      <c r="V311" s="63">
        <v>0</v>
      </c>
      <c r="W311" s="63">
        <v>0</v>
      </c>
      <c r="X311" s="63">
        <v>0</v>
      </c>
      <c r="Y311" s="63">
        <v>10763086</v>
      </c>
      <c r="Z311" s="63">
        <v>0</v>
      </c>
      <c r="AA311" s="63">
        <v>0</v>
      </c>
      <c r="AB311" s="63">
        <v>0</v>
      </c>
      <c r="AC311" s="63">
        <v>0</v>
      </c>
      <c r="AD311" s="63">
        <v>0</v>
      </c>
      <c r="AE311" s="63">
        <v>0</v>
      </c>
      <c r="AF311" s="63">
        <v>0</v>
      </c>
      <c r="AG311" s="63">
        <v>0</v>
      </c>
      <c r="AH311" s="63">
        <v>0</v>
      </c>
      <c r="AI311" s="63">
        <v>0</v>
      </c>
      <c r="AJ311" s="63">
        <v>0</v>
      </c>
      <c r="AK311" s="63">
        <v>0</v>
      </c>
      <c r="AL311" s="63">
        <v>0</v>
      </c>
      <c r="AM311" s="63">
        <v>0</v>
      </c>
      <c r="AN311" s="63">
        <v>0</v>
      </c>
      <c r="AP311" s="533">
        <v>0</v>
      </c>
      <c r="AQ311" s="533">
        <v>0</v>
      </c>
      <c r="AR311" s="533">
        <v>0</v>
      </c>
      <c r="AS311" s="533">
        <v>0</v>
      </c>
      <c r="AT311" s="534"/>
      <c r="AU311" s="594"/>
      <c r="AV311" s="595"/>
      <c r="AW311" s="595"/>
      <c r="AX311" s="595"/>
    </row>
    <row r="312" spans="1:50" x14ac:dyDescent="0.2">
      <c r="A312" s="201">
        <v>305</v>
      </c>
      <c r="B312" s="129" t="s">
        <v>455</v>
      </c>
      <c r="C312" s="130" t="s">
        <v>742</v>
      </c>
      <c r="D312" s="131" t="s">
        <v>751</v>
      </c>
      <c r="E312" s="132" t="s">
        <v>454</v>
      </c>
      <c r="F312" s="63">
        <v>31769336</v>
      </c>
      <c r="G312" s="63">
        <v>0</v>
      </c>
      <c r="H312" s="63">
        <v>0</v>
      </c>
      <c r="I312" s="63">
        <v>0</v>
      </c>
      <c r="J312" s="63">
        <v>31769336</v>
      </c>
      <c r="K312" s="63">
        <v>-953080</v>
      </c>
      <c r="L312" s="63">
        <v>0</v>
      </c>
      <c r="M312" s="63">
        <v>0</v>
      </c>
      <c r="N312" s="63">
        <v>0</v>
      </c>
      <c r="O312" s="63">
        <v>-953080</v>
      </c>
      <c r="P312" s="63">
        <v>-1683775</v>
      </c>
      <c r="Q312" s="63">
        <v>0</v>
      </c>
      <c r="R312" s="63">
        <v>0</v>
      </c>
      <c r="S312" s="63">
        <v>0</v>
      </c>
      <c r="T312" s="63">
        <v>-1683775</v>
      </c>
      <c r="U312" s="63">
        <v>29132481</v>
      </c>
      <c r="V312" s="63">
        <v>0</v>
      </c>
      <c r="W312" s="63">
        <v>0</v>
      </c>
      <c r="X312" s="63">
        <v>0</v>
      </c>
      <c r="Y312" s="63">
        <v>29132481</v>
      </c>
      <c r="Z312" s="63">
        <v>92069</v>
      </c>
      <c r="AA312" s="63">
        <v>0</v>
      </c>
      <c r="AB312" s="63">
        <v>0</v>
      </c>
      <c r="AC312" s="63">
        <v>0</v>
      </c>
      <c r="AD312" s="63">
        <v>92069</v>
      </c>
      <c r="AE312" s="63">
        <v>0</v>
      </c>
      <c r="AF312" s="63">
        <v>0</v>
      </c>
      <c r="AG312" s="63">
        <v>0</v>
      </c>
      <c r="AH312" s="63">
        <v>0</v>
      </c>
      <c r="AI312" s="63">
        <v>0</v>
      </c>
      <c r="AJ312" s="63">
        <v>0</v>
      </c>
      <c r="AK312" s="63">
        <v>0</v>
      </c>
      <c r="AL312" s="63">
        <v>0</v>
      </c>
      <c r="AM312" s="63">
        <v>0</v>
      </c>
      <c r="AN312" s="63">
        <v>0</v>
      </c>
      <c r="AP312" s="533">
        <v>0</v>
      </c>
      <c r="AQ312" s="533">
        <v>0</v>
      </c>
      <c r="AR312" s="533">
        <v>0</v>
      </c>
      <c r="AS312" s="533">
        <v>0</v>
      </c>
      <c r="AT312" s="534"/>
      <c r="AU312" s="594"/>
      <c r="AV312" s="595"/>
      <c r="AW312" s="595"/>
      <c r="AX312" s="595"/>
    </row>
    <row r="313" spans="1:50" x14ac:dyDescent="0.2">
      <c r="A313" s="201">
        <v>306</v>
      </c>
      <c r="B313" s="129" t="s">
        <v>457</v>
      </c>
      <c r="C313" s="130" t="s">
        <v>742</v>
      </c>
      <c r="D313" s="131" t="s">
        <v>744</v>
      </c>
      <c r="E313" s="132" t="s">
        <v>456</v>
      </c>
      <c r="F313" s="63">
        <v>33436252</v>
      </c>
      <c r="G313" s="63">
        <v>0</v>
      </c>
      <c r="H313" s="63">
        <v>0</v>
      </c>
      <c r="I313" s="63">
        <v>0</v>
      </c>
      <c r="J313" s="63">
        <v>33436252</v>
      </c>
      <c r="K313" s="63">
        <v>-668725</v>
      </c>
      <c r="L313" s="63">
        <v>0</v>
      </c>
      <c r="M313" s="63">
        <v>0</v>
      </c>
      <c r="N313" s="63">
        <v>0</v>
      </c>
      <c r="O313" s="63">
        <v>-668725</v>
      </c>
      <c r="P313" s="63">
        <v>-334363</v>
      </c>
      <c r="Q313" s="63">
        <v>0</v>
      </c>
      <c r="R313" s="63">
        <v>0</v>
      </c>
      <c r="S313" s="63">
        <v>0</v>
      </c>
      <c r="T313" s="63">
        <v>-334363</v>
      </c>
      <c r="U313" s="63">
        <v>32433164</v>
      </c>
      <c r="V313" s="63">
        <v>0</v>
      </c>
      <c r="W313" s="63">
        <v>0</v>
      </c>
      <c r="X313" s="63">
        <v>0</v>
      </c>
      <c r="Y313" s="63">
        <v>32433164</v>
      </c>
      <c r="Z313" s="63">
        <v>0</v>
      </c>
      <c r="AA313" s="63">
        <v>0</v>
      </c>
      <c r="AB313" s="63">
        <v>0</v>
      </c>
      <c r="AC313" s="63">
        <v>0</v>
      </c>
      <c r="AD313" s="63">
        <v>0</v>
      </c>
      <c r="AE313" s="63">
        <v>0</v>
      </c>
      <c r="AF313" s="63">
        <v>0</v>
      </c>
      <c r="AG313" s="63">
        <v>0</v>
      </c>
      <c r="AH313" s="63">
        <v>0</v>
      </c>
      <c r="AI313" s="63">
        <v>0</v>
      </c>
      <c r="AJ313" s="63">
        <v>0</v>
      </c>
      <c r="AK313" s="63">
        <v>0</v>
      </c>
      <c r="AL313" s="63">
        <v>0</v>
      </c>
      <c r="AM313" s="63">
        <v>0</v>
      </c>
      <c r="AN313" s="63">
        <v>0</v>
      </c>
      <c r="AP313" s="533">
        <v>0</v>
      </c>
      <c r="AQ313" s="533">
        <v>0</v>
      </c>
      <c r="AR313" s="533">
        <v>0</v>
      </c>
      <c r="AS313" s="533">
        <v>0</v>
      </c>
      <c r="AT313" s="534"/>
      <c r="AU313" s="594"/>
      <c r="AV313" s="595"/>
      <c r="AW313" s="595"/>
      <c r="AX313" s="595"/>
    </row>
    <row r="314" spans="1:50" x14ac:dyDescent="0.2">
      <c r="A314" s="201">
        <v>307</v>
      </c>
      <c r="B314" s="129" t="s">
        <v>459</v>
      </c>
      <c r="C314" s="130" t="s">
        <v>742</v>
      </c>
      <c r="D314" s="131" t="s">
        <v>745</v>
      </c>
      <c r="E314" s="132" t="s">
        <v>458</v>
      </c>
      <c r="F314" s="63">
        <v>17125447</v>
      </c>
      <c r="G314" s="63">
        <v>0</v>
      </c>
      <c r="H314" s="63">
        <v>0</v>
      </c>
      <c r="I314" s="63">
        <v>0</v>
      </c>
      <c r="J314" s="63">
        <v>17125447</v>
      </c>
      <c r="K314" s="63">
        <v>-63000</v>
      </c>
      <c r="L314" s="63">
        <v>0</v>
      </c>
      <c r="M314" s="63">
        <v>0</v>
      </c>
      <c r="N314" s="63">
        <v>0</v>
      </c>
      <c r="O314" s="63">
        <v>-63000</v>
      </c>
      <c r="P314" s="63">
        <v>-303542</v>
      </c>
      <c r="Q314" s="63">
        <v>0</v>
      </c>
      <c r="R314" s="63">
        <v>0</v>
      </c>
      <c r="S314" s="63">
        <v>0</v>
      </c>
      <c r="T314" s="63">
        <v>-303542</v>
      </c>
      <c r="U314" s="63">
        <v>16758905</v>
      </c>
      <c r="V314" s="63">
        <v>0</v>
      </c>
      <c r="W314" s="63">
        <v>0</v>
      </c>
      <c r="X314" s="63">
        <v>0</v>
      </c>
      <c r="Y314" s="63">
        <v>16758905</v>
      </c>
      <c r="Z314" s="63">
        <v>20244</v>
      </c>
      <c r="AA314" s="63">
        <v>0</v>
      </c>
      <c r="AB314" s="63">
        <v>0</v>
      </c>
      <c r="AC314" s="63">
        <v>0</v>
      </c>
      <c r="AD314" s="63">
        <v>20244</v>
      </c>
      <c r="AE314" s="63">
        <v>0</v>
      </c>
      <c r="AF314" s="63">
        <v>0</v>
      </c>
      <c r="AG314" s="63">
        <v>0</v>
      </c>
      <c r="AH314" s="63">
        <v>0</v>
      </c>
      <c r="AI314" s="63">
        <v>0</v>
      </c>
      <c r="AJ314" s="63">
        <v>0</v>
      </c>
      <c r="AK314" s="63">
        <v>0</v>
      </c>
      <c r="AL314" s="63">
        <v>0</v>
      </c>
      <c r="AM314" s="63">
        <v>0</v>
      </c>
      <c r="AN314" s="63">
        <v>0</v>
      </c>
      <c r="AP314" s="533">
        <v>0</v>
      </c>
      <c r="AQ314" s="533">
        <v>0</v>
      </c>
      <c r="AR314" s="533">
        <v>0</v>
      </c>
      <c r="AS314" s="533">
        <v>0</v>
      </c>
      <c r="AT314" s="534"/>
      <c r="AU314" s="594"/>
      <c r="AV314" s="595"/>
      <c r="AW314" s="595"/>
      <c r="AX314" s="595"/>
    </row>
    <row r="315" spans="1:50" x14ac:dyDescent="0.2">
      <c r="A315" s="201">
        <v>308</v>
      </c>
      <c r="B315" s="129" t="s">
        <v>461</v>
      </c>
      <c r="C315" s="130" t="s">
        <v>742</v>
      </c>
      <c r="D315" s="131" t="s">
        <v>743</v>
      </c>
      <c r="E315" s="132" t="s">
        <v>460</v>
      </c>
      <c r="F315" s="63">
        <v>34743168</v>
      </c>
      <c r="G315" s="63">
        <v>0</v>
      </c>
      <c r="H315" s="63">
        <v>0</v>
      </c>
      <c r="I315" s="63">
        <v>0</v>
      </c>
      <c r="J315" s="63">
        <v>34743168</v>
      </c>
      <c r="K315" s="63">
        <v>-200000</v>
      </c>
      <c r="L315" s="63">
        <v>0</v>
      </c>
      <c r="M315" s="63">
        <v>0</v>
      </c>
      <c r="N315" s="63">
        <v>0</v>
      </c>
      <c r="O315" s="63">
        <v>-200000</v>
      </c>
      <c r="P315" s="63">
        <v>-568501</v>
      </c>
      <c r="Q315" s="63">
        <v>0</v>
      </c>
      <c r="R315" s="63">
        <v>0</v>
      </c>
      <c r="S315" s="63">
        <v>0</v>
      </c>
      <c r="T315" s="63">
        <v>-568501</v>
      </c>
      <c r="U315" s="63">
        <v>33974667</v>
      </c>
      <c r="V315" s="63">
        <v>0</v>
      </c>
      <c r="W315" s="63">
        <v>0</v>
      </c>
      <c r="X315" s="63">
        <v>0</v>
      </c>
      <c r="Y315" s="63">
        <v>33974667</v>
      </c>
      <c r="Z315" s="63">
        <v>251358</v>
      </c>
      <c r="AA315" s="63">
        <v>0</v>
      </c>
      <c r="AB315" s="63">
        <v>0</v>
      </c>
      <c r="AC315" s="63">
        <v>0</v>
      </c>
      <c r="AD315" s="63">
        <v>251358</v>
      </c>
      <c r="AE315" s="63">
        <v>0</v>
      </c>
      <c r="AF315" s="63">
        <v>0</v>
      </c>
      <c r="AG315" s="63">
        <v>0</v>
      </c>
      <c r="AH315" s="63">
        <v>0</v>
      </c>
      <c r="AI315" s="63">
        <v>0</v>
      </c>
      <c r="AJ315" s="63">
        <v>0</v>
      </c>
      <c r="AK315" s="63">
        <v>0</v>
      </c>
      <c r="AL315" s="63">
        <v>0</v>
      </c>
      <c r="AM315" s="63">
        <v>0</v>
      </c>
      <c r="AN315" s="63">
        <v>0</v>
      </c>
      <c r="AP315" s="533">
        <v>0</v>
      </c>
      <c r="AQ315" s="533">
        <v>0</v>
      </c>
      <c r="AR315" s="533">
        <v>0</v>
      </c>
      <c r="AS315" s="533">
        <v>0</v>
      </c>
      <c r="AT315" s="534"/>
      <c r="AU315" s="597"/>
      <c r="AV315" s="598"/>
      <c r="AW315" s="598"/>
      <c r="AX315" s="598"/>
    </row>
    <row r="316" spans="1:50" x14ac:dyDescent="0.2">
      <c r="A316" s="201">
        <v>309</v>
      </c>
      <c r="B316" s="129" t="s">
        <v>463</v>
      </c>
      <c r="C316" s="130" t="s">
        <v>742</v>
      </c>
      <c r="D316" s="131" t="s">
        <v>751</v>
      </c>
      <c r="E316" s="132" t="s">
        <v>462</v>
      </c>
      <c r="F316" s="63">
        <v>11380205</v>
      </c>
      <c r="G316" s="63">
        <v>0</v>
      </c>
      <c r="H316" s="63">
        <v>0</v>
      </c>
      <c r="I316" s="63">
        <v>0</v>
      </c>
      <c r="J316" s="63">
        <v>11380205</v>
      </c>
      <c r="K316" s="63">
        <v>-75000</v>
      </c>
      <c r="L316" s="63">
        <v>0</v>
      </c>
      <c r="M316" s="63">
        <v>0</v>
      </c>
      <c r="N316" s="63">
        <v>0</v>
      </c>
      <c r="O316" s="63">
        <v>-75000</v>
      </c>
      <c r="P316" s="63">
        <v>-267000</v>
      </c>
      <c r="Q316" s="63">
        <v>0</v>
      </c>
      <c r="R316" s="63">
        <v>0</v>
      </c>
      <c r="S316" s="63">
        <v>0</v>
      </c>
      <c r="T316" s="63">
        <v>-267000</v>
      </c>
      <c r="U316" s="63">
        <v>11038205</v>
      </c>
      <c r="V316" s="63">
        <v>0</v>
      </c>
      <c r="W316" s="63">
        <v>0</v>
      </c>
      <c r="X316" s="63">
        <v>0</v>
      </c>
      <c r="Y316" s="63">
        <v>11038205</v>
      </c>
      <c r="Z316" s="63">
        <v>50000</v>
      </c>
      <c r="AA316" s="63">
        <v>0</v>
      </c>
      <c r="AB316" s="63">
        <v>0</v>
      </c>
      <c r="AC316" s="63">
        <v>0</v>
      </c>
      <c r="AD316" s="63">
        <v>50000</v>
      </c>
      <c r="AE316" s="63">
        <v>0</v>
      </c>
      <c r="AF316" s="63">
        <v>0</v>
      </c>
      <c r="AG316" s="63">
        <v>0</v>
      </c>
      <c r="AH316" s="63">
        <v>0</v>
      </c>
      <c r="AI316" s="63">
        <v>0</v>
      </c>
      <c r="AJ316" s="63">
        <v>0</v>
      </c>
      <c r="AK316" s="63">
        <v>0</v>
      </c>
      <c r="AL316" s="63">
        <v>0</v>
      </c>
      <c r="AM316" s="63">
        <v>0</v>
      </c>
      <c r="AN316" s="63">
        <v>0</v>
      </c>
      <c r="AP316" s="533">
        <v>0</v>
      </c>
      <c r="AQ316" s="533">
        <v>0</v>
      </c>
      <c r="AR316" s="533">
        <v>0</v>
      </c>
      <c r="AS316" s="533">
        <v>0</v>
      </c>
      <c r="AT316" s="534"/>
      <c r="AU316" s="594"/>
      <c r="AV316" s="595"/>
      <c r="AW316" s="595"/>
      <c r="AX316" s="595"/>
    </row>
    <row r="317" spans="1:50" x14ac:dyDescent="0.2">
      <c r="A317" s="201">
        <v>310</v>
      </c>
      <c r="B317" s="129" t="s">
        <v>465</v>
      </c>
      <c r="C317" s="130" t="s">
        <v>754</v>
      </c>
      <c r="D317" s="131" t="s">
        <v>748</v>
      </c>
      <c r="E317" s="132" t="s">
        <v>464</v>
      </c>
      <c r="F317" s="63">
        <v>1853504639</v>
      </c>
      <c r="G317" s="63">
        <v>0</v>
      </c>
      <c r="H317" s="63">
        <v>0</v>
      </c>
      <c r="I317" s="63">
        <v>0</v>
      </c>
      <c r="J317" s="63">
        <v>1853504639</v>
      </c>
      <c r="K317" s="63">
        <v>-18535046</v>
      </c>
      <c r="L317" s="63">
        <v>0</v>
      </c>
      <c r="M317" s="63">
        <v>0</v>
      </c>
      <c r="N317" s="63">
        <v>0</v>
      </c>
      <c r="O317" s="63">
        <v>-18535046</v>
      </c>
      <c r="P317" s="63">
        <v>-76232735</v>
      </c>
      <c r="Q317" s="63">
        <v>0</v>
      </c>
      <c r="R317" s="63">
        <v>0</v>
      </c>
      <c r="S317" s="63">
        <v>0</v>
      </c>
      <c r="T317" s="63">
        <v>-76232735</v>
      </c>
      <c r="U317" s="63">
        <v>1758736858</v>
      </c>
      <c r="V317" s="63">
        <v>0</v>
      </c>
      <c r="W317" s="63">
        <v>0</v>
      </c>
      <c r="X317" s="63">
        <v>0</v>
      </c>
      <c r="Y317" s="63">
        <v>1758736858</v>
      </c>
      <c r="Z317" s="63">
        <v>0</v>
      </c>
      <c r="AA317" s="63">
        <v>0</v>
      </c>
      <c r="AB317" s="63">
        <v>0</v>
      </c>
      <c r="AC317" s="63">
        <v>0</v>
      </c>
      <c r="AD317" s="63">
        <v>0</v>
      </c>
      <c r="AE317" s="63">
        <v>0</v>
      </c>
      <c r="AF317" s="63">
        <v>0</v>
      </c>
      <c r="AG317" s="63">
        <v>0</v>
      </c>
      <c r="AH317" s="63">
        <v>0</v>
      </c>
      <c r="AI317" s="63">
        <v>0</v>
      </c>
      <c r="AJ317" s="63">
        <v>0</v>
      </c>
      <c r="AK317" s="63">
        <v>0</v>
      </c>
      <c r="AL317" s="63">
        <v>0</v>
      </c>
      <c r="AM317" s="63">
        <v>0</v>
      </c>
      <c r="AN317" s="63">
        <v>0</v>
      </c>
      <c r="AP317" s="533">
        <v>0</v>
      </c>
      <c r="AQ317" s="533">
        <v>0</v>
      </c>
      <c r="AR317" s="533">
        <v>0</v>
      </c>
      <c r="AS317" s="533">
        <v>0</v>
      </c>
      <c r="AT317" s="534"/>
      <c r="AU317" s="594"/>
      <c r="AV317" s="595"/>
      <c r="AW317" s="595"/>
      <c r="AX317" s="595"/>
    </row>
    <row r="318" spans="1:50" x14ac:dyDescent="0.2">
      <c r="A318" s="201">
        <v>311</v>
      </c>
      <c r="B318" s="129" t="s">
        <v>466</v>
      </c>
      <c r="C318" s="130" t="s">
        <v>742</v>
      </c>
      <c r="D318" s="131" t="s">
        <v>751</v>
      </c>
      <c r="E318" s="132" t="s">
        <v>526</v>
      </c>
      <c r="F318" s="63">
        <v>18179292</v>
      </c>
      <c r="G318" s="63">
        <v>0</v>
      </c>
      <c r="H318" s="63">
        <v>0</v>
      </c>
      <c r="I318" s="63">
        <v>0</v>
      </c>
      <c r="J318" s="63">
        <v>18179292</v>
      </c>
      <c r="K318" s="63">
        <v>-1090758</v>
      </c>
      <c r="L318" s="63">
        <v>0</v>
      </c>
      <c r="M318" s="63">
        <v>0</v>
      </c>
      <c r="N318" s="63">
        <v>0</v>
      </c>
      <c r="O318" s="63">
        <v>-1090758</v>
      </c>
      <c r="P318" s="63">
        <v>-963502</v>
      </c>
      <c r="Q318" s="63">
        <v>0</v>
      </c>
      <c r="R318" s="63">
        <v>0</v>
      </c>
      <c r="S318" s="63">
        <v>0</v>
      </c>
      <c r="T318" s="63">
        <v>-963502</v>
      </c>
      <c r="U318" s="63">
        <v>16125032</v>
      </c>
      <c r="V318" s="63">
        <v>0</v>
      </c>
      <c r="W318" s="63">
        <v>0</v>
      </c>
      <c r="X318" s="63">
        <v>0</v>
      </c>
      <c r="Y318" s="63">
        <v>16125032</v>
      </c>
      <c r="Z318" s="63">
        <v>0</v>
      </c>
      <c r="AA318" s="63">
        <v>0</v>
      </c>
      <c r="AB318" s="63">
        <v>0</v>
      </c>
      <c r="AC318" s="63">
        <v>0</v>
      </c>
      <c r="AD318" s="63">
        <v>0</v>
      </c>
      <c r="AE318" s="63">
        <v>0</v>
      </c>
      <c r="AF318" s="63">
        <v>0</v>
      </c>
      <c r="AG318" s="63">
        <v>0</v>
      </c>
      <c r="AH318" s="63">
        <v>0</v>
      </c>
      <c r="AI318" s="63">
        <v>0</v>
      </c>
      <c r="AJ318" s="63">
        <v>0</v>
      </c>
      <c r="AK318" s="63">
        <v>0</v>
      </c>
      <c r="AL318" s="63">
        <v>0</v>
      </c>
      <c r="AM318" s="63">
        <v>0</v>
      </c>
      <c r="AN318" s="63">
        <v>0</v>
      </c>
      <c r="AP318" s="533">
        <v>0</v>
      </c>
      <c r="AQ318" s="533">
        <v>0</v>
      </c>
      <c r="AR318" s="533">
        <v>0</v>
      </c>
      <c r="AS318" s="533">
        <v>0</v>
      </c>
      <c r="AT318" s="534"/>
      <c r="AU318" s="594"/>
      <c r="AV318" s="595"/>
      <c r="AW318" s="595"/>
      <c r="AX318" s="595"/>
    </row>
    <row r="319" spans="1:50" x14ac:dyDescent="0.2">
      <c r="A319" s="201">
        <v>312</v>
      </c>
      <c r="B319" s="133" t="s">
        <v>468</v>
      </c>
      <c r="C319" s="134" t="s">
        <v>749</v>
      </c>
      <c r="D319" s="135" t="s">
        <v>744</v>
      </c>
      <c r="E319" s="136" t="s">
        <v>467</v>
      </c>
      <c r="F319" s="63">
        <v>84779724</v>
      </c>
      <c r="G319" s="63">
        <v>0</v>
      </c>
      <c r="H319" s="63">
        <v>0</v>
      </c>
      <c r="I319" s="63">
        <v>0</v>
      </c>
      <c r="J319" s="63">
        <v>84779724</v>
      </c>
      <c r="K319" s="63">
        <v>-847797</v>
      </c>
      <c r="L319" s="63">
        <v>0</v>
      </c>
      <c r="M319" s="63">
        <v>0</v>
      </c>
      <c r="N319" s="63">
        <v>0</v>
      </c>
      <c r="O319" s="63">
        <v>-847797</v>
      </c>
      <c r="P319" s="63">
        <v>-1000000</v>
      </c>
      <c r="Q319" s="63">
        <v>0</v>
      </c>
      <c r="R319" s="63">
        <v>0</v>
      </c>
      <c r="S319" s="63">
        <v>0</v>
      </c>
      <c r="T319" s="63">
        <v>-1000000</v>
      </c>
      <c r="U319" s="63">
        <v>82931927</v>
      </c>
      <c r="V319" s="63">
        <v>0</v>
      </c>
      <c r="W319" s="63">
        <v>0</v>
      </c>
      <c r="X319" s="63">
        <v>0</v>
      </c>
      <c r="Y319" s="63">
        <v>82931927</v>
      </c>
      <c r="Z319" s="63">
        <v>0</v>
      </c>
      <c r="AA319" s="63">
        <v>0</v>
      </c>
      <c r="AB319" s="63">
        <v>0</v>
      </c>
      <c r="AC319" s="63">
        <v>0</v>
      </c>
      <c r="AD319" s="63">
        <v>0</v>
      </c>
      <c r="AE319" s="63">
        <v>0</v>
      </c>
      <c r="AF319" s="63">
        <v>0</v>
      </c>
      <c r="AG319" s="63">
        <v>0</v>
      </c>
      <c r="AH319" s="63">
        <v>0</v>
      </c>
      <c r="AI319" s="63">
        <v>0</v>
      </c>
      <c r="AJ319" s="63">
        <v>0</v>
      </c>
      <c r="AK319" s="63">
        <v>0</v>
      </c>
      <c r="AL319" s="63">
        <v>0</v>
      </c>
      <c r="AM319" s="63">
        <v>0</v>
      </c>
      <c r="AN319" s="63">
        <v>0</v>
      </c>
      <c r="AP319" s="533">
        <v>0</v>
      </c>
      <c r="AQ319" s="533">
        <v>0</v>
      </c>
      <c r="AR319" s="533">
        <v>0</v>
      </c>
      <c r="AS319" s="533">
        <v>0</v>
      </c>
      <c r="AT319" s="534"/>
      <c r="AU319" s="594"/>
      <c r="AV319" s="595"/>
      <c r="AW319" s="595"/>
      <c r="AX319" s="595"/>
    </row>
    <row r="320" spans="1:50" x14ac:dyDescent="0.2">
      <c r="A320" s="201">
        <v>313</v>
      </c>
      <c r="B320" s="129" t="s">
        <v>470</v>
      </c>
      <c r="C320" s="130" t="s">
        <v>501</v>
      </c>
      <c r="D320" s="131" t="s">
        <v>751</v>
      </c>
      <c r="E320" s="132" t="s">
        <v>469</v>
      </c>
      <c r="F320" s="63">
        <v>148972694</v>
      </c>
      <c r="G320" s="63">
        <v>0</v>
      </c>
      <c r="H320" s="63">
        <v>0</v>
      </c>
      <c r="I320" s="63">
        <v>0</v>
      </c>
      <c r="J320" s="63">
        <v>148972694</v>
      </c>
      <c r="K320" s="63">
        <v>-1247297</v>
      </c>
      <c r="L320" s="63">
        <v>0</v>
      </c>
      <c r="M320" s="63">
        <v>0</v>
      </c>
      <c r="N320" s="63">
        <v>0</v>
      </c>
      <c r="O320" s="63">
        <v>-1247297</v>
      </c>
      <c r="P320" s="63">
        <v>-1752064</v>
      </c>
      <c r="Q320" s="63">
        <v>0</v>
      </c>
      <c r="R320" s="63">
        <v>0</v>
      </c>
      <c r="S320" s="63">
        <v>0</v>
      </c>
      <c r="T320" s="63">
        <v>-1752064</v>
      </c>
      <c r="U320" s="63">
        <v>145973333</v>
      </c>
      <c r="V320" s="63">
        <v>0</v>
      </c>
      <c r="W320" s="63">
        <v>0</v>
      </c>
      <c r="X320" s="63">
        <v>0</v>
      </c>
      <c r="Y320" s="63">
        <v>145973333</v>
      </c>
      <c r="Z320" s="63">
        <v>691252</v>
      </c>
      <c r="AA320" s="63">
        <v>0</v>
      </c>
      <c r="AB320" s="63">
        <v>0</v>
      </c>
      <c r="AC320" s="63">
        <v>0</v>
      </c>
      <c r="AD320" s="63">
        <v>691252</v>
      </c>
      <c r="AE320" s="63">
        <v>0</v>
      </c>
      <c r="AF320" s="63">
        <v>0</v>
      </c>
      <c r="AG320" s="63">
        <v>0</v>
      </c>
      <c r="AH320" s="63">
        <v>0</v>
      </c>
      <c r="AI320" s="63">
        <v>0</v>
      </c>
      <c r="AJ320" s="63">
        <v>0</v>
      </c>
      <c r="AK320" s="63">
        <v>0</v>
      </c>
      <c r="AL320" s="63">
        <v>0</v>
      </c>
      <c r="AM320" s="63">
        <v>0</v>
      </c>
      <c r="AN320" s="63">
        <v>0</v>
      </c>
      <c r="AP320" s="533">
        <v>0</v>
      </c>
      <c r="AQ320" s="533">
        <v>0</v>
      </c>
      <c r="AR320" s="533">
        <v>0</v>
      </c>
      <c r="AS320" s="533">
        <v>0</v>
      </c>
      <c r="AT320" s="534"/>
      <c r="AU320" s="594"/>
      <c r="AV320" s="595"/>
      <c r="AW320" s="595"/>
      <c r="AX320" s="595"/>
    </row>
    <row r="321" spans="1:50" x14ac:dyDescent="0.2">
      <c r="A321" s="201">
        <v>314</v>
      </c>
      <c r="B321" s="129" t="s">
        <v>472</v>
      </c>
      <c r="C321" s="130" t="s">
        <v>742</v>
      </c>
      <c r="D321" s="131" t="s">
        <v>743</v>
      </c>
      <c r="E321" s="132" t="s">
        <v>471</v>
      </c>
      <c r="F321" s="63">
        <v>58835057</v>
      </c>
      <c r="G321" s="63">
        <v>0</v>
      </c>
      <c r="H321" s="63">
        <v>0</v>
      </c>
      <c r="I321" s="63">
        <v>0</v>
      </c>
      <c r="J321" s="63">
        <v>58835057</v>
      </c>
      <c r="K321" s="63">
        <v>-225000</v>
      </c>
      <c r="L321" s="63">
        <v>0</v>
      </c>
      <c r="M321" s="63">
        <v>0</v>
      </c>
      <c r="N321" s="63">
        <v>0</v>
      </c>
      <c r="O321" s="63">
        <v>-225000</v>
      </c>
      <c r="P321" s="63">
        <v>-1314000</v>
      </c>
      <c r="Q321" s="63">
        <v>0</v>
      </c>
      <c r="R321" s="63">
        <v>0</v>
      </c>
      <c r="S321" s="63">
        <v>0</v>
      </c>
      <c r="T321" s="63">
        <v>-1314000</v>
      </c>
      <c r="U321" s="63">
        <v>57296057</v>
      </c>
      <c r="V321" s="63">
        <v>0</v>
      </c>
      <c r="W321" s="63">
        <v>0</v>
      </c>
      <c r="X321" s="63">
        <v>0</v>
      </c>
      <c r="Y321" s="63">
        <v>57296057</v>
      </c>
      <c r="Z321" s="63">
        <v>285743</v>
      </c>
      <c r="AA321" s="63">
        <v>0</v>
      </c>
      <c r="AB321" s="63">
        <v>0</v>
      </c>
      <c r="AC321" s="63">
        <v>0</v>
      </c>
      <c r="AD321" s="63">
        <v>285743</v>
      </c>
      <c r="AE321" s="63">
        <v>0</v>
      </c>
      <c r="AF321" s="63">
        <v>0</v>
      </c>
      <c r="AG321" s="63">
        <v>0</v>
      </c>
      <c r="AH321" s="63">
        <v>0</v>
      </c>
      <c r="AI321" s="63">
        <v>0</v>
      </c>
      <c r="AJ321" s="63">
        <v>0</v>
      </c>
      <c r="AK321" s="63">
        <v>0</v>
      </c>
      <c r="AL321" s="63">
        <v>0</v>
      </c>
      <c r="AM321" s="63">
        <v>0</v>
      </c>
      <c r="AN321" s="63">
        <v>0</v>
      </c>
      <c r="AP321" s="533">
        <v>0</v>
      </c>
      <c r="AQ321" s="533">
        <v>0</v>
      </c>
      <c r="AR321" s="533">
        <v>0</v>
      </c>
      <c r="AS321" s="533">
        <v>0</v>
      </c>
      <c r="AT321" s="534"/>
      <c r="AU321" s="594"/>
      <c r="AV321" s="595"/>
      <c r="AW321" s="595"/>
      <c r="AX321" s="595"/>
    </row>
    <row r="322" spans="1:50" x14ac:dyDescent="0.2">
      <c r="A322" s="201">
        <v>315</v>
      </c>
      <c r="B322" s="129" t="s">
        <v>473</v>
      </c>
      <c r="C322" s="130" t="s">
        <v>501</v>
      </c>
      <c r="D322" s="131" t="s">
        <v>743</v>
      </c>
      <c r="E322" s="132" t="s">
        <v>509</v>
      </c>
      <c r="F322" s="63">
        <v>84011044</v>
      </c>
      <c r="G322" s="63">
        <v>0</v>
      </c>
      <c r="H322" s="63">
        <v>0</v>
      </c>
      <c r="I322" s="63">
        <v>0</v>
      </c>
      <c r="J322" s="63">
        <v>84011044</v>
      </c>
      <c r="K322" s="63">
        <v>0</v>
      </c>
      <c r="L322" s="63">
        <v>0</v>
      </c>
      <c r="M322" s="63">
        <v>0</v>
      </c>
      <c r="N322" s="63">
        <v>0</v>
      </c>
      <c r="O322" s="63">
        <v>0</v>
      </c>
      <c r="P322" s="63">
        <v>0</v>
      </c>
      <c r="Q322" s="63">
        <v>0</v>
      </c>
      <c r="R322" s="63">
        <v>0</v>
      </c>
      <c r="S322" s="63">
        <v>0</v>
      </c>
      <c r="T322" s="63">
        <v>0</v>
      </c>
      <c r="U322" s="63">
        <v>84011044</v>
      </c>
      <c r="V322" s="63">
        <v>0</v>
      </c>
      <c r="W322" s="63">
        <v>0</v>
      </c>
      <c r="X322" s="63">
        <v>0</v>
      </c>
      <c r="Y322" s="63">
        <v>84011044</v>
      </c>
      <c r="Z322" s="63">
        <v>7296</v>
      </c>
      <c r="AA322" s="63">
        <v>0</v>
      </c>
      <c r="AB322" s="63">
        <v>0</v>
      </c>
      <c r="AC322" s="63">
        <v>0</v>
      </c>
      <c r="AD322" s="63">
        <v>7296</v>
      </c>
      <c r="AE322" s="63">
        <v>0</v>
      </c>
      <c r="AF322" s="63">
        <v>0</v>
      </c>
      <c r="AG322" s="63">
        <v>0</v>
      </c>
      <c r="AH322" s="63">
        <v>0</v>
      </c>
      <c r="AI322" s="63">
        <v>0</v>
      </c>
      <c r="AJ322" s="63">
        <v>0</v>
      </c>
      <c r="AK322" s="63">
        <v>0</v>
      </c>
      <c r="AL322" s="63">
        <v>0</v>
      </c>
      <c r="AM322" s="63">
        <v>0</v>
      </c>
      <c r="AN322" s="63">
        <v>0</v>
      </c>
      <c r="AP322" s="533">
        <v>0</v>
      </c>
      <c r="AQ322" s="533">
        <v>0</v>
      </c>
      <c r="AR322" s="533">
        <v>0</v>
      </c>
      <c r="AS322" s="533">
        <v>0</v>
      </c>
      <c r="AT322" s="534"/>
      <c r="AU322" s="594"/>
      <c r="AV322" s="595"/>
      <c r="AW322" s="595"/>
      <c r="AX322" s="595"/>
    </row>
    <row r="323" spans="1:50" x14ac:dyDescent="0.2">
      <c r="A323" s="201">
        <v>316</v>
      </c>
      <c r="B323" s="129" t="s">
        <v>475</v>
      </c>
      <c r="C323" s="130" t="s">
        <v>749</v>
      </c>
      <c r="D323" s="131" t="s">
        <v>744</v>
      </c>
      <c r="E323" s="132" t="s">
        <v>474</v>
      </c>
      <c r="F323" s="63">
        <v>73552351</v>
      </c>
      <c r="G323" s="63">
        <v>1331215</v>
      </c>
      <c r="H323" s="63">
        <v>0</v>
      </c>
      <c r="I323" s="63">
        <v>0</v>
      </c>
      <c r="J323" s="63">
        <v>74883566</v>
      </c>
      <c r="K323" s="63">
        <v>-1500000</v>
      </c>
      <c r="L323" s="63">
        <v>0</v>
      </c>
      <c r="M323" s="63">
        <v>0</v>
      </c>
      <c r="N323" s="63">
        <v>0</v>
      </c>
      <c r="O323" s="63">
        <v>-1500000</v>
      </c>
      <c r="P323" s="63">
        <v>-1500000</v>
      </c>
      <c r="Q323" s="63">
        <v>0</v>
      </c>
      <c r="R323" s="63">
        <v>0</v>
      </c>
      <c r="S323" s="63">
        <v>0</v>
      </c>
      <c r="T323" s="63">
        <v>-1500000</v>
      </c>
      <c r="U323" s="63">
        <v>70552351</v>
      </c>
      <c r="V323" s="63">
        <v>1331215</v>
      </c>
      <c r="W323" s="63">
        <v>0</v>
      </c>
      <c r="X323" s="63">
        <v>0</v>
      </c>
      <c r="Y323" s="63">
        <v>71883566</v>
      </c>
      <c r="Z323" s="63">
        <v>0</v>
      </c>
      <c r="AA323" s="63">
        <v>0</v>
      </c>
      <c r="AB323" s="63">
        <v>0</v>
      </c>
      <c r="AC323" s="63">
        <v>0</v>
      </c>
      <c r="AD323" s="63">
        <v>0</v>
      </c>
      <c r="AE323" s="63">
        <v>0</v>
      </c>
      <c r="AF323" s="63">
        <v>0</v>
      </c>
      <c r="AG323" s="63">
        <v>0</v>
      </c>
      <c r="AH323" s="63">
        <v>858846</v>
      </c>
      <c r="AI323" s="63">
        <v>0</v>
      </c>
      <c r="AJ323" s="63">
        <v>0</v>
      </c>
      <c r="AK323" s="63">
        <v>472369</v>
      </c>
      <c r="AL323" s="63">
        <v>0</v>
      </c>
      <c r="AM323" s="63">
        <v>0</v>
      </c>
      <c r="AN323" s="63">
        <v>472369</v>
      </c>
      <c r="AP323" s="533" t="s">
        <v>768</v>
      </c>
      <c r="AQ323" s="533" t="s">
        <v>789</v>
      </c>
      <c r="AR323" s="533">
        <v>0</v>
      </c>
      <c r="AS323" s="533">
        <v>0</v>
      </c>
      <c r="AT323" s="534"/>
      <c r="AU323" s="594"/>
      <c r="AV323" s="595"/>
      <c r="AW323" s="595"/>
      <c r="AX323" s="595"/>
    </row>
    <row r="324" spans="1:50" x14ac:dyDescent="0.2">
      <c r="A324" s="201">
        <v>317</v>
      </c>
      <c r="B324" s="129" t="s">
        <v>477</v>
      </c>
      <c r="C324" s="130" t="s">
        <v>742</v>
      </c>
      <c r="D324" s="131" t="s">
        <v>743</v>
      </c>
      <c r="E324" s="132" t="s">
        <v>476</v>
      </c>
      <c r="F324" s="63">
        <v>49177506</v>
      </c>
      <c r="G324" s="63">
        <v>0</v>
      </c>
      <c r="H324" s="63">
        <v>0</v>
      </c>
      <c r="I324" s="63">
        <v>0</v>
      </c>
      <c r="J324" s="63">
        <v>49177506</v>
      </c>
      <c r="K324" s="63">
        <v>-500000</v>
      </c>
      <c r="L324" s="63">
        <v>0</v>
      </c>
      <c r="M324" s="63">
        <v>0</v>
      </c>
      <c r="N324" s="63">
        <v>0</v>
      </c>
      <c r="O324" s="63">
        <v>-500000</v>
      </c>
      <c r="P324" s="63">
        <v>-1000000</v>
      </c>
      <c r="Q324" s="63">
        <v>0</v>
      </c>
      <c r="R324" s="63">
        <v>0</v>
      </c>
      <c r="S324" s="63">
        <v>0</v>
      </c>
      <c r="T324" s="63">
        <v>-1000000</v>
      </c>
      <c r="U324" s="63">
        <v>47677506</v>
      </c>
      <c r="V324" s="63">
        <v>0</v>
      </c>
      <c r="W324" s="63">
        <v>0</v>
      </c>
      <c r="X324" s="63">
        <v>0</v>
      </c>
      <c r="Y324" s="63">
        <v>47677506</v>
      </c>
      <c r="Z324" s="63">
        <v>0</v>
      </c>
      <c r="AA324" s="63">
        <v>0</v>
      </c>
      <c r="AB324" s="63">
        <v>0</v>
      </c>
      <c r="AC324" s="63">
        <v>0</v>
      </c>
      <c r="AD324" s="63">
        <v>0</v>
      </c>
      <c r="AE324" s="63">
        <v>0</v>
      </c>
      <c r="AF324" s="63">
        <v>0</v>
      </c>
      <c r="AG324" s="63">
        <v>0</v>
      </c>
      <c r="AH324" s="63">
        <v>0</v>
      </c>
      <c r="AI324" s="63">
        <v>0</v>
      </c>
      <c r="AJ324" s="63">
        <v>0</v>
      </c>
      <c r="AK324" s="63">
        <v>0</v>
      </c>
      <c r="AL324" s="63">
        <v>0</v>
      </c>
      <c r="AM324" s="63">
        <v>0</v>
      </c>
      <c r="AN324" s="63">
        <v>0</v>
      </c>
      <c r="AP324" s="533">
        <v>0</v>
      </c>
      <c r="AQ324" s="533">
        <v>0</v>
      </c>
      <c r="AR324" s="533">
        <v>0</v>
      </c>
      <c r="AS324" s="533">
        <v>0</v>
      </c>
      <c r="AT324" s="534"/>
      <c r="AU324" s="594"/>
      <c r="AV324" s="595"/>
      <c r="AW324" s="595"/>
      <c r="AX324" s="595"/>
    </row>
    <row r="325" spans="1:50" x14ac:dyDescent="0.2">
      <c r="A325" s="201">
        <v>318</v>
      </c>
      <c r="B325" s="129" t="s">
        <v>478</v>
      </c>
      <c r="C325" s="130" t="s">
        <v>501</v>
      </c>
      <c r="D325" s="131" t="s">
        <v>743</v>
      </c>
      <c r="E325" s="132" t="s">
        <v>510</v>
      </c>
      <c r="F325" s="63">
        <v>58569008</v>
      </c>
      <c r="G325" s="63">
        <v>0</v>
      </c>
      <c r="H325" s="63">
        <v>0</v>
      </c>
      <c r="I325" s="63">
        <v>0</v>
      </c>
      <c r="J325" s="63">
        <v>58569008</v>
      </c>
      <c r="K325" s="63">
        <v>-200000</v>
      </c>
      <c r="L325" s="63">
        <v>0</v>
      </c>
      <c r="M325" s="63">
        <v>0</v>
      </c>
      <c r="N325" s="63">
        <v>0</v>
      </c>
      <c r="O325" s="63">
        <v>-200000</v>
      </c>
      <c r="P325" s="63">
        <v>-470240</v>
      </c>
      <c r="Q325" s="63">
        <v>0</v>
      </c>
      <c r="R325" s="63">
        <v>0</v>
      </c>
      <c r="S325" s="63">
        <v>0</v>
      </c>
      <c r="T325" s="63">
        <v>-470240</v>
      </c>
      <c r="U325" s="63">
        <v>57898768</v>
      </c>
      <c r="V325" s="63">
        <v>0</v>
      </c>
      <c r="W325" s="63">
        <v>0</v>
      </c>
      <c r="X325" s="63">
        <v>0</v>
      </c>
      <c r="Y325" s="63">
        <v>57898768</v>
      </c>
      <c r="Z325" s="63">
        <v>19880</v>
      </c>
      <c r="AA325" s="63">
        <v>0</v>
      </c>
      <c r="AB325" s="63">
        <v>0</v>
      </c>
      <c r="AC325" s="63">
        <v>0</v>
      </c>
      <c r="AD325" s="63">
        <v>19880</v>
      </c>
      <c r="AE325" s="63">
        <v>0</v>
      </c>
      <c r="AF325" s="63">
        <v>0</v>
      </c>
      <c r="AG325" s="63">
        <v>0</v>
      </c>
      <c r="AH325" s="63">
        <v>0</v>
      </c>
      <c r="AI325" s="63">
        <v>0</v>
      </c>
      <c r="AJ325" s="63">
        <v>0</v>
      </c>
      <c r="AK325" s="63">
        <v>0</v>
      </c>
      <c r="AL325" s="63">
        <v>0</v>
      </c>
      <c r="AM325" s="63">
        <v>0</v>
      </c>
      <c r="AN325" s="63">
        <v>0</v>
      </c>
      <c r="AP325" s="533">
        <v>0</v>
      </c>
      <c r="AQ325" s="533">
        <v>0</v>
      </c>
      <c r="AR325" s="533">
        <v>0</v>
      </c>
      <c r="AS325" s="533">
        <v>0</v>
      </c>
      <c r="AT325" s="534"/>
      <c r="AU325" s="594"/>
      <c r="AV325" s="595"/>
      <c r="AW325" s="595"/>
      <c r="AX325" s="595"/>
    </row>
    <row r="326" spans="1:50" x14ac:dyDescent="0.2">
      <c r="A326" s="201">
        <v>319</v>
      </c>
      <c r="B326" s="129" t="s">
        <v>480</v>
      </c>
      <c r="C326" s="130" t="s">
        <v>749</v>
      </c>
      <c r="D326" s="131" t="s">
        <v>752</v>
      </c>
      <c r="E326" s="132" t="s">
        <v>479</v>
      </c>
      <c r="F326" s="63">
        <v>80593199</v>
      </c>
      <c r="G326" s="63">
        <v>0</v>
      </c>
      <c r="H326" s="63">
        <v>0</v>
      </c>
      <c r="I326" s="63">
        <v>0</v>
      </c>
      <c r="J326" s="63">
        <v>80593199</v>
      </c>
      <c r="K326" s="63">
        <v>-1612000</v>
      </c>
      <c r="L326" s="63">
        <v>0</v>
      </c>
      <c r="M326" s="63">
        <v>0</v>
      </c>
      <c r="N326" s="63">
        <v>0</v>
      </c>
      <c r="O326" s="63">
        <v>-1612000</v>
      </c>
      <c r="P326" s="63">
        <v>-1483000</v>
      </c>
      <c r="Q326" s="63">
        <v>0</v>
      </c>
      <c r="R326" s="63">
        <v>0</v>
      </c>
      <c r="S326" s="63">
        <v>0</v>
      </c>
      <c r="T326" s="63">
        <v>-1483000</v>
      </c>
      <c r="U326" s="63">
        <v>77498199</v>
      </c>
      <c r="V326" s="63">
        <v>0</v>
      </c>
      <c r="W326" s="63">
        <v>0</v>
      </c>
      <c r="X326" s="63">
        <v>0</v>
      </c>
      <c r="Y326" s="63">
        <v>77498199</v>
      </c>
      <c r="Z326" s="63">
        <v>0</v>
      </c>
      <c r="AA326" s="63">
        <v>0</v>
      </c>
      <c r="AB326" s="63">
        <v>0</v>
      </c>
      <c r="AC326" s="63">
        <v>0</v>
      </c>
      <c r="AD326" s="63">
        <v>0</v>
      </c>
      <c r="AE326" s="63">
        <v>0</v>
      </c>
      <c r="AF326" s="63">
        <v>0</v>
      </c>
      <c r="AG326" s="63">
        <v>0</v>
      </c>
      <c r="AH326" s="63">
        <v>89287</v>
      </c>
      <c r="AI326" s="63">
        <v>0</v>
      </c>
      <c r="AJ326" s="63">
        <v>0</v>
      </c>
      <c r="AK326" s="63">
        <v>0</v>
      </c>
      <c r="AL326" s="63">
        <v>0</v>
      </c>
      <c r="AM326" s="63">
        <v>0</v>
      </c>
      <c r="AN326" s="63">
        <v>0</v>
      </c>
      <c r="AP326" s="533" t="s">
        <v>768</v>
      </c>
      <c r="AQ326" s="533" t="s">
        <v>799</v>
      </c>
      <c r="AR326" s="533">
        <v>0</v>
      </c>
      <c r="AS326" s="533">
        <v>0</v>
      </c>
      <c r="AT326" s="534"/>
      <c r="AU326" s="594"/>
      <c r="AV326" s="595"/>
      <c r="AW326" s="595"/>
      <c r="AX326" s="595"/>
    </row>
    <row r="327" spans="1:50" x14ac:dyDescent="0.2">
      <c r="A327" s="201">
        <v>320</v>
      </c>
      <c r="B327" s="129" t="s">
        <v>482</v>
      </c>
      <c r="C327" s="130" t="s">
        <v>742</v>
      </c>
      <c r="D327" s="131" t="s">
        <v>752</v>
      </c>
      <c r="E327" s="132" t="s">
        <v>481</v>
      </c>
      <c r="F327" s="63">
        <v>41853851</v>
      </c>
      <c r="G327" s="63">
        <v>0</v>
      </c>
      <c r="H327" s="63">
        <v>0</v>
      </c>
      <c r="I327" s="63">
        <v>0</v>
      </c>
      <c r="J327" s="63">
        <v>41853851</v>
      </c>
      <c r="K327" s="63">
        <v>-418539</v>
      </c>
      <c r="L327" s="63">
        <v>0</v>
      </c>
      <c r="M327" s="63">
        <v>0</v>
      </c>
      <c r="N327" s="63">
        <v>0</v>
      </c>
      <c r="O327" s="63">
        <v>-418539</v>
      </c>
      <c r="P327" s="63">
        <v>-500000</v>
      </c>
      <c r="Q327" s="63">
        <v>0</v>
      </c>
      <c r="R327" s="63">
        <v>0</v>
      </c>
      <c r="S327" s="63">
        <v>0</v>
      </c>
      <c r="T327" s="63">
        <v>-500000</v>
      </c>
      <c r="U327" s="63">
        <v>40935312</v>
      </c>
      <c r="V327" s="63">
        <v>0</v>
      </c>
      <c r="W327" s="63">
        <v>0</v>
      </c>
      <c r="X327" s="63">
        <v>0</v>
      </c>
      <c r="Y327" s="63">
        <v>40935312</v>
      </c>
      <c r="Z327" s="63">
        <v>0</v>
      </c>
      <c r="AA327" s="63">
        <v>0</v>
      </c>
      <c r="AB327" s="63">
        <v>0</v>
      </c>
      <c r="AC327" s="63">
        <v>0</v>
      </c>
      <c r="AD327" s="63">
        <v>0</v>
      </c>
      <c r="AE327" s="63">
        <v>0</v>
      </c>
      <c r="AF327" s="63">
        <v>0</v>
      </c>
      <c r="AG327" s="63">
        <v>0</v>
      </c>
      <c r="AH327" s="63">
        <v>0</v>
      </c>
      <c r="AI327" s="63">
        <v>0</v>
      </c>
      <c r="AJ327" s="63">
        <v>0</v>
      </c>
      <c r="AK327" s="63">
        <v>0</v>
      </c>
      <c r="AL327" s="63">
        <v>0</v>
      </c>
      <c r="AM327" s="63">
        <v>0</v>
      </c>
      <c r="AN327" s="63">
        <v>0</v>
      </c>
      <c r="AP327" s="533">
        <v>0</v>
      </c>
      <c r="AQ327" s="533">
        <v>0</v>
      </c>
      <c r="AR327" s="533">
        <v>0</v>
      </c>
      <c r="AS327" s="533">
        <v>0</v>
      </c>
      <c r="AT327" s="534"/>
      <c r="AU327" s="594"/>
      <c r="AV327" s="595"/>
      <c r="AW327" s="595"/>
      <c r="AX327" s="595"/>
    </row>
    <row r="328" spans="1:50" x14ac:dyDescent="0.2">
      <c r="A328" s="201">
        <v>321</v>
      </c>
      <c r="B328" s="129" t="s">
        <v>484</v>
      </c>
      <c r="C328" s="130" t="s">
        <v>742</v>
      </c>
      <c r="D328" s="131" t="s">
        <v>743</v>
      </c>
      <c r="E328" s="132" t="s">
        <v>483</v>
      </c>
      <c r="F328" s="63">
        <v>33255999</v>
      </c>
      <c r="G328" s="63">
        <v>0</v>
      </c>
      <c r="H328" s="63">
        <v>0</v>
      </c>
      <c r="I328" s="63">
        <v>0</v>
      </c>
      <c r="J328" s="63">
        <v>33255999</v>
      </c>
      <c r="K328" s="63">
        <v>-54240</v>
      </c>
      <c r="L328" s="63">
        <v>0</v>
      </c>
      <c r="M328" s="63">
        <v>0</v>
      </c>
      <c r="N328" s="63">
        <v>0</v>
      </c>
      <c r="O328" s="63">
        <v>-54240</v>
      </c>
      <c r="P328" s="63">
        <v>-570000</v>
      </c>
      <c r="Q328" s="63">
        <v>0</v>
      </c>
      <c r="R328" s="63">
        <v>0</v>
      </c>
      <c r="S328" s="63">
        <v>0</v>
      </c>
      <c r="T328" s="63">
        <v>-570000</v>
      </c>
      <c r="U328" s="63">
        <v>32631759</v>
      </c>
      <c r="V328" s="63">
        <v>0</v>
      </c>
      <c r="W328" s="63">
        <v>0</v>
      </c>
      <c r="X328" s="63">
        <v>0</v>
      </c>
      <c r="Y328" s="63">
        <v>32631759</v>
      </c>
      <c r="Z328" s="63">
        <v>0</v>
      </c>
      <c r="AA328" s="63">
        <v>0</v>
      </c>
      <c r="AB328" s="63">
        <v>0</v>
      </c>
      <c r="AC328" s="63">
        <v>0</v>
      </c>
      <c r="AD328" s="63">
        <v>0</v>
      </c>
      <c r="AE328" s="63">
        <v>0</v>
      </c>
      <c r="AF328" s="63">
        <v>0</v>
      </c>
      <c r="AG328" s="63">
        <v>0</v>
      </c>
      <c r="AH328" s="63">
        <v>0</v>
      </c>
      <c r="AI328" s="63">
        <v>0</v>
      </c>
      <c r="AJ328" s="63">
        <v>0</v>
      </c>
      <c r="AK328" s="63">
        <v>0</v>
      </c>
      <c r="AL328" s="63">
        <v>0</v>
      </c>
      <c r="AM328" s="63">
        <v>0</v>
      </c>
      <c r="AN328" s="63">
        <v>0</v>
      </c>
      <c r="AP328" s="533">
        <v>0</v>
      </c>
      <c r="AQ328" s="533">
        <v>0</v>
      </c>
      <c r="AR328" s="533">
        <v>0</v>
      </c>
      <c r="AS328" s="533">
        <v>0</v>
      </c>
      <c r="AT328" s="534"/>
      <c r="AU328" s="594"/>
      <c r="AV328" s="595"/>
      <c r="AW328" s="595"/>
      <c r="AX328" s="595"/>
    </row>
    <row r="329" spans="1:50" x14ac:dyDescent="0.2">
      <c r="A329" s="201">
        <v>322</v>
      </c>
      <c r="B329" s="129" t="s">
        <v>486</v>
      </c>
      <c r="C329" s="130" t="s">
        <v>742</v>
      </c>
      <c r="D329" s="131" t="s">
        <v>752</v>
      </c>
      <c r="E329" s="132" t="s">
        <v>485</v>
      </c>
      <c r="F329" s="63">
        <v>41218437</v>
      </c>
      <c r="G329" s="63">
        <v>0</v>
      </c>
      <c r="H329" s="63">
        <v>0</v>
      </c>
      <c r="I329" s="63">
        <v>0</v>
      </c>
      <c r="J329" s="63">
        <v>41218437</v>
      </c>
      <c r="K329" s="63">
        <v>-411184</v>
      </c>
      <c r="L329" s="63">
        <v>0</v>
      </c>
      <c r="M329" s="63">
        <v>0</v>
      </c>
      <c r="N329" s="63">
        <v>0</v>
      </c>
      <c r="O329" s="63">
        <v>-411184</v>
      </c>
      <c r="P329" s="63">
        <v>-638718</v>
      </c>
      <c r="Q329" s="63">
        <v>0</v>
      </c>
      <c r="R329" s="63">
        <v>0</v>
      </c>
      <c r="S329" s="63">
        <v>0</v>
      </c>
      <c r="T329" s="63">
        <v>-638718</v>
      </c>
      <c r="U329" s="63">
        <v>40168535</v>
      </c>
      <c r="V329" s="63">
        <v>0</v>
      </c>
      <c r="W329" s="63">
        <v>0</v>
      </c>
      <c r="X329" s="63">
        <v>0</v>
      </c>
      <c r="Y329" s="63">
        <v>40168535</v>
      </c>
      <c r="Z329" s="63">
        <v>30157</v>
      </c>
      <c r="AA329" s="63">
        <v>0</v>
      </c>
      <c r="AB329" s="63">
        <v>0</v>
      </c>
      <c r="AC329" s="63">
        <v>0</v>
      </c>
      <c r="AD329" s="63">
        <v>30157</v>
      </c>
      <c r="AE329" s="63">
        <v>0</v>
      </c>
      <c r="AF329" s="63">
        <v>0</v>
      </c>
      <c r="AG329" s="63">
        <v>0</v>
      </c>
      <c r="AH329" s="63">
        <v>0</v>
      </c>
      <c r="AI329" s="63">
        <v>0</v>
      </c>
      <c r="AJ329" s="63">
        <v>0</v>
      </c>
      <c r="AK329" s="63">
        <v>0</v>
      </c>
      <c r="AL329" s="63">
        <v>0</v>
      </c>
      <c r="AM329" s="63">
        <v>0</v>
      </c>
      <c r="AN329" s="63">
        <v>0</v>
      </c>
      <c r="AP329" s="533">
        <v>0</v>
      </c>
      <c r="AQ329" s="533">
        <v>0</v>
      </c>
      <c r="AR329" s="533">
        <v>0</v>
      </c>
      <c r="AS329" s="533">
        <v>0</v>
      </c>
      <c r="AT329" s="534"/>
      <c r="AU329" s="594"/>
      <c r="AV329" s="595"/>
      <c r="AW329" s="595"/>
      <c r="AX329" s="595"/>
    </row>
    <row r="330" spans="1:50" x14ac:dyDescent="0.2">
      <c r="A330" s="201">
        <v>323</v>
      </c>
      <c r="B330" s="129" t="s">
        <v>488</v>
      </c>
      <c r="C330" s="130" t="s">
        <v>742</v>
      </c>
      <c r="D330" s="131" t="s">
        <v>743</v>
      </c>
      <c r="E330" s="132" t="s">
        <v>487</v>
      </c>
      <c r="F330" s="63">
        <v>75538769</v>
      </c>
      <c r="G330" s="63">
        <v>0</v>
      </c>
      <c r="H330" s="63">
        <v>0</v>
      </c>
      <c r="I330" s="63">
        <v>0</v>
      </c>
      <c r="J330" s="63">
        <v>75538769</v>
      </c>
      <c r="K330" s="63">
        <v>-800000</v>
      </c>
      <c r="L330" s="63">
        <v>0</v>
      </c>
      <c r="M330" s="63">
        <v>0</v>
      </c>
      <c r="N330" s="63">
        <v>0</v>
      </c>
      <c r="O330" s="63">
        <v>-800000</v>
      </c>
      <c r="P330" s="63">
        <v>-550000</v>
      </c>
      <c r="Q330" s="63">
        <v>0</v>
      </c>
      <c r="R330" s="63">
        <v>0</v>
      </c>
      <c r="S330" s="63">
        <v>0</v>
      </c>
      <c r="T330" s="63">
        <v>-550000</v>
      </c>
      <c r="U330" s="63">
        <v>74188769</v>
      </c>
      <c r="V330" s="63">
        <v>0</v>
      </c>
      <c r="W330" s="63">
        <v>0</v>
      </c>
      <c r="X330" s="63">
        <v>0</v>
      </c>
      <c r="Y330" s="63">
        <v>74188769</v>
      </c>
      <c r="Z330" s="63">
        <v>0</v>
      </c>
      <c r="AA330" s="63">
        <v>0</v>
      </c>
      <c r="AB330" s="63">
        <v>0</v>
      </c>
      <c r="AC330" s="63">
        <v>0</v>
      </c>
      <c r="AD330" s="63">
        <v>0</v>
      </c>
      <c r="AE330" s="63">
        <v>0</v>
      </c>
      <c r="AF330" s="63">
        <v>0</v>
      </c>
      <c r="AG330" s="63">
        <v>0</v>
      </c>
      <c r="AH330" s="63">
        <v>0</v>
      </c>
      <c r="AI330" s="63">
        <v>0</v>
      </c>
      <c r="AJ330" s="63">
        <v>0</v>
      </c>
      <c r="AK330" s="63">
        <v>0</v>
      </c>
      <c r="AL330" s="63">
        <v>0</v>
      </c>
      <c r="AM330" s="63">
        <v>0</v>
      </c>
      <c r="AN330" s="63">
        <v>0</v>
      </c>
      <c r="AP330" s="533">
        <v>0</v>
      </c>
      <c r="AQ330" s="533">
        <v>0</v>
      </c>
      <c r="AR330" s="533">
        <v>0</v>
      </c>
      <c r="AS330" s="533">
        <v>0</v>
      </c>
      <c r="AT330" s="534"/>
      <c r="AU330" s="594"/>
      <c r="AV330" s="595"/>
      <c r="AW330" s="595"/>
      <c r="AX330" s="595"/>
    </row>
    <row r="331" spans="1:50" x14ac:dyDescent="0.2">
      <c r="A331" s="201">
        <v>324</v>
      </c>
      <c r="B331" s="129" t="s">
        <v>490</v>
      </c>
      <c r="C331" s="130" t="s">
        <v>742</v>
      </c>
      <c r="D331" s="131" t="s">
        <v>744</v>
      </c>
      <c r="E331" s="132" t="s">
        <v>489</v>
      </c>
      <c r="F331" s="63">
        <v>25666955</v>
      </c>
      <c r="G331" s="63">
        <v>2932849</v>
      </c>
      <c r="H331" s="63">
        <v>0</v>
      </c>
      <c r="I331" s="63">
        <v>0</v>
      </c>
      <c r="J331" s="63">
        <v>28599804</v>
      </c>
      <c r="K331" s="63">
        <v>-205336</v>
      </c>
      <c r="L331" s="63">
        <v>-100000</v>
      </c>
      <c r="M331" s="63">
        <v>0</v>
      </c>
      <c r="N331" s="63">
        <v>0</v>
      </c>
      <c r="O331" s="63">
        <v>-305336</v>
      </c>
      <c r="P331" s="63">
        <v>-770009</v>
      </c>
      <c r="Q331" s="63">
        <v>-400000</v>
      </c>
      <c r="R331" s="63">
        <v>0</v>
      </c>
      <c r="S331" s="63">
        <v>0</v>
      </c>
      <c r="T331" s="63">
        <v>-1170009</v>
      </c>
      <c r="U331" s="63">
        <v>24691610</v>
      </c>
      <c r="V331" s="63">
        <v>2432849</v>
      </c>
      <c r="W331" s="63">
        <v>0</v>
      </c>
      <c r="X331" s="63">
        <v>0</v>
      </c>
      <c r="Y331" s="63">
        <v>27124459</v>
      </c>
      <c r="Z331" s="63">
        <v>0</v>
      </c>
      <c r="AA331" s="63">
        <v>0</v>
      </c>
      <c r="AB331" s="63">
        <v>0</v>
      </c>
      <c r="AC331" s="63">
        <v>0</v>
      </c>
      <c r="AD331" s="63">
        <v>0</v>
      </c>
      <c r="AE331" s="63">
        <v>0</v>
      </c>
      <c r="AF331" s="63">
        <v>0</v>
      </c>
      <c r="AG331" s="63">
        <v>0</v>
      </c>
      <c r="AH331" s="63">
        <v>2526621.1666666665</v>
      </c>
      <c r="AI331" s="63">
        <v>0</v>
      </c>
      <c r="AJ331" s="63">
        <v>0</v>
      </c>
      <c r="AK331" s="63">
        <v>0</v>
      </c>
      <c r="AL331" s="63">
        <v>0</v>
      </c>
      <c r="AM331" s="63">
        <v>0</v>
      </c>
      <c r="AN331" s="63">
        <v>0</v>
      </c>
      <c r="AP331" s="533" t="s">
        <v>768</v>
      </c>
      <c r="AQ331" s="533" t="s">
        <v>1005</v>
      </c>
      <c r="AR331" s="533">
        <v>0</v>
      </c>
      <c r="AS331" s="533">
        <v>0</v>
      </c>
      <c r="AT331" s="534"/>
      <c r="AU331" s="594"/>
      <c r="AV331" s="599"/>
      <c r="AW331" s="595"/>
      <c r="AX331" s="595"/>
    </row>
    <row r="332" spans="1:50" x14ac:dyDescent="0.2">
      <c r="A332" s="201">
        <v>325</v>
      </c>
      <c r="B332" s="129" t="s">
        <v>492</v>
      </c>
      <c r="C332" s="130" t="s">
        <v>742</v>
      </c>
      <c r="D332" s="131" t="s">
        <v>752</v>
      </c>
      <c r="E332" s="132" t="s">
        <v>491</v>
      </c>
      <c r="F332" s="63">
        <v>30015339</v>
      </c>
      <c r="G332" s="63">
        <v>0</v>
      </c>
      <c r="H332" s="63">
        <v>0</v>
      </c>
      <c r="I332" s="63">
        <v>0</v>
      </c>
      <c r="J332" s="63">
        <v>30015339</v>
      </c>
      <c r="K332" s="63">
        <v>-500000</v>
      </c>
      <c r="L332" s="63">
        <v>0</v>
      </c>
      <c r="M332" s="63">
        <v>0</v>
      </c>
      <c r="N332" s="63">
        <v>0</v>
      </c>
      <c r="O332" s="63">
        <v>-500000</v>
      </c>
      <c r="P332" s="63">
        <v>-700000</v>
      </c>
      <c r="Q332" s="63">
        <v>0</v>
      </c>
      <c r="R332" s="63">
        <v>0</v>
      </c>
      <c r="S332" s="63">
        <v>0</v>
      </c>
      <c r="T332" s="63">
        <v>-700000</v>
      </c>
      <c r="U332" s="63">
        <v>28815339</v>
      </c>
      <c r="V332" s="63">
        <v>0</v>
      </c>
      <c r="W332" s="63">
        <v>0</v>
      </c>
      <c r="X332" s="63">
        <v>0</v>
      </c>
      <c r="Y332" s="63">
        <v>28815339</v>
      </c>
      <c r="Z332" s="63">
        <v>0</v>
      </c>
      <c r="AA332" s="63">
        <v>0</v>
      </c>
      <c r="AB332" s="63">
        <v>0</v>
      </c>
      <c r="AC332" s="63">
        <v>0</v>
      </c>
      <c r="AD332" s="63">
        <v>0</v>
      </c>
      <c r="AE332" s="63">
        <v>0</v>
      </c>
      <c r="AF332" s="63">
        <v>0</v>
      </c>
      <c r="AG332" s="63">
        <v>0</v>
      </c>
      <c r="AH332" s="63">
        <v>0</v>
      </c>
      <c r="AI332" s="63">
        <v>0</v>
      </c>
      <c r="AJ332" s="63">
        <v>0</v>
      </c>
      <c r="AK332" s="63">
        <v>0</v>
      </c>
      <c r="AL332" s="63">
        <v>0</v>
      </c>
      <c r="AM332" s="63">
        <v>0</v>
      </c>
      <c r="AN332" s="63">
        <v>0</v>
      </c>
      <c r="AP332" s="533">
        <v>0</v>
      </c>
      <c r="AQ332" s="533">
        <v>0</v>
      </c>
      <c r="AR332" s="533">
        <v>0</v>
      </c>
      <c r="AS332" s="533">
        <v>0</v>
      </c>
      <c r="AT332" s="534"/>
    </row>
    <row r="333" spans="1:50" ht="15.75" thickBot="1" x14ac:dyDescent="0.25">
      <c r="A333" s="201">
        <v>326</v>
      </c>
      <c r="B333" s="129" t="s">
        <v>493</v>
      </c>
      <c r="C333" s="130" t="s">
        <v>501</v>
      </c>
      <c r="D333" s="131" t="s">
        <v>750</v>
      </c>
      <c r="E333" s="132" t="s">
        <v>544</v>
      </c>
      <c r="F333" s="63">
        <v>106515970</v>
      </c>
      <c r="G333" s="63">
        <v>0</v>
      </c>
      <c r="H333" s="63">
        <v>0</v>
      </c>
      <c r="I333" s="63">
        <v>0</v>
      </c>
      <c r="J333" s="63">
        <v>106515970</v>
      </c>
      <c r="K333" s="63">
        <v>-1068660</v>
      </c>
      <c r="L333" s="63">
        <v>0</v>
      </c>
      <c r="M333" s="63">
        <v>0</v>
      </c>
      <c r="N333" s="63">
        <v>0</v>
      </c>
      <c r="O333" s="63">
        <v>-1068660</v>
      </c>
      <c r="P333" s="63">
        <v>-2500000</v>
      </c>
      <c r="Q333" s="63">
        <v>0</v>
      </c>
      <c r="R333" s="63">
        <v>0</v>
      </c>
      <c r="S333" s="63">
        <v>0</v>
      </c>
      <c r="T333" s="63">
        <v>-2500000</v>
      </c>
      <c r="U333" s="63">
        <v>102947310</v>
      </c>
      <c r="V333" s="63">
        <v>0</v>
      </c>
      <c r="W333" s="63">
        <v>0</v>
      </c>
      <c r="X333" s="63">
        <v>0</v>
      </c>
      <c r="Y333" s="63">
        <v>102947310</v>
      </c>
      <c r="Z333" s="63">
        <v>0</v>
      </c>
      <c r="AA333" s="63">
        <v>0</v>
      </c>
      <c r="AB333" s="63">
        <v>0</v>
      </c>
      <c r="AC333" s="63">
        <v>0</v>
      </c>
      <c r="AD333" s="63">
        <v>0</v>
      </c>
      <c r="AE333" s="63">
        <v>0</v>
      </c>
      <c r="AF333" s="63">
        <v>0</v>
      </c>
      <c r="AG333" s="63">
        <v>0</v>
      </c>
      <c r="AH333" s="63">
        <v>0</v>
      </c>
      <c r="AI333" s="63">
        <v>0</v>
      </c>
      <c r="AJ333" s="63">
        <v>0</v>
      </c>
      <c r="AK333" s="63">
        <v>0</v>
      </c>
      <c r="AL333" s="63">
        <v>0</v>
      </c>
      <c r="AM333" s="63">
        <v>0</v>
      </c>
      <c r="AN333" s="63">
        <v>0</v>
      </c>
      <c r="AP333" s="533">
        <v>0</v>
      </c>
      <c r="AQ333" s="533">
        <v>0</v>
      </c>
      <c r="AR333" s="533">
        <v>0</v>
      </c>
      <c r="AS333" s="533">
        <v>0</v>
      </c>
      <c r="AT333" s="534"/>
    </row>
    <row r="334" spans="1:50" ht="15.75" thickBot="1" x14ac:dyDescent="0.25">
      <c r="A334" s="201">
        <v>327</v>
      </c>
      <c r="B334" s="179"/>
      <c r="C334" s="179"/>
      <c r="D334" s="181" t="s">
        <v>746</v>
      </c>
      <c r="E334" s="82" t="s">
        <v>738</v>
      </c>
      <c r="F334" s="101">
        <f t="shared" ref="F334:AN334" si="0">SUM(F8:F333)</f>
        <v>24412029489.180698</v>
      </c>
      <c r="G334" s="101">
        <f t="shared" si="0"/>
        <v>97226404</v>
      </c>
      <c r="H334" s="101">
        <f t="shared" si="0"/>
        <v>65748034</v>
      </c>
      <c r="I334" s="101">
        <f t="shared" si="0"/>
        <v>0</v>
      </c>
      <c r="J334" s="101">
        <f t="shared" si="0"/>
        <v>24575003927.310703</v>
      </c>
      <c r="K334" s="101">
        <f t="shared" si="0"/>
        <v>-280781768</v>
      </c>
      <c r="L334" s="101">
        <f t="shared" si="0"/>
        <v>-1014135</v>
      </c>
      <c r="M334" s="101">
        <f t="shared" si="0"/>
        <v>-1351012</v>
      </c>
      <c r="N334" s="101">
        <f t="shared" si="0"/>
        <v>0</v>
      </c>
      <c r="O334" s="101">
        <f t="shared" si="0"/>
        <v>-283146915</v>
      </c>
      <c r="P334" s="101">
        <f t="shared" si="0"/>
        <v>-618571991</v>
      </c>
      <c r="Q334" s="101">
        <f t="shared" si="0"/>
        <v>-1766562</v>
      </c>
      <c r="R334" s="101">
        <f t="shared" si="0"/>
        <v>-698897</v>
      </c>
      <c r="S334" s="101">
        <f t="shared" si="0"/>
        <v>0</v>
      </c>
      <c r="T334" s="101">
        <f t="shared" si="0"/>
        <v>-621037450</v>
      </c>
      <c r="U334" s="101">
        <f t="shared" si="0"/>
        <v>23512675730.180698</v>
      </c>
      <c r="V334" s="101">
        <f t="shared" si="0"/>
        <v>94445707</v>
      </c>
      <c r="W334" s="101">
        <f t="shared" si="0"/>
        <v>63698125</v>
      </c>
      <c r="X334" s="101">
        <f t="shared" si="0"/>
        <v>0</v>
      </c>
      <c r="Y334" s="101">
        <f t="shared" si="0"/>
        <v>23670819562.180698</v>
      </c>
      <c r="Z334" s="101">
        <f t="shared" si="0"/>
        <v>39195708</v>
      </c>
      <c r="AA334" s="101">
        <f t="shared" si="0"/>
        <v>10816</v>
      </c>
      <c r="AB334" s="101">
        <f t="shared" si="0"/>
        <v>0</v>
      </c>
      <c r="AC334" s="101">
        <f t="shared" si="0"/>
        <v>0</v>
      </c>
      <c r="AD334" s="101">
        <f t="shared" si="0"/>
        <v>39206524</v>
      </c>
      <c r="AE334" s="101">
        <f t="shared" si="0"/>
        <v>0</v>
      </c>
      <c r="AF334" s="101">
        <f t="shared" si="0"/>
        <v>0</v>
      </c>
      <c r="AG334" s="101">
        <f t="shared" si="0"/>
        <v>0</v>
      </c>
      <c r="AH334" s="101">
        <f t="shared" si="0"/>
        <v>85116048.166666672</v>
      </c>
      <c r="AI334" s="101">
        <f t="shared" si="0"/>
        <v>69817664</v>
      </c>
      <c r="AJ334" s="101">
        <f t="shared" si="0"/>
        <v>171767</v>
      </c>
      <c r="AK334" s="101">
        <f t="shared" si="0"/>
        <v>23351578</v>
      </c>
      <c r="AL334" s="101">
        <f t="shared" si="0"/>
        <v>6107528</v>
      </c>
      <c r="AM334" s="101">
        <f t="shared" si="0"/>
        <v>0</v>
      </c>
      <c r="AN334" s="101">
        <f t="shared" si="0"/>
        <v>29459106</v>
      </c>
      <c r="AP334" s="533">
        <v>0</v>
      </c>
      <c r="AQ334" s="535" t="s">
        <v>1006</v>
      </c>
      <c r="AR334" s="535" t="s">
        <v>1007</v>
      </c>
      <c r="AS334" s="535" t="s">
        <v>1008</v>
      </c>
      <c r="AT334" s="534"/>
    </row>
    <row r="335" spans="1:50" x14ac:dyDescent="0.2">
      <c r="D335" s="137"/>
      <c r="E335" s="138"/>
      <c r="F335" s="138"/>
    </row>
    <row r="336" spans="1:50" x14ac:dyDescent="0.2">
      <c r="D336" s="137"/>
      <c r="E336" s="138"/>
      <c r="F336" s="138"/>
    </row>
    <row r="337" spans="4:6" x14ac:dyDescent="0.2">
      <c r="D337" s="137"/>
      <c r="E337" s="138"/>
      <c r="F337" s="138"/>
    </row>
    <row r="338" spans="4:6" x14ac:dyDescent="0.2">
      <c r="D338" s="137"/>
      <c r="E338" s="138"/>
      <c r="F338" s="138"/>
    </row>
    <row r="339" spans="4:6" x14ac:dyDescent="0.2">
      <c r="D339" s="137"/>
      <c r="E339" s="138"/>
      <c r="F339" s="138"/>
    </row>
  </sheetData>
  <mergeCells count="8">
    <mergeCell ref="F2:J2"/>
    <mergeCell ref="P2:T2"/>
    <mergeCell ref="U2:Y2"/>
    <mergeCell ref="AH2:AJ2"/>
    <mergeCell ref="AK2:AN2"/>
    <mergeCell ref="Z2:AD2"/>
    <mergeCell ref="AE2:AG2"/>
    <mergeCell ref="K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B339"/>
  <sheetViews>
    <sheetView workbookViewId="0">
      <pane xSplit="5" ySplit="7" topLeftCell="F8" activePane="bottomRight" state="frozen"/>
      <selection pane="topRight" activeCell="F1" sqref="F1"/>
      <selection pane="bottomLeft" activeCell="A8" sqref="A8"/>
      <selection pane="bottomRight" sqref="A1:XFD1048576"/>
    </sheetView>
  </sheetViews>
  <sheetFormatPr defaultRowHeight="15" x14ac:dyDescent="0.2"/>
  <cols>
    <col min="1" max="1" width="8" style="90" customWidth="1"/>
    <col min="2" max="2" width="8.42578125" style="8" customWidth="1"/>
    <col min="3" max="3" width="5.5703125" style="200" customWidth="1"/>
    <col min="4" max="4" width="8.140625" style="8" hidden="1" customWidth="1"/>
    <col min="5" max="5" width="27" style="8" bestFit="1" customWidth="1"/>
    <col min="6" max="26" width="14.7109375" style="100" customWidth="1"/>
    <col min="27" max="16384" width="9.140625" style="100"/>
  </cols>
  <sheetData>
    <row r="1" spans="1:28" ht="16.5" thickBot="1" x14ac:dyDescent="0.25">
      <c r="A1" s="142"/>
      <c r="B1" s="122"/>
      <c r="C1" s="196"/>
      <c r="D1" s="61"/>
      <c r="E1" s="94"/>
      <c r="F1" s="114"/>
      <c r="G1" s="113"/>
      <c r="H1" s="113"/>
      <c r="V1" s="112"/>
    </row>
    <row r="2" spans="1:28" s="161" customFormat="1" ht="88.5" customHeight="1" thickBot="1" x14ac:dyDescent="0.25">
      <c r="A2" s="148"/>
      <c r="B2" s="95"/>
      <c r="C2" s="94"/>
      <c r="D2" s="62"/>
      <c r="E2" s="94"/>
      <c r="F2" s="351" t="s">
        <v>908</v>
      </c>
      <c r="G2" s="350" t="s">
        <v>873</v>
      </c>
      <c r="H2" s="350" t="s">
        <v>874</v>
      </c>
      <c r="I2" s="350" t="s">
        <v>875</v>
      </c>
      <c r="J2" s="350" t="s">
        <v>876</v>
      </c>
      <c r="K2" s="350" t="s">
        <v>877</v>
      </c>
      <c r="L2" s="382" t="s">
        <v>878</v>
      </c>
      <c r="M2" s="350" t="s">
        <v>880</v>
      </c>
      <c r="N2" s="350" t="s">
        <v>881</v>
      </c>
      <c r="O2" s="350" t="s">
        <v>882</v>
      </c>
      <c r="P2" s="382" t="s">
        <v>909</v>
      </c>
      <c r="Q2" s="350" t="s">
        <v>885</v>
      </c>
      <c r="R2" s="350" t="s">
        <v>886</v>
      </c>
      <c r="S2" s="350" t="s">
        <v>887</v>
      </c>
      <c r="T2" s="350" t="s">
        <v>889</v>
      </c>
      <c r="U2" s="350" t="s">
        <v>890</v>
      </c>
      <c r="V2" s="350" t="s">
        <v>892</v>
      </c>
      <c r="W2" s="350" t="s">
        <v>893</v>
      </c>
      <c r="X2" s="382" t="s">
        <v>910</v>
      </c>
      <c r="Y2" s="382" t="s">
        <v>895</v>
      </c>
      <c r="Z2" s="383" t="s">
        <v>911</v>
      </c>
    </row>
    <row r="3" spans="1:28" s="405" customFormat="1" ht="13.5" thickBot="1" x14ac:dyDescent="0.25">
      <c r="A3" s="384">
        <v>1</v>
      </c>
      <c r="B3" s="385">
        <v>2</v>
      </c>
      <c r="C3" s="385">
        <v>3</v>
      </c>
      <c r="D3" s="403"/>
      <c r="E3" s="385">
        <v>5</v>
      </c>
      <c r="F3" s="406">
        <v>6</v>
      </c>
      <c r="G3" s="406">
        <v>7</v>
      </c>
      <c r="H3" s="392">
        <v>8</v>
      </c>
      <c r="I3" s="406">
        <v>9</v>
      </c>
      <c r="J3" s="406">
        <v>10</v>
      </c>
      <c r="K3" s="392">
        <v>11</v>
      </c>
      <c r="L3" s="406">
        <v>12</v>
      </c>
      <c r="M3" s="406">
        <v>13</v>
      </c>
      <c r="N3" s="392">
        <v>14</v>
      </c>
      <c r="O3" s="406">
        <v>15</v>
      </c>
      <c r="P3" s="406">
        <v>16</v>
      </c>
      <c r="Q3" s="392">
        <v>17</v>
      </c>
      <c r="R3" s="406">
        <v>18</v>
      </c>
      <c r="S3" s="406">
        <v>19</v>
      </c>
      <c r="T3" s="392">
        <v>20</v>
      </c>
      <c r="U3" s="406">
        <v>21</v>
      </c>
      <c r="V3" s="406">
        <v>22</v>
      </c>
      <c r="W3" s="392">
        <v>23</v>
      </c>
      <c r="X3" s="406">
        <v>24</v>
      </c>
      <c r="Y3" s="406">
        <v>25</v>
      </c>
      <c r="Z3" s="392">
        <v>26</v>
      </c>
      <c r="AB3" s="404"/>
    </row>
    <row r="4" spans="1:28" ht="13.5" thickBot="1" x14ac:dyDescent="0.25">
      <c r="A4" s="148"/>
      <c r="B4" s="124"/>
      <c r="C4" s="94"/>
      <c r="D4" s="62"/>
      <c r="E4" s="62"/>
      <c r="F4" s="378"/>
      <c r="G4" s="379"/>
      <c r="H4" s="379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1"/>
      <c r="W4" s="381"/>
      <c r="X4" s="381"/>
      <c r="Y4" s="381"/>
      <c r="Z4" s="381"/>
      <c r="AB4" s="187" t="s">
        <v>808</v>
      </c>
    </row>
    <row r="5" spans="1:28" s="107" customFormat="1" ht="12.75" x14ac:dyDescent="0.2">
      <c r="A5" s="148"/>
      <c r="B5" s="178" t="s">
        <v>602</v>
      </c>
      <c r="C5" s="177" t="s">
        <v>740</v>
      </c>
      <c r="D5" s="177" t="s">
        <v>741</v>
      </c>
      <c r="E5" s="177" t="s">
        <v>601</v>
      </c>
      <c r="F5" s="120">
        <v>1</v>
      </c>
      <c r="G5" s="119">
        <v>2</v>
      </c>
      <c r="H5" s="119">
        <v>3</v>
      </c>
      <c r="I5" s="119">
        <v>4</v>
      </c>
      <c r="J5" s="119">
        <v>5</v>
      </c>
      <c r="K5" s="119">
        <v>6</v>
      </c>
      <c r="L5" s="119">
        <v>7</v>
      </c>
      <c r="M5" s="119">
        <v>8</v>
      </c>
      <c r="N5" s="119">
        <v>9</v>
      </c>
      <c r="O5" s="119">
        <v>10</v>
      </c>
      <c r="P5" s="119">
        <v>11</v>
      </c>
      <c r="Q5" s="119">
        <v>12</v>
      </c>
      <c r="R5" s="119">
        <v>13</v>
      </c>
      <c r="S5" s="119">
        <v>14</v>
      </c>
      <c r="T5" s="119">
        <v>15</v>
      </c>
      <c r="U5" s="119">
        <v>16</v>
      </c>
      <c r="V5" s="119">
        <v>17</v>
      </c>
      <c r="W5" s="119">
        <v>18</v>
      </c>
      <c r="X5" s="119">
        <v>19</v>
      </c>
      <c r="Y5" s="119">
        <v>20</v>
      </c>
      <c r="Z5" s="119">
        <v>21</v>
      </c>
      <c r="AB5" s="118" t="s">
        <v>808</v>
      </c>
    </row>
    <row r="6" spans="1:28" s="107" customFormat="1" ht="13.5" thickBot="1" x14ac:dyDescent="0.25">
      <c r="A6" s="175"/>
      <c r="B6" s="126"/>
      <c r="C6" s="92"/>
      <c r="D6" s="127"/>
      <c r="E6" s="92"/>
      <c r="F6" s="117">
        <v>2</v>
      </c>
      <c r="G6" s="116">
        <v>1</v>
      </c>
      <c r="H6" s="116">
        <v>1</v>
      </c>
      <c r="I6" s="116">
        <v>1</v>
      </c>
      <c r="J6" s="116">
        <v>1</v>
      </c>
      <c r="K6" s="116">
        <v>1</v>
      </c>
      <c r="L6" s="116">
        <v>2</v>
      </c>
      <c r="M6" s="116">
        <v>1</v>
      </c>
      <c r="N6" s="116">
        <v>1</v>
      </c>
      <c r="O6" s="116">
        <v>1</v>
      </c>
      <c r="P6" s="116">
        <v>2</v>
      </c>
      <c r="Q6" s="116">
        <v>1</v>
      </c>
      <c r="R6" s="116">
        <v>1</v>
      </c>
      <c r="S6" s="116">
        <v>1</v>
      </c>
      <c r="T6" s="116">
        <v>1</v>
      </c>
      <c r="U6" s="116">
        <v>1</v>
      </c>
      <c r="V6" s="116">
        <v>1</v>
      </c>
      <c r="W6" s="116">
        <v>1</v>
      </c>
      <c r="X6" s="115">
        <v>2</v>
      </c>
      <c r="Y6" s="115">
        <v>2</v>
      </c>
      <c r="Z6" s="115">
        <v>2</v>
      </c>
      <c r="AB6" s="115" t="s">
        <v>808</v>
      </c>
    </row>
    <row r="7" spans="1:28" ht="13.5" thickBot="1" x14ac:dyDescent="0.25">
      <c r="A7" s="176"/>
      <c r="B7" s="89"/>
      <c r="C7" s="197"/>
      <c r="D7" s="87"/>
      <c r="E7" s="128"/>
      <c r="F7" s="106"/>
      <c r="G7" s="105"/>
      <c r="H7" s="105"/>
      <c r="I7" s="103"/>
      <c r="J7" s="104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2"/>
      <c r="W7" s="102"/>
      <c r="X7" s="102"/>
      <c r="Y7" s="102"/>
      <c r="Z7" s="102"/>
      <c r="AB7" s="188" t="s">
        <v>808</v>
      </c>
    </row>
    <row r="8" spans="1:28" ht="12.75" x14ac:dyDescent="0.2">
      <c r="A8" s="90">
        <v>1</v>
      </c>
      <c r="B8" s="129" t="s">
        <v>604</v>
      </c>
      <c r="C8" s="198" t="s">
        <v>742</v>
      </c>
      <c r="D8" s="131" t="s">
        <v>743</v>
      </c>
      <c r="E8" s="132" t="s">
        <v>603</v>
      </c>
      <c r="F8" s="63">
        <v>770603</v>
      </c>
      <c r="G8" s="63">
        <v>19162315</v>
      </c>
      <c r="H8" s="63">
        <v>0</v>
      </c>
      <c r="I8" s="63">
        <v>-372833</v>
      </c>
      <c r="J8" s="63">
        <v>0</v>
      </c>
      <c r="K8" s="63">
        <v>-1316360</v>
      </c>
      <c r="L8" s="63">
        <v>17473122</v>
      </c>
      <c r="M8" s="63">
        <v>53809</v>
      </c>
      <c r="N8" s="63">
        <v>0</v>
      </c>
      <c r="O8" s="63">
        <v>118098</v>
      </c>
      <c r="P8" s="63">
        <v>171907</v>
      </c>
      <c r="Q8" s="63">
        <v>0</v>
      </c>
      <c r="R8" s="63">
        <v>-8646732</v>
      </c>
      <c r="S8" s="63">
        <v>-1729346</v>
      </c>
      <c r="T8" s="63">
        <v>-7002669</v>
      </c>
      <c r="U8" s="63">
        <v>-85284</v>
      </c>
      <c r="V8" s="63">
        <v>0</v>
      </c>
      <c r="W8" s="63">
        <v>0</v>
      </c>
      <c r="X8" s="63">
        <v>-17464031</v>
      </c>
      <c r="Y8" s="63">
        <v>0</v>
      </c>
      <c r="Z8" s="63">
        <v>951601</v>
      </c>
      <c r="AB8" s="189"/>
    </row>
    <row r="9" spans="1:28" ht="12.75" x14ac:dyDescent="0.2">
      <c r="A9" s="90">
        <v>2</v>
      </c>
      <c r="B9" s="129" t="s">
        <v>606</v>
      </c>
      <c r="C9" s="198" t="s">
        <v>742</v>
      </c>
      <c r="D9" s="131" t="s">
        <v>744</v>
      </c>
      <c r="E9" s="132" t="s">
        <v>605</v>
      </c>
      <c r="F9" s="63">
        <v>-2356583</v>
      </c>
      <c r="G9" s="63">
        <v>27062768</v>
      </c>
      <c r="H9" s="63">
        <v>0</v>
      </c>
      <c r="I9" s="63">
        <v>-83710</v>
      </c>
      <c r="J9" s="63">
        <v>1465744</v>
      </c>
      <c r="K9" s="63">
        <v>-991331</v>
      </c>
      <c r="L9" s="63">
        <v>27453471</v>
      </c>
      <c r="M9" s="63">
        <v>0</v>
      </c>
      <c r="N9" s="63">
        <v>0</v>
      </c>
      <c r="O9" s="63">
        <v>1720045</v>
      </c>
      <c r="P9" s="63">
        <v>1720045</v>
      </c>
      <c r="Q9" s="63">
        <v>-333777</v>
      </c>
      <c r="R9" s="63">
        <v>-13266323</v>
      </c>
      <c r="S9" s="63">
        <v>-2653265</v>
      </c>
      <c r="T9" s="63">
        <v>-10613058</v>
      </c>
      <c r="U9" s="63">
        <v>-530479</v>
      </c>
      <c r="V9" s="63">
        <v>-72420</v>
      </c>
      <c r="W9" s="63">
        <v>0</v>
      </c>
      <c r="X9" s="63">
        <v>-27469322</v>
      </c>
      <c r="Y9" s="63">
        <v>0</v>
      </c>
      <c r="Z9" s="63">
        <v>-652389</v>
      </c>
      <c r="AB9" s="189"/>
    </row>
    <row r="10" spans="1:28" ht="12.75" x14ac:dyDescent="0.2">
      <c r="A10" s="90">
        <v>3</v>
      </c>
      <c r="B10" s="129" t="s">
        <v>608</v>
      </c>
      <c r="C10" s="198" t="s">
        <v>742</v>
      </c>
      <c r="D10" s="131" t="s">
        <v>745</v>
      </c>
      <c r="E10" s="132" t="s">
        <v>607</v>
      </c>
      <c r="F10" s="63">
        <v>-1864855</v>
      </c>
      <c r="G10" s="63">
        <v>30691414</v>
      </c>
      <c r="H10" s="63">
        <v>0</v>
      </c>
      <c r="I10" s="63">
        <v>-324600</v>
      </c>
      <c r="J10" s="63">
        <v>75300</v>
      </c>
      <c r="K10" s="63">
        <v>-300300</v>
      </c>
      <c r="L10" s="63">
        <v>30141814</v>
      </c>
      <c r="M10" s="63">
        <v>52366</v>
      </c>
      <c r="N10" s="63">
        <v>0</v>
      </c>
      <c r="O10" s="63">
        <v>1218914</v>
      </c>
      <c r="P10" s="63">
        <v>1271280</v>
      </c>
      <c r="Q10" s="63">
        <v>0</v>
      </c>
      <c r="R10" s="63">
        <v>-14833557</v>
      </c>
      <c r="S10" s="63">
        <v>-2966711</v>
      </c>
      <c r="T10" s="63">
        <v>-11866846</v>
      </c>
      <c r="U10" s="63">
        <v>-152618</v>
      </c>
      <c r="V10" s="63">
        <v>0</v>
      </c>
      <c r="W10" s="63">
        <v>0</v>
      </c>
      <c r="X10" s="63">
        <v>-29819732</v>
      </c>
      <c r="Y10" s="63">
        <v>0</v>
      </c>
      <c r="Z10" s="63">
        <v>-271493</v>
      </c>
      <c r="AB10" s="189"/>
    </row>
    <row r="11" spans="1:28" ht="12.75" x14ac:dyDescent="0.2">
      <c r="A11" s="90">
        <v>4</v>
      </c>
      <c r="B11" s="129" t="s">
        <v>610</v>
      </c>
      <c r="C11" s="198" t="s">
        <v>742</v>
      </c>
      <c r="D11" s="131" t="s">
        <v>743</v>
      </c>
      <c r="E11" s="132" t="s">
        <v>609</v>
      </c>
      <c r="F11" s="63">
        <v>-4533858</v>
      </c>
      <c r="G11" s="63">
        <v>33168000</v>
      </c>
      <c r="H11" s="63">
        <v>0</v>
      </c>
      <c r="I11" s="63">
        <v>-332000</v>
      </c>
      <c r="J11" s="63">
        <v>3234000</v>
      </c>
      <c r="K11" s="63">
        <v>-3933000</v>
      </c>
      <c r="L11" s="63">
        <v>32137000</v>
      </c>
      <c r="M11" s="63">
        <v>59000</v>
      </c>
      <c r="N11" s="63">
        <v>0</v>
      </c>
      <c r="O11" s="63">
        <v>2834236</v>
      </c>
      <c r="P11" s="63">
        <v>2893236</v>
      </c>
      <c r="Q11" s="63">
        <v>0</v>
      </c>
      <c r="R11" s="63">
        <v>-16966769</v>
      </c>
      <c r="S11" s="63">
        <v>-3393354</v>
      </c>
      <c r="T11" s="63">
        <v>-13573415</v>
      </c>
      <c r="U11" s="63">
        <v>-174317</v>
      </c>
      <c r="V11" s="63">
        <v>0</v>
      </c>
      <c r="W11" s="63">
        <v>0</v>
      </c>
      <c r="X11" s="63">
        <v>-34107855</v>
      </c>
      <c r="Y11" s="63">
        <v>0</v>
      </c>
      <c r="Z11" s="63">
        <v>-3611477</v>
      </c>
      <c r="AB11" s="189"/>
    </row>
    <row r="12" spans="1:28" ht="12.75" x14ac:dyDescent="0.2">
      <c r="A12" s="90">
        <v>5</v>
      </c>
      <c r="B12" s="129" t="s">
        <v>612</v>
      </c>
      <c r="C12" s="198" t="s">
        <v>742</v>
      </c>
      <c r="D12" s="131" t="s">
        <v>745</v>
      </c>
      <c r="E12" s="132" t="s">
        <v>611</v>
      </c>
      <c r="F12" s="63">
        <v>-1623670</v>
      </c>
      <c r="G12" s="63">
        <v>34520000</v>
      </c>
      <c r="H12" s="63">
        <v>0</v>
      </c>
      <c r="I12" s="63">
        <v>-150000</v>
      </c>
      <c r="J12" s="63">
        <v>611000</v>
      </c>
      <c r="K12" s="63">
        <v>-552000</v>
      </c>
      <c r="L12" s="63">
        <v>34429000</v>
      </c>
      <c r="M12" s="63">
        <v>0</v>
      </c>
      <c r="N12" s="63">
        <v>0</v>
      </c>
      <c r="O12" s="63">
        <v>1811305</v>
      </c>
      <c r="P12" s="63">
        <v>1811305</v>
      </c>
      <c r="Q12" s="63">
        <v>0</v>
      </c>
      <c r="R12" s="63">
        <v>-17189351</v>
      </c>
      <c r="S12" s="63">
        <v>-3437870</v>
      </c>
      <c r="T12" s="63">
        <v>-13751480</v>
      </c>
      <c r="U12" s="63">
        <v>-129357</v>
      </c>
      <c r="V12" s="63">
        <v>0</v>
      </c>
      <c r="W12" s="63">
        <v>0</v>
      </c>
      <c r="X12" s="63">
        <v>-34508058</v>
      </c>
      <c r="Y12" s="63">
        <v>0</v>
      </c>
      <c r="Z12" s="63">
        <v>108577</v>
      </c>
      <c r="AB12" s="189"/>
    </row>
    <row r="13" spans="1:28" ht="12.75" x14ac:dyDescent="0.2">
      <c r="A13" s="90">
        <v>6</v>
      </c>
      <c r="B13" s="129" t="s">
        <v>614</v>
      </c>
      <c r="C13" s="198" t="s">
        <v>742</v>
      </c>
      <c r="D13" s="131" t="s">
        <v>743</v>
      </c>
      <c r="E13" s="132" t="s">
        <v>613</v>
      </c>
      <c r="F13" s="63">
        <v>-2247700</v>
      </c>
      <c r="G13" s="63">
        <v>46498000</v>
      </c>
      <c r="H13" s="63">
        <v>0</v>
      </c>
      <c r="I13" s="63">
        <v>-64000</v>
      </c>
      <c r="J13" s="63">
        <v>0</v>
      </c>
      <c r="K13" s="63">
        <v>-1186000</v>
      </c>
      <c r="L13" s="63">
        <v>45248000</v>
      </c>
      <c r="M13" s="63">
        <v>0</v>
      </c>
      <c r="N13" s="63">
        <v>0</v>
      </c>
      <c r="O13" s="63">
        <v>566000</v>
      </c>
      <c r="P13" s="63">
        <v>566000</v>
      </c>
      <c r="Q13" s="63">
        <v>-59000</v>
      </c>
      <c r="R13" s="63">
        <v>-22511000</v>
      </c>
      <c r="S13" s="63">
        <v>-4502000</v>
      </c>
      <c r="T13" s="63">
        <v>-18009000</v>
      </c>
      <c r="U13" s="63">
        <v>0</v>
      </c>
      <c r="V13" s="63">
        <v>0</v>
      </c>
      <c r="W13" s="63">
        <v>0</v>
      </c>
      <c r="X13" s="63">
        <v>-45081000</v>
      </c>
      <c r="Y13" s="63">
        <v>767933</v>
      </c>
      <c r="Z13" s="63">
        <v>-746767</v>
      </c>
      <c r="AB13" s="189" t="s">
        <v>768</v>
      </c>
    </row>
    <row r="14" spans="1:28" ht="12.75" x14ac:dyDescent="0.2">
      <c r="A14" s="90">
        <v>7</v>
      </c>
      <c r="B14" s="129" t="s">
        <v>616</v>
      </c>
      <c r="C14" s="198" t="s">
        <v>742</v>
      </c>
      <c r="D14" s="131" t="s">
        <v>743</v>
      </c>
      <c r="E14" s="132" t="s">
        <v>615</v>
      </c>
      <c r="F14" s="63">
        <v>-2467976</v>
      </c>
      <c r="G14" s="63">
        <v>51801659</v>
      </c>
      <c r="H14" s="63">
        <v>-155050</v>
      </c>
      <c r="I14" s="63">
        <v>0</v>
      </c>
      <c r="J14" s="63">
        <v>0</v>
      </c>
      <c r="K14" s="63">
        <v>0</v>
      </c>
      <c r="L14" s="63">
        <v>51646609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-24811792</v>
      </c>
      <c r="S14" s="63">
        <v>-4962359</v>
      </c>
      <c r="T14" s="63">
        <v>-19849434</v>
      </c>
      <c r="U14" s="63">
        <v>0</v>
      </c>
      <c r="V14" s="63">
        <v>0</v>
      </c>
      <c r="W14" s="63">
        <v>0</v>
      </c>
      <c r="X14" s="63">
        <v>-49623585</v>
      </c>
      <c r="Y14" s="63">
        <v>0</v>
      </c>
      <c r="Z14" s="63">
        <v>-444952</v>
      </c>
      <c r="AB14" s="189"/>
    </row>
    <row r="15" spans="1:28" ht="12.75" x14ac:dyDescent="0.2">
      <c r="A15" s="90">
        <v>8</v>
      </c>
      <c r="B15" s="129" t="s">
        <v>618</v>
      </c>
      <c r="C15" s="198" t="s">
        <v>742</v>
      </c>
      <c r="D15" s="131" t="s">
        <v>746</v>
      </c>
      <c r="E15" s="132" t="s">
        <v>617</v>
      </c>
      <c r="F15" s="63">
        <v>-1456522</v>
      </c>
      <c r="G15" s="63">
        <v>23195980</v>
      </c>
      <c r="H15" s="63">
        <v>0</v>
      </c>
      <c r="I15" s="63">
        <v>-263280</v>
      </c>
      <c r="J15" s="63">
        <v>51061</v>
      </c>
      <c r="K15" s="63">
        <v>-1250411</v>
      </c>
      <c r="L15" s="63">
        <v>21733350</v>
      </c>
      <c r="M15" s="63">
        <v>0</v>
      </c>
      <c r="N15" s="63">
        <v>0</v>
      </c>
      <c r="O15" s="63">
        <v>2129832</v>
      </c>
      <c r="P15" s="63">
        <v>2129832</v>
      </c>
      <c r="Q15" s="63">
        <v>-12174</v>
      </c>
      <c r="R15" s="63">
        <v>-11555568</v>
      </c>
      <c r="S15" s="63">
        <v>-2311114</v>
      </c>
      <c r="T15" s="63">
        <v>-9244454</v>
      </c>
      <c r="U15" s="63">
        <v>-126114</v>
      </c>
      <c r="V15" s="63">
        <v>0</v>
      </c>
      <c r="W15" s="63">
        <v>0</v>
      </c>
      <c r="X15" s="63">
        <v>-23249424</v>
      </c>
      <c r="Y15" s="63">
        <v>0</v>
      </c>
      <c r="Z15" s="63">
        <v>-842764</v>
      </c>
      <c r="AB15" s="189"/>
    </row>
    <row r="16" spans="1:28" ht="12.75" x14ac:dyDescent="0.2">
      <c r="A16" s="90">
        <v>9</v>
      </c>
      <c r="B16" s="129" t="s">
        <v>619</v>
      </c>
      <c r="C16" s="198" t="s">
        <v>747</v>
      </c>
      <c r="D16" s="131" t="s">
        <v>748</v>
      </c>
      <c r="E16" s="132" t="s">
        <v>554</v>
      </c>
      <c r="F16" s="63">
        <v>-1533855</v>
      </c>
      <c r="G16" s="63">
        <v>55199937</v>
      </c>
      <c r="H16" s="63">
        <v>-517691</v>
      </c>
      <c r="I16" s="63">
        <v>-322444</v>
      </c>
      <c r="J16" s="63">
        <v>0</v>
      </c>
      <c r="K16" s="63">
        <v>-3965314</v>
      </c>
      <c r="L16" s="63">
        <v>50394488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-25975756</v>
      </c>
      <c r="S16" s="63">
        <v>-10390303</v>
      </c>
      <c r="T16" s="63">
        <v>-15585454</v>
      </c>
      <c r="U16" s="63">
        <v>-204717</v>
      </c>
      <c r="V16" s="63">
        <v>0</v>
      </c>
      <c r="W16" s="63">
        <v>-1045812</v>
      </c>
      <c r="X16" s="63">
        <v>-53202042</v>
      </c>
      <c r="Y16" s="63">
        <v>1920000</v>
      </c>
      <c r="Z16" s="63">
        <v>-2421409</v>
      </c>
      <c r="AB16" s="189" t="s">
        <v>768</v>
      </c>
    </row>
    <row r="17" spans="1:28" ht="12.75" x14ac:dyDescent="0.2">
      <c r="A17" s="90">
        <v>10</v>
      </c>
      <c r="B17" s="129" t="s">
        <v>621</v>
      </c>
      <c r="C17" s="198" t="s">
        <v>747</v>
      </c>
      <c r="D17" s="131" t="s">
        <v>748</v>
      </c>
      <c r="E17" s="132" t="s">
        <v>620</v>
      </c>
      <c r="F17" s="63">
        <v>-15743735</v>
      </c>
      <c r="G17" s="63">
        <v>107798791</v>
      </c>
      <c r="H17" s="63">
        <v>0</v>
      </c>
      <c r="I17" s="63">
        <v>1800000</v>
      </c>
      <c r="J17" s="63">
        <v>0</v>
      </c>
      <c r="K17" s="63">
        <v>-5464000</v>
      </c>
      <c r="L17" s="63">
        <v>104134791</v>
      </c>
      <c r="M17" s="63">
        <v>0</v>
      </c>
      <c r="N17" s="63">
        <v>0</v>
      </c>
      <c r="O17" s="63">
        <v>8162881</v>
      </c>
      <c r="P17" s="63">
        <v>8162881</v>
      </c>
      <c r="Q17" s="63">
        <v>-272008</v>
      </c>
      <c r="R17" s="63">
        <v>-55536412</v>
      </c>
      <c r="S17" s="63">
        <v>-22214565</v>
      </c>
      <c r="T17" s="63">
        <v>-33321847</v>
      </c>
      <c r="U17" s="63">
        <v>-417855</v>
      </c>
      <c r="V17" s="63">
        <v>0</v>
      </c>
      <c r="W17" s="63">
        <v>0</v>
      </c>
      <c r="X17" s="63">
        <v>-111762687</v>
      </c>
      <c r="Y17" s="63">
        <v>0</v>
      </c>
      <c r="Z17" s="63">
        <v>-15208750</v>
      </c>
      <c r="AB17" s="189"/>
    </row>
    <row r="18" spans="1:28" ht="12.75" x14ac:dyDescent="0.2">
      <c r="A18" s="90">
        <v>11</v>
      </c>
      <c r="B18" s="129" t="s">
        <v>623</v>
      </c>
      <c r="C18" s="198" t="s">
        <v>749</v>
      </c>
      <c r="D18" s="131" t="s">
        <v>750</v>
      </c>
      <c r="E18" s="132" t="s">
        <v>622</v>
      </c>
      <c r="F18" s="63">
        <v>198066</v>
      </c>
      <c r="G18" s="63">
        <v>53504939</v>
      </c>
      <c r="H18" s="63">
        <v>0</v>
      </c>
      <c r="I18" s="63">
        <v>-1861703</v>
      </c>
      <c r="J18" s="63">
        <v>2253442</v>
      </c>
      <c r="K18" s="63">
        <v>-2691972</v>
      </c>
      <c r="L18" s="63">
        <v>51204706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-25051813</v>
      </c>
      <c r="S18" s="63">
        <v>-504748</v>
      </c>
      <c r="T18" s="63">
        <v>-24635572</v>
      </c>
      <c r="U18" s="63">
        <v>-739579</v>
      </c>
      <c r="V18" s="63">
        <v>-29305</v>
      </c>
      <c r="W18" s="63">
        <v>-198066</v>
      </c>
      <c r="X18" s="63">
        <v>-51159083</v>
      </c>
      <c r="Y18" s="63">
        <v>0</v>
      </c>
      <c r="Z18" s="63">
        <v>243689</v>
      </c>
      <c r="AB18" s="189"/>
    </row>
    <row r="19" spans="1:28" ht="12.75" x14ac:dyDescent="0.2">
      <c r="A19" s="90">
        <v>12</v>
      </c>
      <c r="B19" s="129" t="s">
        <v>625</v>
      </c>
      <c r="C19" s="198" t="s">
        <v>742</v>
      </c>
      <c r="D19" s="131" t="s">
        <v>744</v>
      </c>
      <c r="E19" s="132" t="s">
        <v>624</v>
      </c>
      <c r="F19" s="63">
        <v>-573420</v>
      </c>
      <c r="G19" s="63">
        <v>22729338</v>
      </c>
      <c r="H19" s="63">
        <v>0</v>
      </c>
      <c r="I19" s="63">
        <v>-243528</v>
      </c>
      <c r="J19" s="63">
        <v>186411</v>
      </c>
      <c r="K19" s="63">
        <v>-111508</v>
      </c>
      <c r="L19" s="63">
        <v>22560713</v>
      </c>
      <c r="M19" s="63">
        <v>0</v>
      </c>
      <c r="N19" s="63">
        <v>0</v>
      </c>
      <c r="O19" s="63">
        <v>261135</v>
      </c>
      <c r="P19" s="63">
        <v>261135</v>
      </c>
      <c r="Q19" s="63">
        <v>0</v>
      </c>
      <c r="R19" s="63">
        <v>-12122249</v>
      </c>
      <c r="S19" s="63">
        <v>-2424450</v>
      </c>
      <c r="T19" s="63">
        <v>-9697799</v>
      </c>
      <c r="U19" s="63">
        <v>-96916</v>
      </c>
      <c r="V19" s="63">
        <v>0</v>
      </c>
      <c r="W19" s="63">
        <v>-603902</v>
      </c>
      <c r="X19" s="63">
        <v>-24945316</v>
      </c>
      <c r="Y19" s="63">
        <v>0</v>
      </c>
      <c r="Z19" s="63">
        <v>-2696888</v>
      </c>
      <c r="AB19" s="189"/>
    </row>
    <row r="20" spans="1:28" ht="12.75" x14ac:dyDescent="0.2">
      <c r="A20" s="90">
        <v>13</v>
      </c>
      <c r="B20" s="129" t="s">
        <v>627</v>
      </c>
      <c r="C20" s="198" t="s">
        <v>742</v>
      </c>
      <c r="D20" s="131" t="s">
        <v>746</v>
      </c>
      <c r="E20" s="132" t="s">
        <v>626</v>
      </c>
      <c r="F20" s="63">
        <v>-2077354</v>
      </c>
      <c r="G20" s="63">
        <v>81476301</v>
      </c>
      <c r="H20" s="63">
        <v>0</v>
      </c>
      <c r="I20" s="63">
        <v>-371000</v>
      </c>
      <c r="J20" s="63">
        <v>2832993</v>
      </c>
      <c r="K20" s="63">
        <v>-3657993</v>
      </c>
      <c r="L20" s="63">
        <v>80280301</v>
      </c>
      <c r="M20" s="63">
        <v>6128</v>
      </c>
      <c r="N20" s="63">
        <v>0</v>
      </c>
      <c r="O20" s="63">
        <v>0</v>
      </c>
      <c r="P20" s="63">
        <v>6128</v>
      </c>
      <c r="Q20" s="63">
        <v>0</v>
      </c>
      <c r="R20" s="63">
        <v>-40632926</v>
      </c>
      <c r="S20" s="63">
        <v>-8126586</v>
      </c>
      <c r="T20" s="63">
        <v>-32506395</v>
      </c>
      <c r="U20" s="63">
        <v>-238792</v>
      </c>
      <c r="V20" s="63">
        <v>0</v>
      </c>
      <c r="W20" s="63">
        <v>-4655416</v>
      </c>
      <c r="X20" s="63">
        <v>-86160115</v>
      </c>
      <c r="Y20" s="63">
        <v>0</v>
      </c>
      <c r="Z20" s="63">
        <v>-7951040</v>
      </c>
      <c r="AB20" s="189"/>
    </row>
    <row r="21" spans="1:28" ht="12.75" x14ac:dyDescent="0.2">
      <c r="A21" s="90">
        <v>14</v>
      </c>
      <c r="B21" s="129" t="s">
        <v>629</v>
      </c>
      <c r="C21" s="198" t="s">
        <v>742</v>
      </c>
      <c r="D21" s="131" t="s">
        <v>743</v>
      </c>
      <c r="E21" s="132" t="s">
        <v>628</v>
      </c>
      <c r="F21" s="63">
        <v>-2523674</v>
      </c>
      <c r="G21" s="63">
        <v>74118679</v>
      </c>
      <c r="H21" s="63">
        <v>0</v>
      </c>
      <c r="I21" s="63">
        <v>-200000</v>
      </c>
      <c r="J21" s="63">
        <v>0</v>
      </c>
      <c r="K21" s="63">
        <v>-1000000</v>
      </c>
      <c r="L21" s="63">
        <v>72918679</v>
      </c>
      <c r="M21" s="63">
        <v>819418</v>
      </c>
      <c r="N21" s="63">
        <v>0</v>
      </c>
      <c r="O21" s="63">
        <v>462329</v>
      </c>
      <c r="P21" s="63">
        <v>1281747</v>
      </c>
      <c r="Q21" s="63">
        <v>0</v>
      </c>
      <c r="R21" s="63">
        <v>-37397997</v>
      </c>
      <c r="S21" s="63">
        <v>-7479599</v>
      </c>
      <c r="T21" s="63">
        <v>-29918398</v>
      </c>
      <c r="U21" s="63">
        <v>-474499</v>
      </c>
      <c r="V21" s="63">
        <v>0</v>
      </c>
      <c r="W21" s="63">
        <v>0</v>
      </c>
      <c r="X21" s="63">
        <v>-75270493</v>
      </c>
      <c r="Y21" s="63">
        <v>0</v>
      </c>
      <c r="Z21" s="63">
        <v>-3593741</v>
      </c>
      <c r="AB21" s="189"/>
    </row>
    <row r="22" spans="1:28" ht="12.75" x14ac:dyDescent="0.2">
      <c r="A22" s="90">
        <v>15</v>
      </c>
      <c r="B22" s="129" t="s">
        <v>631</v>
      </c>
      <c r="C22" s="198" t="s">
        <v>742</v>
      </c>
      <c r="D22" s="131" t="s">
        <v>745</v>
      </c>
      <c r="E22" s="132" t="s">
        <v>630</v>
      </c>
      <c r="F22" s="63">
        <v>6642614</v>
      </c>
      <c r="G22" s="63">
        <v>53542000</v>
      </c>
      <c r="H22" s="63">
        <v>0</v>
      </c>
      <c r="I22" s="63">
        <v>-800000</v>
      </c>
      <c r="J22" s="63">
        <v>1300000</v>
      </c>
      <c r="K22" s="63">
        <v>-4000000</v>
      </c>
      <c r="L22" s="63">
        <v>50042000</v>
      </c>
      <c r="M22" s="63">
        <v>190000</v>
      </c>
      <c r="N22" s="63">
        <v>0</v>
      </c>
      <c r="O22" s="63">
        <v>0</v>
      </c>
      <c r="P22" s="63">
        <v>190000</v>
      </c>
      <c r="Q22" s="63">
        <v>0</v>
      </c>
      <c r="R22" s="63">
        <v>-23928547</v>
      </c>
      <c r="S22" s="63">
        <v>-4758709</v>
      </c>
      <c r="T22" s="63">
        <v>-19142837</v>
      </c>
      <c r="U22" s="63">
        <v>-318366</v>
      </c>
      <c r="V22" s="63">
        <v>-374281</v>
      </c>
      <c r="W22" s="63">
        <v>-1830921</v>
      </c>
      <c r="X22" s="63">
        <v>-50353661</v>
      </c>
      <c r="Y22" s="63">
        <v>500000</v>
      </c>
      <c r="Z22" s="63">
        <v>7020953</v>
      </c>
      <c r="AB22" s="189" t="s">
        <v>768</v>
      </c>
    </row>
    <row r="23" spans="1:28" ht="12.75" x14ac:dyDescent="0.2">
      <c r="A23" s="90">
        <v>16</v>
      </c>
      <c r="B23" s="129" t="s">
        <v>633</v>
      </c>
      <c r="C23" s="198" t="s">
        <v>501</v>
      </c>
      <c r="D23" s="131" t="s">
        <v>751</v>
      </c>
      <c r="E23" s="132" t="s">
        <v>632</v>
      </c>
      <c r="F23" s="63">
        <v>-2224733</v>
      </c>
      <c r="G23" s="63">
        <v>66775595</v>
      </c>
      <c r="H23" s="63">
        <v>0</v>
      </c>
      <c r="I23" s="63">
        <v>-563000</v>
      </c>
      <c r="J23" s="63">
        <v>897405</v>
      </c>
      <c r="K23" s="63">
        <v>-1946000</v>
      </c>
      <c r="L23" s="63">
        <v>65164000</v>
      </c>
      <c r="M23" s="63">
        <v>0</v>
      </c>
      <c r="N23" s="63">
        <v>3740</v>
      </c>
      <c r="O23" s="63">
        <v>377190</v>
      </c>
      <c r="P23" s="63">
        <v>380930</v>
      </c>
      <c r="Q23" s="63">
        <v>-37000</v>
      </c>
      <c r="R23" s="63">
        <v>-32225748</v>
      </c>
      <c r="S23" s="63">
        <v>-644515</v>
      </c>
      <c r="T23" s="63">
        <v>-31581233</v>
      </c>
      <c r="U23" s="63">
        <v>-1027656</v>
      </c>
      <c r="V23" s="63">
        <v>-126381</v>
      </c>
      <c r="W23" s="63">
        <v>0</v>
      </c>
      <c r="X23" s="63">
        <v>-65642533</v>
      </c>
      <c r="Y23" s="63">
        <v>0</v>
      </c>
      <c r="Z23" s="63">
        <v>-2322336</v>
      </c>
      <c r="AB23" s="189"/>
    </row>
    <row r="24" spans="1:28" ht="12.75" x14ac:dyDescent="0.2">
      <c r="A24" s="90">
        <v>17</v>
      </c>
      <c r="B24" s="129" t="s">
        <v>635</v>
      </c>
      <c r="C24" s="198" t="s">
        <v>501</v>
      </c>
      <c r="D24" s="131" t="s">
        <v>746</v>
      </c>
      <c r="E24" s="132" t="s">
        <v>634</v>
      </c>
      <c r="F24" s="63">
        <v>-2108000</v>
      </c>
      <c r="G24" s="63">
        <v>65563062</v>
      </c>
      <c r="H24" s="63">
        <v>0</v>
      </c>
      <c r="I24" s="63">
        <v>-810000</v>
      </c>
      <c r="J24" s="63">
        <v>2186361</v>
      </c>
      <c r="K24" s="63">
        <v>-3063782</v>
      </c>
      <c r="L24" s="63">
        <v>63875641</v>
      </c>
      <c r="M24" s="63">
        <v>0</v>
      </c>
      <c r="N24" s="63">
        <v>0</v>
      </c>
      <c r="O24" s="63">
        <v>0</v>
      </c>
      <c r="P24" s="63">
        <v>0</v>
      </c>
      <c r="Q24" s="63">
        <v>-335098</v>
      </c>
      <c r="R24" s="63">
        <v>-32388763</v>
      </c>
      <c r="S24" s="63">
        <v>-647775</v>
      </c>
      <c r="T24" s="63">
        <v>-31740987</v>
      </c>
      <c r="U24" s="63">
        <v>-232529</v>
      </c>
      <c r="V24" s="63">
        <v>0</v>
      </c>
      <c r="W24" s="63">
        <v>-420409</v>
      </c>
      <c r="X24" s="63">
        <v>-65765561</v>
      </c>
      <c r="Y24" s="63">
        <v>0</v>
      </c>
      <c r="Z24" s="63">
        <v>-3997920</v>
      </c>
      <c r="AB24" s="189"/>
    </row>
    <row r="25" spans="1:28" ht="12.75" x14ac:dyDescent="0.2">
      <c r="A25" s="90">
        <v>18</v>
      </c>
      <c r="B25" s="129" t="s">
        <v>637</v>
      </c>
      <c r="C25" s="198" t="s">
        <v>747</v>
      </c>
      <c r="D25" s="131" t="s">
        <v>748</v>
      </c>
      <c r="E25" s="132" t="s">
        <v>636</v>
      </c>
      <c r="F25" s="63">
        <v>-2744197</v>
      </c>
      <c r="G25" s="63">
        <v>70703872</v>
      </c>
      <c r="H25" s="63">
        <v>0</v>
      </c>
      <c r="I25" s="63">
        <v>-300000</v>
      </c>
      <c r="J25" s="63">
        <v>0</v>
      </c>
      <c r="K25" s="63">
        <v>-1137000</v>
      </c>
      <c r="L25" s="63">
        <v>69266872</v>
      </c>
      <c r="M25" s="63">
        <v>0</v>
      </c>
      <c r="N25" s="63">
        <v>0</v>
      </c>
      <c r="O25" s="63">
        <v>0</v>
      </c>
      <c r="P25" s="63">
        <v>0</v>
      </c>
      <c r="Q25" s="63">
        <v>-137172</v>
      </c>
      <c r="R25" s="63">
        <v>-33943001</v>
      </c>
      <c r="S25" s="63">
        <v>-13577200</v>
      </c>
      <c r="T25" s="63">
        <v>-20365800</v>
      </c>
      <c r="U25" s="63">
        <v>-255418</v>
      </c>
      <c r="V25" s="63">
        <v>0</v>
      </c>
      <c r="W25" s="63">
        <v>0</v>
      </c>
      <c r="X25" s="63">
        <v>-68278591</v>
      </c>
      <c r="Y25" s="63">
        <v>0</v>
      </c>
      <c r="Z25" s="63">
        <v>-1755916</v>
      </c>
      <c r="AB25" s="189"/>
    </row>
    <row r="26" spans="1:28" ht="12.75" x14ac:dyDescent="0.2">
      <c r="A26" s="90">
        <v>19</v>
      </c>
      <c r="B26" s="129" t="s">
        <v>639</v>
      </c>
      <c r="C26" s="198" t="s">
        <v>749</v>
      </c>
      <c r="D26" s="131" t="s">
        <v>752</v>
      </c>
      <c r="E26" s="132" t="s">
        <v>638</v>
      </c>
      <c r="F26" s="63">
        <v>-31743860</v>
      </c>
      <c r="G26" s="63">
        <v>438805997</v>
      </c>
      <c r="H26" s="63">
        <v>-2000000</v>
      </c>
      <c r="I26" s="63">
        <v>-8802891</v>
      </c>
      <c r="J26" s="63">
        <v>0</v>
      </c>
      <c r="K26" s="63">
        <v>-38128935</v>
      </c>
      <c r="L26" s="63">
        <v>389874171</v>
      </c>
      <c r="M26" s="63">
        <v>1236717</v>
      </c>
      <c r="N26" s="63">
        <v>1461706</v>
      </c>
      <c r="O26" s="63">
        <v>4617340</v>
      </c>
      <c r="P26" s="63">
        <v>7315763</v>
      </c>
      <c r="Q26" s="63">
        <v>0</v>
      </c>
      <c r="R26" s="63">
        <v>-201912416</v>
      </c>
      <c r="S26" s="63">
        <v>-4048746</v>
      </c>
      <c r="T26" s="63">
        <v>-198388570</v>
      </c>
      <c r="U26" s="63">
        <v>-7443278</v>
      </c>
      <c r="V26" s="63">
        <v>0</v>
      </c>
      <c r="W26" s="63">
        <v>0</v>
      </c>
      <c r="X26" s="63">
        <v>-411793010</v>
      </c>
      <c r="Y26" s="63">
        <v>9698280</v>
      </c>
      <c r="Z26" s="63">
        <v>-36648656</v>
      </c>
      <c r="AB26" s="189" t="s">
        <v>768</v>
      </c>
    </row>
    <row r="27" spans="1:28" ht="12.75" x14ac:dyDescent="0.2">
      <c r="A27" s="90">
        <v>20</v>
      </c>
      <c r="B27" s="129" t="s">
        <v>641</v>
      </c>
      <c r="C27" s="198" t="s">
        <v>742</v>
      </c>
      <c r="D27" s="131" t="s">
        <v>745</v>
      </c>
      <c r="E27" s="132" t="s">
        <v>640</v>
      </c>
      <c r="F27" s="63">
        <v>-4201162</v>
      </c>
      <c r="G27" s="63">
        <v>41405499</v>
      </c>
      <c r="H27" s="63">
        <v>-10158</v>
      </c>
      <c r="I27" s="63">
        <v>-239062</v>
      </c>
      <c r="J27" s="63">
        <v>917313</v>
      </c>
      <c r="K27" s="63">
        <v>-1157919</v>
      </c>
      <c r="L27" s="63">
        <v>40915673</v>
      </c>
      <c r="M27" s="63">
        <v>0</v>
      </c>
      <c r="N27" s="63">
        <v>0</v>
      </c>
      <c r="O27" s="63">
        <v>3107021</v>
      </c>
      <c r="P27" s="63">
        <v>3107021</v>
      </c>
      <c r="Q27" s="63">
        <v>0</v>
      </c>
      <c r="R27" s="63">
        <v>-21350781</v>
      </c>
      <c r="S27" s="63">
        <v>-4270157</v>
      </c>
      <c r="T27" s="63">
        <v>-17080625</v>
      </c>
      <c r="U27" s="63">
        <v>-101936</v>
      </c>
      <c r="V27" s="63">
        <v>0</v>
      </c>
      <c r="W27" s="63">
        <v>0</v>
      </c>
      <c r="X27" s="63">
        <v>-42803499</v>
      </c>
      <c r="Y27" s="63">
        <v>0</v>
      </c>
      <c r="Z27" s="63">
        <v>-2981967</v>
      </c>
      <c r="AB27" s="189"/>
    </row>
    <row r="28" spans="1:28" ht="12.75" x14ac:dyDescent="0.2">
      <c r="A28" s="90">
        <v>21</v>
      </c>
      <c r="B28" s="129" t="s">
        <v>642</v>
      </c>
      <c r="C28" s="198" t="s">
        <v>501</v>
      </c>
      <c r="D28" s="131" t="s">
        <v>744</v>
      </c>
      <c r="E28" s="132" t="s">
        <v>538</v>
      </c>
      <c r="F28" s="63">
        <v>-265083</v>
      </c>
      <c r="G28" s="63">
        <v>47721000</v>
      </c>
      <c r="H28" s="63">
        <v>0</v>
      </c>
      <c r="I28" s="63">
        <v>-600000</v>
      </c>
      <c r="J28" s="63">
        <v>2500000</v>
      </c>
      <c r="K28" s="63">
        <v>-3000000</v>
      </c>
      <c r="L28" s="63">
        <v>46621000</v>
      </c>
      <c r="M28" s="63">
        <v>0</v>
      </c>
      <c r="N28" s="63">
        <v>0</v>
      </c>
      <c r="O28" s="63">
        <v>1343451</v>
      </c>
      <c r="P28" s="63">
        <v>1343451</v>
      </c>
      <c r="Q28" s="63">
        <v>-122000</v>
      </c>
      <c r="R28" s="63">
        <v>-23238112</v>
      </c>
      <c r="S28" s="63">
        <v>-464762</v>
      </c>
      <c r="T28" s="63">
        <v>-22773350</v>
      </c>
      <c r="U28" s="63">
        <v>-252776</v>
      </c>
      <c r="V28" s="63">
        <v>0</v>
      </c>
      <c r="W28" s="63">
        <v>0</v>
      </c>
      <c r="X28" s="63">
        <v>-46851000</v>
      </c>
      <c r="Y28" s="63">
        <v>0</v>
      </c>
      <c r="Z28" s="63">
        <v>848368</v>
      </c>
      <c r="AB28" s="189"/>
    </row>
    <row r="29" spans="1:28" ht="12.75" x14ac:dyDescent="0.2">
      <c r="A29" s="90">
        <v>22</v>
      </c>
      <c r="B29" s="129" t="s">
        <v>643</v>
      </c>
      <c r="C29" s="198" t="s">
        <v>501</v>
      </c>
      <c r="D29" s="131" t="s">
        <v>744</v>
      </c>
      <c r="E29" s="132" t="s">
        <v>539</v>
      </c>
      <c r="F29" s="63">
        <v>-11351798</v>
      </c>
      <c r="G29" s="63">
        <v>47000000</v>
      </c>
      <c r="H29" s="63">
        <v>-150000</v>
      </c>
      <c r="I29" s="63">
        <v>-1850000</v>
      </c>
      <c r="J29" s="63">
        <v>6000000</v>
      </c>
      <c r="K29" s="63">
        <v>-1000000</v>
      </c>
      <c r="L29" s="63">
        <v>50000000</v>
      </c>
      <c r="M29" s="63">
        <v>0</v>
      </c>
      <c r="N29" s="63">
        <v>0</v>
      </c>
      <c r="O29" s="63">
        <v>7531725</v>
      </c>
      <c r="P29" s="63">
        <v>7531725</v>
      </c>
      <c r="Q29" s="63">
        <v>-350000</v>
      </c>
      <c r="R29" s="63">
        <v>-24486767</v>
      </c>
      <c r="S29" s="63">
        <v>-489735</v>
      </c>
      <c r="T29" s="63">
        <v>-23997031</v>
      </c>
      <c r="U29" s="63">
        <v>-274824</v>
      </c>
      <c r="V29" s="63">
        <v>0</v>
      </c>
      <c r="W29" s="63">
        <v>0</v>
      </c>
      <c r="X29" s="63">
        <v>-49598357</v>
      </c>
      <c r="Y29" s="63">
        <v>0</v>
      </c>
      <c r="Z29" s="63">
        <v>-3418430</v>
      </c>
      <c r="AB29" s="189"/>
    </row>
    <row r="30" spans="1:28" ht="12.75" x14ac:dyDescent="0.2">
      <c r="A30" s="90">
        <v>23</v>
      </c>
      <c r="B30" s="129" t="s">
        <v>645</v>
      </c>
      <c r="C30" s="198" t="s">
        <v>742</v>
      </c>
      <c r="D30" s="131" t="s">
        <v>745</v>
      </c>
      <c r="E30" s="132" t="s">
        <v>644</v>
      </c>
      <c r="F30" s="63">
        <v>-1920499</v>
      </c>
      <c r="G30" s="63">
        <v>23370950</v>
      </c>
      <c r="H30" s="63">
        <v>-24090</v>
      </c>
      <c r="I30" s="63">
        <v>0</v>
      </c>
      <c r="J30" s="63">
        <v>1090684</v>
      </c>
      <c r="K30" s="63">
        <v>-738341</v>
      </c>
      <c r="L30" s="63">
        <v>23699203</v>
      </c>
      <c r="M30" s="63">
        <v>511196</v>
      </c>
      <c r="N30" s="63">
        <v>0</v>
      </c>
      <c r="O30" s="63">
        <v>165264</v>
      </c>
      <c r="P30" s="63">
        <v>676460</v>
      </c>
      <c r="Q30" s="63">
        <v>0</v>
      </c>
      <c r="R30" s="63">
        <v>-11981758</v>
      </c>
      <c r="S30" s="63">
        <v>-2396351</v>
      </c>
      <c r="T30" s="63">
        <v>-9585406</v>
      </c>
      <c r="U30" s="63">
        <v>-114039</v>
      </c>
      <c r="V30" s="63">
        <v>0</v>
      </c>
      <c r="W30" s="63">
        <v>0</v>
      </c>
      <c r="X30" s="63">
        <v>-24077554</v>
      </c>
      <c r="Y30" s="63">
        <v>0</v>
      </c>
      <c r="Z30" s="63">
        <v>-1622390</v>
      </c>
      <c r="AB30" s="189"/>
    </row>
    <row r="31" spans="1:28" ht="12.75" x14ac:dyDescent="0.2">
      <c r="A31" s="90">
        <v>24</v>
      </c>
      <c r="B31" s="129" t="s">
        <v>647</v>
      </c>
      <c r="C31" s="198" t="s">
        <v>749</v>
      </c>
      <c r="D31" s="131" t="s">
        <v>744</v>
      </c>
      <c r="E31" s="132" t="s">
        <v>646</v>
      </c>
      <c r="F31" s="63">
        <v>-14723000</v>
      </c>
      <c r="G31" s="63">
        <v>84355620</v>
      </c>
      <c r="H31" s="63">
        <v>-1200000</v>
      </c>
      <c r="I31" s="63">
        <v>0</v>
      </c>
      <c r="J31" s="63">
        <v>4648687</v>
      </c>
      <c r="K31" s="63">
        <v>-500000</v>
      </c>
      <c r="L31" s="63">
        <v>87304307</v>
      </c>
      <c r="M31" s="63">
        <v>0</v>
      </c>
      <c r="N31" s="63">
        <v>0</v>
      </c>
      <c r="O31" s="63">
        <v>4922940</v>
      </c>
      <c r="P31" s="63">
        <v>4922940</v>
      </c>
      <c r="Q31" s="63">
        <v>-365747</v>
      </c>
      <c r="R31" s="63">
        <v>-43671056</v>
      </c>
      <c r="S31" s="63">
        <v>-873421</v>
      </c>
      <c r="T31" s="63">
        <v>-42797635</v>
      </c>
      <c r="U31" s="63">
        <v>0</v>
      </c>
      <c r="V31" s="63">
        <v>0</v>
      </c>
      <c r="W31" s="63">
        <v>0</v>
      </c>
      <c r="X31" s="63">
        <v>-87707859</v>
      </c>
      <c r="Y31" s="63">
        <v>0</v>
      </c>
      <c r="Z31" s="63">
        <v>-10203612</v>
      </c>
      <c r="AB31" s="189"/>
    </row>
    <row r="32" spans="1:28" ht="12.75" x14ac:dyDescent="0.2">
      <c r="A32" s="90">
        <v>25</v>
      </c>
      <c r="B32" s="129" t="s">
        <v>649</v>
      </c>
      <c r="C32" s="198" t="s">
        <v>742</v>
      </c>
      <c r="D32" s="131" t="s">
        <v>745</v>
      </c>
      <c r="E32" s="132" t="s">
        <v>648</v>
      </c>
      <c r="F32" s="63">
        <v>-2043814</v>
      </c>
      <c r="G32" s="63">
        <v>19090176</v>
      </c>
      <c r="H32" s="63">
        <v>0</v>
      </c>
      <c r="I32" s="63">
        <v>-200000</v>
      </c>
      <c r="J32" s="63">
        <v>0</v>
      </c>
      <c r="K32" s="63">
        <v>-300000</v>
      </c>
      <c r="L32" s="63">
        <v>18590176</v>
      </c>
      <c r="M32" s="63">
        <v>0</v>
      </c>
      <c r="N32" s="63">
        <v>0</v>
      </c>
      <c r="O32" s="63">
        <v>1243516</v>
      </c>
      <c r="P32" s="63">
        <v>1243516</v>
      </c>
      <c r="Q32" s="63">
        <v>-137595</v>
      </c>
      <c r="R32" s="63">
        <v>-9479838</v>
      </c>
      <c r="S32" s="63">
        <v>-1895968</v>
      </c>
      <c r="T32" s="63">
        <v>-7583870</v>
      </c>
      <c r="U32" s="63">
        <v>-76698</v>
      </c>
      <c r="V32" s="63">
        <v>-87465</v>
      </c>
      <c r="W32" s="63">
        <v>0</v>
      </c>
      <c r="X32" s="63">
        <v>-19261434</v>
      </c>
      <c r="Y32" s="63">
        <v>0</v>
      </c>
      <c r="Z32" s="63">
        <v>-1471556</v>
      </c>
      <c r="AB32" s="189"/>
    </row>
    <row r="33" spans="1:28" ht="12.75" x14ac:dyDescent="0.2">
      <c r="A33" s="90">
        <v>26</v>
      </c>
      <c r="B33" s="129" t="s">
        <v>650</v>
      </c>
      <c r="C33" s="198" t="s">
        <v>501</v>
      </c>
      <c r="D33" s="131" t="s">
        <v>751</v>
      </c>
      <c r="E33" s="132" t="s">
        <v>525</v>
      </c>
      <c r="F33" s="63">
        <v>-4795304</v>
      </c>
      <c r="G33" s="63">
        <v>67510118</v>
      </c>
      <c r="H33" s="63">
        <v>0</v>
      </c>
      <c r="I33" s="63">
        <v>-460386</v>
      </c>
      <c r="J33" s="63">
        <v>903276</v>
      </c>
      <c r="K33" s="63">
        <v>-883363</v>
      </c>
      <c r="L33" s="63">
        <v>67069645</v>
      </c>
      <c r="M33" s="63">
        <v>0</v>
      </c>
      <c r="N33" s="63">
        <v>0</v>
      </c>
      <c r="O33" s="63">
        <v>5092207</v>
      </c>
      <c r="P33" s="63">
        <v>5092207</v>
      </c>
      <c r="Q33" s="63">
        <v>0</v>
      </c>
      <c r="R33" s="63">
        <v>-33119313</v>
      </c>
      <c r="S33" s="63">
        <v>-662386</v>
      </c>
      <c r="T33" s="63">
        <v>-32456926</v>
      </c>
      <c r="U33" s="63">
        <v>-302741</v>
      </c>
      <c r="V33" s="63">
        <v>0</v>
      </c>
      <c r="W33" s="63">
        <v>0</v>
      </c>
      <c r="X33" s="63">
        <v>-66541366</v>
      </c>
      <c r="Y33" s="63">
        <v>580000</v>
      </c>
      <c r="Z33" s="63">
        <v>1405182</v>
      </c>
      <c r="AB33" s="189" t="s">
        <v>768</v>
      </c>
    </row>
    <row r="34" spans="1:28" ht="12.75" x14ac:dyDescent="0.2">
      <c r="A34" s="90">
        <v>27</v>
      </c>
      <c r="B34" s="129" t="s">
        <v>651</v>
      </c>
      <c r="C34" s="198" t="s">
        <v>501</v>
      </c>
      <c r="D34" s="131" t="s">
        <v>743</v>
      </c>
      <c r="E34" s="132" t="s">
        <v>505</v>
      </c>
      <c r="F34" s="63">
        <v>-12503829</v>
      </c>
      <c r="G34" s="63">
        <v>70903339</v>
      </c>
      <c r="H34" s="63">
        <v>0</v>
      </c>
      <c r="I34" s="63">
        <v>-300000</v>
      </c>
      <c r="J34" s="63">
        <v>1174538</v>
      </c>
      <c r="K34" s="63">
        <v>-10788725</v>
      </c>
      <c r="L34" s="63">
        <v>60989152</v>
      </c>
      <c r="M34" s="63">
        <v>0</v>
      </c>
      <c r="N34" s="63">
        <v>0</v>
      </c>
      <c r="O34" s="63">
        <v>0</v>
      </c>
      <c r="P34" s="63">
        <v>0</v>
      </c>
      <c r="Q34" s="63">
        <v>-38376</v>
      </c>
      <c r="R34" s="63">
        <v>-36005761</v>
      </c>
      <c r="S34" s="63">
        <v>-720115</v>
      </c>
      <c r="T34" s="63">
        <v>-35285645</v>
      </c>
      <c r="U34" s="63">
        <v>-151426</v>
      </c>
      <c r="V34" s="63">
        <v>0</v>
      </c>
      <c r="W34" s="63">
        <v>-371842</v>
      </c>
      <c r="X34" s="63">
        <v>-72573165</v>
      </c>
      <c r="Y34" s="63">
        <v>0</v>
      </c>
      <c r="Z34" s="63">
        <v>-24087842</v>
      </c>
      <c r="AB34" s="189"/>
    </row>
    <row r="35" spans="1:28" ht="12.75" x14ac:dyDescent="0.2">
      <c r="A35" s="90">
        <v>28</v>
      </c>
      <c r="B35" s="129" t="s">
        <v>653</v>
      </c>
      <c r="C35" s="198" t="s">
        <v>749</v>
      </c>
      <c r="D35" s="131" t="s">
        <v>750</v>
      </c>
      <c r="E35" s="132" t="s">
        <v>652</v>
      </c>
      <c r="F35" s="63">
        <v>-14550859</v>
      </c>
      <c r="G35" s="63">
        <v>139825578</v>
      </c>
      <c r="H35" s="63">
        <v>0</v>
      </c>
      <c r="I35" s="63">
        <v>-2618000</v>
      </c>
      <c r="J35" s="63">
        <v>7768874</v>
      </c>
      <c r="K35" s="63">
        <v>-12528216</v>
      </c>
      <c r="L35" s="63">
        <v>132448236</v>
      </c>
      <c r="M35" s="63">
        <v>0</v>
      </c>
      <c r="N35" s="63">
        <v>0</v>
      </c>
      <c r="O35" s="63">
        <v>0</v>
      </c>
      <c r="P35" s="63">
        <v>0</v>
      </c>
      <c r="Q35" s="63">
        <v>-741394</v>
      </c>
      <c r="R35" s="63">
        <v>-69916383</v>
      </c>
      <c r="S35" s="63">
        <v>-1398328</v>
      </c>
      <c r="T35" s="63">
        <v>-68518055</v>
      </c>
      <c r="U35" s="63">
        <v>-738017</v>
      </c>
      <c r="V35" s="63">
        <v>0</v>
      </c>
      <c r="W35" s="63">
        <v>-414966</v>
      </c>
      <c r="X35" s="63">
        <v>-141727143</v>
      </c>
      <c r="Y35" s="63">
        <v>2638395</v>
      </c>
      <c r="Z35" s="63">
        <v>-21191371</v>
      </c>
      <c r="AB35" s="189" t="s">
        <v>768</v>
      </c>
    </row>
    <row r="36" spans="1:28" ht="12.75" x14ac:dyDescent="0.2">
      <c r="A36" s="90">
        <v>29</v>
      </c>
      <c r="B36" s="129" t="s">
        <v>655</v>
      </c>
      <c r="C36" s="198" t="s">
        <v>742</v>
      </c>
      <c r="D36" s="131" t="s">
        <v>746</v>
      </c>
      <c r="E36" s="132" t="s">
        <v>654</v>
      </c>
      <c r="F36" s="63">
        <v>-889726</v>
      </c>
      <c r="G36" s="63">
        <v>43378277</v>
      </c>
      <c r="H36" s="63">
        <v>0</v>
      </c>
      <c r="I36" s="63">
        <v>-653000</v>
      </c>
      <c r="J36" s="63">
        <v>209786</v>
      </c>
      <c r="K36" s="63">
        <v>-1265906</v>
      </c>
      <c r="L36" s="63">
        <v>41669157</v>
      </c>
      <c r="M36" s="63">
        <v>0</v>
      </c>
      <c r="N36" s="63">
        <v>0</v>
      </c>
      <c r="O36" s="63">
        <v>0</v>
      </c>
      <c r="P36" s="63">
        <v>0</v>
      </c>
      <c r="Q36" s="63">
        <v>-207100</v>
      </c>
      <c r="R36" s="63">
        <v>-20299070</v>
      </c>
      <c r="S36" s="63">
        <v>-4059814</v>
      </c>
      <c r="T36" s="63">
        <v>-16239256</v>
      </c>
      <c r="U36" s="63">
        <v>-188104</v>
      </c>
      <c r="V36" s="63">
        <v>0</v>
      </c>
      <c r="W36" s="63">
        <v>-813925</v>
      </c>
      <c r="X36" s="63">
        <v>-41807269</v>
      </c>
      <c r="Y36" s="63">
        <v>0</v>
      </c>
      <c r="Z36" s="63">
        <v>-1027838</v>
      </c>
      <c r="AB36" s="189"/>
    </row>
    <row r="37" spans="1:28" ht="12.75" x14ac:dyDescent="0.2">
      <c r="A37" s="90">
        <v>30</v>
      </c>
      <c r="B37" s="129" t="s">
        <v>657</v>
      </c>
      <c r="C37" s="198" t="s">
        <v>742</v>
      </c>
      <c r="D37" s="131" t="s">
        <v>746</v>
      </c>
      <c r="E37" s="132" t="s">
        <v>656</v>
      </c>
      <c r="F37" s="63">
        <v>-707724</v>
      </c>
      <c r="G37" s="63">
        <v>30330222</v>
      </c>
      <c r="H37" s="63">
        <v>0</v>
      </c>
      <c r="I37" s="63">
        <v>-154943</v>
      </c>
      <c r="J37" s="63">
        <v>1051126</v>
      </c>
      <c r="K37" s="63">
        <v>-3394201</v>
      </c>
      <c r="L37" s="63">
        <v>27832204</v>
      </c>
      <c r="M37" s="63">
        <v>0</v>
      </c>
      <c r="N37" s="63">
        <v>0</v>
      </c>
      <c r="O37" s="63">
        <v>99038</v>
      </c>
      <c r="P37" s="63">
        <v>99038</v>
      </c>
      <c r="Q37" s="63">
        <v>-126483</v>
      </c>
      <c r="R37" s="63">
        <v>-15192319</v>
      </c>
      <c r="S37" s="63">
        <v>-3038464</v>
      </c>
      <c r="T37" s="63">
        <v>-12153855</v>
      </c>
      <c r="U37" s="63">
        <v>-349079</v>
      </c>
      <c r="V37" s="63">
        <v>0</v>
      </c>
      <c r="W37" s="63">
        <v>0</v>
      </c>
      <c r="X37" s="63">
        <v>-30860200</v>
      </c>
      <c r="Y37" s="63">
        <v>0</v>
      </c>
      <c r="Z37" s="63">
        <v>-3636682</v>
      </c>
      <c r="AB37" s="189"/>
    </row>
    <row r="38" spans="1:28" ht="12.75" x14ac:dyDescent="0.2">
      <c r="A38" s="90">
        <v>31</v>
      </c>
      <c r="B38" s="129" t="s">
        <v>659</v>
      </c>
      <c r="C38" s="198" t="s">
        <v>747</v>
      </c>
      <c r="D38" s="131" t="s">
        <v>748</v>
      </c>
      <c r="E38" s="132" t="s">
        <v>658</v>
      </c>
      <c r="F38" s="63">
        <v>-941897</v>
      </c>
      <c r="G38" s="63">
        <v>119647987</v>
      </c>
      <c r="H38" s="63">
        <v>0</v>
      </c>
      <c r="I38" s="63">
        <v>0</v>
      </c>
      <c r="J38" s="63">
        <v>1697000</v>
      </c>
      <c r="K38" s="63">
        <v>-7395000</v>
      </c>
      <c r="L38" s="63">
        <v>113949987</v>
      </c>
      <c r="M38" s="63">
        <v>0</v>
      </c>
      <c r="N38" s="63">
        <v>0</v>
      </c>
      <c r="O38" s="63">
        <v>141832</v>
      </c>
      <c r="P38" s="63">
        <v>141832</v>
      </c>
      <c r="Q38" s="63">
        <v>0</v>
      </c>
      <c r="R38" s="63">
        <v>-57244871</v>
      </c>
      <c r="S38" s="63">
        <v>-22897948</v>
      </c>
      <c r="T38" s="63">
        <v>-34346923</v>
      </c>
      <c r="U38" s="63">
        <v>-419777</v>
      </c>
      <c r="V38" s="63">
        <v>0</v>
      </c>
      <c r="W38" s="63">
        <v>-141832</v>
      </c>
      <c r="X38" s="63">
        <v>-115051351</v>
      </c>
      <c r="Y38" s="63">
        <v>1786667</v>
      </c>
      <c r="Z38" s="63">
        <v>-114762</v>
      </c>
      <c r="AB38" s="189" t="s">
        <v>768</v>
      </c>
    </row>
    <row r="39" spans="1:28" ht="12.75" x14ac:dyDescent="0.2">
      <c r="A39" s="90">
        <v>32</v>
      </c>
      <c r="B39" s="129" t="s">
        <v>661</v>
      </c>
      <c r="C39" s="198" t="s">
        <v>742</v>
      </c>
      <c r="D39" s="131" t="s">
        <v>746</v>
      </c>
      <c r="E39" s="132" t="s">
        <v>660</v>
      </c>
      <c r="F39" s="63">
        <v>-137000</v>
      </c>
      <c r="G39" s="63">
        <v>32344000</v>
      </c>
      <c r="H39" s="63">
        <v>0</v>
      </c>
      <c r="I39" s="63">
        <v>-700000</v>
      </c>
      <c r="J39" s="63">
        <v>0</v>
      </c>
      <c r="K39" s="63">
        <v>-1910000</v>
      </c>
      <c r="L39" s="63">
        <v>29734000</v>
      </c>
      <c r="M39" s="63">
        <v>230000</v>
      </c>
      <c r="N39" s="63">
        <v>0</v>
      </c>
      <c r="O39" s="63">
        <v>1195432</v>
      </c>
      <c r="P39" s="63">
        <v>1425432</v>
      </c>
      <c r="Q39" s="63">
        <v>0</v>
      </c>
      <c r="R39" s="63">
        <v>-15070741</v>
      </c>
      <c r="S39" s="63">
        <v>-3014149</v>
      </c>
      <c r="T39" s="63">
        <v>-12056594</v>
      </c>
      <c r="U39" s="63">
        <v>-105408</v>
      </c>
      <c r="V39" s="63">
        <v>0</v>
      </c>
      <c r="W39" s="63">
        <v>0</v>
      </c>
      <c r="X39" s="63">
        <v>-30246892</v>
      </c>
      <c r="Y39" s="63">
        <v>0</v>
      </c>
      <c r="Z39" s="63">
        <v>775540</v>
      </c>
      <c r="AB39" s="189"/>
    </row>
    <row r="40" spans="1:28" ht="12.75" x14ac:dyDescent="0.2">
      <c r="A40" s="90">
        <v>33</v>
      </c>
      <c r="B40" s="129" t="s">
        <v>662</v>
      </c>
      <c r="C40" s="198" t="s">
        <v>501</v>
      </c>
      <c r="D40" s="131" t="s">
        <v>743</v>
      </c>
      <c r="E40" s="132" t="s">
        <v>753</v>
      </c>
      <c r="F40" s="63">
        <v>7102397</v>
      </c>
      <c r="G40" s="63">
        <v>106427626</v>
      </c>
      <c r="H40" s="63">
        <v>-121556</v>
      </c>
      <c r="I40" s="63">
        <v>-644378</v>
      </c>
      <c r="J40" s="63">
        <v>1935750</v>
      </c>
      <c r="K40" s="63">
        <v>-2213000</v>
      </c>
      <c r="L40" s="63">
        <v>105384442</v>
      </c>
      <c r="M40" s="63">
        <v>0</v>
      </c>
      <c r="N40" s="63">
        <v>0</v>
      </c>
      <c r="O40" s="63">
        <v>0</v>
      </c>
      <c r="P40" s="63">
        <v>0</v>
      </c>
      <c r="Q40" s="63">
        <v>-71019</v>
      </c>
      <c r="R40" s="63">
        <v>-53448924</v>
      </c>
      <c r="S40" s="63">
        <v>-1068978</v>
      </c>
      <c r="T40" s="63">
        <v>-52379945</v>
      </c>
      <c r="U40" s="63">
        <v>-422367</v>
      </c>
      <c r="V40" s="63">
        <v>0</v>
      </c>
      <c r="W40" s="63">
        <v>-7318606</v>
      </c>
      <c r="X40" s="63">
        <v>-114709839</v>
      </c>
      <c r="Y40" s="63">
        <v>0</v>
      </c>
      <c r="Z40" s="63">
        <v>-2223000</v>
      </c>
      <c r="AB40" s="189"/>
    </row>
    <row r="41" spans="1:28" ht="12.75" x14ac:dyDescent="0.2">
      <c r="A41" s="90">
        <v>34</v>
      </c>
      <c r="B41" s="129" t="s">
        <v>664</v>
      </c>
      <c r="C41" s="198" t="s">
        <v>501</v>
      </c>
      <c r="D41" s="131" t="s">
        <v>751</v>
      </c>
      <c r="E41" s="132" t="s">
        <v>663</v>
      </c>
      <c r="F41" s="63">
        <v>-9475643</v>
      </c>
      <c r="G41" s="63">
        <v>208000000</v>
      </c>
      <c r="H41" s="63">
        <v>0</v>
      </c>
      <c r="I41" s="63">
        <v>0</v>
      </c>
      <c r="J41" s="63">
        <v>2000000</v>
      </c>
      <c r="K41" s="63">
        <v>-12000000</v>
      </c>
      <c r="L41" s="63">
        <v>198000000</v>
      </c>
      <c r="M41" s="63">
        <v>0</v>
      </c>
      <c r="N41" s="63">
        <v>0</v>
      </c>
      <c r="O41" s="63">
        <v>8022090</v>
      </c>
      <c r="P41" s="63">
        <v>8022090</v>
      </c>
      <c r="Q41" s="63">
        <v>0</v>
      </c>
      <c r="R41" s="63">
        <v>-104028177</v>
      </c>
      <c r="S41" s="63">
        <v>-2089375</v>
      </c>
      <c r="T41" s="63">
        <v>-100644986</v>
      </c>
      <c r="U41" s="63">
        <v>-5712629</v>
      </c>
      <c r="V41" s="63">
        <v>0</v>
      </c>
      <c r="W41" s="63">
        <v>0</v>
      </c>
      <c r="X41" s="63">
        <v>-212475167</v>
      </c>
      <c r="Y41" s="63">
        <v>0</v>
      </c>
      <c r="Z41" s="63">
        <v>-15928720</v>
      </c>
      <c r="AB41" s="189"/>
    </row>
    <row r="42" spans="1:28" ht="12.75" x14ac:dyDescent="0.2">
      <c r="A42" s="90">
        <v>35</v>
      </c>
      <c r="B42" s="129" t="s">
        <v>666</v>
      </c>
      <c r="C42" s="198" t="s">
        <v>742</v>
      </c>
      <c r="D42" s="131" t="s">
        <v>746</v>
      </c>
      <c r="E42" s="132" t="s">
        <v>665</v>
      </c>
      <c r="F42" s="63">
        <v>-1139087</v>
      </c>
      <c r="G42" s="63">
        <v>29692572</v>
      </c>
      <c r="H42" s="63">
        <v>0</v>
      </c>
      <c r="I42" s="63">
        <v>-70000</v>
      </c>
      <c r="J42" s="63">
        <v>500000</v>
      </c>
      <c r="K42" s="63">
        <v>-1000000</v>
      </c>
      <c r="L42" s="63">
        <v>29122572</v>
      </c>
      <c r="M42" s="63">
        <v>115000</v>
      </c>
      <c r="N42" s="63">
        <v>0</v>
      </c>
      <c r="O42" s="63">
        <v>0</v>
      </c>
      <c r="P42" s="63">
        <v>115000</v>
      </c>
      <c r="Q42" s="63">
        <v>0</v>
      </c>
      <c r="R42" s="63">
        <v>-15161598</v>
      </c>
      <c r="S42" s="63">
        <v>-3032320</v>
      </c>
      <c r="T42" s="63">
        <v>-12129278</v>
      </c>
      <c r="U42" s="63">
        <v>-234207</v>
      </c>
      <c r="V42" s="63">
        <v>-10000</v>
      </c>
      <c r="W42" s="63">
        <v>-551318</v>
      </c>
      <c r="X42" s="63">
        <v>-31118721</v>
      </c>
      <c r="Y42" s="63">
        <v>0</v>
      </c>
      <c r="Z42" s="63">
        <v>-3020236</v>
      </c>
      <c r="AB42" s="189"/>
    </row>
    <row r="43" spans="1:28" ht="12.75" x14ac:dyDescent="0.2">
      <c r="A43" s="90">
        <v>36</v>
      </c>
      <c r="B43" s="129" t="s">
        <v>668</v>
      </c>
      <c r="C43" s="198" t="s">
        <v>747</v>
      </c>
      <c r="D43" s="131" t="s">
        <v>748</v>
      </c>
      <c r="E43" s="132" t="s">
        <v>667</v>
      </c>
      <c r="F43" s="63">
        <v>-5462147</v>
      </c>
      <c r="G43" s="63">
        <v>84430662</v>
      </c>
      <c r="H43" s="63">
        <v>0</v>
      </c>
      <c r="I43" s="63">
        <v>-831170</v>
      </c>
      <c r="J43" s="63">
        <v>475817</v>
      </c>
      <c r="K43" s="63">
        <v>-2177534</v>
      </c>
      <c r="L43" s="63">
        <v>81897775</v>
      </c>
      <c r="M43" s="63">
        <v>40752</v>
      </c>
      <c r="N43" s="63">
        <v>342871</v>
      </c>
      <c r="O43" s="63">
        <v>5242055</v>
      </c>
      <c r="P43" s="63">
        <v>5625678</v>
      </c>
      <c r="Q43" s="63">
        <v>-40752</v>
      </c>
      <c r="R43" s="63">
        <v>-41558492</v>
      </c>
      <c r="S43" s="63">
        <v>-16623397</v>
      </c>
      <c r="T43" s="63">
        <v>-24935095</v>
      </c>
      <c r="U43" s="63">
        <v>-342871</v>
      </c>
      <c r="V43" s="63">
        <v>0</v>
      </c>
      <c r="W43" s="63">
        <v>0</v>
      </c>
      <c r="X43" s="63">
        <v>-83500607</v>
      </c>
      <c r="Y43" s="63">
        <v>0</v>
      </c>
      <c r="Z43" s="63">
        <v>-1439301</v>
      </c>
      <c r="AB43" s="189"/>
    </row>
    <row r="44" spans="1:28" ht="12.75" x14ac:dyDescent="0.2">
      <c r="A44" s="90">
        <v>37</v>
      </c>
      <c r="B44" s="129" t="s">
        <v>670</v>
      </c>
      <c r="C44" s="198" t="s">
        <v>742</v>
      </c>
      <c r="D44" s="131" t="s">
        <v>752</v>
      </c>
      <c r="E44" s="132" t="s">
        <v>669</v>
      </c>
      <c r="F44" s="63">
        <v>-3209697</v>
      </c>
      <c r="G44" s="63">
        <v>26525525</v>
      </c>
      <c r="H44" s="63">
        <v>0</v>
      </c>
      <c r="I44" s="63">
        <v>0</v>
      </c>
      <c r="J44" s="63">
        <v>1114154</v>
      </c>
      <c r="K44" s="63">
        <v>-486401</v>
      </c>
      <c r="L44" s="63">
        <v>27153278</v>
      </c>
      <c r="M44" s="63">
        <v>268149</v>
      </c>
      <c r="N44" s="63">
        <v>0</v>
      </c>
      <c r="O44" s="63">
        <v>1213622</v>
      </c>
      <c r="P44" s="63">
        <v>1481771</v>
      </c>
      <c r="Q44" s="63">
        <v>0</v>
      </c>
      <c r="R44" s="63">
        <v>-13864539</v>
      </c>
      <c r="S44" s="63">
        <v>-2772908</v>
      </c>
      <c r="T44" s="63">
        <v>-11091632</v>
      </c>
      <c r="U44" s="63">
        <v>-123091</v>
      </c>
      <c r="V44" s="63">
        <v>0</v>
      </c>
      <c r="W44" s="63">
        <v>0</v>
      </c>
      <c r="X44" s="63">
        <v>-27852170</v>
      </c>
      <c r="Y44" s="63">
        <v>325670</v>
      </c>
      <c r="Z44" s="63">
        <v>-2101148</v>
      </c>
      <c r="AB44" s="189" t="s">
        <v>768</v>
      </c>
    </row>
    <row r="45" spans="1:28" ht="12.75" x14ac:dyDescent="0.2">
      <c r="A45" s="90">
        <v>38</v>
      </c>
      <c r="B45" s="129" t="s">
        <v>672</v>
      </c>
      <c r="C45" s="198" t="s">
        <v>742</v>
      </c>
      <c r="D45" s="131" t="s">
        <v>746</v>
      </c>
      <c r="E45" s="132" t="s">
        <v>671</v>
      </c>
      <c r="F45" s="63">
        <v>-541638</v>
      </c>
      <c r="G45" s="63">
        <v>42207339</v>
      </c>
      <c r="H45" s="63">
        <v>0</v>
      </c>
      <c r="I45" s="63">
        <v>-250000</v>
      </c>
      <c r="J45" s="63">
        <v>0</v>
      </c>
      <c r="K45" s="63">
        <v>-1245467</v>
      </c>
      <c r="L45" s="63">
        <v>40711872</v>
      </c>
      <c r="M45" s="63">
        <v>0</v>
      </c>
      <c r="N45" s="63">
        <v>0</v>
      </c>
      <c r="O45" s="63">
        <v>541638</v>
      </c>
      <c r="P45" s="63">
        <v>541638</v>
      </c>
      <c r="Q45" s="63">
        <v>0</v>
      </c>
      <c r="R45" s="63">
        <v>-20862801</v>
      </c>
      <c r="S45" s="63">
        <v>-4172461</v>
      </c>
      <c r="T45" s="63">
        <v>-16806926</v>
      </c>
      <c r="U45" s="63">
        <v>-116685</v>
      </c>
      <c r="V45" s="63">
        <v>0</v>
      </c>
      <c r="W45" s="63">
        <v>0</v>
      </c>
      <c r="X45" s="63">
        <v>-41958873</v>
      </c>
      <c r="Y45" s="63">
        <v>0</v>
      </c>
      <c r="Z45" s="63">
        <v>-1247001</v>
      </c>
      <c r="AB45" s="189"/>
    </row>
    <row r="46" spans="1:28" ht="12.75" x14ac:dyDescent="0.2">
      <c r="A46" s="90">
        <v>39</v>
      </c>
      <c r="B46" s="129" t="s">
        <v>674</v>
      </c>
      <c r="C46" s="198" t="s">
        <v>742</v>
      </c>
      <c r="D46" s="131" t="s">
        <v>745</v>
      </c>
      <c r="E46" s="132" t="s">
        <v>673</v>
      </c>
      <c r="F46" s="63">
        <v>-2324746</v>
      </c>
      <c r="G46" s="63">
        <v>25470355</v>
      </c>
      <c r="H46" s="63">
        <v>0</v>
      </c>
      <c r="I46" s="63">
        <v>417726</v>
      </c>
      <c r="J46" s="63">
        <v>1000000</v>
      </c>
      <c r="K46" s="63">
        <v>-1275000</v>
      </c>
      <c r="L46" s="63">
        <v>25613081</v>
      </c>
      <c r="M46" s="63">
        <v>0</v>
      </c>
      <c r="N46" s="63">
        <v>0</v>
      </c>
      <c r="O46" s="63">
        <v>854221</v>
      </c>
      <c r="P46" s="63">
        <v>854221</v>
      </c>
      <c r="Q46" s="63">
        <v>-100000</v>
      </c>
      <c r="R46" s="63">
        <v>-12199946</v>
      </c>
      <c r="S46" s="63">
        <v>-9993635</v>
      </c>
      <c r="T46" s="63">
        <v>-2452314</v>
      </c>
      <c r="U46" s="63">
        <v>0</v>
      </c>
      <c r="V46" s="63">
        <v>0</v>
      </c>
      <c r="W46" s="63">
        <v>0</v>
      </c>
      <c r="X46" s="63">
        <v>-24745895</v>
      </c>
      <c r="Y46" s="63">
        <v>214270</v>
      </c>
      <c r="Z46" s="63">
        <v>-389069</v>
      </c>
      <c r="AB46" s="189" t="s">
        <v>768</v>
      </c>
    </row>
    <row r="47" spans="1:28" ht="12.75" x14ac:dyDescent="0.2">
      <c r="A47" s="90">
        <v>40</v>
      </c>
      <c r="B47" s="129" t="s">
        <v>676</v>
      </c>
      <c r="C47" s="198" t="s">
        <v>742</v>
      </c>
      <c r="D47" s="131" t="s">
        <v>744</v>
      </c>
      <c r="E47" s="132" t="s">
        <v>675</v>
      </c>
      <c r="F47" s="63">
        <v>-3863137</v>
      </c>
      <c r="G47" s="63">
        <v>28234624</v>
      </c>
      <c r="H47" s="63">
        <v>-34000</v>
      </c>
      <c r="I47" s="63">
        <v>-240000</v>
      </c>
      <c r="J47" s="63">
        <v>285294</v>
      </c>
      <c r="K47" s="63">
        <v>-1107590</v>
      </c>
      <c r="L47" s="63">
        <v>27138328</v>
      </c>
      <c r="M47" s="63">
        <v>0</v>
      </c>
      <c r="N47" s="63">
        <v>0</v>
      </c>
      <c r="O47" s="63">
        <v>0</v>
      </c>
      <c r="P47" s="63">
        <v>0</v>
      </c>
      <c r="Q47" s="63">
        <v>0</v>
      </c>
      <c r="R47" s="63">
        <v>-14001289</v>
      </c>
      <c r="S47" s="63">
        <v>-2800258</v>
      </c>
      <c r="T47" s="63">
        <v>-11201031</v>
      </c>
      <c r="U47" s="63">
        <v>-385423</v>
      </c>
      <c r="V47" s="63">
        <v>-3407</v>
      </c>
      <c r="W47" s="63">
        <v>-786090</v>
      </c>
      <c r="X47" s="63">
        <v>-29177498</v>
      </c>
      <c r="Y47" s="63">
        <v>0</v>
      </c>
      <c r="Z47" s="63">
        <v>-5902307</v>
      </c>
      <c r="AB47" s="189"/>
    </row>
    <row r="48" spans="1:28" ht="12.75" x14ac:dyDescent="0.2">
      <c r="A48" s="90">
        <v>41</v>
      </c>
      <c r="B48" s="129" t="s">
        <v>678</v>
      </c>
      <c r="C48" s="198" t="s">
        <v>749</v>
      </c>
      <c r="D48" s="131" t="s">
        <v>744</v>
      </c>
      <c r="E48" s="132" t="s">
        <v>677</v>
      </c>
      <c r="F48" s="63">
        <v>-4256230</v>
      </c>
      <c r="G48" s="63">
        <v>49552701</v>
      </c>
      <c r="H48" s="63">
        <v>0</v>
      </c>
      <c r="I48" s="63">
        <v>-706430</v>
      </c>
      <c r="J48" s="63">
        <v>996330</v>
      </c>
      <c r="K48" s="63">
        <v>-2197564</v>
      </c>
      <c r="L48" s="63">
        <v>47645037</v>
      </c>
      <c r="M48" s="63">
        <v>22620</v>
      </c>
      <c r="N48" s="63">
        <v>244147</v>
      </c>
      <c r="O48" s="63">
        <v>1032206</v>
      </c>
      <c r="P48" s="63">
        <v>1298973</v>
      </c>
      <c r="Q48" s="63">
        <v>0</v>
      </c>
      <c r="R48" s="63">
        <v>-24670603</v>
      </c>
      <c r="S48" s="63">
        <v>-493412</v>
      </c>
      <c r="T48" s="63">
        <v>-24177191</v>
      </c>
      <c r="U48" s="63">
        <v>-244147</v>
      </c>
      <c r="V48" s="63">
        <v>0</v>
      </c>
      <c r="W48" s="63">
        <v>0</v>
      </c>
      <c r="X48" s="63">
        <v>-49585353</v>
      </c>
      <c r="Y48" s="63">
        <v>0</v>
      </c>
      <c r="Z48" s="63">
        <v>-4897573</v>
      </c>
      <c r="AB48" s="189"/>
    </row>
    <row r="49" spans="1:28" ht="12.75" x14ac:dyDescent="0.2">
      <c r="A49" s="90">
        <v>42</v>
      </c>
      <c r="B49" s="129" t="s">
        <v>680</v>
      </c>
      <c r="C49" s="198" t="s">
        <v>749</v>
      </c>
      <c r="D49" s="131" t="s">
        <v>750</v>
      </c>
      <c r="E49" s="132" t="s">
        <v>679</v>
      </c>
      <c r="F49" s="63">
        <v>-1217968</v>
      </c>
      <c r="G49" s="63">
        <v>58864681</v>
      </c>
      <c r="H49" s="63">
        <v>0</v>
      </c>
      <c r="I49" s="63">
        <v>-1490096</v>
      </c>
      <c r="J49" s="63">
        <v>0</v>
      </c>
      <c r="K49" s="63">
        <v>-1151784</v>
      </c>
      <c r="L49" s="63">
        <v>56222801</v>
      </c>
      <c r="M49" s="63">
        <v>500295</v>
      </c>
      <c r="N49" s="63">
        <v>0</v>
      </c>
      <c r="O49" s="63">
        <v>0</v>
      </c>
      <c r="P49" s="63">
        <v>500295</v>
      </c>
      <c r="Q49" s="63">
        <v>0</v>
      </c>
      <c r="R49" s="63">
        <v>-29359126</v>
      </c>
      <c r="S49" s="63">
        <v>-587183</v>
      </c>
      <c r="T49" s="63">
        <v>-28771943</v>
      </c>
      <c r="U49" s="63">
        <v>-354527</v>
      </c>
      <c r="V49" s="63">
        <v>0</v>
      </c>
      <c r="W49" s="63">
        <v>-717340</v>
      </c>
      <c r="X49" s="63">
        <v>-59790119</v>
      </c>
      <c r="Y49" s="63">
        <v>0</v>
      </c>
      <c r="Z49" s="63">
        <v>-4284991</v>
      </c>
      <c r="AB49" s="189"/>
    </row>
    <row r="50" spans="1:28" ht="12.75" x14ac:dyDescent="0.2">
      <c r="A50" s="90">
        <v>43</v>
      </c>
      <c r="B50" s="129" t="s">
        <v>682</v>
      </c>
      <c r="C50" s="198" t="s">
        <v>742</v>
      </c>
      <c r="D50" s="131" t="s">
        <v>746</v>
      </c>
      <c r="E50" s="132" t="s">
        <v>681</v>
      </c>
      <c r="F50" s="63">
        <v>-11101749</v>
      </c>
      <c r="G50" s="63">
        <v>97086176</v>
      </c>
      <c r="H50" s="63">
        <v>0</v>
      </c>
      <c r="I50" s="63">
        <v>-500000</v>
      </c>
      <c r="J50" s="63">
        <v>763474</v>
      </c>
      <c r="K50" s="63">
        <v>-1017899</v>
      </c>
      <c r="L50" s="63">
        <v>96331751</v>
      </c>
      <c r="M50" s="63">
        <v>229862</v>
      </c>
      <c r="N50" s="63">
        <v>0</v>
      </c>
      <c r="O50" s="63">
        <v>7922786</v>
      </c>
      <c r="P50" s="63">
        <v>8152648</v>
      </c>
      <c r="Q50" s="63">
        <v>0</v>
      </c>
      <c r="R50" s="63">
        <v>-48329212</v>
      </c>
      <c r="S50" s="63">
        <v>-9665842</v>
      </c>
      <c r="T50" s="63">
        <v>-38663369</v>
      </c>
      <c r="U50" s="63">
        <v>-227835</v>
      </c>
      <c r="V50" s="63">
        <v>0</v>
      </c>
      <c r="W50" s="63">
        <v>0</v>
      </c>
      <c r="X50" s="63">
        <v>-96886258</v>
      </c>
      <c r="Y50" s="63">
        <v>0</v>
      </c>
      <c r="Z50" s="63">
        <v>-3503608</v>
      </c>
      <c r="AB50" s="189"/>
    </row>
    <row r="51" spans="1:28" ht="12.75" x14ac:dyDescent="0.2">
      <c r="A51" s="90">
        <v>44</v>
      </c>
      <c r="B51" s="129" t="s">
        <v>684</v>
      </c>
      <c r="C51" s="198" t="s">
        <v>754</v>
      </c>
      <c r="D51" s="131" t="s">
        <v>748</v>
      </c>
      <c r="E51" s="132" t="s">
        <v>683</v>
      </c>
      <c r="F51" s="63">
        <v>-93124227</v>
      </c>
      <c r="G51" s="63">
        <v>524402914</v>
      </c>
      <c r="H51" s="63">
        <v>0</v>
      </c>
      <c r="I51" s="63">
        <v>-3000000</v>
      </c>
      <c r="J51" s="63">
        <v>0</v>
      </c>
      <c r="K51" s="63">
        <v>0</v>
      </c>
      <c r="L51" s="63">
        <v>521402914</v>
      </c>
      <c r="M51" s="63">
        <v>0</v>
      </c>
      <c r="N51" s="63">
        <v>0</v>
      </c>
      <c r="O51" s="63">
        <v>59761251</v>
      </c>
      <c r="P51" s="63">
        <v>59761251</v>
      </c>
      <c r="Q51" s="63">
        <v>-3645289</v>
      </c>
      <c r="R51" s="63">
        <v>-264940647</v>
      </c>
      <c r="S51" s="63">
        <v>-105976259</v>
      </c>
      <c r="T51" s="63">
        <v>-158964388</v>
      </c>
      <c r="U51" s="63">
        <v>-1194875</v>
      </c>
      <c r="V51" s="63">
        <v>0</v>
      </c>
      <c r="W51" s="63">
        <v>0</v>
      </c>
      <c r="X51" s="63">
        <v>-534721458</v>
      </c>
      <c r="Y51" s="63">
        <v>0</v>
      </c>
      <c r="Z51" s="63">
        <v>-46681520</v>
      </c>
      <c r="AB51" s="189"/>
    </row>
    <row r="52" spans="1:28" ht="12.75" x14ac:dyDescent="0.2">
      <c r="A52" s="90">
        <v>45</v>
      </c>
      <c r="B52" s="129" t="s">
        <v>686</v>
      </c>
      <c r="C52" s="198" t="s">
        <v>742</v>
      </c>
      <c r="D52" s="131" t="s">
        <v>752</v>
      </c>
      <c r="E52" s="132" t="s">
        <v>685</v>
      </c>
      <c r="F52" s="63">
        <v>-5544557</v>
      </c>
      <c r="G52" s="63">
        <v>37567230</v>
      </c>
      <c r="H52" s="63">
        <v>0</v>
      </c>
      <c r="I52" s="63">
        <v>82234</v>
      </c>
      <c r="J52" s="63">
        <v>1016866</v>
      </c>
      <c r="K52" s="63">
        <v>-3174875</v>
      </c>
      <c r="L52" s="63">
        <v>35491455</v>
      </c>
      <c r="M52" s="63">
        <v>0</v>
      </c>
      <c r="N52" s="63">
        <v>0</v>
      </c>
      <c r="O52" s="63">
        <v>676373</v>
      </c>
      <c r="P52" s="63">
        <v>676373</v>
      </c>
      <c r="Q52" s="63">
        <v>-365042</v>
      </c>
      <c r="R52" s="63">
        <v>-18183589</v>
      </c>
      <c r="S52" s="63">
        <v>-3636718</v>
      </c>
      <c r="T52" s="63">
        <v>-14546871</v>
      </c>
      <c r="U52" s="63">
        <v>-138207</v>
      </c>
      <c r="V52" s="63">
        <v>0</v>
      </c>
      <c r="W52" s="63">
        <v>0</v>
      </c>
      <c r="X52" s="63">
        <v>-36870427</v>
      </c>
      <c r="Y52" s="63">
        <v>0</v>
      </c>
      <c r="Z52" s="63">
        <v>-6247156</v>
      </c>
      <c r="AB52" s="189"/>
    </row>
    <row r="53" spans="1:28" ht="12.75" x14ac:dyDescent="0.2">
      <c r="A53" s="90">
        <v>46</v>
      </c>
      <c r="B53" s="129" t="s">
        <v>688</v>
      </c>
      <c r="C53" s="198" t="s">
        <v>742</v>
      </c>
      <c r="D53" s="131" t="s">
        <v>743</v>
      </c>
      <c r="E53" s="132" t="s">
        <v>687</v>
      </c>
      <c r="F53" s="63">
        <v>-4049603</v>
      </c>
      <c r="G53" s="63">
        <v>51873785</v>
      </c>
      <c r="H53" s="63">
        <v>0</v>
      </c>
      <c r="I53" s="63">
        <v>-498000</v>
      </c>
      <c r="J53" s="63">
        <v>1717928</v>
      </c>
      <c r="K53" s="63">
        <v>-1837820</v>
      </c>
      <c r="L53" s="63">
        <v>51255893</v>
      </c>
      <c r="M53" s="63">
        <v>0</v>
      </c>
      <c r="N53" s="63">
        <v>0</v>
      </c>
      <c r="O53" s="63">
        <v>652919</v>
      </c>
      <c r="P53" s="63">
        <v>652919</v>
      </c>
      <c r="Q53" s="63">
        <v>0</v>
      </c>
      <c r="R53" s="63">
        <v>-26352271</v>
      </c>
      <c r="S53" s="63">
        <v>-5270454</v>
      </c>
      <c r="T53" s="63">
        <v>-21081816</v>
      </c>
      <c r="U53" s="63">
        <v>-232519</v>
      </c>
      <c r="V53" s="63">
        <v>0</v>
      </c>
      <c r="W53" s="63">
        <v>0</v>
      </c>
      <c r="X53" s="63">
        <v>-52937060</v>
      </c>
      <c r="Y53" s="63">
        <v>0</v>
      </c>
      <c r="Z53" s="63">
        <v>-5077851</v>
      </c>
      <c r="AB53" s="189"/>
    </row>
    <row r="54" spans="1:28" ht="12.75" x14ac:dyDescent="0.2">
      <c r="A54" s="90">
        <v>47</v>
      </c>
      <c r="B54" s="129" t="s">
        <v>690</v>
      </c>
      <c r="C54" s="198" t="s">
        <v>742</v>
      </c>
      <c r="D54" s="131" t="s">
        <v>744</v>
      </c>
      <c r="E54" s="132" t="s">
        <v>689</v>
      </c>
      <c r="F54" s="63">
        <v>-1062399</v>
      </c>
      <c r="G54" s="63">
        <v>43320805</v>
      </c>
      <c r="H54" s="63">
        <v>-257614</v>
      </c>
      <c r="I54" s="63">
        <v>-379946</v>
      </c>
      <c r="J54" s="63">
        <v>500896</v>
      </c>
      <c r="K54" s="63">
        <v>-291471</v>
      </c>
      <c r="L54" s="63">
        <v>42892670</v>
      </c>
      <c r="M54" s="63">
        <v>0</v>
      </c>
      <c r="N54" s="63">
        <v>0</v>
      </c>
      <c r="O54" s="63">
        <v>417492</v>
      </c>
      <c r="P54" s="63">
        <v>417492</v>
      </c>
      <c r="Q54" s="63">
        <v>-31123</v>
      </c>
      <c r="R54" s="63">
        <v>-21202957</v>
      </c>
      <c r="S54" s="63">
        <v>-4240592</v>
      </c>
      <c r="T54" s="63">
        <v>-16962366</v>
      </c>
      <c r="U54" s="63">
        <v>-204894</v>
      </c>
      <c r="V54" s="63">
        <v>-1680</v>
      </c>
      <c r="W54" s="63">
        <v>0</v>
      </c>
      <c r="X54" s="63">
        <v>-42643612</v>
      </c>
      <c r="Y54" s="63">
        <v>0</v>
      </c>
      <c r="Z54" s="63">
        <v>-395849</v>
      </c>
      <c r="AB54" s="189"/>
    </row>
    <row r="55" spans="1:28" ht="12.75" x14ac:dyDescent="0.2">
      <c r="A55" s="90">
        <v>48</v>
      </c>
      <c r="B55" s="129" t="s">
        <v>692</v>
      </c>
      <c r="C55" s="198" t="s">
        <v>742</v>
      </c>
      <c r="D55" s="131" t="s">
        <v>746</v>
      </c>
      <c r="E55" s="132" t="s">
        <v>691</v>
      </c>
      <c r="F55" s="63">
        <v>-2566780</v>
      </c>
      <c r="G55" s="63">
        <v>15148158</v>
      </c>
      <c r="H55" s="63">
        <v>0</v>
      </c>
      <c r="I55" s="63">
        <v>-169659</v>
      </c>
      <c r="J55" s="63">
        <v>0</v>
      </c>
      <c r="K55" s="63">
        <v>-500000</v>
      </c>
      <c r="L55" s="63">
        <v>14478499</v>
      </c>
      <c r="M55" s="63">
        <v>0</v>
      </c>
      <c r="N55" s="63">
        <v>0</v>
      </c>
      <c r="O55" s="63">
        <v>699997</v>
      </c>
      <c r="P55" s="63">
        <v>699997</v>
      </c>
      <c r="Q55" s="63">
        <v>-3265</v>
      </c>
      <c r="R55" s="63">
        <v>-7562247</v>
      </c>
      <c r="S55" s="63">
        <v>-1512449</v>
      </c>
      <c r="T55" s="63">
        <v>-6049797</v>
      </c>
      <c r="U55" s="63">
        <v>-81980</v>
      </c>
      <c r="V55" s="63">
        <v>0</v>
      </c>
      <c r="W55" s="63">
        <v>0</v>
      </c>
      <c r="X55" s="63">
        <v>-15209738</v>
      </c>
      <c r="Y55" s="63">
        <v>58730</v>
      </c>
      <c r="Z55" s="63">
        <v>-2539292</v>
      </c>
      <c r="AB55" s="189" t="s">
        <v>768</v>
      </c>
    </row>
    <row r="56" spans="1:28" ht="12.75" x14ac:dyDescent="0.2">
      <c r="A56" s="90">
        <v>49</v>
      </c>
      <c r="B56" s="129" t="s">
        <v>694</v>
      </c>
      <c r="C56" s="198" t="s">
        <v>501</v>
      </c>
      <c r="D56" s="131" t="s">
        <v>746</v>
      </c>
      <c r="E56" s="132" t="s">
        <v>693</v>
      </c>
      <c r="F56" s="63">
        <v>-5165000</v>
      </c>
      <c r="G56" s="63">
        <v>80835000</v>
      </c>
      <c r="H56" s="63">
        <v>-144000</v>
      </c>
      <c r="I56" s="63">
        <v>-486000</v>
      </c>
      <c r="J56" s="63">
        <v>0</v>
      </c>
      <c r="K56" s="63">
        <v>-2249000</v>
      </c>
      <c r="L56" s="63">
        <v>77956000</v>
      </c>
      <c r="M56" s="63">
        <v>0</v>
      </c>
      <c r="N56" s="63">
        <v>0</v>
      </c>
      <c r="O56" s="63">
        <v>2928000</v>
      </c>
      <c r="P56" s="63">
        <v>2928000</v>
      </c>
      <c r="Q56" s="63">
        <v>-143000</v>
      </c>
      <c r="R56" s="63">
        <v>-40322000</v>
      </c>
      <c r="S56" s="63">
        <v>-806000</v>
      </c>
      <c r="T56" s="63">
        <v>-39515000</v>
      </c>
      <c r="U56" s="63">
        <v>-389000</v>
      </c>
      <c r="V56" s="63">
        <v>0</v>
      </c>
      <c r="W56" s="63">
        <v>0</v>
      </c>
      <c r="X56" s="63">
        <v>-81175000</v>
      </c>
      <c r="Y56" s="63">
        <v>0</v>
      </c>
      <c r="Z56" s="63">
        <v>-5456000</v>
      </c>
      <c r="AB56" s="189"/>
    </row>
    <row r="57" spans="1:28" ht="12.75" x14ac:dyDescent="0.2">
      <c r="A57" s="90">
        <v>50</v>
      </c>
      <c r="B57" s="129" t="s">
        <v>696</v>
      </c>
      <c r="C57" s="198" t="s">
        <v>742</v>
      </c>
      <c r="D57" s="131" t="s">
        <v>745</v>
      </c>
      <c r="E57" s="132" t="s">
        <v>695</v>
      </c>
      <c r="F57" s="63">
        <v>3039357</v>
      </c>
      <c r="G57" s="63">
        <v>44150158</v>
      </c>
      <c r="H57" s="63">
        <v>-219268</v>
      </c>
      <c r="I57" s="63">
        <v>-90368</v>
      </c>
      <c r="J57" s="63">
        <v>0</v>
      </c>
      <c r="K57" s="63">
        <v>-1500000</v>
      </c>
      <c r="L57" s="63">
        <v>42340522</v>
      </c>
      <c r="M57" s="63">
        <v>0</v>
      </c>
      <c r="N57" s="63">
        <v>0</v>
      </c>
      <c r="O57" s="63">
        <v>0</v>
      </c>
      <c r="P57" s="63">
        <v>0</v>
      </c>
      <c r="Q57" s="63">
        <v>-29339</v>
      </c>
      <c r="R57" s="63">
        <v>-21625781</v>
      </c>
      <c r="S57" s="63">
        <v>-4325156</v>
      </c>
      <c r="T57" s="63">
        <v>-17300624</v>
      </c>
      <c r="U57" s="63">
        <v>-343126</v>
      </c>
      <c r="V57" s="63">
        <v>0</v>
      </c>
      <c r="W57" s="63">
        <v>-2613776</v>
      </c>
      <c r="X57" s="63">
        <v>-46237802</v>
      </c>
      <c r="Y57" s="63">
        <v>0</v>
      </c>
      <c r="Z57" s="63">
        <v>-857923</v>
      </c>
      <c r="AB57" s="189"/>
    </row>
    <row r="58" spans="1:28" ht="12.75" x14ac:dyDescent="0.2">
      <c r="A58" s="90">
        <v>51</v>
      </c>
      <c r="B58" s="129" t="s">
        <v>698</v>
      </c>
      <c r="C58" s="198" t="s">
        <v>742</v>
      </c>
      <c r="D58" s="131" t="s">
        <v>746</v>
      </c>
      <c r="E58" s="132" t="s">
        <v>697</v>
      </c>
      <c r="F58" s="63">
        <v>-14822091</v>
      </c>
      <c r="G58" s="63">
        <v>77510620</v>
      </c>
      <c r="H58" s="63">
        <v>-985653</v>
      </c>
      <c r="I58" s="63">
        <v>-279677</v>
      </c>
      <c r="J58" s="63">
        <v>1953928</v>
      </c>
      <c r="K58" s="63">
        <v>-5048218</v>
      </c>
      <c r="L58" s="63">
        <v>73151000</v>
      </c>
      <c r="M58" s="63">
        <v>190380</v>
      </c>
      <c r="N58" s="63">
        <v>0</v>
      </c>
      <c r="O58" s="63">
        <v>8485354</v>
      </c>
      <c r="P58" s="63">
        <v>8675734</v>
      </c>
      <c r="Q58" s="63">
        <v>0</v>
      </c>
      <c r="R58" s="63">
        <v>-39286704</v>
      </c>
      <c r="S58" s="63">
        <v>-7857341</v>
      </c>
      <c r="T58" s="63">
        <v>-31429363</v>
      </c>
      <c r="U58" s="63">
        <v>-222481</v>
      </c>
      <c r="V58" s="63">
        <v>0</v>
      </c>
      <c r="W58" s="63">
        <v>0</v>
      </c>
      <c r="X58" s="63">
        <v>-78795889</v>
      </c>
      <c r="Y58" s="63">
        <v>0</v>
      </c>
      <c r="Z58" s="63">
        <v>-11791246</v>
      </c>
      <c r="AB58" s="189"/>
    </row>
    <row r="59" spans="1:28" ht="12.75" x14ac:dyDescent="0.2">
      <c r="A59" s="90">
        <v>52</v>
      </c>
      <c r="B59" s="129" t="s">
        <v>700</v>
      </c>
      <c r="C59" s="198" t="s">
        <v>742</v>
      </c>
      <c r="D59" s="131" t="s">
        <v>751</v>
      </c>
      <c r="E59" s="132" t="s">
        <v>699</v>
      </c>
      <c r="F59" s="63">
        <v>724038</v>
      </c>
      <c r="G59" s="63">
        <v>55525012</v>
      </c>
      <c r="H59" s="63">
        <v>0</v>
      </c>
      <c r="I59" s="63">
        <v>-400000</v>
      </c>
      <c r="J59" s="63">
        <v>1651350</v>
      </c>
      <c r="K59" s="63">
        <v>-2973000</v>
      </c>
      <c r="L59" s="63">
        <v>53803362</v>
      </c>
      <c r="M59" s="63">
        <v>1168</v>
      </c>
      <c r="N59" s="63">
        <v>0</v>
      </c>
      <c r="O59" s="63">
        <v>0</v>
      </c>
      <c r="P59" s="63">
        <v>1168</v>
      </c>
      <c r="Q59" s="63">
        <v>-54068</v>
      </c>
      <c r="R59" s="63">
        <v>-27795446</v>
      </c>
      <c r="S59" s="63">
        <v>-5559089</v>
      </c>
      <c r="T59" s="63">
        <v>-22236357</v>
      </c>
      <c r="U59" s="63">
        <v>-183262</v>
      </c>
      <c r="V59" s="63">
        <v>0</v>
      </c>
      <c r="W59" s="63">
        <v>-1274103</v>
      </c>
      <c r="X59" s="63">
        <v>-57102325</v>
      </c>
      <c r="Y59" s="63">
        <v>0</v>
      </c>
      <c r="Z59" s="63">
        <v>-2573757</v>
      </c>
      <c r="AB59" s="189"/>
    </row>
    <row r="60" spans="1:28" ht="12.75" x14ac:dyDescent="0.2">
      <c r="A60" s="90">
        <v>53</v>
      </c>
      <c r="B60" s="129" t="s">
        <v>702</v>
      </c>
      <c r="C60" s="198" t="s">
        <v>742</v>
      </c>
      <c r="D60" s="131" t="s">
        <v>743</v>
      </c>
      <c r="E60" s="132" t="s">
        <v>701</v>
      </c>
      <c r="F60" s="63">
        <v>-6066369</v>
      </c>
      <c r="G60" s="63">
        <v>75630498</v>
      </c>
      <c r="H60" s="63">
        <v>-402000</v>
      </c>
      <c r="I60" s="63">
        <v>251345</v>
      </c>
      <c r="J60" s="63">
        <v>271011</v>
      </c>
      <c r="K60" s="63">
        <v>-592803</v>
      </c>
      <c r="L60" s="63">
        <v>75158051</v>
      </c>
      <c r="M60" s="63">
        <v>0</v>
      </c>
      <c r="N60" s="63">
        <v>808911</v>
      </c>
      <c r="O60" s="63">
        <v>1058781</v>
      </c>
      <c r="P60" s="63">
        <v>1867692</v>
      </c>
      <c r="Q60" s="63">
        <v>-13023</v>
      </c>
      <c r="R60" s="63">
        <v>-36659535</v>
      </c>
      <c r="S60" s="63">
        <v>-7331907</v>
      </c>
      <c r="T60" s="63">
        <v>-29327628</v>
      </c>
      <c r="U60" s="63">
        <v>-1517947</v>
      </c>
      <c r="V60" s="63">
        <v>0</v>
      </c>
      <c r="W60" s="63">
        <v>0</v>
      </c>
      <c r="X60" s="63">
        <v>-74850040</v>
      </c>
      <c r="Y60" s="63">
        <v>0</v>
      </c>
      <c r="Z60" s="63">
        <v>-3890666</v>
      </c>
      <c r="AB60" s="189"/>
    </row>
    <row r="61" spans="1:28" ht="12.75" x14ac:dyDescent="0.2">
      <c r="A61" s="90">
        <v>54</v>
      </c>
      <c r="B61" s="129" t="s">
        <v>704</v>
      </c>
      <c r="C61" s="198" t="s">
        <v>501</v>
      </c>
      <c r="D61" s="131" t="s">
        <v>744</v>
      </c>
      <c r="E61" s="132" t="s">
        <v>703</v>
      </c>
      <c r="F61" s="63">
        <v>-7824980</v>
      </c>
      <c r="G61" s="63">
        <v>139358805</v>
      </c>
      <c r="H61" s="63">
        <v>0</v>
      </c>
      <c r="I61" s="63">
        <v>-1100000</v>
      </c>
      <c r="J61" s="63">
        <v>3453757</v>
      </c>
      <c r="K61" s="63">
        <v>-3029757</v>
      </c>
      <c r="L61" s="63">
        <v>138682805</v>
      </c>
      <c r="M61" s="63">
        <v>0</v>
      </c>
      <c r="N61" s="63">
        <v>0</v>
      </c>
      <c r="O61" s="63">
        <v>2056286</v>
      </c>
      <c r="P61" s="63">
        <v>2056286</v>
      </c>
      <c r="Q61" s="63">
        <v>-434908</v>
      </c>
      <c r="R61" s="63">
        <v>-69757439</v>
      </c>
      <c r="S61" s="63">
        <v>-1395149</v>
      </c>
      <c r="T61" s="63">
        <v>-68362291</v>
      </c>
      <c r="U61" s="63">
        <v>-561067</v>
      </c>
      <c r="V61" s="63">
        <v>0</v>
      </c>
      <c r="W61" s="63">
        <v>0</v>
      </c>
      <c r="X61" s="63">
        <v>-140510854</v>
      </c>
      <c r="Y61" s="63">
        <v>0</v>
      </c>
      <c r="Z61" s="63">
        <v>-7596743</v>
      </c>
      <c r="AB61" s="189"/>
    </row>
    <row r="62" spans="1:28" ht="12.75" x14ac:dyDescent="0.2">
      <c r="A62" s="90">
        <v>55</v>
      </c>
      <c r="B62" s="129" t="s">
        <v>705</v>
      </c>
      <c r="C62" s="198" t="s">
        <v>501</v>
      </c>
      <c r="D62" s="131" t="s">
        <v>744</v>
      </c>
      <c r="E62" s="132" t="s">
        <v>515</v>
      </c>
      <c r="F62" s="63">
        <v>-684000</v>
      </c>
      <c r="G62" s="63">
        <v>157747349</v>
      </c>
      <c r="H62" s="63">
        <v>0</v>
      </c>
      <c r="I62" s="63">
        <v>-1500000</v>
      </c>
      <c r="J62" s="63">
        <v>6000000</v>
      </c>
      <c r="K62" s="63">
        <v>-10000000</v>
      </c>
      <c r="L62" s="63">
        <v>152247349</v>
      </c>
      <c r="M62" s="63">
        <v>305307</v>
      </c>
      <c r="N62" s="63">
        <v>0</v>
      </c>
      <c r="O62" s="63">
        <v>0</v>
      </c>
      <c r="P62" s="63">
        <v>305307</v>
      </c>
      <c r="Q62" s="63">
        <v>-433425</v>
      </c>
      <c r="R62" s="63">
        <v>-75852303</v>
      </c>
      <c r="S62" s="63">
        <v>-1517046</v>
      </c>
      <c r="T62" s="63">
        <v>-74335257</v>
      </c>
      <c r="U62" s="63">
        <v>-500025</v>
      </c>
      <c r="V62" s="63">
        <v>0</v>
      </c>
      <c r="W62" s="63">
        <v>-990793</v>
      </c>
      <c r="X62" s="63">
        <v>-153628849</v>
      </c>
      <c r="Y62" s="63">
        <v>1760193</v>
      </c>
      <c r="Z62" s="63">
        <v>0</v>
      </c>
      <c r="AB62" s="189" t="s">
        <v>768</v>
      </c>
    </row>
    <row r="63" spans="1:28" ht="12.75" x14ac:dyDescent="0.2">
      <c r="A63" s="90">
        <v>56</v>
      </c>
      <c r="B63" s="129" t="s">
        <v>707</v>
      </c>
      <c r="C63" s="198" t="s">
        <v>742</v>
      </c>
      <c r="D63" s="131" t="s">
        <v>745</v>
      </c>
      <c r="E63" s="132" t="s">
        <v>706</v>
      </c>
      <c r="F63" s="63">
        <v>-4789248</v>
      </c>
      <c r="G63" s="63">
        <v>36010357</v>
      </c>
      <c r="H63" s="63">
        <v>0</v>
      </c>
      <c r="I63" s="63">
        <v>-49595</v>
      </c>
      <c r="J63" s="63">
        <v>73617</v>
      </c>
      <c r="K63" s="63">
        <v>-533051</v>
      </c>
      <c r="L63" s="63">
        <v>35501328</v>
      </c>
      <c r="M63" s="63">
        <v>0</v>
      </c>
      <c r="N63" s="63">
        <v>0</v>
      </c>
      <c r="O63" s="63">
        <v>1872931</v>
      </c>
      <c r="P63" s="63">
        <v>1872931</v>
      </c>
      <c r="Q63" s="63">
        <v>-375908</v>
      </c>
      <c r="R63" s="63">
        <v>-18315755</v>
      </c>
      <c r="S63" s="63">
        <v>-3663151</v>
      </c>
      <c r="T63" s="63">
        <v>-14652604</v>
      </c>
      <c r="U63" s="63">
        <v>-206359</v>
      </c>
      <c r="V63" s="63">
        <v>0</v>
      </c>
      <c r="W63" s="63">
        <v>0</v>
      </c>
      <c r="X63" s="63">
        <v>-37213777</v>
      </c>
      <c r="Y63" s="63">
        <v>0</v>
      </c>
      <c r="Z63" s="63">
        <v>-4628766</v>
      </c>
      <c r="AB63" s="189"/>
    </row>
    <row r="64" spans="1:28" ht="12.75" x14ac:dyDescent="0.2">
      <c r="A64" s="90">
        <v>57</v>
      </c>
      <c r="B64" s="129" t="s">
        <v>709</v>
      </c>
      <c r="C64" s="198" t="s">
        <v>742</v>
      </c>
      <c r="D64" s="131" t="s">
        <v>743</v>
      </c>
      <c r="E64" s="132" t="s">
        <v>708</v>
      </c>
      <c r="F64" s="63">
        <v>-1493135</v>
      </c>
      <c r="G64" s="63">
        <v>45708532</v>
      </c>
      <c r="H64" s="63">
        <v>0</v>
      </c>
      <c r="I64" s="63">
        <v>-233000</v>
      </c>
      <c r="J64" s="63">
        <v>400000</v>
      </c>
      <c r="K64" s="63">
        <v>-750000</v>
      </c>
      <c r="L64" s="63">
        <v>45125532</v>
      </c>
      <c r="M64" s="63">
        <v>0</v>
      </c>
      <c r="N64" s="63">
        <v>0</v>
      </c>
      <c r="O64" s="63">
        <v>71196</v>
      </c>
      <c r="P64" s="63">
        <v>71196</v>
      </c>
      <c r="Q64" s="63">
        <v>0</v>
      </c>
      <c r="R64" s="63">
        <v>-21896977</v>
      </c>
      <c r="S64" s="63">
        <v>-4379375</v>
      </c>
      <c r="T64" s="63">
        <v>-17517501</v>
      </c>
      <c r="U64" s="63">
        <v>-302619</v>
      </c>
      <c r="V64" s="63">
        <v>0</v>
      </c>
      <c r="W64" s="63">
        <v>0</v>
      </c>
      <c r="X64" s="63">
        <v>-44096472</v>
      </c>
      <c r="Y64" s="63">
        <v>0</v>
      </c>
      <c r="Z64" s="63">
        <v>-392879</v>
      </c>
      <c r="AB64" s="189"/>
    </row>
    <row r="65" spans="1:28" ht="12.75" x14ac:dyDescent="0.2">
      <c r="A65" s="90">
        <v>58</v>
      </c>
      <c r="B65" s="129" t="s">
        <v>711</v>
      </c>
      <c r="C65" s="198" t="s">
        <v>742</v>
      </c>
      <c r="D65" s="131" t="s">
        <v>743</v>
      </c>
      <c r="E65" s="132" t="s">
        <v>710</v>
      </c>
      <c r="F65" s="63">
        <v>-2320214</v>
      </c>
      <c r="G65" s="63">
        <v>21228732</v>
      </c>
      <c r="H65" s="63">
        <v>0</v>
      </c>
      <c r="I65" s="63">
        <v>-212826</v>
      </c>
      <c r="J65" s="63">
        <v>298470</v>
      </c>
      <c r="K65" s="63">
        <v>-2303890</v>
      </c>
      <c r="L65" s="63">
        <v>19010486</v>
      </c>
      <c r="M65" s="63">
        <v>0</v>
      </c>
      <c r="N65" s="63">
        <v>0</v>
      </c>
      <c r="O65" s="63">
        <v>989834</v>
      </c>
      <c r="P65" s="63">
        <v>989834</v>
      </c>
      <c r="Q65" s="63">
        <v>0</v>
      </c>
      <c r="R65" s="63">
        <v>-10570280</v>
      </c>
      <c r="S65" s="63">
        <v>-2114056</v>
      </c>
      <c r="T65" s="63">
        <v>-8456224</v>
      </c>
      <c r="U65" s="63">
        <v>0</v>
      </c>
      <c r="V65" s="63">
        <v>-115526</v>
      </c>
      <c r="W65" s="63">
        <v>0</v>
      </c>
      <c r="X65" s="63">
        <v>-21256086</v>
      </c>
      <c r="Y65" s="63">
        <v>0</v>
      </c>
      <c r="Z65" s="63">
        <v>-3575980</v>
      </c>
      <c r="AB65" s="189"/>
    </row>
    <row r="66" spans="1:28" ht="12.75" x14ac:dyDescent="0.2">
      <c r="A66" s="90">
        <v>59</v>
      </c>
      <c r="B66" s="129" t="s">
        <v>713</v>
      </c>
      <c r="C66" s="198" t="s">
        <v>742</v>
      </c>
      <c r="D66" s="131" t="s">
        <v>744</v>
      </c>
      <c r="E66" s="132" t="s">
        <v>712</v>
      </c>
      <c r="F66" s="63">
        <v>-605584</v>
      </c>
      <c r="G66" s="63">
        <v>28776018</v>
      </c>
      <c r="H66" s="63">
        <v>0</v>
      </c>
      <c r="I66" s="63">
        <v>-324589</v>
      </c>
      <c r="J66" s="63">
        <v>645050</v>
      </c>
      <c r="K66" s="63">
        <v>-745050</v>
      </c>
      <c r="L66" s="63">
        <v>28351429</v>
      </c>
      <c r="M66" s="63">
        <v>0</v>
      </c>
      <c r="N66" s="63">
        <v>0</v>
      </c>
      <c r="O66" s="63">
        <v>894688</v>
      </c>
      <c r="P66" s="63">
        <v>894688</v>
      </c>
      <c r="Q66" s="63">
        <v>-4084</v>
      </c>
      <c r="R66" s="63">
        <v>-14190404</v>
      </c>
      <c r="S66" s="63">
        <v>-2838081</v>
      </c>
      <c r="T66" s="63">
        <v>-11352324</v>
      </c>
      <c r="U66" s="63">
        <v>-133997</v>
      </c>
      <c r="V66" s="63">
        <v>0</v>
      </c>
      <c r="W66" s="63">
        <v>0</v>
      </c>
      <c r="X66" s="63">
        <v>-28518890</v>
      </c>
      <c r="Y66" s="63">
        <v>0</v>
      </c>
      <c r="Z66" s="63">
        <v>121643</v>
      </c>
      <c r="AB66" s="189"/>
    </row>
    <row r="67" spans="1:28" ht="12.75" x14ac:dyDescent="0.2">
      <c r="A67" s="90">
        <v>60</v>
      </c>
      <c r="B67" s="129" t="s">
        <v>715</v>
      </c>
      <c r="C67" s="198" t="s">
        <v>742</v>
      </c>
      <c r="D67" s="131" t="s">
        <v>751</v>
      </c>
      <c r="E67" s="132" t="s">
        <v>714</v>
      </c>
      <c r="F67" s="63">
        <v>1108074</v>
      </c>
      <c r="G67" s="63">
        <v>19080771</v>
      </c>
      <c r="H67" s="63">
        <v>0</v>
      </c>
      <c r="I67" s="63">
        <v>0</v>
      </c>
      <c r="J67" s="63">
        <v>0</v>
      </c>
      <c r="K67" s="63">
        <v>-938250</v>
      </c>
      <c r="L67" s="63">
        <v>18142521</v>
      </c>
      <c r="M67" s="63">
        <v>351</v>
      </c>
      <c r="N67" s="63">
        <v>0</v>
      </c>
      <c r="O67" s="63">
        <v>0</v>
      </c>
      <c r="P67" s="63">
        <v>351</v>
      </c>
      <c r="Q67" s="63">
        <v>0</v>
      </c>
      <c r="R67" s="63">
        <v>-8982320</v>
      </c>
      <c r="S67" s="63">
        <v>-1796463</v>
      </c>
      <c r="T67" s="63">
        <v>-7185855</v>
      </c>
      <c r="U67" s="63">
        <v>-225432</v>
      </c>
      <c r="V67" s="63">
        <v>0</v>
      </c>
      <c r="W67" s="63">
        <v>-1060876</v>
      </c>
      <c r="X67" s="63">
        <v>-19250946</v>
      </c>
      <c r="Y67" s="63">
        <v>0</v>
      </c>
      <c r="Z67" s="63">
        <v>0</v>
      </c>
      <c r="AB67" s="189"/>
    </row>
    <row r="68" spans="1:28" ht="12.75" x14ac:dyDescent="0.2">
      <c r="A68" s="90">
        <v>61</v>
      </c>
      <c r="B68" s="129" t="s">
        <v>0</v>
      </c>
      <c r="C68" s="198" t="s">
        <v>754</v>
      </c>
      <c r="D68" s="131" t="s">
        <v>748</v>
      </c>
      <c r="E68" s="132" t="s">
        <v>716</v>
      </c>
      <c r="F68" s="63">
        <v>-22873052</v>
      </c>
      <c r="G68" s="63">
        <v>864605600</v>
      </c>
      <c r="H68" s="63">
        <v>0</v>
      </c>
      <c r="I68" s="63">
        <v>-2321635</v>
      </c>
      <c r="J68" s="63">
        <v>56463733</v>
      </c>
      <c r="K68" s="63">
        <v>-69830869</v>
      </c>
      <c r="L68" s="63">
        <v>848916829</v>
      </c>
      <c r="M68" s="63">
        <v>0</v>
      </c>
      <c r="N68" s="63">
        <v>0</v>
      </c>
      <c r="O68" s="63">
        <v>421083</v>
      </c>
      <c r="P68" s="63">
        <v>421083</v>
      </c>
      <c r="Q68" s="63">
        <v>-1327420</v>
      </c>
      <c r="R68" s="63">
        <v>-372551727</v>
      </c>
      <c r="S68" s="63">
        <v>-149020691</v>
      </c>
      <c r="T68" s="63">
        <v>-223531036</v>
      </c>
      <c r="U68" s="63">
        <v>-12643542</v>
      </c>
      <c r="V68" s="63">
        <v>0</v>
      </c>
      <c r="W68" s="63">
        <v>0</v>
      </c>
      <c r="X68" s="63">
        <v>-759074416</v>
      </c>
      <c r="Y68" s="63">
        <v>0</v>
      </c>
      <c r="Z68" s="63">
        <v>67390444</v>
      </c>
      <c r="AB68" s="189"/>
    </row>
    <row r="69" spans="1:28" ht="12.75" x14ac:dyDescent="0.2">
      <c r="A69" s="90">
        <v>62</v>
      </c>
      <c r="B69" s="129" t="s">
        <v>2</v>
      </c>
      <c r="C69" s="198" t="s">
        <v>742</v>
      </c>
      <c r="D69" s="131" t="s">
        <v>746</v>
      </c>
      <c r="E69" s="132" t="s">
        <v>1</v>
      </c>
      <c r="F69" s="63">
        <v>-2981817</v>
      </c>
      <c r="G69" s="63">
        <v>63192965</v>
      </c>
      <c r="H69" s="63">
        <v>0</v>
      </c>
      <c r="I69" s="63">
        <v>-351000</v>
      </c>
      <c r="J69" s="63">
        <v>883500</v>
      </c>
      <c r="K69" s="63">
        <v>-2041117</v>
      </c>
      <c r="L69" s="63">
        <v>61684348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-31131355</v>
      </c>
      <c r="S69" s="63">
        <v>-6226271</v>
      </c>
      <c r="T69" s="63">
        <v>-24905084</v>
      </c>
      <c r="U69" s="63">
        <v>-238245</v>
      </c>
      <c r="V69" s="63">
        <v>0</v>
      </c>
      <c r="W69" s="63">
        <v>-682206</v>
      </c>
      <c r="X69" s="63">
        <v>-63183161</v>
      </c>
      <c r="Y69" s="63">
        <v>0</v>
      </c>
      <c r="Z69" s="63">
        <v>-4480630</v>
      </c>
      <c r="AB69" s="189"/>
    </row>
    <row r="70" spans="1:28" ht="12.75" x14ac:dyDescent="0.2">
      <c r="A70" s="90">
        <v>63</v>
      </c>
      <c r="B70" s="129" t="s">
        <v>4</v>
      </c>
      <c r="C70" s="198" t="s">
        <v>742</v>
      </c>
      <c r="D70" s="131" t="s">
        <v>744</v>
      </c>
      <c r="E70" s="132" t="s">
        <v>3</v>
      </c>
      <c r="F70" s="63">
        <v>-17382936</v>
      </c>
      <c r="G70" s="63">
        <v>44616961</v>
      </c>
      <c r="H70" s="63">
        <v>-39706</v>
      </c>
      <c r="I70" s="63">
        <v>-301893</v>
      </c>
      <c r="J70" s="63">
        <v>219170</v>
      </c>
      <c r="K70" s="63">
        <v>-71011</v>
      </c>
      <c r="L70" s="63">
        <v>44423521</v>
      </c>
      <c r="M70" s="63">
        <v>0</v>
      </c>
      <c r="N70" s="63">
        <v>0</v>
      </c>
      <c r="O70" s="63">
        <v>17432830</v>
      </c>
      <c r="P70" s="63">
        <v>17432830</v>
      </c>
      <c r="Q70" s="63">
        <v>-57909</v>
      </c>
      <c r="R70" s="63">
        <v>-18138510</v>
      </c>
      <c r="S70" s="63">
        <v>-3627702</v>
      </c>
      <c r="T70" s="63">
        <v>-14510808</v>
      </c>
      <c r="U70" s="63">
        <v>-124636</v>
      </c>
      <c r="V70" s="63">
        <v>0</v>
      </c>
      <c r="W70" s="63">
        <v>0</v>
      </c>
      <c r="X70" s="63">
        <v>-36459565</v>
      </c>
      <c r="Y70" s="63">
        <v>0</v>
      </c>
      <c r="Z70" s="63">
        <v>8013850</v>
      </c>
      <c r="AB70" s="189"/>
    </row>
    <row r="71" spans="1:28" ht="12.75" x14ac:dyDescent="0.2">
      <c r="A71" s="90">
        <v>64</v>
      </c>
      <c r="B71" s="129" t="s">
        <v>6</v>
      </c>
      <c r="C71" s="198" t="s">
        <v>742</v>
      </c>
      <c r="D71" s="131" t="s">
        <v>745</v>
      </c>
      <c r="E71" s="132" t="s">
        <v>5</v>
      </c>
      <c r="F71" s="63">
        <v>-4872090</v>
      </c>
      <c r="G71" s="63">
        <v>35618431</v>
      </c>
      <c r="H71" s="63">
        <v>-500000</v>
      </c>
      <c r="I71" s="63">
        <v>443414</v>
      </c>
      <c r="J71" s="63">
        <v>485500</v>
      </c>
      <c r="K71" s="63">
        <v>-1693400</v>
      </c>
      <c r="L71" s="63">
        <v>34353945</v>
      </c>
      <c r="M71" s="63">
        <v>12109</v>
      </c>
      <c r="N71" s="63">
        <v>0</v>
      </c>
      <c r="O71" s="63">
        <v>3471698</v>
      </c>
      <c r="P71" s="63">
        <v>3483807</v>
      </c>
      <c r="Q71" s="63">
        <v>-33394</v>
      </c>
      <c r="R71" s="63">
        <v>-17362775</v>
      </c>
      <c r="S71" s="63">
        <v>-3472555</v>
      </c>
      <c r="T71" s="63">
        <v>-13890220</v>
      </c>
      <c r="U71" s="63">
        <v>-88686</v>
      </c>
      <c r="V71" s="63">
        <v>0</v>
      </c>
      <c r="W71" s="63">
        <v>0</v>
      </c>
      <c r="X71" s="63">
        <v>-34847630</v>
      </c>
      <c r="Y71" s="63">
        <v>0</v>
      </c>
      <c r="Z71" s="63">
        <v>-1881968</v>
      </c>
      <c r="AB71" s="189"/>
    </row>
    <row r="72" spans="1:28" ht="12.75" x14ac:dyDescent="0.2">
      <c r="A72" s="90">
        <v>65</v>
      </c>
      <c r="B72" s="129" t="s">
        <v>8</v>
      </c>
      <c r="C72" s="198" t="s">
        <v>501</v>
      </c>
      <c r="D72" s="131" t="s">
        <v>751</v>
      </c>
      <c r="E72" s="132" t="s">
        <v>7</v>
      </c>
      <c r="F72" s="63">
        <v>2837434</v>
      </c>
      <c r="G72" s="63">
        <v>156967237</v>
      </c>
      <c r="H72" s="63">
        <v>-789095</v>
      </c>
      <c r="I72" s="63">
        <v>-1179122</v>
      </c>
      <c r="J72" s="63">
        <v>0</v>
      </c>
      <c r="K72" s="63">
        <v>-6807080</v>
      </c>
      <c r="L72" s="63">
        <v>148191940</v>
      </c>
      <c r="M72" s="63">
        <v>23356</v>
      </c>
      <c r="N72" s="63">
        <v>0</v>
      </c>
      <c r="O72" s="63">
        <v>0</v>
      </c>
      <c r="P72" s="63">
        <v>23356</v>
      </c>
      <c r="Q72" s="63">
        <v>-919265</v>
      </c>
      <c r="R72" s="63">
        <v>-72855902</v>
      </c>
      <c r="S72" s="63">
        <v>0</v>
      </c>
      <c r="T72" s="63">
        <v>-72855903</v>
      </c>
      <c r="U72" s="63">
        <v>-1882281</v>
      </c>
      <c r="V72" s="63">
        <v>-429333</v>
      </c>
      <c r="W72" s="63">
        <v>-2046996</v>
      </c>
      <c r="X72" s="63">
        <v>-150989680</v>
      </c>
      <c r="Y72" s="63">
        <v>0</v>
      </c>
      <c r="Z72" s="63">
        <v>63050</v>
      </c>
      <c r="AB72" s="189"/>
    </row>
    <row r="73" spans="1:28" ht="12.75" x14ac:dyDescent="0.2">
      <c r="A73" s="90">
        <v>66</v>
      </c>
      <c r="B73" s="129" t="s">
        <v>10</v>
      </c>
      <c r="C73" s="198" t="s">
        <v>742</v>
      </c>
      <c r="D73" s="131" t="s">
        <v>751</v>
      </c>
      <c r="E73" s="132" t="s">
        <v>9</v>
      </c>
      <c r="F73" s="63">
        <v>-1444962</v>
      </c>
      <c r="G73" s="63">
        <v>29570177</v>
      </c>
      <c r="H73" s="63">
        <v>0</v>
      </c>
      <c r="I73" s="63">
        <v>-37932</v>
      </c>
      <c r="J73" s="63">
        <v>0</v>
      </c>
      <c r="K73" s="63">
        <v>-511601</v>
      </c>
      <c r="L73" s="63">
        <v>29020644</v>
      </c>
      <c r="M73" s="63">
        <v>0</v>
      </c>
      <c r="N73" s="63">
        <v>723</v>
      </c>
      <c r="O73" s="63">
        <v>0</v>
      </c>
      <c r="P73" s="63">
        <v>723</v>
      </c>
      <c r="Q73" s="63">
        <v>-233008</v>
      </c>
      <c r="R73" s="63">
        <v>-14922143</v>
      </c>
      <c r="S73" s="63">
        <v>-2984429</v>
      </c>
      <c r="T73" s="63">
        <v>-11937715</v>
      </c>
      <c r="U73" s="63">
        <v>-178723</v>
      </c>
      <c r="V73" s="63">
        <v>-89110</v>
      </c>
      <c r="W73" s="63">
        <v>-119576</v>
      </c>
      <c r="X73" s="63">
        <v>-30464704</v>
      </c>
      <c r="Y73" s="63">
        <v>0</v>
      </c>
      <c r="Z73" s="63">
        <v>-2888299</v>
      </c>
      <c r="AB73" s="189"/>
    </row>
    <row r="74" spans="1:28" ht="12.75" x14ac:dyDescent="0.2">
      <c r="A74" s="90">
        <v>67</v>
      </c>
      <c r="B74" s="129" t="s">
        <v>12</v>
      </c>
      <c r="C74" s="198" t="s">
        <v>749</v>
      </c>
      <c r="D74" s="131" t="s">
        <v>752</v>
      </c>
      <c r="E74" s="132" t="s">
        <v>11</v>
      </c>
      <c r="F74" s="63">
        <v>-54963</v>
      </c>
      <c r="G74" s="63">
        <v>121049980</v>
      </c>
      <c r="H74" s="63">
        <v>0</v>
      </c>
      <c r="I74" s="63">
        <v>-2012098</v>
      </c>
      <c r="J74" s="63">
        <v>0</v>
      </c>
      <c r="K74" s="63">
        <v>0</v>
      </c>
      <c r="L74" s="63">
        <v>119037882</v>
      </c>
      <c r="M74" s="63">
        <v>122209</v>
      </c>
      <c r="N74" s="63">
        <v>0</v>
      </c>
      <c r="O74" s="63">
        <v>0</v>
      </c>
      <c r="P74" s="63">
        <v>122209</v>
      </c>
      <c r="Q74" s="63">
        <v>0</v>
      </c>
      <c r="R74" s="63">
        <v>-58770116</v>
      </c>
      <c r="S74" s="63">
        <v>-1175402</v>
      </c>
      <c r="T74" s="63">
        <v>-57594713</v>
      </c>
      <c r="U74" s="63">
        <v>-381387</v>
      </c>
      <c r="V74" s="63">
        <v>0</v>
      </c>
      <c r="W74" s="63">
        <v>-3327425</v>
      </c>
      <c r="X74" s="63">
        <v>-121249043</v>
      </c>
      <c r="Y74" s="63">
        <v>1419335</v>
      </c>
      <c r="Z74" s="63">
        <v>-724580</v>
      </c>
      <c r="AB74" s="189" t="s">
        <v>768</v>
      </c>
    </row>
    <row r="75" spans="1:28" ht="12.75" x14ac:dyDescent="0.2">
      <c r="A75" s="90">
        <v>68</v>
      </c>
      <c r="B75" s="129" t="s">
        <v>14</v>
      </c>
      <c r="C75" s="198" t="s">
        <v>742</v>
      </c>
      <c r="D75" s="131" t="s">
        <v>750</v>
      </c>
      <c r="E75" s="132" t="s">
        <v>13</v>
      </c>
      <c r="F75" s="63">
        <v>-3309553</v>
      </c>
      <c r="G75" s="63">
        <v>17612641</v>
      </c>
      <c r="H75" s="63">
        <v>-100000</v>
      </c>
      <c r="I75" s="63">
        <v>-10000</v>
      </c>
      <c r="J75" s="63">
        <v>391398</v>
      </c>
      <c r="K75" s="63">
        <v>-149600</v>
      </c>
      <c r="L75" s="63">
        <v>17744439</v>
      </c>
      <c r="M75" s="63">
        <v>0</v>
      </c>
      <c r="N75" s="63">
        <v>0</v>
      </c>
      <c r="O75" s="63">
        <v>2400175</v>
      </c>
      <c r="P75" s="63">
        <v>2400175</v>
      </c>
      <c r="Q75" s="63">
        <v>0</v>
      </c>
      <c r="R75" s="63">
        <v>-8811928</v>
      </c>
      <c r="S75" s="63">
        <v>-1762386</v>
      </c>
      <c r="T75" s="63">
        <v>-7049543</v>
      </c>
      <c r="U75" s="63">
        <v>-120581</v>
      </c>
      <c r="V75" s="63">
        <v>0</v>
      </c>
      <c r="W75" s="63">
        <v>0</v>
      </c>
      <c r="X75" s="63">
        <v>-17744438</v>
      </c>
      <c r="Y75" s="63">
        <v>0</v>
      </c>
      <c r="Z75" s="63">
        <v>-909377</v>
      </c>
      <c r="AB75" s="189"/>
    </row>
    <row r="76" spans="1:28" ht="12.75" x14ac:dyDescent="0.2">
      <c r="A76" s="90">
        <v>69</v>
      </c>
      <c r="B76" s="129" t="s">
        <v>16</v>
      </c>
      <c r="C76" s="198" t="s">
        <v>742</v>
      </c>
      <c r="D76" s="131" t="s">
        <v>743</v>
      </c>
      <c r="E76" s="132" t="s">
        <v>15</v>
      </c>
      <c r="F76" s="63">
        <v>6254631</v>
      </c>
      <c r="G76" s="63">
        <v>120103574</v>
      </c>
      <c r="H76" s="63">
        <v>0</v>
      </c>
      <c r="I76" s="63">
        <v>-885060</v>
      </c>
      <c r="J76" s="63">
        <v>911948</v>
      </c>
      <c r="K76" s="63">
        <v>-1589055</v>
      </c>
      <c r="L76" s="63">
        <v>118541407</v>
      </c>
      <c r="M76" s="63">
        <v>0</v>
      </c>
      <c r="N76" s="63">
        <v>0</v>
      </c>
      <c r="O76" s="63">
        <v>0</v>
      </c>
      <c r="P76" s="63">
        <v>0</v>
      </c>
      <c r="Q76" s="63">
        <v>-497496</v>
      </c>
      <c r="R76" s="63">
        <v>-59102698</v>
      </c>
      <c r="S76" s="63">
        <v>-11820540</v>
      </c>
      <c r="T76" s="63">
        <v>-47282158</v>
      </c>
      <c r="U76" s="63">
        <v>-208046</v>
      </c>
      <c r="V76" s="63">
        <v>0</v>
      </c>
      <c r="W76" s="63">
        <v>-806190</v>
      </c>
      <c r="X76" s="63">
        <v>-119717128</v>
      </c>
      <c r="Y76" s="63">
        <v>0</v>
      </c>
      <c r="Z76" s="63">
        <v>5078910</v>
      </c>
      <c r="AB76" s="189"/>
    </row>
    <row r="77" spans="1:28" ht="12.75" x14ac:dyDescent="0.2">
      <c r="A77" s="90">
        <v>70</v>
      </c>
      <c r="B77" s="129" t="s">
        <v>18</v>
      </c>
      <c r="C77" s="198" t="s">
        <v>747</v>
      </c>
      <c r="D77" s="131" t="s">
        <v>748</v>
      </c>
      <c r="E77" s="132" t="s">
        <v>17</v>
      </c>
      <c r="F77" s="63">
        <v>-11337661</v>
      </c>
      <c r="G77" s="63">
        <v>112192894</v>
      </c>
      <c r="H77" s="63">
        <v>-2220458</v>
      </c>
      <c r="I77" s="63">
        <v>-531202</v>
      </c>
      <c r="J77" s="63">
        <v>6682000</v>
      </c>
      <c r="K77" s="63">
        <v>-18882000</v>
      </c>
      <c r="L77" s="63">
        <v>97241234</v>
      </c>
      <c r="M77" s="63">
        <v>0</v>
      </c>
      <c r="N77" s="63">
        <v>0</v>
      </c>
      <c r="O77" s="63">
        <v>11578925</v>
      </c>
      <c r="P77" s="63">
        <v>11578925</v>
      </c>
      <c r="Q77" s="63">
        <v>0</v>
      </c>
      <c r="R77" s="63">
        <v>-57448037</v>
      </c>
      <c r="S77" s="63">
        <v>-22979215</v>
      </c>
      <c r="T77" s="63">
        <v>-34468823</v>
      </c>
      <c r="U77" s="63">
        <v>-2008</v>
      </c>
      <c r="V77" s="63">
        <v>0</v>
      </c>
      <c r="W77" s="63">
        <v>0</v>
      </c>
      <c r="X77" s="63">
        <v>-114898083</v>
      </c>
      <c r="Y77" s="63">
        <v>0</v>
      </c>
      <c r="Z77" s="63">
        <v>-17415585</v>
      </c>
      <c r="AB77" s="189"/>
    </row>
    <row r="78" spans="1:28" ht="12.75" x14ac:dyDescent="0.2">
      <c r="A78" s="90">
        <v>71</v>
      </c>
      <c r="B78" s="129" t="s">
        <v>21</v>
      </c>
      <c r="C78" s="198" t="s">
        <v>742</v>
      </c>
      <c r="D78" s="131" t="s">
        <v>746</v>
      </c>
      <c r="E78" s="132" t="s">
        <v>19</v>
      </c>
      <c r="F78" s="63">
        <v>-2395854</v>
      </c>
      <c r="G78" s="63">
        <v>62346802</v>
      </c>
      <c r="H78" s="63">
        <v>-100000</v>
      </c>
      <c r="I78" s="63">
        <v>-1000000</v>
      </c>
      <c r="J78" s="63">
        <v>1909000</v>
      </c>
      <c r="K78" s="63">
        <v>-6203000</v>
      </c>
      <c r="L78" s="63">
        <v>56952802</v>
      </c>
      <c r="M78" s="63">
        <v>0</v>
      </c>
      <c r="N78" s="63">
        <v>0</v>
      </c>
      <c r="O78" s="63">
        <v>3633199</v>
      </c>
      <c r="P78" s="63">
        <v>3633199</v>
      </c>
      <c r="Q78" s="63">
        <v>0</v>
      </c>
      <c r="R78" s="63">
        <v>-30091643</v>
      </c>
      <c r="S78" s="63">
        <v>-6018329</v>
      </c>
      <c r="T78" s="63">
        <v>-24073314</v>
      </c>
      <c r="U78" s="63">
        <v>-218200</v>
      </c>
      <c r="V78" s="63">
        <v>0</v>
      </c>
      <c r="W78" s="63">
        <v>0</v>
      </c>
      <c r="X78" s="63">
        <v>-60401486</v>
      </c>
      <c r="Y78" s="63">
        <v>0</v>
      </c>
      <c r="Z78" s="63">
        <v>-2211339</v>
      </c>
      <c r="AB78" s="189"/>
    </row>
    <row r="79" spans="1:28" ht="12.75" x14ac:dyDescent="0.2">
      <c r="A79" s="90">
        <v>72</v>
      </c>
      <c r="B79" s="129" t="s">
        <v>22</v>
      </c>
      <c r="C79" s="198" t="s">
        <v>501</v>
      </c>
      <c r="D79" s="131" t="s">
        <v>755</v>
      </c>
      <c r="E79" s="132" t="s">
        <v>527</v>
      </c>
      <c r="F79" s="63">
        <v>-2338612</v>
      </c>
      <c r="G79" s="63">
        <v>33773127</v>
      </c>
      <c r="H79" s="63">
        <v>0</v>
      </c>
      <c r="I79" s="63">
        <v>-561000</v>
      </c>
      <c r="J79" s="63">
        <v>227766</v>
      </c>
      <c r="K79" s="63">
        <v>-265537</v>
      </c>
      <c r="L79" s="63">
        <v>33174356</v>
      </c>
      <c r="M79" s="63">
        <v>0</v>
      </c>
      <c r="N79" s="63">
        <v>0</v>
      </c>
      <c r="O79" s="63">
        <v>2118998</v>
      </c>
      <c r="P79" s="63">
        <v>2118998</v>
      </c>
      <c r="Q79" s="63">
        <v>-189000</v>
      </c>
      <c r="R79" s="63">
        <v>-17576233</v>
      </c>
      <c r="S79" s="63">
        <v>-351525</v>
      </c>
      <c r="T79" s="63">
        <v>-17224708</v>
      </c>
      <c r="U79" s="63">
        <v>-145025</v>
      </c>
      <c r="V79" s="63">
        <v>0</v>
      </c>
      <c r="W79" s="63">
        <v>0</v>
      </c>
      <c r="X79" s="63">
        <v>-35486491</v>
      </c>
      <c r="Y79" s="63">
        <v>0</v>
      </c>
      <c r="Z79" s="63">
        <v>-2531749</v>
      </c>
      <c r="AB79" s="189"/>
    </row>
    <row r="80" spans="1:28" ht="12.75" x14ac:dyDescent="0.2">
      <c r="A80" s="90">
        <v>73</v>
      </c>
      <c r="B80" s="129" t="s">
        <v>24</v>
      </c>
      <c r="C80" s="198" t="s">
        <v>742</v>
      </c>
      <c r="D80" s="131" t="s">
        <v>743</v>
      </c>
      <c r="E80" s="132" t="s">
        <v>23</v>
      </c>
      <c r="F80" s="63">
        <v>3289769</v>
      </c>
      <c r="G80" s="63">
        <v>79092220</v>
      </c>
      <c r="H80" s="63">
        <v>0</v>
      </c>
      <c r="I80" s="63">
        <v>682000</v>
      </c>
      <c r="J80" s="63">
        <v>2250000</v>
      </c>
      <c r="K80" s="63">
        <v>2500000</v>
      </c>
      <c r="L80" s="63">
        <v>84524220</v>
      </c>
      <c r="M80" s="63">
        <v>0</v>
      </c>
      <c r="N80" s="63">
        <v>0</v>
      </c>
      <c r="O80" s="63">
        <v>0</v>
      </c>
      <c r="P80" s="63">
        <v>0</v>
      </c>
      <c r="Q80" s="63">
        <v>-105000</v>
      </c>
      <c r="R80" s="63">
        <v>-42400336</v>
      </c>
      <c r="S80" s="63">
        <v>-8480067</v>
      </c>
      <c r="T80" s="63">
        <v>-33920269</v>
      </c>
      <c r="U80" s="63">
        <v>0</v>
      </c>
      <c r="V80" s="63">
        <v>0</v>
      </c>
      <c r="W80" s="63">
        <v>-6033625</v>
      </c>
      <c r="X80" s="63">
        <v>-90939297</v>
      </c>
      <c r="Y80" s="63">
        <v>0</v>
      </c>
      <c r="Z80" s="63">
        <v>-3125308</v>
      </c>
      <c r="AB80" s="189"/>
    </row>
    <row r="81" spans="1:28" ht="12.75" x14ac:dyDescent="0.2">
      <c r="A81" s="90">
        <v>74</v>
      </c>
      <c r="B81" s="129" t="s">
        <v>26</v>
      </c>
      <c r="C81" s="198" t="s">
        <v>742</v>
      </c>
      <c r="D81" s="131" t="s">
        <v>745</v>
      </c>
      <c r="E81" s="132" t="s">
        <v>25</v>
      </c>
      <c r="F81" s="63">
        <v>-4011051</v>
      </c>
      <c r="G81" s="63">
        <v>42831283</v>
      </c>
      <c r="H81" s="63">
        <v>0</v>
      </c>
      <c r="I81" s="63">
        <v>-22492</v>
      </c>
      <c r="J81" s="63">
        <v>482653</v>
      </c>
      <c r="K81" s="63">
        <v>917626</v>
      </c>
      <c r="L81" s="63">
        <v>44209070</v>
      </c>
      <c r="M81" s="63">
        <v>4311</v>
      </c>
      <c r="N81" s="63">
        <v>0</v>
      </c>
      <c r="O81" s="63">
        <v>2136538</v>
      </c>
      <c r="P81" s="63">
        <v>2140849</v>
      </c>
      <c r="Q81" s="63">
        <v>0</v>
      </c>
      <c r="R81" s="63">
        <v>-20377613</v>
      </c>
      <c r="S81" s="63">
        <v>-4075523</v>
      </c>
      <c r="T81" s="63">
        <v>-16302900</v>
      </c>
      <c r="U81" s="63">
        <v>-321193</v>
      </c>
      <c r="V81" s="63">
        <v>-179450</v>
      </c>
      <c r="W81" s="63">
        <v>0</v>
      </c>
      <c r="X81" s="63">
        <v>-41256679</v>
      </c>
      <c r="Y81" s="63">
        <v>272354</v>
      </c>
      <c r="Z81" s="63">
        <v>1354543</v>
      </c>
      <c r="AB81" s="189" t="s">
        <v>768</v>
      </c>
    </row>
    <row r="82" spans="1:28" ht="12.75" x14ac:dyDescent="0.2">
      <c r="A82" s="90">
        <v>75</v>
      </c>
      <c r="B82" s="129" t="s">
        <v>27</v>
      </c>
      <c r="C82" s="198" t="s">
        <v>501</v>
      </c>
      <c r="D82" s="131" t="s">
        <v>745</v>
      </c>
      <c r="E82" s="132" t="s">
        <v>520</v>
      </c>
      <c r="F82" s="63">
        <v>3382000</v>
      </c>
      <c r="G82" s="63">
        <v>90120500</v>
      </c>
      <c r="H82" s="63">
        <v>0</v>
      </c>
      <c r="I82" s="63">
        <v>-1743857</v>
      </c>
      <c r="J82" s="63">
        <v>0</v>
      </c>
      <c r="K82" s="63">
        <v>-2510594</v>
      </c>
      <c r="L82" s="63">
        <v>85866049</v>
      </c>
      <c r="M82" s="63">
        <v>0</v>
      </c>
      <c r="N82" s="63">
        <v>0</v>
      </c>
      <c r="O82" s="63">
        <v>0</v>
      </c>
      <c r="P82" s="63">
        <v>0</v>
      </c>
      <c r="Q82" s="63">
        <v>-120349</v>
      </c>
      <c r="R82" s="63">
        <v>-43040366</v>
      </c>
      <c r="S82" s="63">
        <v>-860807</v>
      </c>
      <c r="T82" s="63">
        <v>-42179558</v>
      </c>
      <c r="U82" s="63">
        <v>-750000</v>
      </c>
      <c r="V82" s="63">
        <v>-349969</v>
      </c>
      <c r="W82" s="63">
        <v>-2301640</v>
      </c>
      <c r="X82" s="63">
        <v>-89602689</v>
      </c>
      <c r="Y82" s="63">
        <v>0</v>
      </c>
      <c r="Z82" s="63">
        <v>-354640</v>
      </c>
      <c r="AB82" s="189"/>
    </row>
    <row r="83" spans="1:28" ht="12.75" x14ac:dyDescent="0.2">
      <c r="A83" s="90">
        <v>76</v>
      </c>
      <c r="B83" s="129" t="s">
        <v>29</v>
      </c>
      <c r="C83" s="198" t="s">
        <v>742</v>
      </c>
      <c r="D83" s="131" t="s">
        <v>745</v>
      </c>
      <c r="E83" s="132" t="s">
        <v>28</v>
      </c>
      <c r="F83" s="63">
        <v>213731</v>
      </c>
      <c r="G83" s="63">
        <v>17372455</v>
      </c>
      <c r="H83" s="63">
        <v>0</v>
      </c>
      <c r="I83" s="63">
        <v>-57000</v>
      </c>
      <c r="J83" s="63">
        <v>0</v>
      </c>
      <c r="K83" s="63">
        <v>-84629</v>
      </c>
      <c r="L83" s="63">
        <v>17230826</v>
      </c>
      <c r="M83" s="63">
        <v>0</v>
      </c>
      <c r="N83" s="63">
        <v>0</v>
      </c>
      <c r="O83" s="63">
        <v>0</v>
      </c>
      <c r="P83" s="63">
        <v>0</v>
      </c>
      <c r="Q83" s="63">
        <v>-56526</v>
      </c>
      <c r="R83" s="63">
        <v>-8502884</v>
      </c>
      <c r="S83" s="63">
        <v>-1700577</v>
      </c>
      <c r="T83" s="63">
        <v>-7018508</v>
      </c>
      <c r="U83" s="63">
        <v>-146857</v>
      </c>
      <c r="V83" s="63">
        <v>0</v>
      </c>
      <c r="W83" s="63">
        <v>-677540</v>
      </c>
      <c r="X83" s="63">
        <v>-18102892</v>
      </c>
      <c r="Y83" s="63">
        <v>0</v>
      </c>
      <c r="Z83" s="63">
        <v>-658335</v>
      </c>
      <c r="AB83" s="189"/>
    </row>
    <row r="84" spans="1:28" ht="12.75" x14ac:dyDescent="0.2">
      <c r="A84" s="90">
        <v>77</v>
      </c>
      <c r="B84" s="129" t="s">
        <v>31</v>
      </c>
      <c r="C84" s="198" t="s">
        <v>749</v>
      </c>
      <c r="D84" s="131" t="s">
        <v>750</v>
      </c>
      <c r="E84" s="132" t="s">
        <v>30</v>
      </c>
      <c r="F84" s="63">
        <v>-4114323</v>
      </c>
      <c r="G84" s="63">
        <v>96311188</v>
      </c>
      <c r="H84" s="63">
        <v>-2393189</v>
      </c>
      <c r="I84" s="63">
        <v>1148952</v>
      </c>
      <c r="J84" s="63">
        <v>821295</v>
      </c>
      <c r="K84" s="63">
        <v>-1320528</v>
      </c>
      <c r="L84" s="63">
        <v>94567718</v>
      </c>
      <c r="M84" s="63">
        <v>0</v>
      </c>
      <c r="N84" s="63">
        <v>0</v>
      </c>
      <c r="O84" s="63">
        <v>2380515</v>
      </c>
      <c r="P84" s="63">
        <v>2380515</v>
      </c>
      <c r="Q84" s="63">
        <v>-67805</v>
      </c>
      <c r="R84" s="63">
        <v>-46723435</v>
      </c>
      <c r="S84" s="63">
        <v>-934469</v>
      </c>
      <c r="T84" s="63">
        <v>-45788967</v>
      </c>
      <c r="U84" s="63">
        <v>-592486</v>
      </c>
      <c r="V84" s="63">
        <v>0</v>
      </c>
      <c r="W84" s="63">
        <v>0</v>
      </c>
      <c r="X84" s="63">
        <v>-94107162</v>
      </c>
      <c r="Y84" s="63">
        <v>0</v>
      </c>
      <c r="Z84" s="63">
        <v>-1273252</v>
      </c>
      <c r="AB84" s="189"/>
    </row>
    <row r="85" spans="1:28" ht="12.75" x14ac:dyDescent="0.2">
      <c r="A85" s="90">
        <v>78</v>
      </c>
      <c r="B85" s="129" t="s">
        <v>39</v>
      </c>
      <c r="C85" s="198" t="s">
        <v>742</v>
      </c>
      <c r="D85" s="131" t="s">
        <v>743</v>
      </c>
      <c r="E85" s="132" t="s">
        <v>38</v>
      </c>
      <c r="F85" s="63">
        <v>-3526450</v>
      </c>
      <c r="G85" s="63">
        <v>32233349</v>
      </c>
      <c r="H85" s="63">
        <v>0</v>
      </c>
      <c r="I85" s="63">
        <v>-400000</v>
      </c>
      <c r="J85" s="63">
        <v>2478016</v>
      </c>
      <c r="K85" s="63">
        <v>2811984</v>
      </c>
      <c r="L85" s="63">
        <v>37123349</v>
      </c>
      <c r="M85" s="63">
        <v>98373</v>
      </c>
      <c r="N85" s="63">
        <v>1280000</v>
      </c>
      <c r="O85" s="63">
        <v>0</v>
      </c>
      <c r="P85" s="63">
        <v>1378373</v>
      </c>
      <c r="Q85" s="63">
        <v>0</v>
      </c>
      <c r="R85" s="63">
        <v>-17423810</v>
      </c>
      <c r="S85" s="63">
        <v>-3484762</v>
      </c>
      <c r="T85" s="63">
        <v>-13939048</v>
      </c>
      <c r="U85" s="63">
        <v>-412088</v>
      </c>
      <c r="V85" s="63">
        <v>-1024000</v>
      </c>
      <c r="W85" s="63">
        <v>-500787</v>
      </c>
      <c r="X85" s="63">
        <v>-36784495</v>
      </c>
      <c r="Y85" s="63">
        <v>0</v>
      </c>
      <c r="Z85" s="63">
        <v>-1809223</v>
      </c>
      <c r="AB85" s="189"/>
    </row>
    <row r="86" spans="1:28" ht="12.75" x14ac:dyDescent="0.2">
      <c r="A86" s="90">
        <v>79</v>
      </c>
      <c r="B86" s="129" t="s">
        <v>41</v>
      </c>
      <c r="C86" s="198" t="s">
        <v>749</v>
      </c>
      <c r="D86" s="131" t="s">
        <v>752</v>
      </c>
      <c r="E86" s="132" t="s">
        <v>40</v>
      </c>
      <c r="F86" s="63">
        <v>-10477000</v>
      </c>
      <c r="G86" s="63">
        <v>97297780</v>
      </c>
      <c r="H86" s="63">
        <v>0</v>
      </c>
      <c r="I86" s="63">
        <v>0</v>
      </c>
      <c r="J86" s="63">
        <v>0</v>
      </c>
      <c r="K86" s="63">
        <v>0</v>
      </c>
      <c r="L86" s="63">
        <v>97297780</v>
      </c>
      <c r="M86" s="63">
        <v>0</v>
      </c>
      <c r="N86" s="63">
        <v>0</v>
      </c>
      <c r="O86" s="63">
        <v>5448771</v>
      </c>
      <c r="P86" s="63">
        <v>5448771</v>
      </c>
      <c r="Q86" s="63">
        <v>-81885</v>
      </c>
      <c r="R86" s="63">
        <v>-46018129</v>
      </c>
      <c r="S86" s="63">
        <v>-920363</v>
      </c>
      <c r="T86" s="63">
        <v>-45097766</v>
      </c>
      <c r="U86" s="63">
        <v>-429762</v>
      </c>
      <c r="V86" s="63">
        <v>-4600859</v>
      </c>
      <c r="W86" s="63">
        <v>0</v>
      </c>
      <c r="X86" s="63">
        <v>-97148764</v>
      </c>
      <c r="Y86" s="63">
        <v>1350000</v>
      </c>
      <c r="Z86" s="63">
        <v>-3529213</v>
      </c>
      <c r="AB86" s="189" t="s">
        <v>768</v>
      </c>
    </row>
    <row r="87" spans="1:28" ht="12.75" x14ac:dyDescent="0.2">
      <c r="A87" s="90">
        <v>80</v>
      </c>
      <c r="B87" s="129" t="s">
        <v>43</v>
      </c>
      <c r="C87" s="198" t="s">
        <v>501</v>
      </c>
      <c r="D87" s="131" t="s">
        <v>755</v>
      </c>
      <c r="E87" s="132" t="s">
        <v>42</v>
      </c>
      <c r="F87" s="63">
        <v>1524245</v>
      </c>
      <c r="G87" s="63">
        <v>117298204</v>
      </c>
      <c r="H87" s="63">
        <v>0</v>
      </c>
      <c r="I87" s="63">
        <v>-1754300</v>
      </c>
      <c r="J87" s="63">
        <v>0</v>
      </c>
      <c r="K87" s="63">
        <v>-9919203</v>
      </c>
      <c r="L87" s="63">
        <v>105624701</v>
      </c>
      <c r="M87" s="63">
        <v>0</v>
      </c>
      <c r="N87" s="63">
        <v>0</v>
      </c>
      <c r="O87" s="63">
        <v>0</v>
      </c>
      <c r="P87" s="63">
        <v>0</v>
      </c>
      <c r="Q87" s="63">
        <v>-344838</v>
      </c>
      <c r="R87" s="63">
        <v>-55916265</v>
      </c>
      <c r="S87" s="63">
        <v>-1118325</v>
      </c>
      <c r="T87" s="63">
        <v>-54797939</v>
      </c>
      <c r="U87" s="63">
        <v>-641894</v>
      </c>
      <c r="V87" s="63">
        <v>-1214</v>
      </c>
      <c r="W87" s="63">
        <v>-1020816</v>
      </c>
      <c r="X87" s="63">
        <v>-113841291</v>
      </c>
      <c r="Y87" s="63">
        <v>0</v>
      </c>
      <c r="Z87" s="63">
        <v>-6692345</v>
      </c>
      <c r="AB87" s="189"/>
    </row>
    <row r="88" spans="1:28" ht="12.75" x14ac:dyDescent="0.2">
      <c r="A88" s="90">
        <v>81</v>
      </c>
      <c r="B88" s="129" t="s">
        <v>45</v>
      </c>
      <c r="C88" s="198" t="s">
        <v>747</v>
      </c>
      <c r="D88" s="131" t="s">
        <v>748</v>
      </c>
      <c r="E88" s="132" t="s">
        <v>44</v>
      </c>
      <c r="F88" s="63">
        <v>18945000</v>
      </c>
      <c r="G88" s="63">
        <v>142007662</v>
      </c>
      <c r="H88" s="63">
        <v>0</v>
      </c>
      <c r="I88" s="63">
        <v>0</v>
      </c>
      <c r="J88" s="63">
        <v>0</v>
      </c>
      <c r="K88" s="63">
        <v>-360610</v>
      </c>
      <c r="L88" s="63">
        <v>141647052</v>
      </c>
      <c r="M88" s="63">
        <v>0</v>
      </c>
      <c r="N88" s="63">
        <v>0</v>
      </c>
      <c r="O88" s="63">
        <v>3930000</v>
      </c>
      <c r="P88" s="63">
        <v>3930000</v>
      </c>
      <c r="Q88" s="63">
        <v>0</v>
      </c>
      <c r="R88" s="63">
        <v>-65992319</v>
      </c>
      <c r="S88" s="63">
        <v>-26396928</v>
      </c>
      <c r="T88" s="63">
        <v>-39595392</v>
      </c>
      <c r="U88" s="63">
        <v>0</v>
      </c>
      <c r="V88" s="63">
        <v>-1023413</v>
      </c>
      <c r="W88" s="63">
        <v>0</v>
      </c>
      <c r="X88" s="63">
        <v>-133008052</v>
      </c>
      <c r="Y88" s="63">
        <v>0</v>
      </c>
      <c r="Z88" s="63">
        <v>31514000</v>
      </c>
      <c r="AB88" s="189"/>
    </row>
    <row r="89" spans="1:28" ht="12.75" x14ac:dyDescent="0.2">
      <c r="A89" s="90">
        <v>82</v>
      </c>
      <c r="B89" s="129" t="s">
        <v>47</v>
      </c>
      <c r="C89" s="198" t="s">
        <v>742</v>
      </c>
      <c r="D89" s="131" t="s">
        <v>746</v>
      </c>
      <c r="E89" s="132" t="s">
        <v>46</v>
      </c>
      <c r="F89" s="63">
        <v>707734</v>
      </c>
      <c r="G89" s="63">
        <v>19317423</v>
      </c>
      <c r="H89" s="63">
        <v>0</v>
      </c>
      <c r="I89" s="63">
        <v>-93431</v>
      </c>
      <c r="J89" s="63">
        <v>0</v>
      </c>
      <c r="K89" s="63">
        <v>-272706</v>
      </c>
      <c r="L89" s="63">
        <v>18951286</v>
      </c>
      <c r="M89" s="63">
        <v>0</v>
      </c>
      <c r="N89" s="63">
        <v>0</v>
      </c>
      <c r="O89" s="63">
        <v>0</v>
      </c>
      <c r="P89" s="63">
        <v>0</v>
      </c>
      <c r="Q89" s="63">
        <v>0</v>
      </c>
      <c r="R89" s="63">
        <v>-9039472</v>
      </c>
      <c r="S89" s="63">
        <v>-1807894</v>
      </c>
      <c r="T89" s="63">
        <v>-7231577</v>
      </c>
      <c r="U89" s="63">
        <v>-330644</v>
      </c>
      <c r="V89" s="63">
        <v>0</v>
      </c>
      <c r="W89" s="63">
        <v>-457912</v>
      </c>
      <c r="X89" s="63">
        <v>-18867499</v>
      </c>
      <c r="Y89" s="63">
        <v>0</v>
      </c>
      <c r="Z89" s="63">
        <v>791521</v>
      </c>
      <c r="AB89" s="189"/>
    </row>
    <row r="90" spans="1:28" ht="12.75" x14ac:dyDescent="0.2">
      <c r="A90" s="90">
        <v>83</v>
      </c>
      <c r="B90" s="129" t="s">
        <v>49</v>
      </c>
      <c r="C90" s="198" t="s">
        <v>742</v>
      </c>
      <c r="D90" s="131" t="s">
        <v>751</v>
      </c>
      <c r="E90" s="132" t="s">
        <v>48</v>
      </c>
      <c r="F90" s="63">
        <v>-2853372</v>
      </c>
      <c r="G90" s="63">
        <v>32379857</v>
      </c>
      <c r="H90" s="63">
        <v>-62201</v>
      </c>
      <c r="I90" s="63">
        <v>0</v>
      </c>
      <c r="J90" s="63">
        <v>507143</v>
      </c>
      <c r="K90" s="63">
        <v>-507143</v>
      </c>
      <c r="L90" s="63">
        <v>32317656</v>
      </c>
      <c r="M90" s="63">
        <v>65580</v>
      </c>
      <c r="N90" s="63">
        <v>0</v>
      </c>
      <c r="O90" s="63">
        <v>1584312</v>
      </c>
      <c r="P90" s="63">
        <v>1649892</v>
      </c>
      <c r="Q90" s="63">
        <v>0</v>
      </c>
      <c r="R90" s="63">
        <v>-16167864</v>
      </c>
      <c r="S90" s="63">
        <v>-3233573</v>
      </c>
      <c r="T90" s="63">
        <v>-12934291</v>
      </c>
      <c r="U90" s="63">
        <v>-400716</v>
      </c>
      <c r="V90" s="63">
        <v>-16496</v>
      </c>
      <c r="W90" s="63">
        <v>0</v>
      </c>
      <c r="X90" s="63">
        <v>-32752940</v>
      </c>
      <c r="Y90" s="63">
        <v>314270</v>
      </c>
      <c r="Z90" s="63">
        <v>-1324494</v>
      </c>
      <c r="AB90" s="189" t="s">
        <v>768</v>
      </c>
    </row>
    <row r="91" spans="1:28" ht="12.75" x14ac:dyDescent="0.2">
      <c r="A91" s="90">
        <v>84</v>
      </c>
      <c r="B91" s="129" t="s">
        <v>51</v>
      </c>
      <c r="C91" s="198" t="s">
        <v>742</v>
      </c>
      <c r="D91" s="131" t="s">
        <v>751</v>
      </c>
      <c r="E91" s="132" t="s">
        <v>50</v>
      </c>
      <c r="F91" s="63">
        <v>1237361</v>
      </c>
      <c r="G91" s="63">
        <v>21885028</v>
      </c>
      <c r="H91" s="63">
        <v>0</v>
      </c>
      <c r="I91" s="63">
        <v>0</v>
      </c>
      <c r="J91" s="63">
        <v>0</v>
      </c>
      <c r="K91" s="63">
        <v>-991121</v>
      </c>
      <c r="L91" s="63">
        <v>20893907</v>
      </c>
      <c r="M91" s="63">
        <v>20027</v>
      </c>
      <c r="N91" s="63">
        <v>0</v>
      </c>
      <c r="O91" s="63">
        <v>0</v>
      </c>
      <c r="P91" s="63">
        <v>20027</v>
      </c>
      <c r="Q91" s="63">
        <v>0</v>
      </c>
      <c r="R91" s="63">
        <v>-10614580</v>
      </c>
      <c r="S91" s="63">
        <v>-2122917</v>
      </c>
      <c r="T91" s="63">
        <v>-8491665</v>
      </c>
      <c r="U91" s="63">
        <v>-152668</v>
      </c>
      <c r="V91" s="63">
        <v>0</v>
      </c>
      <c r="W91" s="63">
        <v>-1072594</v>
      </c>
      <c r="X91" s="63">
        <v>-22454424</v>
      </c>
      <c r="Y91" s="63">
        <v>0</v>
      </c>
      <c r="Z91" s="63">
        <v>-303129</v>
      </c>
      <c r="AB91" s="189"/>
    </row>
    <row r="92" spans="1:28" ht="12.75" x14ac:dyDescent="0.2">
      <c r="A92" s="90">
        <v>85</v>
      </c>
      <c r="B92" s="129" t="s">
        <v>53</v>
      </c>
      <c r="C92" s="198" t="s">
        <v>742</v>
      </c>
      <c r="D92" s="131" t="s">
        <v>743</v>
      </c>
      <c r="E92" s="132" t="s">
        <v>52</v>
      </c>
      <c r="F92" s="63">
        <v>1169704</v>
      </c>
      <c r="G92" s="63">
        <v>28301000</v>
      </c>
      <c r="H92" s="63">
        <v>0</v>
      </c>
      <c r="I92" s="63">
        <v>-175000</v>
      </c>
      <c r="J92" s="63">
        <v>0</v>
      </c>
      <c r="K92" s="63">
        <v>-1250000</v>
      </c>
      <c r="L92" s="63">
        <v>26876000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-14408658</v>
      </c>
      <c r="S92" s="63">
        <v>-2881732</v>
      </c>
      <c r="T92" s="63">
        <v>-11526926</v>
      </c>
      <c r="U92" s="63">
        <v>0</v>
      </c>
      <c r="V92" s="63">
        <v>-151000</v>
      </c>
      <c r="W92" s="63">
        <v>-670856</v>
      </c>
      <c r="X92" s="63">
        <v>-29639172</v>
      </c>
      <c r="Y92" s="63">
        <v>0</v>
      </c>
      <c r="Z92" s="63">
        <v>-1593468</v>
      </c>
      <c r="AB92" s="189"/>
    </row>
    <row r="93" spans="1:28" ht="12.75" x14ac:dyDescent="0.2">
      <c r="A93" s="90">
        <v>86</v>
      </c>
      <c r="B93" s="129" t="s">
        <v>55</v>
      </c>
      <c r="C93" s="198" t="s">
        <v>742</v>
      </c>
      <c r="D93" s="131" t="s">
        <v>746</v>
      </c>
      <c r="E93" s="132" t="s">
        <v>54</v>
      </c>
      <c r="F93" s="63">
        <v>-8719525</v>
      </c>
      <c r="G93" s="63">
        <v>44914474</v>
      </c>
      <c r="H93" s="63">
        <v>0</v>
      </c>
      <c r="I93" s="63">
        <v>-117860</v>
      </c>
      <c r="J93" s="63">
        <v>310395</v>
      </c>
      <c r="K93" s="63">
        <v>-885500</v>
      </c>
      <c r="L93" s="63">
        <v>44221509</v>
      </c>
      <c r="M93" s="63">
        <v>0</v>
      </c>
      <c r="N93" s="63">
        <v>0</v>
      </c>
      <c r="O93" s="63">
        <v>3791951</v>
      </c>
      <c r="P93" s="63">
        <v>3791951</v>
      </c>
      <c r="Q93" s="63">
        <v>0</v>
      </c>
      <c r="R93" s="63">
        <v>-22387466</v>
      </c>
      <c r="S93" s="63">
        <v>-4477493</v>
      </c>
      <c r="T93" s="63">
        <v>-17909972</v>
      </c>
      <c r="U93" s="63">
        <v>-194976</v>
      </c>
      <c r="V93" s="63">
        <v>0</v>
      </c>
      <c r="W93" s="63">
        <v>0</v>
      </c>
      <c r="X93" s="63">
        <v>-44969907</v>
      </c>
      <c r="Y93" s="63">
        <v>0</v>
      </c>
      <c r="Z93" s="63">
        <v>-5675972</v>
      </c>
      <c r="AB93" s="189" t="s">
        <v>768</v>
      </c>
    </row>
    <row r="94" spans="1:28" ht="12.75" x14ac:dyDescent="0.2">
      <c r="A94" s="90">
        <v>87</v>
      </c>
      <c r="B94" s="129" t="s">
        <v>57</v>
      </c>
      <c r="C94" s="198" t="s">
        <v>742</v>
      </c>
      <c r="D94" s="131" t="s">
        <v>745</v>
      </c>
      <c r="E94" s="132" t="s">
        <v>56</v>
      </c>
      <c r="F94" s="63">
        <v>-1217067</v>
      </c>
      <c r="G94" s="63">
        <v>31367342</v>
      </c>
      <c r="H94" s="63">
        <v>0</v>
      </c>
      <c r="I94" s="63">
        <v>-331190</v>
      </c>
      <c r="J94" s="63">
        <v>321292</v>
      </c>
      <c r="K94" s="63">
        <v>-703310</v>
      </c>
      <c r="L94" s="63">
        <v>30654134</v>
      </c>
      <c r="M94" s="63">
        <v>0</v>
      </c>
      <c r="N94" s="63">
        <v>0</v>
      </c>
      <c r="O94" s="63">
        <v>192831</v>
      </c>
      <c r="P94" s="63">
        <v>192831</v>
      </c>
      <c r="Q94" s="63">
        <v>-251479</v>
      </c>
      <c r="R94" s="63">
        <v>-16465123</v>
      </c>
      <c r="S94" s="63">
        <v>-3293025</v>
      </c>
      <c r="T94" s="63">
        <v>-13172099</v>
      </c>
      <c r="U94" s="63">
        <v>-335030</v>
      </c>
      <c r="V94" s="63">
        <v>-62531</v>
      </c>
      <c r="W94" s="63">
        <v>0</v>
      </c>
      <c r="X94" s="63">
        <v>-33579287</v>
      </c>
      <c r="Y94" s="63">
        <v>0</v>
      </c>
      <c r="Z94" s="63">
        <v>-3949389</v>
      </c>
      <c r="AB94" s="189"/>
    </row>
    <row r="95" spans="1:28" ht="12.75" x14ac:dyDescent="0.2">
      <c r="A95" s="90">
        <v>88</v>
      </c>
      <c r="B95" s="129" t="s">
        <v>59</v>
      </c>
      <c r="C95" s="198" t="s">
        <v>742</v>
      </c>
      <c r="D95" s="131" t="s">
        <v>745</v>
      </c>
      <c r="E95" s="132" t="s">
        <v>58</v>
      </c>
      <c r="F95" s="63">
        <v>-3004483</v>
      </c>
      <c r="G95" s="63">
        <v>23529846</v>
      </c>
      <c r="H95" s="63">
        <v>-121000</v>
      </c>
      <c r="I95" s="63">
        <v>41164</v>
      </c>
      <c r="J95" s="63">
        <v>330000</v>
      </c>
      <c r="K95" s="63">
        <v>-799784</v>
      </c>
      <c r="L95" s="63">
        <v>22980226</v>
      </c>
      <c r="M95" s="63">
        <v>23011</v>
      </c>
      <c r="N95" s="63">
        <v>23000</v>
      </c>
      <c r="O95" s="63">
        <v>1951004</v>
      </c>
      <c r="P95" s="63">
        <v>1997015</v>
      </c>
      <c r="Q95" s="63">
        <v>-6528</v>
      </c>
      <c r="R95" s="63">
        <v>-11065554</v>
      </c>
      <c r="S95" s="63">
        <v>-2213111</v>
      </c>
      <c r="T95" s="63">
        <v>-8852443</v>
      </c>
      <c r="U95" s="63">
        <v>-600730</v>
      </c>
      <c r="V95" s="63">
        <v>0</v>
      </c>
      <c r="W95" s="63">
        <v>0</v>
      </c>
      <c r="X95" s="63">
        <v>-22738366</v>
      </c>
      <c r="Y95" s="63">
        <v>42400</v>
      </c>
      <c r="Z95" s="63">
        <v>-723208</v>
      </c>
      <c r="AB95" s="189" t="s">
        <v>768</v>
      </c>
    </row>
    <row r="96" spans="1:28" ht="12.75" x14ac:dyDescent="0.2">
      <c r="A96" s="90">
        <v>89</v>
      </c>
      <c r="B96" s="129" t="s">
        <v>60</v>
      </c>
      <c r="C96" s="198" t="s">
        <v>501</v>
      </c>
      <c r="D96" s="131" t="s">
        <v>750</v>
      </c>
      <c r="E96" s="132" t="s">
        <v>533</v>
      </c>
      <c r="F96" s="63">
        <v>10443452</v>
      </c>
      <c r="G96" s="63">
        <v>99765282</v>
      </c>
      <c r="H96" s="63">
        <v>0</v>
      </c>
      <c r="I96" s="63">
        <v>-26672</v>
      </c>
      <c r="J96" s="63">
        <v>9092527</v>
      </c>
      <c r="K96" s="63">
        <v>-3099452</v>
      </c>
      <c r="L96" s="63">
        <v>105731685</v>
      </c>
      <c r="M96" s="63">
        <v>0</v>
      </c>
      <c r="N96" s="63">
        <v>0</v>
      </c>
      <c r="O96" s="63">
        <v>0</v>
      </c>
      <c r="P96" s="63">
        <v>0</v>
      </c>
      <c r="Q96" s="63">
        <v>-3583670</v>
      </c>
      <c r="R96" s="63">
        <v>-49421939</v>
      </c>
      <c r="S96" s="63">
        <v>-993173</v>
      </c>
      <c r="T96" s="63">
        <v>-48865431</v>
      </c>
      <c r="U96" s="63">
        <v>-2236739</v>
      </c>
      <c r="V96" s="63">
        <v>-1499076</v>
      </c>
      <c r="W96" s="63">
        <v>-6284098</v>
      </c>
      <c r="X96" s="63">
        <v>-112884126</v>
      </c>
      <c r="Y96" s="63">
        <v>725674</v>
      </c>
      <c r="Z96" s="63">
        <v>4016685</v>
      </c>
      <c r="AB96" s="189" t="s">
        <v>768</v>
      </c>
    </row>
    <row r="97" spans="1:28" ht="12.75" x14ac:dyDescent="0.2">
      <c r="A97" s="90">
        <v>90</v>
      </c>
      <c r="B97" s="129" t="s">
        <v>62</v>
      </c>
      <c r="C97" s="198" t="s">
        <v>742</v>
      </c>
      <c r="D97" s="131" t="s">
        <v>752</v>
      </c>
      <c r="E97" s="132" t="s">
        <v>61</v>
      </c>
      <c r="F97" s="63">
        <v>-4804293</v>
      </c>
      <c r="G97" s="63">
        <v>55918993</v>
      </c>
      <c r="H97" s="63">
        <v>0</v>
      </c>
      <c r="I97" s="63">
        <v>-550000</v>
      </c>
      <c r="J97" s="63">
        <v>0</v>
      </c>
      <c r="K97" s="63">
        <v>-1133602</v>
      </c>
      <c r="L97" s="63">
        <v>54235391</v>
      </c>
      <c r="M97" s="63">
        <v>0</v>
      </c>
      <c r="N97" s="63">
        <v>0</v>
      </c>
      <c r="O97" s="63">
        <v>3189507</v>
      </c>
      <c r="P97" s="63">
        <v>3189507</v>
      </c>
      <c r="Q97" s="63">
        <v>0</v>
      </c>
      <c r="R97" s="63">
        <v>-27117694</v>
      </c>
      <c r="S97" s="63">
        <v>-5423539</v>
      </c>
      <c r="T97" s="63">
        <v>-21694155</v>
      </c>
      <c r="U97" s="63">
        <v>0</v>
      </c>
      <c r="V97" s="63">
        <v>0</v>
      </c>
      <c r="W97" s="63">
        <v>0</v>
      </c>
      <c r="X97" s="63">
        <v>-54235388</v>
      </c>
      <c r="Y97" s="63">
        <v>0</v>
      </c>
      <c r="Z97" s="63">
        <v>-1614783</v>
      </c>
      <c r="AB97" s="189"/>
    </row>
    <row r="98" spans="1:28" ht="12.75" x14ac:dyDescent="0.2">
      <c r="A98" s="90">
        <v>91</v>
      </c>
      <c r="B98" s="129" t="s">
        <v>64</v>
      </c>
      <c r="C98" s="198" t="s">
        <v>742</v>
      </c>
      <c r="D98" s="131" t="s">
        <v>743</v>
      </c>
      <c r="E98" s="132" t="s">
        <v>63</v>
      </c>
      <c r="F98" s="63">
        <v>-1789529</v>
      </c>
      <c r="G98" s="63">
        <v>34153940</v>
      </c>
      <c r="H98" s="63">
        <v>0</v>
      </c>
      <c r="I98" s="63">
        <v>-113807</v>
      </c>
      <c r="J98" s="63">
        <v>402530</v>
      </c>
      <c r="K98" s="63">
        <v>-1158545</v>
      </c>
      <c r="L98" s="63">
        <v>33284118</v>
      </c>
      <c r="M98" s="63">
        <v>24484</v>
      </c>
      <c r="N98" s="63">
        <v>0</v>
      </c>
      <c r="O98" s="63">
        <v>1295387</v>
      </c>
      <c r="P98" s="63">
        <v>1319871</v>
      </c>
      <c r="Q98" s="63">
        <v>0</v>
      </c>
      <c r="R98" s="63">
        <v>-17199504</v>
      </c>
      <c r="S98" s="63">
        <v>-3439901</v>
      </c>
      <c r="T98" s="63">
        <v>-13759603</v>
      </c>
      <c r="U98" s="63">
        <v>0</v>
      </c>
      <c r="V98" s="63">
        <v>-127350</v>
      </c>
      <c r="W98" s="63">
        <v>0</v>
      </c>
      <c r="X98" s="63">
        <v>-34526358</v>
      </c>
      <c r="Y98" s="63">
        <v>0</v>
      </c>
      <c r="Z98" s="63">
        <v>-1711898</v>
      </c>
      <c r="AB98" s="189"/>
    </row>
    <row r="99" spans="1:28" ht="12.75" x14ac:dyDescent="0.2">
      <c r="A99" s="90">
        <v>92</v>
      </c>
      <c r="B99" s="129" t="s">
        <v>66</v>
      </c>
      <c r="C99" s="198" t="s">
        <v>742</v>
      </c>
      <c r="D99" s="131" t="s">
        <v>743</v>
      </c>
      <c r="E99" s="132" t="s">
        <v>65</v>
      </c>
      <c r="F99" s="63">
        <v>249180</v>
      </c>
      <c r="G99" s="63">
        <v>57953000</v>
      </c>
      <c r="H99" s="63">
        <v>0</v>
      </c>
      <c r="I99" s="63">
        <v>-150000</v>
      </c>
      <c r="J99" s="63">
        <v>600000</v>
      </c>
      <c r="K99" s="63">
        <v>-500000</v>
      </c>
      <c r="L99" s="63">
        <v>57903000</v>
      </c>
      <c r="M99" s="63">
        <v>357373</v>
      </c>
      <c r="N99" s="63">
        <v>0</v>
      </c>
      <c r="O99" s="63">
        <v>0</v>
      </c>
      <c r="P99" s="63">
        <v>357373</v>
      </c>
      <c r="Q99" s="63">
        <v>-4974</v>
      </c>
      <c r="R99" s="63">
        <v>-28425053</v>
      </c>
      <c r="S99" s="63">
        <v>-5685011</v>
      </c>
      <c r="T99" s="63">
        <v>-22740043</v>
      </c>
      <c r="U99" s="63">
        <v>-150925</v>
      </c>
      <c r="V99" s="63">
        <v>0</v>
      </c>
      <c r="W99" s="63">
        <v>-362834</v>
      </c>
      <c r="X99" s="63">
        <v>-57368840</v>
      </c>
      <c r="Y99" s="63">
        <v>0</v>
      </c>
      <c r="Z99" s="63">
        <v>1140713</v>
      </c>
      <c r="AB99" s="189"/>
    </row>
    <row r="100" spans="1:28" ht="12.75" x14ac:dyDescent="0.2">
      <c r="A100" s="90">
        <v>93</v>
      </c>
      <c r="B100" s="129" t="s">
        <v>68</v>
      </c>
      <c r="C100" s="198" t="s">
        <v>742</v>
      </c>
      <c r="D100" s="131" t="s">
        <v>744</v>
      </c>
      <c r="E100" s="132" t="s">
        <v>67</v>
      </c>
      <c r="F100" s="63">
        <v>-847860</v>
      </c>
      <c r="G100" s="63">
        <v>20740869</v>
      </c>
      <c r="H100" s="63">
        <v>-311113</v>
      </c>
      <c r="I100" s="63">
        <v>0</v>
      </c>
      <c r="J100" s="63">
        <v>0</v>
      </c>
      <c r="K100" s="63">
        <v>-84224</v>
      </c>
      <c r="L100" s="63">
        <v>20345532</v>
      </c>
      <c r="M100" s="63">
        <v>189832</v>
      </c>
      <c r="N100" s="63">
        <v>0</v>
      </c>
      <c r="O100" s="63">
        <v>0</v>
      </c>
      <c r="P100" s="63">
        <v>189832</v>
      </c>
      <c r="Q100" s="63">
        <v>0</v>
      </c>
      <c r="R100" s="63">
        <v>-10604823</v>
      </c>
      <c r="S100" s="63">
        <v>-2120965</v>
      </c>
      <c r="T100" s="63">
        <v>-8483859</v>
      </c>
      <c r="U100" s="63">
        <v>-128148</v>
      </c>
      <c r="V100" s="63">
        <v>-404557</v>
      </c>
      <c r="W100" s="63">
        <v>0</v>
      </c>
      <c r="X100" s="63">
        <v>-21742352</v>
      </c>
      <c r="Y100" s="63">
        <v>0</v>
      </c>
      <c r="Z100" s="63">
        <v>-2054848</v>
      </c>
      <c r="AB100" s="189"/>
    </row>
    <row r="101" spans="1:28" ht="12.75" x14ac:dyDescent="0.2">
      <c r="A101" s="90">
        <v>94</v>
      </c>
      <c r="B101" s="129" t="s">
        <v>70</v>
      </c>
      <c r="C101" s="198" t="s">
        <v>742</v>
      </c>
      <c r="D101" s="131" t="s">
        <v>743</v>
      </c>
      <c r="E101" s="132" t="s">
        <v>69</v>
      </c>
      <c r="F101" s="63">
        <v>-5991000</v>
      </c>
      <c r="G101" s="63">
        <v>55552695</v>
      </c>
      <c r="H101" s="63">
        <v>0</v>
      </c>
      <c r="I101" s="63">
        <v>-254000</v>
      </c>
      <c r="J101" s="63">
        <v>277874</v>
      </c>
      <c r="K101" s="63">
        <v>2955755</v>
      </c>
      <c r="L101" s="63">
        <v>58532324</v>
      </c>
      <c r="M101" s="63">
        <v>36789</v>
      </c>
      <c r="N101" s="63">
        <v>0</v>
      </c>
      <c r="O101" s="63">
        <v>285127</v>
      </c>
      <c r="P101" s="63">
        <v>321916</v>
      </c>
      <c r="Q101" s="63">
        <v>0</v>
      </c>
      <c r="R101" s="63">
        <v>-26902484</v>
      </c>
      <c r="S101" s="63">
        <v>-5380497</v>
      </c>
      <c r="T101" s="63">
        <v>-21521988</v>
      </c>
      <c r="U101" s="63">
        <v>-181697</v>
      </c>
      <c r="V101" s="63">
        <v>0</v>
      </c>
      <c r="W101" s="63">
        <v>0</v>
      </c>
      <c r="X101" s="63">
        <v>-53986666</v>
      </c>
      <c r="Y101" s="63">
        <v>0</v>
      </c>
      <c r="Z101" s="63">
        <v>-1123426</v>
      </c>
      <c r="AB101" s="189"/>
    </row>
    <row r="102" spans="1:28" ht="12.75" x14ac:dyDescent="0.2">
      <c r="A102" s="90">
        <v>95</v>
      </c>
      <c r="B102" s="129" t="s">
        <v>72</v>
      </c>
      <c r="C102" s="198" t="s">
        <v>747</v>
      </c>
      <c r="D102" s="131" t="s">
        <v>748</v>
      </c>
      <c r="E102" s="132" t="s">
        <v>71</v>
      </c>
      <c r="F102" s="63">
        <v>-9779524</v>
      </c>
      <c r="G102" s="63">
        <v>111384661</v>
      </c>
      <c r="H102" s="63">
        <v>0</v>
      </c>
      <c r="I102" s="63">
        <v>-2217894</v>
      </c>
      <c r="J102" s="63">
        <v>0</v>
      </c>
      <c r="K102" s="63">
        <v>-2672411</v>
      </c>
      <c r="L102" s="63">
        <v>106494356</v>
      </c>
      <c r="M102" s="63">
        <v>0</v>
      </c>
      <c r="N102" s="63">
        <v>0</v>
      </c>
      <c r="O102" s="63">
        <v>4189898</v>
      </c>
      <c r="P102" s="63">
        <v>4189898</v>
      </c>
      <c r="Q102" s="63">
        <v>0</v>
      </c>
      <c r="R102" s="63">
        <v>-52531811</v>
      </c>
      <c r="S102" s="63">
        <v>-21012724</v>
      </c>
      <c r="T102" s="63">
        <v>-31519087</v>
      </c>
      <c r="U102" s="63">
        <v>-346759</v>
      </c>
      <c r="V102" s="63">
        <v>0</v>
      </c>
      <c r="W102" s="63">
        <v>0</v>
      </c>
      <c r="X102" s="63">
        <v>-105410381</v>
      </c>
      <c r="Y102" s="63">
        <v>0</v>
      </c>
      <c r="Z102" s="63">
        <v>-4505651</v>
      </c>
      <c r="AB102" s="189"/>
    </row>
    <row r="103" spans="1:28" ht="12.75" x14ac:dyDescent="0.2">
      <c r="A103" s="90">
        <v>96</v>
      </c>
      <c r="B103" s="129" t="s">
        <v>74</v>
      </c>
      <c r="C103" s="198" t="s">
        <v>742</v>
      </c>
      <c r="D103" s="131" t="s">
        <v>746</v>
      </c>
      <c r="E103" s="132" t="s">
        <v>73</v>
      </c>
      <c r="F103" s="63">
        <v>-1046586</v>
      </c>
      <c r="G103" s="63">
        <v>34500000</v>
      </c>
      <c r="H103" s="63">
        <v>0</v>
      </c>
      <c r="I103" s="63">
        <v>-150000</v>
      </c>
      <c r="J103" s="63">
        <v>450000</v>
      </c>
      <c r="K103" s="63">
        <v>-634000</v>
      </c>
      <c r="L103" s="63">
        <v>34166000</v>
      </c>
      <c r="M103" s="63">
        <v>0</v>
      </c>
      <c r="N103" s="63">
        <v>0</v>
      </c>
      <c r="O103" s="63">
        <v>631673</v>
      </c>
      <c r="P103" s="63">
        <v>631673</v>
      </c>
      <c r="Q103" s="63">
        <v>0</v>
      </c>
      <c r="R103" s="63">
        <v>-328000</v>
      </c>
      <c r="S103" s="63">
        <v>-17306603</v>
      </c>
      <c r="T103" s="63">
        <v>-3461320</v>
      </c>
      <c r="U103" s="63">
        <v>-13845282</v>
      </c>
      <c r="V103" s="63">
        <v>-170744</v>
      </c>
      <c r="W103" s="63">
        <v>0</v>
      </c>
      <c r="X103" s="63">
        <v>-35111949</v>
      </c>
      <c r="Y103" s="63">
        <v>0</v>
      </c>
      <c r="Z103" s="63">
        <v>-1360862</v>
      </c>
      <c r="AB103" s="189"/>
    </row>
    <row r="104" spans="1:28" ht="12.75" x14ac:dyDescent="0.2">
      <c r="A104" s="90">
        <v>97</v>
      </c>
      <c r="B104" s="129" t="s">
        <v>75</v>
      </c>
      <c r="C104" s="198" t="s">
        <v>742</v>
      </c>
      <c r="D104" s="131" t="s">
        <v>743</v>
      </c>
      <c r="E104" s="132" t="s">
        <v>756</v>
      </c>
      <c r="F104" s="63">
        <v>-1009227</v>
      </c>
      <c r="G104" s="63">
        <v>23916250</v>
      </c>
      <c r="H104" s="63">
        <v>0</v>
      </c>
      <c r="I104" s="63">
        <v>-78084</v>
      </c>
      <c r="J104" s="63">
        <v>0</v>
      </c>
      <c r="K104" s="63">
        <v>-694544</v>
      </c>
      <c r="L104" s="63">
        <v>23143622</v>
      </c>
      <c r="M104" s="63">
        <v>0</v>
      </c>
      <c r="N104" s="63">
        <v>0</v>
      </c>
      <c r="O104" s="63">
        <v>750430</v>
      </c>
      <c r="P104" s="63">
        <v>750430</v>
      </c>
      <c r="Q104" s="63">
        <v>0</v>
      </c>
      <c r="R104" s="63">
        <v>-11550508</v>
      </c>
      <c r="S104" s="63">
        <v>-2310102</v>
      </c>
      <c r="T104" s="63">
        <v>-9240406</v>
      </c>
      <c r="U104" s="63">
        <v>-86618</v>
      </c>
      <c r="V104" s="63">
        <v>0</v>
      </c>
      <c r="W104" s="63">
        <v>0</v>
      </c>
      <c r="X104" s="63">
        <v>-23187634</v>
      </c>
      <c r="Y104" s="63">
        <v>0</v>
      </c>
      <c r="Z104" s="63">
        <v>-302809</v>
      </c>
      <c r="AB104" s="189"/>
    </row>
    <row r="105" spans="1:28" ht="12.75" x14ac:dyDescent="0.2">
      <c r="A105" s="90">
        <v>98</v>
      </c>
      <c r="B105" s="129" t="s">
        <v>77</v>
      </c>
      <c r="C105" s="198" t="s">
        <v>742</v>
      </c>
      <c r="D105" s="131" t="s">
        <v>745</v>
      </c>
      <c r="E105" s="132" t="s">
        <v>76</v>
      </c>
      <c r="F105" s="63">
        <v>1064434</v>
      </c>
      <c r="G105" s="63">
        <v>25694980</v>
      </c>
      <c r="H105" s="63">
        <v>0</v>
      </c>
      <c r="I105" s="63">
        <v>-30000</v>
      </c>
      <c r="J105" s="63">
        <v>0</v>
      </c>
      <c r="K105" s="63">
        <v>84000</v>
      </c>
      <c r="L105" s="63">
        <v>25748980</v>
      </c>
      <c r="M105" s="63">
        <v>0</v>
      </c>
      <c r="N105" s="63">
        <v>0</v>
      </c>
      <c r="O105" s="63">
        <v>0</v>
      </c>
      <c r="P105" s="63">
        <v>0</v>
      </c>
      <c r="Q105" s="63">
        <v>0</v>
      </c>
      <c r="R105" s="63">
        <v>-12989496</v>
      </c>
      <c r="S105" s="63">
        <v>-2597899</v>
      </c>
      <c r="T105" s="63">
        <v>-10391597</v>
      </c>
      <c r="U105" s="63">
        <v>-134058</v>
      </c>
      <c r="V105" s="63">
        <v>0</v>
      </c>
      <c r="W105" s="63">
        <v>-882401</v>
      </c>
      <c r="X105" s="63">
        <v>-26995451</v>
      </c>
      <c r="Y105" s="63">
        <v>0</v>
      </c>
      <c r="Z105" s="63">
        <v>-182037</v>
      </c>
      <c r="AB105" s="189"/>
    </row>
    <row r="106" spans="1:28" ht="12.75" x14ac:dyDescent="0.2">
      <c r="A106" s="90">
        <v>99</v>
      </c>
      <c r="B106" s="129" t="s">
        <v>79</v>
      </c>
      <c r="C106" s="198" t="s">
        <v>742</v>
      </c>
      <c r="D106" s="131" t="s">
        <v>751</v>
      </c>
      <c r="E106" s="132" t="s">
        <v>78</v>
      </c>
      <c r="F106" s="63">
        <v>-1983000</v>
      </c>
      <c r="G106" s="63">
        <v>78856554</v>
      </c>
      <c r="H106" s="63">
        <v>0</v>
      </c>
      <c r="I106" s="63">
        <v>-200000</v>
      </c>
      <c r="J106" s="63">
        <v>0</v>
      </c>
      <c r="K106" s="63">
        <v>-500000</v>
      </c>
      <c r="L106" s="63">
        <v>78156554</v>
      </c>
      <c r="M106" s="63">
        <v>0</v>
      </c>
      <c r="N106" s="63">
        <v>0</v>
      </c>
      <c r="O106" s="63">
        <v>1820079</v>
      </c>
      <c r="P106" s="63">
        <v>1820079</v>
      </c>
      <c r="Q106" s="63">
        <v>0</v>
      </c>
      <c r="R106" s="63">
        <v>-39383786</v>
      </c>
      <c r="S106" s="63">
        <v>-31507029</v>
      </c>
      <c r="T106" s="63">
        <v>-7876757</v>
      </c>
      <c r="U106" s="63">
        <v>0</v>
      </c>
      <c r="V106" s="63">
        <v>0</v>
      </c>
      <c r="W106" s="63">
        <v>0</v>
      </c>
      <c r="X106" s="63">
        <v>-78767572</v>
      </c>
      <c r="Y106" s="63">
        <v>0</v>
      </c>
      <c r="Z106" s="63">
        <v>-773939</v>
      </c>
      <c r="AB106" s="189"/>
    </row>
    <row r="107" spans="1:28" ht="12.75" x14ac:dyDescent="0.2">
      <c r="A107" s="90">
        <v>100</v>
      </c>
      <c r="B107" s="129" t="s">
        <v>81</v>
      </c>
      <c r="C107" s="198" t="s">
        <v>742</v>
      </c>
      <c r="D107" s="131" t="s">
        <v>743</v>
      </c>
      <c r="E107" s="132" t="s">
        <v>80</v>
      </c>
      <c r="F107" s="63">
        <v>316438</v>
      </c>
      <c r="G107" s="63">
        <v>42246946</v>
      </c>
      <c r="H107" s="63">
        <v>0</v>
      </c>
      <c r="I107" s="63">
        <v>-345008</v>
      </c>
      <c r="J107" s="63">
        <v>58272</v>
      </c>
      <c r="K107" s="63">
        <v>446800</v>
      </c>
      <c r="L107" s="63">
        <v>42407010</v>
      </c>
      <c r="M107" s="63">
        <v>8049</v>
      </c>
      <c r="N107" s="63">
        <v>1476</v>
      </c>
      <c r="O107" s="63">
        <v>14846</v>
      </c>
      <c r="P107" s="63">
        <v>24371</v>
      </c>
      <c r="Q107" s="63">
        <v>0</v>
      </c>
      <c r="R107" s="63">
        <v>-21078815</v>
      </c>
      <c r="S107" s="63">
        <v>-4272077</v>
      </c>
      <c r="T107" s="63">
        <v>-17088306</v>
      </c>
      <c r="U107" s="63">
        <v>-504453</v>
      </c>
      <c r="V107" s="63">
        <v>0</v>
      </c>
      <c r="W107" s="63">
        <v>-3538019</v>
      </c>
      <c r="X107" s="63">
        <v>-46481670</v>
      </c>
      <c r="Y107" s="63">
        <v>0</v>
      </c>
      <c r="Z107" s="63">
        <v>-3733851</v>
      </c>
      <c r="AB107" s="189"/>
    </row>
    <row r="108" spans="1:28" ht="12.75" x14ac:dyDescent="0.2">
      <c r="A108" s="90">
        <v>101</v>
      </c>
      <c r="B108" s="129" t="s">
        <v>83</v>
      </c>
      <c r="C108" s="198" t="s">
        <v>742</v>
      </c>
      <c r="D108" s="131" t="s">
        <v>746</v>
      </c>
      <c r="E108" s="132" t="s">
        <v>82</v>
      </c>
      <c r="F108" s="63">
        <v>793702</v>
      </c>
      <c r="G108" s="63">
        <v>26694202</v>
      </c>
      <c r="H108" s="63">
        <v>-50000</v>
      </c>
      <c r="I108" s="63">
        <v>-200000</v>
      </c>
      <c r="J108" s="63">
        <v>1462000</v>
      </c>
      <c r="K108" s="63">
        <v>-3662000</v>
      </c>
      <c r="L108" s="63">
        <v>24244202</v>
      </c>
      <c r="M108" s="63">
        <v>0</v>
      </c>
      <c r="N108" s="63">
        <v>0</v>
      </c>
      <c r="O108" s="63">
        <v>0</v>
      </c>
      <c r="P108" s="63">
        <v>0</v>
      </c>
      <c r="Q108" s="63">
        <v>-35221</v>
      </c>
      <c r="R108" s="63">
        <v>-12219251</v>
      </c>
      <c r="S108" s="63">
        <v>-2443850</v>
      </c>
      <c r="T108" s="63">
        <v>-9775400</v>
      </c>
      <c r="U108" s="63">
        <v>-289826</v>
      </c>
      <c r="V108" s="63">
        <v>0</v>
      </c>
      <c r="W108" s="63">
        <v>-875000</v>
      </c>
      <c r="X108" s="63">
        <v>-25638548</v>
      </c>
      <c r="Y108" s="63">
        <v>0</v>
      </c>
      <c r="Z108" s="63">
        <v>-600644</v>
      </c>
      <c r="AB108" s="189"/>
    </row>
    <row r="109" spans="1:28" ht="12.75" x14ac:dyDescent="0.2">
      <c r="A109" s="90">
        <v>102</v>
      </c>
      <c r="B109" s="129" t="s">
        <v>85</v>
      </c>
      <c r="C109" s="198" t="s">
        <v>742</v>
      </c>
      <c r="D109" s="131" t="s">
        <v>746</v>
      </c>
      <c r="E109" s="132" t="s">
        <v>84</v>
      </c>
      <c r="F109" s="63">
        <v>-312965</v>
      </c>
      <c r="G109" s="63">
        <v>22221625</v>
      </c>
      <c r="H109" s="63">
        <v>0</v>
      </c>
      <c r="I109" s="63">
        <v>-112494</v>
      </c>
      <c r="J109" s="63">
        <v>1298290</v>
      </c>
      <c r="K109" s="63">
        <v>-2324850</v>
      </c>
      <c r="L109" s="63">
        <v>21082571</v>
      </c>
      <c r="M109" s="63">
        <v>0</v>
      </c>
      <c r="N109" s="63">
        <v>0</v>
      </c>
      <c r="O109" s="63">
        <v>645353</v>
      </c>
      <c r="P109" s="63">
        <v>645353</v>
      </c>
      <c r="Q109" s="63">
        <v>-19510</v>
      </c>
      <c r="R109" s="63">
        <v>-10857303</v>
      </c>
      <c r="S109" s="63">
        <v>-2171461</v>
      </c>
      <c r="T109" s="63">
        <v>-8685842</v>
      </c>
      <c r="U109" s="63">
        <v>-141074</v>
      </c>
      <c r="V109" s="63">
        <v>0</v>
      </c>
      <c r="W109" s="63">
        <v>0</v>
      </c>
      <c r="X109" s="63">
        <v>-21875190</v>
      </c>
      <c r="Y109" s="63">
        <v>0</v>
      </c>
      <c r="Z109" s="63">
        <v>-460231</v>
      </c>
      <c r="AB109" s="189"/>
    </row>
    <row r="110" spans="1:28" ht="12.75" x14ac:dyDescent="0.2">
      <c r="A110" s="90">
        <v>103</v>
      </c>
      <c r="B110" s="129" t="s">
        <v>87</v>
      </c>
      <c r="C110" s="198" t="s">
        <v>742</v>
      </c>
      <c r="D110" s="131" t="s">
        <v>751</v>
      </c>
      <c r="E110" s="132" t="s">
        <v>86</v>
      </c>
      <c r="F110" s="63">
        <v>869012</v>
      </c>
      <c r="G110" s="63">
        <v>11766362</v>
      </c>
      <c r="H110" s="63">
        <v>0</v>
      </c>
      <c r="I110" s="63">
        <v>-124849</v>
      </c>
      <c r="J110" s="63">
        <v>573000</v>
      </c>
      <c r="K110" s="63">
        <v>-1536565</v>
      </c>
      <c r="L110" s="63">
        <v>10677948</v>
      </c>
      <c r="M110" s="63">
        <v>40910</v>
      </c>
      <c r="N110" s="63">
        <v>0</v>
      </c>
      <c r="O110" s="63">
        <v>0</v>
      </c>
      <c r="P110" s="63">
        <v>40910</v>
      </c>
      <c r="Q110" s="63">
        <v>-1247</v>
      </c>
      <c r="R110" s="63">
        <v>-6207993</v>
      </c>
      <c r="S110" s="63">
        <v>-1241599</v>
      </c>
      <c r="T110" s="63">
        <v>-4966395</v>
      </c>
      <c r="U110" s="63">
        <v>-118413</v>
      </c>
      <c r="V110" s="63">
        <v>-102334</v>
      </c>
      <c r="W110" s="63">
        <v>-571746</v>
      </c>
      <c r="X110" s="63">
        <v>-13209727</v>
      </c>
      <c r="Y110" s="63">
        <v>0</v>
      </c>
      <c r="Z110" s="63">
        <v>-1621857</v>
      </c>
      <c r="AB110" s="189"/>
    </row>
    <row r="111" spans="1:28" ht="12.75" x14ac:dyDescent="0.2">
      <c r="A111" s="90">
        <v>104</v>
      </c>
      <c r="B111" s="129" t="s">
        <v>89</v>
      </c>
      <c r="C111" s="198" t="s">
        <v>742</v>
      </c>
      <c r="D111" s="131" t="s">
        <v>744</v>
      </c>
      <c r="E111" s="132" t="s">
        <v>88</v>
      </c>
      <c r="F111" s="63">
        <v>-1264326</v>
      </c>
      <c r="G111" s="63">
        <v>26744415</v>
      </c>
      <c r="H111" s="63">
        <v>-445465</v>
      </c>
      <c r="I111" s="63">
        <v>-100000</v>
      </c>
      <c r="J111" s="63">
        <v>0</v>
      </c>
      <c r="K111" s="63">
        <v>-1998699</v>
      </c>
      <c r="L111" s="63">
        <v>24200251</v>
      </c>
      <c r="M111" s="63">
        <v>0</v>
      </c>
      <c r="N111" s="63">
        <v>0</v>
      </c>
      <c r="O111" s="63">
        <v>0</v>
      </c>
      <c r="P111" s="63">
        <v>0</v>
      </c>
      <c r="Q111" s="63">
        <v>0</v>
      </c>
      <c r="R111" s="63">
        <v>-12128003</v>
      </c>
      <c r="S111" s="63">
        <v>-2425600</v>
      </c>
      <c r="T111" s="63">
        <v>-9702402</v>
      </c>
      <c r="U111" s="63">
        <v>-111852</v>
      </c>
      <c r="V111" s="63">
        <v>0</v>
      </c>
      <c r="W111" s="63">
        <v>-207880</v>
      </c>
      <c r="X111" s="63">
        <v>-24575737</v>
      </c>
      <c r="Y111" s="63">
        <v>0</v>
      </c>
      <c r="Z111" s="63">
        <v>-1639812</v>
      </c>
      <c r="AB111" s="189"/>
    </row>
    <row r="112" spans="1:28" ht="12.75" x14ac:dyDescent="0.2">
      <c r="A112" s="90">
        <v>105</v>
      </c>
      <c r="B112" s="129" t="s">
        <v>91</v>
      </c>
      <c r="C112" s="198" t="s">
        <v>749</v>
      </c>
      <c r="D112" s="131" t="s">
        <v>755</v>
      </c>
      <c r="E112" s="132" t="s">
        <v>90</v>
      </c>
      <c r="F112" s="63">
        <v>-4540000</v>
      </c>
      <c r="G112" s="63">
        <v>89681145</v>
      </c>
      <c r="H112" s="63">
        <v>-1600000</v>
      </c>
      <c r="I112" s="63">
        <v>1600000</v>
      </c>
      <c r="J112" s="63">
        <v>2400000</v>
      </c>
      <c r="K112" s="63">
        <v>-2400000</v>
      </c>
      <c r="L112" s="63">
        <v>89681145</v>
      </c>
      <c r="M112" s="63">
        <v>0</v>
      </c>
      <c r="N112" s="63">
        <v>149097</v>
      </c>
      <c r="O112" s="63">
        <v>2028043</v>
      </c>
      <c r="P112" s="63">
        <v>2177140</v>
      </c>
      <c r="Q112" s="63">
        <v>0</v>
      </c>
      <c r="R112" s="63">
        <v>-46336233</v>
      </c>
      <c r="S112" s="63">
        <v>-926725</v>
      </c>
      <c r="T112" s="63">
        <v>-45409509</v>
      </c>
      <c r="U112" s="63">
        <v>-648756</v>
      </c>
      <c r="V112" s="63">
        <v>0</v>
      </c>
      <c r="W112" s="63">
        <v>0</v>
      </c>
      <c r="X112" s="63">
        <v>-93321223</v>
      </c>
      <c r="Y112" s="63">
        <v>0</v>
      </c>
      <c r="Z112" s="63">
        <v>-6002938</v>
      </c>
      <c r="AB112" s="189"/>
    </row>
    <row r="113" spans="1:28" ht="12.75" x14ac:dyDescent="0.2">
      <c r="A113" s="90">
        <v>106</v>
      </c>
      <c r="B113" s="129" t="s">
        <v>93</v>
      </c>
      <c r="C113" s="198" t="s">
        <v>742</v>
      </c>
      <c r="D113" s="131" t="s">
        <v>745</v>
      </c>
      <c r="E113" s="132" t="s">
        <v>92</v>
      </c>
      <c r="F113" s="63">
        <v>-2002242</v>
      </c>
      <c r="G113" s="63">
        <v>21695041</v>
      </c>
      <c r="H113" s="63">
        <v>0</v>
      </c>
      <c r="I113" s="63">
        <v>-26522</v>
      </c>
      <c r="J113" s="63">
        <v>574436</v>
      </c>
      <c r="K113" s="63">
        <v>-2002639</v>
      </c>
      <c r="L113" s="63">
        <v>20240316</v>
      </c>
      <c r="M113" s="63">
        <v>0</v>
      </c>
      <c r="N113" s="63">
        <v>0</v>
      </c>
      <c r="O113" s="63">
        <v>2139027</v>
      </c>
      <c r="P113" s="63">
        <v>2139027</v>
      </c>
      <c r="Q113" s="63">
        <v>0</v>
      </c>
      <c r="R113" s="63">
        <v>-10782266</v>
      </c>
      <c r="S113" s="63">
        <v>-2156453</v>
      </c>
      <c r="T113" s="63">
        <v>-8625812</v>
      </c>
      <c r="U113" s="63">
        <v>-101364</v>
      </c>
      <c r="V113" s="63">
        <v>-79023</v>
      </c>
      <c r="W113" s="63">
        <v>0</v>
      </c>
      <c r="X113" s="63">
        <v>-21744918</v>
      </c>
      <c r="Y113" s="63">
        <v>0</v>
      </c>
      <c r="Z113" s="63">
        <v>-1367817</v>
      </c>
      <c r="AB113" s="189"/>
    </row>
    <row r="114" spans="1:28" ht="12.75" x14ac:dyDescent="0.2">
      <c r="A114" s="90">
        <v>107</v>
      </c>
      <c r="B114" s="129" t="s">
        <v>95</v>
      </c>
      <c r="C114" s="198" t="s">
        <v>742</v>
      </c>
      <c r="D114" s="131" t="s">
        <v>751</v>
      </c>
      <c r="E114" s="132" t="s">
        <v>94</v>
      </c>
      <c r="F114" s="63">
        <v>-1269473</v>
      </c>
      <c r="G114" s="63">
        <v>53706373</v>
      </c>
      <c r="H114" s="63">
        <v>0</v>
      </c>
      <c r="I114" s="63">
        <v>-584592</v>
      </c>
      <c r="J114" s="63">
        <v>1004647</v>
      </c>
      <c r="K114" s="63">
        <v>-1685202</v>
      </c>
      <c r="L114" s="63">
        <v>52441226</v>
      </c>
      <c r="M114" s="63">
        <v>110712</v>
      </c>
      <c r="N114" s="63">
        <v>0</v>
      </c>
      <c r="O114" s="63">
        <v>1086196</v>
      </c>
      <c r="P114" s="63">
        <v>1196908</v>
      </c>
      <c r="Q114" s="63">
        <v>-47638</v>
      </c>
      <c r="R114" s="63">
        <v>-26876817</v>
      </c>
      <c r="S114" s="63">
        <v>-5375364</v>
      </c>
      <c r="T114" s="63">
        <v>-21501454</v>
      </c>
      <c r="U114" s="63">
        <v>0</v>
      </c>
      <c r="V114" s="63">
        <v>-179000</v>
      </c>
      <c r="W114" s="63">
        <v>0</v>
      </c>
      <c r="X114" s="63">
        <v>-53980273</v>
      </c>
      <c r="Y114" s="63">
        <v>0</v>
      </c>
      <c r="Z114" s="63">
        <v>-1611612</v>
      </c>
      <c r="AB114" s="189"/>
    </row>
    <row r="115" spans="1:28" ht="12.75" x14ac:dyDescent="0.2">
      <c r="A115" s="90">
        <v>108</v>
      </c>
      <c r="B115" s="129" t="s">
        <v>97</v>
      </c>
      <c r="C115" s="198" t="s">
        <v>742</v>
      </c>
      <c r="D115" s="131" t="s">
        <v>743</v>
      </c>
      <c r="E115" s="132" t="s">
        <v>96</v>
      </c>
      <c r="F115" s="63">
        <v>1542807</v>
      </c>
      <c r="G115" s="63">
        <v>16085302</v>
      </c>
      <c r="H115" s="63">
        <v>0</v>
      </c>
      <c r="I115" s="63">
        <v>-106873</v>
      </c>
      <c r="J115" s="63">
        <v>138989</v>
      </c>
      <c r="K115" s="63">
        <v>-1649626</v>
      </c>
      <c r="L115" s="63">
        <v>14467792</v>
      </c>
      <c r="M115" s="63">
        <v>15094</v>
      </c>
      <c r="N115" s="63">
        <v>0</v>
      </c>
      <c r="O115" s="63">
        <v>0</v>
      </c>
      <c r="P115" s="63">
        <v>15094</v>
      </c>
      <c r="Q115" s="63">
        <v>0</v>
      </c>
      <c r="R115" s="63">
        <v>-7431251</v>
      </c>
      <c r="S115" s="63">
        <v>-1486250</v>
      </c>
      <c r="T115" s="63">
        <v>-5945001</v>
      </c>
      <c r="U115" s="63">
        <v>-160212</v>
      </c>
      <c r="V115" s="63">
        <v>0</v>
      </c>
      <c r="W115" s="63">
        <v>-1361916</v>
      </c>
      <c r="X115" s="63">
        <v>-16384630</v>
      </c>
      <c r="Y115" s="63">
        <v>0</v>
      </c>
      <c r="Z115" s="63">
        <v>-358937</v>
      </c>
      <c r="AB115" s="189"/>
    </row>
    <row r="116" spans="1:28" ht="12.75" x14ac:dyDescent="0.2">
      <c r="A116" s="90">
        <v>109</v>
      </c>
      <c r="B116" s="129" t="s">
        <v>99</v>
      </c>
      <c r="C116" s="198" t="s">
        <v>742</v>
      </c>
      <c r="D116" s="131" t="s">
        <v>743</v>
      </c>
      <c r="E116" s="132" t="s">
        <v>98</v>
      </c>
      <c r="F116" s="63">
        <v>-2839756</v>
      </c>
      <c r="G116" s="63">
        <v>24788161</v>
      </c>
      <c r="H116" s="63">
        <v>0</v>
      </c>
      <c r="I116" s="63">
        <v>124359</v>
      </c>
      <c r="J116" s="63">
        <v>0</v>
      </c>
      <c r="K116" s="63">
        <v>-1043711</v>
      </c>
      <c r="L116" s="63">
        <v>23868809</v>
      </c>
      <c r="M116" s="63">
        <v>0</v>
      </c>
      <c r="N116" s="63">
        <v>0</v>
      </c>
      <c r="O116" s="63">
        <v>1615070</v>
      </c>
      <c r="P116" s="63">
        <v>1615070</v>
      </c>
      <c r="Q116" s="63">
        <v>0</v>
      </c>
      <c r="R116" s="63">
        <v>-11712319</v>
      </c>
      <c r="S116" s="63">
        <v>-2342463</v>
      </c>
      <c r="T116" s="63">
        <v>-9369854</v>
      </c>
      <c r="U116" s="63">
        <v>0</v>
      </c>
      <c r="V116" s="63">
        <v>-96531</v>
      </c>
      <c r="W116" s="63">
        <v>0</v>
      </c>
      <c r="X116" s="63">
        <v>-23521167</v>
      </c>
      <c r="Y116" s="63">
        <v>0</v>
      </c>
      <c r="Z116" s="63">
        <v>-877044</v>
      </c>
      <c r="AB116" s="189"/>
    </row>
    <row r="117" spans="1:28" ht="12.75" x14ac:dyDescent="0.2">
      <c r="A117" s="90">
        <v>110</v>
      </c>
      <c r="B117" s="129" t="s">
        <v>101</v>
      </c>
      <c r="C117" s="198" t="s">
        <v>742</v>
      </c>
      <c r="D117" s="131" t="s">
        <v>746</v>
      </c>
      <c r="E117" s="132" t="s">
        <v>100</v>
      </c>
      <c r="F117" s="63">
        <v>-11837000</v>
      </c>
      <c r="G117" s="63">
        <v>30374098</v>
      </c>
      <c r="H117" s="63">
        <v>0</v>
      </c>
      <c r="I117" s="63">
        <v>-419380</v>
      </c>
      <c r="J117" s="63">
        <v>1000000</v>
      </c>
      <c r="K117" s="63">
        <v>0</v>
      </c>
      <c r="L117" s="63">
        <v>30954718</v>
      </c>
      <c r="M117" s="63">
        <v>0</v>
      </c>
      <c r="N117" s="63">
        <v>0</v>
      </c>
      <c r="O117" s="63">
        <v>8949885</v>
      </c>
      <c r="P117" s="63">
        <v>8949885</v>
      </c>
      <c r="Q117" s="63">
        <v>0</v>
      </c>
      <c r="R117" s="63">
        <v>-13880573</v>
      </c>
      <c r="S117" s="63">
        <v>-2842594</v>
      </c>
      <c r="T117" s="63">
        <v>-11370374</v>
      </c>
      <c r="U117" s="63">
        <v>-572728</v>
      </c>
      <c r="V117" s="63">
        <v>-77742</v>
      </c>
      <c r="W117" s="63">
        <v>0</v>
      </c>
      <c r="X117" s="63">
        <v>-28744011</v>
      </c>
      <c r="Y117" s="63">
        <v>0</v>
      </c>
      <c r="Z117" s="63">
        <v>-676408</v>
      </c>
      <c r="AB117" s="189"/>
    </row>
    <row r="118" spans="1:28" ht="12.75" x14ac:dyDescent="0.2">
      <c r="A118" s="90">
        <v>111</v>
      </c>
      <c r="B118" s="129" t="s">
        <v>103</v>
      </c>
      <c r="C118" s="198" t="s">
        <v>754</v>
      </c>
      <c r="D118" s="131" t="s">
        <v>748</v>
      </c>
      <c r="E118" s="132" t="s">
        <v>102</v>
      </c>
      <c r="F118" s="63">
        <v>-739000</v>
      </c>
      <c r="G118" s="63">
        <v>70100000</v>
      </c>
      <c r="H118" s="63">
        <v>0</v>
      </c>
      <c r="I118" s="63">
        <v>-1180000</v>
      </c>
      <c r="J118" s="63">
        <v>2400000</v>
      </c>
      <c r="K118" s="63">
        <v>-4678000</v>
      </c>
      <c r="L118" s="63">
        <v>66642000</v>
      </c>
      <c r="M118" s="63">
        <v>0</v>
      </c>
      <c r="N118" s="63">
        <v>0</v>
      </c>
      <c r="O118" s="63">
        <v>0</v>
      </c>
      <c r="P118" s="63">
        <v>0</v>
      </c>
      <c r="Q118" s="63">
        <v>0</v>
      </c>
      <c r="R118" s="63">
        <v>-34446500</v>
      </c>
      <c r="S118" s="63">
        <v>-13778600</v>
      </c>
      <c r="T118" s="63">
        <v>-20667900</v>
      </c>
      <c r="U118" s="63">
        <v>-279000</v>
      </c>
      <c r="V118" s="63">
        <v>0</v>
      </c>
      <c r="W118" s="63">
        <v>0</v>
      </c>
      <c r="X118" s="63">
        <v>-69172000</v>
      </c>
      <c r="Y118" s="63">
        <v>0</v>
      </c>
      <c r="Z118" s="63">
        <v>-3269000</v>
      </c>
      <c r="AB118" s="189"/>
    </row>
    <row r="119" spans="1:28" ht="12.75" x14ac:dyDescent="0.2">
      <c r="A119" s="90">
        <v>112</v>
      </c>
      <c r="B119" s="129" t="s">
        <v>105</v>
      </c>
      <c r="C119" s="198" t="s">
        <v>742</v>
      </c>
      <c r="D119" s="131" t="s">
        <v>743</v>
      </c>
      <c r="E119" s="132" t="s">
        <v>104</v>
      </c>
      <c r="F119" s="63">
        <v>-4106219</v>
      </c>
      <c r="G119" s="63">
        <v>82814968</v>
      </c>
      <c r="H119" s="63">
        <v>0</v>
      </c>
      <c r="I119" s="63">
        <v>-698629</v>
      </c>
      <c r="J119" s="63">
        <v>633373</v>
      </c>
      <c r="K119" s="63">
        <v>-1014695</v>
      </c>
      <c r="L119" s="63">
        <v>81735017</v>
      </c>
      <c r="M119" s="63">
        <v>8847</v>
      </c>
      <c r="N119" s="63">
        <v>0</v>
      </c>
      <c r="O119" s="63">
        <v>0</v>
      </c>
      <c r="P119" s="63">
        <v>8847</v>
      </c>
      <c r="Q119" s="63">
        <v>0</v>
      </c>
      <c r="R119" s="63">
        <v>-40083727</v>
      </c>
      <c r="S119" s="63">
        <v>-8016745</v>
      </c>
      <c r="T119" s="63">
        <v>-32066981</v>
      </c>
      <c r="U119" s="63">
        <v>-234931</v>
      </c>
      <c r="V119" s="63">
        <v>0</v>
      </c>
      <c r="W119" s="63">
        <v>-1917221</v>
      </c>
      <c r="X119" s="63">
        <v>-82319605</v>
      </c>
      <c r="Y119" s="63">
        <v>900000</v>
      </c>
      <c r="Z119" s="63">
        <v>-3781960</v>
      </c>
      <c r="AB119" s="189" t="s">
        <v>768</v>
      </c>
    </row>
    <row r="120" spans="1:28" ht="12.75" x14ac:dyDescent="0.2">
      <c r="A120" s="90">
        <v>113</v>
      </c>
      <c r="B120" s="129" t="s">
        <v>107</v>
      </c>
      <c r="C120" s="198" t="s">
        <v>754</v>
      </c>
      <c r="D120" s="131" t="s">
        <v>748</v>
      </c>
      <c r="E120" s="132" t="s">
        <v>106</v>
      </c>
      <c r="F120" s="63">
        <v>-14391294</v>
      </c>
      <c r="G120" s="63">
        <v>89587185</v>
      </c>
      <c r="H120" s="63">
        <v>0</v>
      </c>
      <c r="I120" s="63">
        <v>-1000000</v>
      </c>
      <c r="J120" s="63">
        <v>3625838</v>
      </c>
      <c r="K120" s="63">
        <v>-3372217</v>
      </c>
      <c r="L120" s="63">
        <v>88840806</v>
      </c>
      <c r="M120" s="63">
        <v>0</v>
      </c>
      <c r="N120" s="63">
        <v>505991</v>
      </c>
      <c r="O120" s="63">
        <v>5000000</v>
      </c>
      <c r="P120" s="63">
        <v>5505991</v>
      </c>
      <c r="Q120" s="63">
        <v>-552434</v>
      </c>
      <c r="R120" s="63">
        <v>-44862089</v>
      </c>
      <c r="S120" s="63">
        <v>-17944836</v>
      </c>
      <c r="T120" s="63">
        <v>-26917253</v>
      </c>
      <c r="U120" s="63">
        <v>-505991</v>
      </c>
      <c r="V120" s="63">
        <v>0</v>
      </c>
      <c r="W120" s="63">
        <v>0</v>
      </c>
      <c r="X120" s="63">
        <v>-90782603</v>
      </c>
      <c r="Y120" s="63">
        <v>0</v>
      </c>
      <c r="Z120" s="63">
        <v>-10827100</v>
      </c>
      <c r="AB120" s="189"/>
    </row>
    <row r="121" spans="1:28" ht="12.75" x14ac:dyDescent="0.2">
      <c r="A121" s="90">
        <v>114</v>
      </c>
      <c r="B121" s="129" t="s">
        <v>108</v>
      </c>
      <c r="C121" s="198" t="s">
        <v>501</v>
      </c>
      <c r="D121" s="131" t="s">
        <v>744</v>
      </c>
      <c r="E121" s="132" t="s">
        <v>513</v>
      </c>
      <c r="F121" s="63">
        <v>-5034283</v>
      </c>
      <c r="G121" s="63">
        <v>56804371</v>
      </c>
      <c r="H121" s="63">
        <v>0</v>
      </c>
      <c r="I121" s="63">
        <v>-495580</v>
      </c>
      <c r="J121" s="63">
        <v>0</v>
      </c>
      <c r="K121" s="63">
        <v>-1024505</v>
      </c>
      <c r="L121" s="63">
        <v>55284286</v>
      </c>
      <c r="M121" s="63">
        <v>0</v>
      </c>
      <c r="N121" s="63">
        <v>0</v>
      </c>
      <c r="O121" s="63">
        <v>2460922</v>
      </c>
      <c r="P121" s="63">
        <v>2460922</v>
      </c>
      <c r="Q121" s="63">
        <v>0</v>
      </c>
      <c r="R121" s="63">
        <v>-26112446</v>
      </c>
      <c r="S121" s="63">
        <v>-525457</v>
      </c>
      <c r="T121" s="63">
        <v>-25747383</v>
      </c>
      <c r="U121" s="63">
        <v>-325639</v>
      </c>
      <c r="V121" s="63">
        <v>0</v>
      </c>
      <c r="W121" s="63">
        <v>0</v>
      </c>
      <c r="X121" s="63">
        <v>-52710925</v>
      </c>
      <c r="Y121" s="63">
        <v>0</v>
      </c>
      <c r="Z121" s="63">
        <v>0</v>
      </c>
      <c r="AB121" s="189"/>
    </row>
    <row r="122" spans="1:28" ht="12.75" x14ac:dyDescent="0.2">
      <c r="A122" s="90">
        <v>115</v>
      </c>
      <c r="B122" s="129" t="s">
        <v>110</v>
      </c>
      <c r="C122" s="198" t="s">
        <v>742</v>
      </c>
      <c r="D122" s="131" t="s">
        <v>750</v>
      </c>
      <c r="E122" s="132" t="s">
        <v>109</v>
      </c>
      <c r="F122" s="63">
        <v>-1551376</v>
      </c>
      <c r="G122" s="63">
        <v>27623328</v>
      </c>
      <c r="H122" s="63">
        <v>-200000</v>
      </c>
      <c r="I122" s="63">
        <v>-12285</v>
      </c>
      <c r="J122" s="63">
        <v>851425</v>
      </c>
      <c r="K122" s="63">
        <v>-1438390</v>
      </c>
      <c r="L122" s="63">
        <v>26824078</v>
      </c>
      <c r="M122" s="63">
        <v>0</v>
      </c>
      <c r="N122" s="63">
        <v>155517</v>
      </c>
      <c r="O122" s="63">
        <v>1484124</v>
      </c>
      <c r="P122" s="63">
        <v>1639641</v>
      </c>
      <c r="Q122" s="63">
        <v>-20969</v>
      </c>
      <c r="R122" s="63">
        <v>-13475401</v>
      </c>
      <c r="S122" s="63">
        <v>-2695080</v>
      </c>
      <c r="T122" s="63">
        <v>-10780320</v>
      </c>
      <c r="U122" s="63">
        <v>-155517</v>
      </c>
      <c r="V122" s="63">
        <v>0</v>
      </c>
      <c r="W122" s="63">
        <v>0</v>
      </c>
      <c r="X122" s="63">
        <v>-27127287</v>
      </c>
      <c r="Y122" s="63">
        <v>0</v>
      </c>
      <c r="Z122" s="63">
        <v>-214944</v>
      </c>
      <c r="AB122" s="189"/>
    </row>
    <row r="123" spans="1:28" ht="12.75" x14ac:dyDescent="0.2">
      <c r="A123" s="90">
        <v>116</v>
      </c>
      <c r="B123" s="129" t="s">
        <v>111</v>
      </c>
      <c r="C123" s="198" t="s">
        <v>754</v>
      </c>
      <c r="D123" s="131" t="s">
        <v>748</v>
      </c>
      <c r="E123" s="132" t="s">
        <v>552</v>
      </c>
      <c r="F123" s="63">
        <v>-7268275</v>
      </c>
      <c r="G123" s="63">
        <v>190961051</v>
      </c>
      <c r="H123" s="63">
        <v>0</v>
      </c>
      <c r="I123" s="63">
        <v>-4941012</v>
      </c>
      <c r="J123" s="63">
        <v>8202101</v>
      </c>
      <c r="K123" s="63">
        <v>11599251</v>
      </c>
      <c r="L123" s="63">
        <v>205821391</v>
      </c>
      <c r="M123" s="63">
        <v>0</v>
      </c>
      <c r="N123" s="63">
        <v>0</v>
      </c>
      <c r="O123" s="63">
        <v>0</v>
      </c>
      <c r="P123" s="63">
        <v>0</v>
      </c>
      <c r="Q123" s="63">
        <v>0</v>
      </c>
      <c r="R123" s="63">
        <v>-94028509</v>
      </c>
      <c r="S123" s="63">
        <v>-37611404</v>
      </c>
      <c r="T123" s="63">
        <v>-56417105</v>
      </c>
      <c r="U123" s="63">
        <v>-568907</v>
      </c>
      <c r="V123" s="63">
        <v>0</v>
      </c>
      <c r="W123" s="63">
        <v>-260250</v>
      </c>
      <c r="X123" s="63">
        <v>-188886175</v>
      </c>
      <c r="Y123" s="63">
        <v>0</v>
      </c>
      <c r="Z123" s="63">
        <v>9666941</v>
      </c>
      <c r="AB123" s="189"/>
    </row>
    <row r="124" spans="1:28" ht="12.75" x14ac:dyDescent="0.2">
      <c r="A124" s="90">
        <v>117</v>
      </c>
      <c r="B124" s="129" t="s">
        <v>113</v>
      </c>
      <c r="C124" s="198" t="s">
        <v>742</v>
      </c>
      <c r="D124" s="131" t="s">
        <v>745</v>
      </c>
      <c r="E124" s="132" t="s">
        <v>112</v>
      </c>
      <c r="F124" s="63">
        <v>-2043792</v>
      </c>
      <c r="G124" s="63">
        <v>38605221</v>
      </c>
      <c r="H124" s="63">
        <v>-28236</v>
      </c>
      <c r="I124" s="63">
        <v>-21181</v>
      </c>
      <c r="J124" s="63">
        <v>0</v>
      </c>
      <c r="K124" s="63">
        <v>-654289</v>
      </c>
      <c r="L124" s="63">
        <v>37901515</v>
      </c>
      <c r="M124" s="63">
        <v>0</v>
      </c>
      <c r="N124" s="63">
        <v>0</v>
      </c>
      <c r="O124" s="63">
        <v>0</v>
      </c>
      <c r="P124" s="63">
        <v>0</v>
      </c>
      <c r="Q124" s="63">
        <v>-1882</v>
      </c>
      <c r="R124" s="63">
        <v>-18888620</v>
      </c>
      <c r="S124" s="63">
        <v>-3777724</v>
      </c>
      <c r="T124" s="63">
        <v>-15110896</v>
      </c>
      <c r="U124" s="63">
        <v>-126157</v>
      </c>
      <c r="V124" s="63">
        <v>0</v>
      </c>
      <c r="W124" s="63">
        <v>-283830</v>
      </c>
      <c r="X124" s="63">
        <v>-38189109</v>
      </c>
      <c r="Y124" s="63">
        <v>0</v>
      </c>
      <c r="Z124" s="63">
        <v>-2331386</v>
      </c>
      <c r="AB124" s="189"/>
    </row>
    <row r="125" spans="1:28" ht="12.75" x14ac:dyDescent="0.2">
      <c r="A125" s="90">
        <v>118</v>
      </c>
      <c r="B125" s="129" t="s">
        <v>115</v>
      </c>
      <c r="C125" s="198" t="s">
        <v>747</v>
      </c>
      <c r="D125" s="131" t="s">
        <v>748</v>
      </c>
      <c r="E125" s="132" t="s">
        <v>114</v>
      </c>
      <c r="F125" s="63">
        <v>-17059908</v>
      </c>
      <c r="G125" s="63">
        <v>63622363</v>
      </c>
      <c r="H125" s="63">
        <v>0</v>
      </c>
      <c r="I125" s="63">
        <v>-2231769</v>
      </c>
      <c r="J125" s="63">
        <v>3281950</v>
      </c>
      <c r="K125" s="63">
        <v>-7354277</v>
      </c>
      <c r="L125" s="63">
        <v>57318267</v>
      </c>
      <c r="M125" s="63">
        <v>70271</v>
      </c>
      <c r="N125" s="63">
        <v>0</v>
      </c>
      <c r="O125" s="63">
        <v>15130970</v>
      </c>
      <c r="P125" s="63">
        <v>15201241</v>
      </c>
      <c r="Q125" s="63">
        <v>-100531</v>
      </c>
      <c r="R125" s="63">
        <v>-32174981</v>
      </c>
      <c r="S125" s="63">
        <v>-12869992</v>
      </c>
      <c r="T125" s="63">
        <v>-19304989</v>
      </c>
      <c r="U125" s="63">
        <v>-307187</v>
      </c>
      <c r="V125" s="63">
        <v>0</v>
      </c>
      <c r="W125" s="63">
        <v>0</v>
      </c>
      <c r="X125" s="63">
        <v>-64757680</v>
      </c>
      <c r="Y125" s="63">
        <v>0</v>
      </c>
      <c r="Z125" s="63">
        <v>-9298080</v>
      </c>
      <c r="AB125" s="189"/>
    </row>
    <row r="126" spans="1:28" ht="12.75" x14ac:dyDescent="0.2">
      <c r="A126" s="90">
        <v>119</v>
      </c>
      <c r="B126" s="129" t="s">
        <v>117</v>
      </c>
      <c r="C126" s="198" t="s">
        <v>742</v>
      </c>
      <c r="D126" s="131" t="s">
        <v>746</v>
      </c>
      <c r="E126" s="132" t="s">
        <v>116</v>
      </c>
      <c r="F126" s="63">
        <v>-4247015</v>
      </c>
      <c r="G126" s="63">
        <v>46439216</v>
      </c>
      <c r="H126" s="63">
        <v>0</v>
      </c>
      <c r="I126" s="63">
        <v>-295736</v>
      </c>
      <c r="J126" s="63">
        <v>2582136</v>
      </c>
      <c r="K126" s="63">
        <v>-839304</v>
      </c>
      <c r="L126" s="63">
        <v>47886312</v>
      </c>
      <c r="M126" s="63">
        <v>0</v>
      </c>
      <c r="N126" s="63">
        <v>0</v>
      </c>
      <c r="O126" s="63">
        <v>4406377</v>
      </c>
      <c r="P126" s="63">
        <v>4406377</v>
      </c>
      <c r="Q126" s="63">
        <v>0</v>
      </c>
      <c r="R126" s="63">
        <v>-22637291</v>
      </c>
      <c r="S126" s="63">
        <v>-4527458</v>
      </c>
      <c r="T126" s="63">
        <v>-18109832</v>
      </c>
      <c r="U126" s="63">
        <v>-120638</v>
      </c>
      <c r="V126" s="63">
        <v>0</v>
      </c>
      <c r="W126" s="63">
        <v>0</v>
      </c>
      <c r="X126" s="63">
        <v>-45395219</v>
      </c>
      <c r="Y126" s="63">
        <v>0</v>
      </c>
      <c r="Z126" s="63">
        <v>2650455</v>
      </c>
      <c r="AB126" s="189"/>
    </row>
    <row r="127" spans="1:28" ht="12.75" x14ac:dyDescent="0.2">
      <c r="A127" s="90">
        <v>120</v>
      </c>
      <c r="B127" s="129" t="s">
        <v>119</v>
      </c>
      <c r="C127" s="198" t="s">
        <v>742</v>
      </c>
      <c r="D127" s="131" t="s">
        <v>750</v>
      </c>
      <c r="E127" s="132" t="s">
        <v>118</v>
      </c>
      <c r="F127" s="63">
        <v>-1301686</v>
      </c>
      <c r="G127" s="63">
        <v>61476793</v>
      </c>
      <c r="H127" s="63">
        <v>0</v>
      </c>
      <c r="I127" s="63">
        <v>-541125</v>
      </c>
      <c r="J127" s="63">
        <v>2565511</v>
      </c>
      <c r="K127" s="63">
        <v>-4745624</v>
      </c>
      <c r="L127" s="63">
        <v>58755555</v>
      </c>
      <c r="M127" s="63">
        <v>27802</v>
      </c>
      <c r="N127" s="63">
        <v>0</v>
      </c>
      <c r="O127" s="63">
        <v>1089000</v>
      </c>
      <c r="P127" s="63">
        <v>1116802</v>
      </c>
      <c r="Q127" s="63">
        <v>-33249</v>
      </c>
      <c r="R127" s="63">
        <v>-29866596</v>
      </c>
      <c r="S127" s="63">
        <v>-5973319</v>
      </c>
      <c r="T127" s="63">
        <v>-23893277</v>
      </c>
      <c r="U127" s="63">
        <v>-287230</v>
      </c>
      <c r="V127" s="63">
        <v>0</v>
      </c>
      <c r="W127" s="63">
        <v>0</v>
      </c>
      <c r="X127" s="63">
        <v>-60053671</v>
      </c>
      <c r="Y127" s="63">
        <v>0</v>
      </c>
      <c r="Z127" s="63">
        <v>-1483000</v>
      </c>
      <c r="AB127" s="189"/>
    </row>
    <row r="128" spans="1:28" ht="12.75" x14ac:dyDescent="0.2">
      <c r="A128" s="90">
        <v>121</v>
      </c>
      <c r="B128" s="129" t="s">
        <v>121</v>
      </c>
      <c r="C128" s="198" t="s">
        <v>747</v>
      </c>
      <c r="D128" s="131" t="s">
        <v>748</v>
      </c>
      <c r="E128" s="132" t="s">
        <v>120</v>
      </c>
      <c r="F128" s="63">
        <v>-4499430</v>
      </c>
      <c r="G128" s="63">
        <v>49814683</v>
      </c>
      <c r="H128" s="63">
        <v>0</v>
      </c>
      <c r="I128" s="63">
        <v>-337042</v>
      </c>
      <c r="J128" s="63">
        <v>0</v>
      </c>
      <c r="K128" s="63">
        <v>-2040302</v>
      </c>
      <c r="L128" s="63">
        <v>47437339</v>
      </c>
      <c r="M128" s="63">
        <v>400684</v>
      </c>
      <c r="N128" s="63">
        <v>0</v>
      </c>
      <c r="O128" s="63">
        <v>1336142</v>
      </c>
      <c r="P128" s="63">
        <v>1736826</v>
      </c>
      <c r="Q128" s="63">
        <v>0</v>
      </c>
      <c r="R128" s="63">
        <v>-23218241</v>
      </c>
      <c r="S128" s="63">
        <v>-9287296</v>
      </c>
      <c r="T128" s="63">
        <v>-13930945</v>
      </c>
      <c r="U128" s="63">
        <v>-254409</v>
      </c>
      <c r="V128" s="63">
        <v>0</v>
      </c>
      <c r="W128" s="63">
        <v>0</v>
      </c>
      <c r="X128" s="63">
        <v>-46690891</v>
      </c>
      <c r="Y128" s="63">
        <v>0</v>
      </c>
      <c r="Z128" s="63">
        <v>-2016156</v>
      </c>
      <c r="AB128" s="189"/>
    </row>
    <row r="129" spans="1:28" ht="12.75" x14ac:dyDescent="0.2">
      <c r="A129" s="90">
        <v>122</v>
      </c>
      <c r="B129" s="129" t="s">
        <v>123</v>
      </c>
      <c r="C129" s="198" t="s">
        <v>742</v>
      </c>
      <c r="D129" s="131" t="s">
        <v>743</v>
      </c>
      <c r="E129" s="132" t="s">
        <v>122</v>
      </c>
      <c r="F129" s="63">
        <v>-3085849</v>
      </c>
      <c r="G129" s="63">
        <v>29980500</v>
      </c>
      <c r="H129" s="63">
        <v>0</v>
      </c>
      <c r="I129" s="63">
        <v>-246438</v>
      </c>
      <c r="J129" s="63">
        <v>1524634</v>
      </c>
      <c r="K129" s="63">
        <v>-1561576</v>
      </c>
      <c r="L129" s="63">
        <v>29697120</v>
      </c>
      <c r="M129" s="63">
        <v>0</v>
      </c>
      <c r="N129" s="63">
        <v>0</v>
      </c>
      <c r="O129" s="63">
        <v>2272239</v>
      </c>
      <c r="P129" s="63">
        <v>2272239</v>
      </c>
      <c r="Q129" s="63">
        <v>0</v>
      </c>
      <c r="R129" s="63">
        <v>-14740191</v>
      </c>
      <c r="S129" s="63">
        <v>-2948038</v>
      </c>
      <c r="T129" s="63">
        <v>-11792152</v>
      </c>
      <c r="U129" s="63">
        <v>-99214</v>
      </c>
      <c r="V129" s="63">
        <v>0</v>
      </c>
      <c r="W129" s="63">
        <v>0</v>
      </c>
      <c r="X129" s="63">
        <v>-29579595</v>
      </c>
      <c r="Y129" s="63">
        <v>0</v>
      </c>
      <c r="Z129" s="63">
        <v>-696085</v>
      </c>
      <c r="AB129" s="189"/>
    </row>
    <row r="130" spans="1:28" ht="12.75" x14ac:dyDescent="0.2">
      <c r="A130" s="90">
        <v>123</v>
      </c>
      <c r="B130" s="129" t="s">
        <v>124</v>
      </c>
      <c r="C130" s="198" t="s">
        <v>501</v>
      </c>
      <c r="D130" s="131" t="s">
        <v>755</v>
      </c>
      <c r="E130" s="132" t="s">
        <v>516</v>
      </c>
      <c r="F130" s="63">
        <v>3742438</v>
      </c>
      <c r="G130" s="63">
        <v>31647591</v>
      </c>
      <c r="H130" s="63">
        <v>0</v>
      </c>
      <c r="I130" s="63">
        <v>-246368</v>
      </c>
      <c r="J130" s="63">
        <v>13494656</v>
      </c>
      <c r="K130" s="63">
        <v>-16280273</v>
      </c>
      <c r="L130" s="63">
        <v>28615606</v>
      </c>
      <c r="M130" s="63">
        <v>0</v>
      </c>
      <c r="N130" s="63">
        <v>0</v>
      </c>
      <c r="O130" s="63">
        <v>738219</v>
      </c>
      <c r="P130" s="63">
        <v>738219</v>
      </c>
      <c r="Q130" s="63">
        <v>-35691470</v>
      </c>
      <c r="R130" s="63">
        <v>-19535833</v>
      </c>
      <c r="S130" s="63">
        <v>-392437</v>
      </c>
      <c r="T130" s="63">
        <v>-19315451</v>
      </c>
      <c r="U130" s="63">
        <v>0</v>
      </c>
      <c r="V130" s="63">
        <v>0</v>
      </c>
      <c r="W130" s="63">
        <v>0</v>
      </c>
      <c r="X130" s="63">
        <v>-74935191</v>
      </c>
      <c r="Y130" s="63">
        <v>0</v>
      </c>
      <c r="Z130" s="63">
        <v>-41838928</v>
      </c>
      <c r="AB130" s="189"/>
    </row>
    <row r="131" spans="1:28" ht="12.75" x14ac:dyDescent="0.2">
      <c r="A131" s="90">
        <v>124</v>
      </c>
      <c r="B131" s="129" t="s">
        <v>126</v>
      </c>
      <c r="C131" s="198" t="s">
        <v>742</v>
      </c>
      <c r="D131" s="131" t="s">
        <v>743</v>
      </c>
      <c r="E131" s="132" t="s">
        <v>125</v>
      </c>
      <c r="F131" s="63">
        <v>-2562214</v>
      </c>
      <c r="G131" s="63">
        <v>21349661</v>
      </c>
      <c r="H131" s="63">
        <v>0</v>
      </c>
      <c r="I131" s="63">
        <v>-205477</v>
      </c>
      <c r="J131" s="63">
        <v>78000</v>
      </c>
      <c r="K131" s="63">
        <v>-880000</v>
      </c>
      <c r="L131" s="63">
        <v>20342184</v>
      </c>
      <c r="M131" s="63">
        <v>0</v>
      </c>
      <c r="N131" s="63">
        <v>0</v>
      </c>
      <c r="O131" s="63">
        <v>2041023</v>
      </c>
      <c r="P131" s="63">
        <v>2041023</v>
      </c>
      <c r="Q131" s="63">
        <v>0</v>
      </c>
      <c r="R131" s="63">
        <v>-10642955</v>
      </c>
      <c r="S131" s="63">
        <v>-2128591</v>
      </c>
      <c r="T131" s="63">
        <v>-8514364</v>
      </c>
      <c r="U131" s="63">
        <v>-131732</v>
      </c>
      <c r="V131" s="63">
        <v>0</v>
      </c>
      <c r="W131" s="63">
        <v>0</v>
      </c>
      <c r="X131" s="63">
        <v>-21417642</v>
      </c>
      <c r="Y131" s="63">
        <v>0</v>
      </c>
      <c r="Z131" s="63">
        <v>-1596649</v>
      </c>
      <c r="AB131" s="189"/>
    </row>
    <row r="132" spans="1:28" ht="12.75" x14ac:dyDescent="0.2">
      <c r="A132" s="90">
        <v>125</v>
      </c>
      <c r="B132" s="129" t="s">
        <v>128</v>
      </c>
      <c r="C132" s="198" t="s">
        <v>742</v>
      </c>
      <c r="D132" s="131" t="s">
        <v>743</v>
      </c>
      <c r="E132" s="132" t="s">
        <v>127</v>
      </c>
      <c r="F132" s="63">
        <v>2186800</v>
      </c>
      <c r="G132" s="63">
        <v>33586040</v>
      </c>
      <c r="H132" s="63">
        <v>0</v>
      </c>
      <c r="I132" s="63">
        <v>-100000</v>
      </c>
      <c r="J132" s="63">
        <v>0</v>
      </c>
      <c r="K132" s="63">
        <v>-500000</v>
      </c>
      <c r="L132" s="63">
        <v>32986040</v>
      </c>
      <c r="M132" s="63">
        <v>295903</v>
      </c>
      <c r="N132" s="63">
        <v>0</v>
      </c>
      <c r="O132" s="63">
        <v>0</v>
      </c>
      <c r="P132" s="63">
        <v>295903</v>
      </c>
      <c r="Q132" s="63">
        <v>0</v>
      </c>
      <c r="R132" s="63">
        <v>-16355630</v>
      </c>
      <c r="S132" s="63">
        <v>-3271127</v>
      </c>
      <c r="T132" s="63">
        <v>-13084505</v>
      </c>
      <c r="U132" s="63">
        <v>-139832</v>
      </c>
      <c r="V132" s="63">
        <v>0</v>
      </c>
      <c r="W132" s="63">
        <v>-2199226</v>
      </c>
      <c r="X132" s="63">
        <v>-35050320</v>
      </c>
      <c r="Y132" s="63">
        <v>0</v>
      </c>
      <c r="Z132" s="63">
        <v>418423</v>
      </c>
      <c r="AB132" s="189"/>
    </row>
    <row r="133" spans="1:28" ht="12.75" x14ac:dyDescent="0.2">
      <c r="A133" s="90">
        <v>126</v>
      </c>
      <c r="B133" s="129" t="s">
        <v>130</v>
      </c>
      <c r="C133" s="198" t="s">
        <v>747</v>
      </c>
      <c r="D133" s="131" t="s">
        <v>748</v>
      </c>
      <c r="E133" s="132" t="s">
        <v>129</v>
      </c>
      <c r="F133" s="63">
        <v>-258808</v>
      </c>
      <c r="G133" s="63">
        <v>75932360</v>
      </c>
      <c r="H133" s="63">
        <v>0</v>
      </c>
      <c r="I133" s="63">
        <v>-1480538</v>
      </c>
      <c r="J133" s="63">
        <v>189000</v>
      </c>
      <c r="K133" s="63">
        <v>-6919092</v>
      </c>
      <c r="L133" s="63">
        <v>67721730</v>
      </c>
      <c r="M133" s="63">
        <v>23171</v>
      </c>
      <c r="N133" s="63">
        <v>0</v>
      </c>
      <c r="O133" s="63">
        <v>0</v>
      </c>
      <c r="P133" s="63">
        <v>23171</v>
      </c>
      <c r="Q133" s="63">
        <v>-4745</v>
      </c>
      <c r="R133" s="63">
        <v>-36384523</v>
      </c>
      <c r="S133" s="63">
        <v>-14553809</v>
      </c>
      <c r="T133" s="63">
        <v>-21830714</v>
      </c>
      <c r="U133" s="63">
        <v>0</v>
      </c>
      <c r="V133" s="63">
        <v>-271109</v>
      </c>
      <c r="W133" s="63">
        <v>-652725</v>
      </c>
      <c r="X133" s="63">
        <v>-73697625</v>
      </c>
      <c r="Y133" s="63">
        <v>0</v>
      </c>
      <c r="Z133" s="63">
        <v>-6211532</v>
      </c>
      <c r="AB133" s="189"/>
    </row>
    <row r="134" spans="1:28" ht="12.75" x14ac:dyDescent="0.2">
      <c r="A134" s="90">
        <v>127</v>
      </c>
      <c r="B134" s="129" t="s">
        <v>131</v>
      </c>
      <c r="C134" s="198" t="s">
        <v>501</v>
      </c>
      <c r="D134" s="131" t="s">
        <v>752</v>
      </c>
      <c r="E134" s="132" t="s">
        <v>532</v>
      </c>
      <c r="F134" s="63">
        <v>-7638000</v>
      </c>
      <c r="G134" s="63">
        <v>49228000</v>
      </c>
      <c r="H134" s="63">
        <v>-150000</v>
      </c>
      <c r="I134" s="63">
        <v>-200000</v>
      </c>
      <c r="J134" s="63">
        <v>0</v>
      </c>
      <c r="K134" s="63">
        <v>-2225000</v>
      </c>
      <c r="L134" s="63">
        <v>46653000</v>
      </c>
      <c r="M134" s="63">
        <v>0</v>
      </c>
      <c r="N134" s="63">
        <v>0</v>
      </c>
      <c r="O134" s="63">
        <v>3448476</v>
      </c>
      <c r="P134" s="63">
        <v>3448476</v>
      </c>
      <c r="Q134" s="63">
        <v>0</v>
      </c>
      <c r="R134" s="63">
        <v>-23461971</v>
      </c>
      <c r="S134" s="63">
        <v>-475279</v>
      </c>
      <c r="T134" s="63">
        <v>-23288692</v>
      </c>
      <c r="U134" s="63">
        <v>-647411</v>
      </c>
      <c r="V134" s="63">
        <v>-56550</v>
      </c>
      <c r="W134" s="63">
        <v>0</v>
      </c>
      <c r="X134" s="63">
        <v>-47929903</v>
      </c>
      <c r="Y134" s="63">
        <v>311689</v>
      </c>
      <c r="Z134" s="63">
        <v>-5154738</v>
      </c>
      <c r="AB134" s="189" t="s">
        <v>768</v>
      </c>
    </row>
    <row r="135" spans="1:28" ht="12.75" x14ac:dyDescent="0.2">
      <c r="A135" s="90">
        <v>128</v>
      </c>
      <c r="B135" s="129" t="s">
        <v>133</v>
      </c>
      <c r="C135" s="198" t="s">
        <v>742</v>
      </c>
      <c r="D135" s="131" t="s">
        <v>746</v>
      </c>
      <c r="E135" s="132" t="s">
        <v>132</v>
      </c>
      <c r="F135" s="63">
        <v>5625858</v>
      </c>
      <c r="G135" s="63">
        <v>46794505</v>
      </c>
      <c r="H135" s="63">
        <v>0</v>
      </c>
      <c r="I135" s="63">
        <v>0</v>
      </c>
      <c r="J135" s="63">
        <v>633244</v>
      </c>
      <c r="K135" s="63">
        <v>-3150831</v>
      </c>
      <c r="L135" s="63">
        <v>44276918</v>
      </c>
      <c r="M135" s="63">
        <v>0</v>
      </c>
      <c r="N135" s="63">
        <v>0</v>
      </c>
      <c r="O135" s="63">
        <v>0</v>
      </c>
      <c r="P135" s="63">
        <v>0</v>
      </c>
      <c r="Q135" s="63">
        <v>-138132</v>
      </c>
      <c r="R135" s="63">
        <v>-23083280</v>
      </c>
      <c r="S135" s="63">
        <v>-4616656</v>
      </c>
      <c r="T135" s="63">
        <v>-18466624</v>
      </c>
      <c r="U135" s="63">
        <v>-149502</v>
      </c>
      <c r="V135" s="63">
        <v>0</v>
      </c>
      <c r="W135" s="63">
        <v>-3252568</v>
      </c>
      <c r="X135" s="63">
        <v>-49706762</v>
      </c>
      <c r="Y135" s="63">
        <v>0</v>
      </c>
      <c r="Z135" s="63">
        <v>196014</v>
      </c>
      <c r="AB135" s="189"/>
    </row>
    <row r="136" spans="1:28" ht="12.75" x14ac:dyDescent="0.2">
      <c r="A136" s="90">
        <v>129</v>
      </c>
      <c r="B136" s="129" t="s">
        <v>135</v>
      </c>
      <c r="C136" s="198" t="s">
        <v>742</v>
      </c>
      <c r="D136" s="131" t="s">
        <v>745</v>
      </c>
      <c r="E136" s="132" t="s">
        <v>134</v>
      </c>
      <c r="F136" s="63">
        <v>-943024</v>
      </c>
      <c r="G136" s="63">
        <v>24478398</v>
      </c>
      <c r="H136" s="63">
        <v>0</v>
      </c>
      <c r="I136" s="63">
        <v>-135989</v>
      </c>
      <c r="J136" s="63">
        <v>0</v>
      </c>
      <c r="K136" s="63">
        <v>-463193</v>
      </c>
      <c r="L136" s="63">
        <v>23879216</v>
      </c>
      <c r="M136" s="63">
        <v>0</v>
      </c>
      <c r="N136" s="63">
        <v>0</v>
      </c>
      <c r="O136" s="63">
        <v>175862</v>
      </c>
      <c r="P136" s="63">
        <v>175862</v>
      </c>
      <c r="Q136" s="63">
        <v>-4041</v>
      </c>
      <c r="R136" s="63">
        <v>-12219725</v>
      </c>
      <c r="S136" s="63">
        <v>-2443946</v>
      </c>
      <c r="T136" s="63">
        <v>-9775780</v>
      </c>
      <c r="U136" s="63">
        <v>-135499</v>
      </c>
      <c r="V136" s="63">
        <v>0</v>
      </c>
      <c r="W136" s="63">
        <v>0</v>
      </c>
      <c r="X136" s="63">
        <v>-24578991</v>
      </c>
      <c r="Y136" s="63">
        <v>0</v>
      </c>
      <c r="Z136" s="63">
        <v>-1466937</v>
      </c>
      <c r="AB136" s="189"/>
    </row>
    <row r="137" spans="1:28" ht="12.75" x14ac:dyDescent="0.2">
      <c r="A137" s="90">
        <v>130</v>
      </c>
      <c r="B137" s="129" t="s">
        <v>137</v>
      </c>
      <c r="C137" s="198" t="s">
        <v>747</v>
      </c>
      <c r="D137" s="131" t="s">
        <v>748</v>
      </c>
      <c r="E137" s="132" t="s">
        <v>136</v>
      </c>
      <c r="F137" s="63">
        <v>-6854000</v>
      </c>
      <c r="G137" s="63">
        <v>374885000</v>
      </c>
      <c r="H137" s="63">
        <v>-28000</v>
      </c>
      <c r="I137" s="63">
        <v>-965000</v>
      </c>
      <c r="J137" s="63">
        <v>0</v>
      </c>
      <c r="K137" s="63">
        <v>-3252000</v>
      </c>
      <c r="L137" s="63">
        <v>370640000</v>
      </c>
      <c r="M137" s="63">
        <v>367000</v>
      </c>
      <c r="N137" s="63">
        <v>0</v>
      </c>
      <c r="O137" s="63">
        <v>0</v>
      </c>
      <c r="P137" s="63">
        <v>367000</v>
      </c>
      <c r="Q137" s="63">
        <v>0</v>
      </c>
      <c r="R137" s="63">
        <v>-185801000</v>
      </c>
      <c r="S137" s="63">
        <v>-74320000</v>
      </c>
      <c r="T137" s="63">
        <v>-111532000</v>
      </c>
      <c r="U137" s="63">
        <v>0</v>
      </c>
      <c r="V137" s="63">
        <v>0</v>
      </c>
      <c r="W137" s="63">
        <v>0</v>
      </c>
      <c r="X137" s="63">
        <v>-371653000</v>
      </c>
      <c r="Y137" s="63">
        <v>0</v>
      </c>
      <c r="Z137" s="63">
        <v>-7500000</v>
      </c>
      <c r="AB137" s="189"/>
    </row>
    <row r="138" spans="1:28" ht="12.75" x14ac:dyDescent="0.2">
      <c r="A138" s="90">
        <v>131</v>
      </c>
      <c r="B138" s="129" t="s">
        <v>138</v>
      </c>
      <c r="C138" s="198" t="s">
        <v>742</v>
      </c>
      <c r="D138" s="131" t="s">
        <v>745</v>
      </c>
      <c r="E138" s="132" t="s">
        <v>542</v>
      </c>
      <c r="F138" s="63">
        <v>-980179</v>
      </c>
      <c r="G138" s="63">
        <v>29886190</v>
      </c>
      <c r="H138" s="63">
        <v>-82126</v>
      </c>
      <c r="I138" s="63">
        <v>-30587</v>
      </c>
      <c r="J138" s="63">
        <v>29754</v>
      </c>
      <c r="K138" s="63">
        <v>-384130</v>
      </c>
      <c r="L138" s="63">
        <v>29419101</v>
      </c>
      <c r="M138" s="63">
        <v>0</v>
      </c>
      <c r="N138" s="63">
        <v>0</v>
      </c>
      <c r="O138" s="63">
        <v>0</v>
      </c>
      <c r="P138" s="63">
        <v>0</v>
      </c>
      <c r="Q138" s="63">
        <v>0</v>
      </c>
      <c r="R138" s="63">
        <v>-14481299</v>
      </c>
      <c r="S138" s="63">
        <v>-2896260</v>
      </c>
      <c r="T138" s="63">
        <v>-11585039</v>
      </c>
      <c r="U138" s="63">
        <v>-184763</v>
      </c>
      <c r="V138" s="63">
        <v>0</v>
      </c>
      <c r="W138" s="63">
        <v>-657193</v>
      </c>
      <c r="X138" s="63">
        <v>-29804554</v>
      </c>
      <c r="Y138" s="63">
        <v>0</v>
      </c>
      <c r="Z138" s="63">
        <v>-1365632</v>
      </c>
      <c r="AB138" s="189"/>
    </row>
    <row r="139" spans="1:28" ht="12.75" x14ac:dyDescent="0.2">
      <c r="A139" s="90">
        <v>132</v>
      </c>
      <c r="B139" s="129" t="s">
        <v>140</v>
      </c>
      <c r="C139" s="198" t="s">
        <v>742</v>
      </c>
      <c r="D139" s="131" t="s">
        <v>743</v>
      </c>
      <c r="E139" s="132" t="s">
        <v>139</v>
      </c>
      <c r="F139" s="63">
        <v>-2820756</v>
      </c>
      <c r="G139" s="63">
        <v>41064223</v>
      </c>
      <c r="H139" s="63">
        <v>-156000</v>
      </c>
      <c r="I139" s="63">
        <v>-450000</v>
      </c>
      <c r="J139" s="63">
        <v>735255</v>
      </c>
      <c r="K139" s="63">
        <v>-1859415</v>
      </c>
      <c r="L139" s="63">
        <v>39334063</v>
      </c>
      <c r="M139" s="63">
        <v>410371</v>
      </c>
      <c r="N139" s="63">
        <v>0</v>
      </c>
      <c r="O139" s="63">
        <v>1443000</v>
      </c>
      <c r="P139" s="63">
        <v>1853371</v>
      </c>
      <c r="Q139" s="63">
        <v>0</v>
      </c>
      <c r="R139" s="63">
        <v>-19895069</v>
      </c>
      <c r="S139" s="63">
        <v>-3979014</v>
      </c>
      <c r="T139" s="63">
        <v>-15916055</v>
      </c>
      <c r="U139" s="63">
        <v>-176540</v>
      </c>
      <c r="V139" s="63">
        <v>0</v>
      </c>
      <c r="W139" s="63">
        <v>0</v>
      </c>
      <c r="X139" s="63">
        <v>-39966678</v>
      </c>
      <c r="Y139" s="63">
        <v>0</v>
      </c>
      <c r="Z139" s="63">
        <v>-1600000</v>
      </c>
      <c r="AB139" s="189"/>
    </row>
    <row r="140" spans="1:28" ht="12.75" x14ac:dyDescent="0.2">
      <c r="A140" s="90">
        <v>133</v>
      </c>
      <c r="B140" s="129" t="s">
        <v>142</v>
      </c>
      <c r="C140" s="198" t="s">
        <v>747</v>
      </c>
      <c r="D140" s="131" t="s">
        <v>748</v>
      </c>
      <c r="E140" s="132" t="s">
        <v>141</v>
      </c>
      <c r="F140" s="63">
        <v>-8910303</v>
      </c>
      <c r="G140" s="63">
        <v>164626349</v>
      </c>
      <c r="H140" s="63">
        <v>0</v>
      </c>
      <c r="I140" s="63">
        <v>-2000000</v>
      </c>
      <c r="J140" s="63">
        <v>0</v>
      </c>
      <c r="K140" s="63">
        <v>-4500000</v>
      </c>
      <c r="L140" s="63">
        <v>158126349</v>
      </c>
      <c r="M140" s="63">
        <v>0</v>
      </c>
      <c r="N140" s="63">
        <v>0</v>
      </c>
      <c r="O140" s="63">
        <v>0</v>
      </c>
      <c r="P140" s="63">
        <v>0</v>
      </c>
      <c r="Q140" s="63">
        <v>-1250812</v>
      </c>
      <c r="R140" s="63">
        <v>-78061282</v>
      </c>
      <c r="S140" s="63">
        <v>-31224513</v>
      </c>
      <c r="T140" s="63">
        <v>-46836770</v>
      </c>
      <c r="U140" s="63">
        <v>-402034</v>
      </c>
      <c r="V140" s="63">
        <v>0</v>
      </c>
      <c r="W140" s="63">
        <v>-1982464</v>
      </c>
      <c r="X140" s="63">
        <v>-159757875</v>
      </c>
      <c r="Y140" s="63">
        <v>0</v>
      </c>
      <c r="Z140" s="63">
        <v>-10541829</v>
      </c>
      <c r="AB140" s="189"/>
    </row>
    <row r="141" spans="1:28" ht="12.75" x14ac:dyDescent="0.2">
      <c r="A141" s="90">
        <v>134</v>
      </c>
      <c r="B141" s="129" t="s">
        <v>143</v>
      </c>
      <c r="C141" s="198" t="s">
        <v>742</v>
      </c>
      <c r="D141" s="131" t="s">
        <v>746</v>
      </c>
      <c r="E141" s="132" t="s">
        <v>765</v>
      </c>
      <c r="F141" s="63">
        <v>-12384122</v>
      </c>
      <c r="G141" s="63">
        <v>57854962</v>
      </c>
      <c r="H141" s="63">
        <v>0</v>
      </c>
      <c r="I141" s="63">
        <v>-435000</v>
      </c>
      <c r="J141" s="63">
        <v>3500000</v>
      </c>
      <c r="K141" s="63">
        <v>-4021054</v>
      </c>
      <c r="L141" s="63">
        <v>56898908</v>
      </c>
      <c r="M141" s="63">
        <v>0</v>
      </c>
      <c r="N141" s="63">
        <v>0</v>
      </c>
      <c r="O141" s="63">
        <v>6478278</v>
      </c>
      <c r="P141" s="63">
        <v>6478278</v>
      </c>
      <c r="Q141" s="63">
        <v>0</v>
      </c>
      <c r="R141" s="63">
        <v>-29399759</v>
      </c>
      <c r="S141" s="63">
        <v>-5920631</v>
      </c>
      <c r="T141" s="63">
        <v>-23682524</v>
      </c>
      <c r="U141" s="63">
        <v>-832878</v>
      </c>
      <c r="V141" s="63">
        <v>-408000</v>
      </c>
      <c r="W141" s="63">
        <v>0</v>
      </c>
      <c r="X141" s="63">
        <v>-60243792</v>
      </c>
      <c r="Y141" s="63">
        <v>202667</v>
      </c>
      <c r="Z141" s="63">
        <v>-9048061</v>
      </c>
      <c r="AB141" s="189" t="s">
        <v>768</v>
      </c>
    </row>
    <row r="142" spans="1:28" ht="12.75" x14ac:dyDescent="0.2">
      <c r="A142" s="90">
        <v>135</v>
      </c>
      <c r="B142" s="129" t="s">
        <v>145</v>
      </c>
      <c r="C142" s="198" t="s">
        <v>742</v>
      </c>
      <c r="D142" s="131" t="s">
        <v>744</v>
      </c>
      <c r="E142" s="132" t="s">
        <v>144</v>
      </c>
      <c r="F142" s="63">
        <v>-56891</v>
      </c>
      <c r="G142" s="63">
        <v>20452776</v>
      </c>
      <c r="H142" s="63">
        <v>0</v>
      </c>
      <c r="I142" s="63">
        <v>-610785</v>
      </c>
      <c r="J142" s="63">
        <v>350000</v>
      </c>
      <c r="K142" s="63">
        <v>-693506</v>
      </c>
      <c r="L142" s="63">
        <v>19498485</v>
      </c>
      <c r="M142" s="63">
        <v>0</v>
      </c>
      <c r="N142" s="63">
        <v>0</v>
      </c>
      <c r="O142" s="63">
        <v>319323</v>
      </c>
      <c r="P142" s="63">
        <v>319323</v>
      </c>
      <c r="Q142" s="63">
        <v>0</v>
      </c>
      <c r="R142" s="63">
        <v>-9870337</v>
      </c>
      <c r="S142" s="63">
        <v>-1974068</v>
      </c>
      <c r="T142" s="63">
        <v>-7896270</v>
      </c>
      <c r="U142" s="63">
        <v>-130946</v>
      </c>
      <c r="V142" s="63">
        <v>0</v>
      </c>
      <c r="W142" s="63">
        <v>0</v>
      </c>
      <c r="X142" s="63">
        <v>-19871621</v>
      </c>
      <c r="Y142" s="63">
        <v>0</v>
      </c>
      <c r="Z142" s="63">
        <v>-110704</v>
      </c>
      <c r="AB142" s="189"/>
    </row>
    <row r="143" spans="1:28" ht="12.75" x14ac:dyDescent="0.2">
      <c r="A143" s="90">
        <v>136</v>
      </c>
      <c r="B143" s="129" t="s">
        <v>147</v>
      </c>
      <c r="C143" s="198" t="s">
        <v>742</v>
      </c>
      <c r="D143" s="131" t="s">
        <v>746</v>
      </c>
      <c r="E143" s="132" t="s">
        <v>146</v>
      </c>
      <c r="F143" s="63">
        <v>-1457427</v>
      </c>
      <c r="G143" s="63">
        <v>57355837</v>
      </c>
      <c r="H143" s="63">
        <v>0</v>
      </c>
      <c r="I143" s="63">
        <v>-285381</v>
      </c>
      <c r="J143" s="63">
        <v>30980</v>
      </c>
      <c r="K143" s="63">
        <v>-118000</v>
      </c>
      <c r="L143" s="63">
        <v>56983436</v>
      </c>
      <c r="M143" s="63">
        <v>0</v>
      </c>
      <c r="N143" s="63">
        <v>0</v>
      </c>
      <c r="O143" s="63">
        <v>985768</v>
      </c>
      <c r="P143" s="63">
        <v>985768</v>
      </c>
      <c r="Q143" s="63">
        <v>-50583</v>
      </c>
      <c r="R143" s="63">
        <v>-28737162</v>
      </c>
      <c r="S143" s="63">
        <v>-5747432</v>
      </c>
      <c r="T143" s="63">
        <v>-22989730</v>
      </c>
      <c r="U143" s="63">
        <v>-194575</v>
      </c>
      <c r="V143" s="63">
        <v>0</v>
      </c>
      <c r="W143" s="63">
        <v>0</v>
      </c>
      <c r="X143" s="63">
        <v>-57719482</v>
      </c>
      <c r="Y143" s="63">
        <v>0</v>
      </c>
      <c r="Z143" s="63">
        <v>-1207705</v>
      </c>
      <c r="AB143" s="189"/>
    </row>
    <row r="144" spans="1:28" ht="12.75" x14ac:dyDescent="0.2">
      <c r="A144" s="90">
        <v>137</v>
      </c>
      <c r="B144" s="129" t="s">
        <v>148</v>
      </c>
      <c r="C144" s="198" t="s">
        <v>501</v>
      </c>
      <c r="D144" s="131" t="s">
        <v>743</v>
      </c>
      <c r="E144" s="132" t="s">
        <v>757</v>
      </c>
      <c r="F144" s="63">
        <v>-1633737</v>
      </c>
      <c r="G144" s="63">
        <v>32187839</v>
      </c>
      <c r="H144" s="63">
        <v>0</v>
      </c>
      <c r="I144" s="63">
        <v>-244000</v>
      </c>
      <c r="J144" s="63">
        <v>2110607</v>
      </c>
      <c r="K144" s="63">
        <v>-2477072</v>
      </c>
      <c r="L144" s="63">
        <v>31577374</v>
      </c>
      <c r="M144" s="63">
        <v>41846</v>
      </c>
      <c r="N144" s="63">
        <v>0</v>
      </c>
      <c r="O144" s="63">
        <v>439545</v>
      </c>
      <c r="P144" s="63">
        <v>481391</v>
      </c>
      <c r="Q144" s="63">
        <v>0</v>
      </c>
      <c r="R144" s="63">
        <v>-17069504</v>
      </c>
      <c r="S144" s="63">
        <v>0</v>
      </c>
      <c r="T144" s="63">
        <v>-17069504</v>
      </c>
      <c r="U144" s="63">
        <v>-331104</v>
      </c>
      <c r="V144" s="63">
        <v>-20616</v>
      </c>
      <c r="W144" s="63">
        <v>0</v>
      </c>
      <c r="X144" s="63">
        <v>-34490728</v>
      </c>
      <c r="Y144" s="63">
        <v>0</v>
      </c>
      <c r="Z144" s="63">
        <v>-4065700</v>
      </c>
      <c r="AB144" s="189"/>
    </row>
    <row r="145" spans="1:28" ht="12.75" x14ac:dyDescent="0.2">
      <c r="A145" s="90">
        <v>138</v>
      </c>
      <c r="B145" s="129" t="s">
        <v>150</v>
      </c>
      <c r="C145" s="198" t="s">
        <v>501</v>
      </c>
      <c r="D145" s="131" t="s">
        <v>751</v>
      </c>
      <c r="E145" s="132" t="s">
        <v>149</v>
      </c>
      <c r="F145" s="63">
        <v>-13000</v>
      </c>
      <c r="G145" s="63">
        <v>1624659</v>
      </c>
      <c r="H145" s="63">
        <v>0</v>
      </c>
      <c r="I145" s="63">
        <v>0</v>
      </c>
      <c r="J145" s="63">
        <v>0</v>
      </c>
      <c r="K145" s="63">
        <v>0</v>
      </c>
      <c r="L145" s="63">
        <v>1624659</v>
      </c>
      <c r="M145" s="63">
        <v>0</v>
      </c>
      <c r="N145" s="63">
        <v>0</v>
      </c>
      <c r="O145" s="63">
        <v>0</v>
      </c>
      <c r="P145" s="63">
        <v>0</v>
      </c>
      <c r="Q145" s="63">
        <v>0</v>
      </c>
      <c r="R145" s="63">
        <v>-832390</v>
      </c>
      <c r="S145" s="63">
        <v>0</v>
      </c>
      <c r="T145" s="63">
        <v>-832390</v>
      </c>
      <c r="U145" s="63">
        <v>0</v>
      </c>
      <c r="V145" s="63">
        <v>0</v>
      </c>
      <c r="W145" s="63">
        <v>0</v>
      </c>
      <c r="X145" s="63">
        <v>-1664780</v>
      </c>
      <c r="Y145" s="63">
        <v>0</v>
      </c>
      <c r="Z145" s="63">
        <v>-53121</v>
      </c>
      <c r="AB145" s="189"/>
    </row>
    <row r="146" spans="1:28" ht="12.75" x14ac:dyDescent="0.2">
      <c r="A146" s="90">
        <v>139</v>
      </c>
      <c r="B146" s="129" t="s">
        <v>152</v>
      </c>
      <c r="C146" s="198" t="s">
        <v>754</v>
      </c>
      <c r="D146" s="131" t="s">
        <v>748</v>
      </c>
      <c r="E146" s="132" t="s">
        <v>151</v>
      </c>
      <c r="F146" s="63">
        <v>1784093</v>
      </c>
      <c r="G146" s="63">
        <v>199946570</v>
      </c>
      <c r="H146" s="63">
        <v>-3076132</v>
      </c>
      <c r="I146" s="63">
        <v>-478782</v>
      </c>
      <c r="J146" s="63">
        <v>4999382</v>
      </c>
      <c r="K146" s="63">
        <v>-11345879</v>
      </c>
      <c r="L146" s="63">
        <v>190045159</v>
      </c>
      <c r="M146" s="63">
        <v>0</v>
      </c>
      <c r="N146" s="63">
        <v>0</v>
      </c>
      <c r="O146" s="63">
        <v>0</v>
      </c>
      <c r="P146" s="63">
        <v>0</v>
      </c>
      <c r="Q146" s="63">
        <v>-162692</v>
      </c>
      <c r="R146" s="63">
        <v>-95480541</v>
      </c>
      <c r="S146" s="63">
        <v>-38192216</v>
      </c>
      <c r="T146" s="63">
        <v>-57288324</v>
      </c>
      <c r="U146" s="63">
        <v>-60240</v>
      </c>
      <c r="V146" s="63">
        <v>-645239</v>
      </c>
      <c r="W146" s="63">
        <v>0</v>
      </c>
      <c r="X146" s="63">
        <v>-191829252</v>
      </c>
      <c r="Y146" s="63">
        <v>0</v>
      </c>
      <c r="Z146" s="63">
        <v>0</v>
      </c>
      <c r="AB146" s="189"/>
    </row>
    <row r="147" spans="1:28" ht="12.75" x14ac:dyDescent="0.2">
      <c r="A147" s="90">
        <v>140</v>
      </c>
      <c r="B147" s="129" t="s">
        <v>153</v>
      </c>
      <c r="C147" s="198" t="s">
        <v>754</v>
      </c>
      <c r="D147" s="131" t="s">
        <v>748</v>
      </c>
      <c r="E147" s="132" t="s">
        <v>553</v>
      </c>
      <c r="F147" s="63">
        <v>0</v>
      </c>
      <c r="G147" s="63">
        <v>281589055</v>
      </c>
      <c r="H147" s="63">
        <v>-80273</v>
      </c>
      <c r="I147" s="63">
        <v>-1933153</v>
      </c>
      <c r="J147" s="63">
        <v>8798000</v>
      </c>
      <c r="K147" s="63">
        <v>-12350479</v>
      </c>
      <c r="L147" s="63">
        <v>276023150</v>
      </c>
      <c r="M147" s="63">
        <v>0</v>
      </c>
      <c r="N147" s="63">
        <v>0</v>
      </c>
      <c r="O147" s="63">
        <v>0</v>
      </c>
      <c r="P147" s="63">
        <v>0</v>
      </c>
      <c r="Q147" s="63">
        <v>0</v>
      </c>
      <c r="R147" s="63">
        <v>-137706907</v>
      </c>
      <c r="S147" s="63">
        <v>-55082763</v>
      </c>
      <c r="T147" s="63">
        <v>-82624144</v>
      </c>
      <c r="U147" s="63">
        <v>-609336</v>
      </c>
      <c r="V147" s="63">
        <v>0</v>
      </c>
      <c r="W147" s="63">
        <v>0</v>
      </c>
      <c r="X147" s="63">
        <v>-276023150</v>
      </c>
      <c r="Y147" s="63">
        <v>0</v>
      </c>
      <c r="Z147" s="63">
        <v>0</v>
      </c>
      <c r="AB147" s="189"/>
    </row>
    <row r="148" spans="1:28" ht="12.75" x14ac:dyDescent="0.2">
      <c r="A148" s="90">
        <v>141</v>
      </c>
      <c r="B148" s="129" t="s">
        <v>155</v>
      </c>
      <c r="C148" s="198" t="s">
        <v>742</v>
      </c>
      <c r="D148" s="131" t="s">
        <v>745</v>
      </c>
      <c r="E148" s="132" t="s">
        <v>154</v>
      </c>
      <c r="F148" s="63">
        <v>-217428</v>
      </c>
      <c r="G148" s="63">
        <v>32332741</v>
      </c>
      <c r="H148" s="63">
        <v>0</v>
      </c>
      <c r="I148" s="63">
        <v>-46186</v>
      </c>
      <c r="J148" s="63">
        <v>545248</v>
      </c>
      <c r="K148" s="63">
        <v>-1466455</v>
      </c>
      <c r="L148" s="63">
        <v>31365348</v>
      </c>
      <c r="M148" s="63">
        <v>0</v>
      </c>
      <c r="N148" s="63">
        <v>0</v>
      </c>
      <c r="O148" s="63">
        <v>0</v>
      </c>
      <c r="P148" s="63">
        <v>0</v>
      </c>
      <c r="Q148" s="63">
        <v>-58224</v>
      </c>
      <c r="R148" s="63">
        <v>-15752639</v>
      </c>
      <c r="S148" s="63">
        <v>-3150528</v>
      </c>
      <c r="T148" s="63">
        <v>-12602112</v>
      </c>
      <c r="U148" s="63">
        <v>-189368</v>
      </c>
      <c r="V148" s="63">
        <v>-139257</v>
      </c>
      <c r="W148" s="63">
        <v>-551562</v>
      </c>
      <c r="X148" s="63">
        <v>-32443690</v>
      </c>
      <c r="Y148" s="63">
        <v>0</v>
      </c>
      <c r="Z148" s="63">
        <v>-1295770</v>
      </c>
      <c r="AB148" s="189"/>
    </row>
    <row r="149" spans="1:28" ht="12.75" x14ac:dyDescent="0.2">
      <c r="A149" s="90">
        <v>142</v>
      </c>
      <c r="B149" s="129" t="s">
        <v>156</v>
      </c>
      <c r="C149" s="198" t="s">
        <v>742</v>
      </c>
      <c r="D149" s="131" t="s">
        <v>746</v>
      </c>
      <c r="E149" s="132" t="s">
        <v>758</v>
      </c>
      <c r="F149" s="63">
        <v>-3893161</v>
      </c>
      <c r="G149" s="63">
        <v>45423472</v>
      </c>
      <c r="H149" s="63">
        <v>0</v>
      </c>
      <c r="I149" s="63">
        <v>0</v>
      </c>
      <c r="J149" s="63">
        <v>3118732</v>
      </c>
      <c r="K149" s="63">
        <v>-638350</v>
      </c>
      <c r="L149" s="63">
        <v>47903854</v>
      </c>
      <c r="M149" s="63">
        <v>0</v>
      </c>
      <c r="N149" s="63">
        <v>0</v>
      </c>
      <c r="O149" s="63">
        <v>0</v>
      </c>
      <c r="P149" s="63">
        <v>0</v>
      </c>
      <c r="Q149" s="63">
        <v>-1707</v>
      </c>
      <c r="R149" s="63">
        <v>-21329871</v>
      </c>
      <c r="S149" s="63">
        <v>-4265974</v>
      </c>
      <c r="T149" s="63">
        <v>-17063897</v>
      </c>
      <c r="U149" s="63">
        <v>-771879</v>
      </c>
      <c r="V149" s="63">
        <v>-188756</v>
      </c>
      <c r="W149" s="63">
        <v>-2468610</v>
      </c>
      <c r="X149" s="63">
        <v>-46090694</v>
      </c>
      <c r="Y149" s="63">
        <v>0</v>
      </c>
      <c r="Z149" s="63">
        <v>-2080001</v>
      </c>
      <c r="AB149" s="189"/>
    </row>
    <row r="150" spans="1:28" ht="12.75" x14ac:dyDescent="0.2">
      <c r="A150" s="90">
        <v>143</v>
      </c>
      <c r="B150" s="129" t="s">
        <v>157</v>
      </c>
      <c r="C150" s="198" t="s">
        <v>501</v>
      </c>
      <c r="D150" s="131" t="s">
        <v>750</v>
      </c>
      <c r="E150" s="132" t="s">
        <v>759</v>
      </c>
      <c r="F150" s="63">
        <v>-4206345</v>
      </c>
      <c r="G150" s="63">
        <v>93263000</v>
      </c>
      <c r="H150" s="63">
        <v>-900000</v>
      </c>
      <c r="I150" s="63">
        <v>-500000</v>
      </c>
      <c r="J150" s="63">
        <v>6000000</v>
      </c>
      <c r="K150" s="63">
        <v>-3000000</v>
      </c>
      <c r="L150" s="63">
        <v>94863000</v>
      </c>
      <c r="M150" s="63">
        <v>749668</v>
      </c>
      <c r="N150" s="63">
        <v>0</v>
      </c>
      <c r="O150" s="63">
        <v>0</v>
      </c>
      <c r="P150" s="63">
        <v>749668</v>
      </c>
      <c r="Q150" s="63">
        <v>-216645</v>
      </c>
      <c r="R150" s="63">
        <v>-45561079</v>
      </c>
      <c r="S150" s="63">
        <v>-911222</v>
      </c>
      <c r="T150" s="63">
        <v>-44649857</v>
      </c>
      <c r="U150" s="63">
        <v>0</v>
      </c>
      <c r="V150" s="63">
        <v>0</v>
      </c>
      <c r="W150" s="63">
        <v>0</v>
      </c>
      <c r="X150" s="63">
        <v>-91338803</v>
      </c>
      <c r="Y150" s="63">
        <v>0</v>
      </c>
      <c r="Z150" s="63">
        <v>67520</v>
      </c>
      <c r="AB150" s="189"/>
    </row>
    <row r="151" spans="1:28" ht="12.75" x14ac:dyDescent="0.2">
      <c r="A151" s="90">
        <v>144</v>
      </c>
      <c r="B151" s="129" t="s">
        <v>159</v>
      </c>
      <c r="C151" s="198" t="s">
        <v>747</v>
      </c>
      <c r="D151" s="131" t="s">
        <v>748</v>
      </c>
      <c r="E151" s="132" t="s">
        <v>158</v>
      </c>
      <c r="F151" s="63">
        <v>5077393</v>
      </c>
      <c r="G151" s="63">
        <v>82401000</v>
      </c>
      <c r="H151" s="63">
        <v>0</v>
      </c>
      <c r="I151" s="63">
        <v>-644329</v>
      </c>
      <c r="J151" s="63">
        <v>2660471</v>
      </c>
      <c r="K151" s="63">
        <v>-4615359</v>
      </c>
      <c r="L151" s="63">
        <v>79801783</v>
      </c>
      <c r="M151" s="63">
        <v>0</v>
      </c>
      <c r="N151" s="63">
        <v>0</v>
      </c>
      <c r="O151" s="63">
        <v>0</v>
      </c>
      <c r="P151" s="63">
        <v>0</v>
      </c>
      <c r="Q151" s="63">
        <v>-600000</v>
      </c>
      <c r="R151" s="63">
        <v>-40763734</v>
      </c>
      <c r="S151" s="63">
        <v>-16305494</v>
      </c>
      <c r="T151" s="63">
        <v>-24458240</v>
      </c>
      <c r="U151" s="63">
        <v>-254033</v>
      </c>
      <c r="V151" s="63">
        <v>0</v>
      </c>
      <c r="W151" s="63">
        <v>-8120302</v>
      </c>
      <c r="X151" s="63">
        <v>-90501803</v>
      </c>
      <c r="Y151" s="63">
        <v>0</v>
      </c>
      <c r="Z151" s="63">
        <v>-5622627</v>
      </c>
      <c r="AB151" s="189"/>
    </row>
    <row r="152" spans="1:28" ht="12.75" x14ac:dyDescent="0.2">
      <c r="A152" s="90">
        <v>145</v>
      </c>
      <c r="B152" s="129" t="s">
        <v>161</v>
      </c>
      <c r="C152" s="198" t="s">
        <v>749</v>
      </c>
      <c r="D152" s="131" t="s">
        <v>750</v>
      </c>
      <c r="E152" s="132" t="s">
        <v>160</v>
      </c>
      <c r="F152" s="63">
        <v>-10682001</v>
      </c>
      <c r="G152" s="63">
        <v>103797047</v>
      </c>
      <c r="H152" s="63">
        <v>-1112098</v>
      </c>
      <c r="I152" s="63">
        <v>-1092231</v>
      </c>
      <c r="J152" s="63">
        <v>0</v>
      </c>
      <c r="K152" s="63">
        <v>-3000000</v>
      </c>
      <c r="L152" s="63">
        <v>98592718</v>
      </c>
      <c r="M152" s="63">
        <v>0</v>
      </c>
      <c r="N152" s="63">
        <v>610587</v>
      </c>
      <c r="O152" s="63">
        <v>6166136</v>
      </c>
      <c r="P152" s="63">
        <v>6776723</v>
      </c>
      <c r="Q152" s="63">
        <v>-147486</v>
      </c>
      <c r="R152" s="63">
        <v>-51264380</v>
      </c>
      <c r="S152" s="63">
        <v>-1025288</v>
      </c>
      <c r="T152" s="63">
        <v>-50239092</v>
      </c>
      <c r="U152" s="63">
        <v>-610587</v>
      </c>
      <c r="V152" s="63">
        <v>0</v>
      </c>
      <c r="W152" s="63">
        <v>0</v>
      </c>
      <c r="X152" s="63">
        <v>-103286833</v>
      </c>
      <c r="Y152" s="63">
        <v>0</v>
      </c>
      <c r="Z152" s="63">
        <v>-8599393</v>
      </c>
      <c r="AB152" s="189"/>
    </row>
    <row r="153" spans="1:28" ht="12.75" x14ac:dyDescent="0.2">
      <c r="A153" s="90">
        <v>146</v>
      </c>
      <c r="B153" s="129" t="s">
        <v>163</v>
      </c>
      <c r="C153" s="198" t="s">
        <v>749</v>
      </c>
      <c r="D153" s="131" t="s">
        <v>744</v>
      </c>
      <c r="E153" s="132" t="s">
        <v>162</v>
      </c>
      <c r="F153" s="63">
        <v>-12664778</v>
      </c>
      <c r="G153" s="63">
        <v>46173420</v>
      </c>
      <c r="H153" s="63">
        <v>0</v>
      </c>
      <c r="I153" s="63">
        <v>-650000</v>
      </c>
      <c r="J153" s="63">
        <v>0</v>
      </c>
      <c r="K153" s="63">
        <v>-2508641</v>
      </c>
      <c r="L153" s="63">
        <v>43014779</v>
      </c>
      <c r="M153" s="63">
        <v>94609</v>
      </c>
      <c r="N153" s="63">
        <v>0</v>
      </c>
      <c r="O153" s="63">
        <v>0</v>
      </c>
      <c r="P153" s="63">
        <v>94609</v>
      </c>
      <c r="Q153" s="63">
        <v>0</v>
      </c>
      <c r="R153" s="63">
        <v>-20494480</v>
      </c>
      <c r="S153" s="63">
        <v>-409890</v>
      </c>
      <c r="T153" s="63">
        <v>-20084590</v>
      </c>
      <c r="U153" s="63">
        <v>-141291</v>
      </c>
      <c r="V153" s="63">
        <v>0</v>
      </c>
      <c r="W153" s="63">
        <v>0</v>
      </c>
      <c r="X153" s="63">
        <v>-41130251</v>
      </c>
      <c r="Y153" s="63">
        <v>0</v>
      </c>
      <c r="Z153" s="63">
        <v>-10685641</v>
      </c>
      <c r="AB153" s="189"/>
    </row>
    <row r="154" spans="1:28" ht="12.75" x14ac:dyDescent="0.2">
      <c r="A154" s="90">
        <v>147</v>
      </c>
      <c r="B154" s="129" t="s">
        <v>165</v>
      </c>
      <c r="C154" s="198" t="s">
        <v>754</v>
      </c>
      <c r="D154" s="131" t="s">
        <v>748</v>
      </c>
      <c r="E154" s="132" t="s">
        <v>164</v>
      </c>
      <c r="F154" s="63">
        <v>-12662000</v>
      </c>
      <c r="G154" s="63">
        <v>123545128</v>
      </c>
      <c r="H154" s="63">
        <v>0</v>
      </c>
      <c r="I154" s="63">
        <v>-800000</v>
      </c>
      <c r="J154" s="63">
        <v>0</v>
      </c>
      <c r="K154" s="63">
        <v>-6681522</v>
      </c>
      <c r="L154" s="63">
        <v>116063606</v>
      </c>
      <c r="M154" s="63">
        <v>1695110</v>
      </c>
      <c r="N154" s="63">
        <v>0</v>
      </c>
      <c r="O154" s="63">
        <v>3155774</v>
      </c>
      <c r="P154" s="63">
        <v>4850884</v>
      </c>
      <c r="Q154" s="63">
        <v>0</v>
      </c>
      <c r="R154" s="63">
        <v>-60851122</v>
      </c>
      <c r="S154" s="63">
        <v>-24340449</v>
      </c>
      <c r="T154" s="63">
        <v>-36510673</v>
      </c>
      <c r="U154" s="63">
        <v>-480869</v>
      </c>
      <c r="V154" s="63">
        <v>0</v>
      </c>
      <c r="W154" s="63">
        <v>0</v>
      </c>
      <c r="X154" s="63">
        <v>-122183113</v>
      </c>
      <c r="Y154" s="63">
        <v>0</v>
      </c>
      <c r="Z154" s="63">
        <v>-13930623</v>
      </c>
      <c r="AB154" s="189"/>
    </row>
    <row r="155" spans="1:28" ht="12.75" x14ac:dyDescent="0.2">
      <c r="A155" s="90">
        <v>148</v>
      </c>
      <c r="B155" s="129" t="s">
        <v>167</v>
      </c>
      <c r="C155" s="198" t="s">
        <v>742</v>
      </c>
      <c r="D155" s="131" t="s">
        <v>744</v>
      </c>
      <c r="E155" s="132" t="s">
        <v>166</v>
      </c>
      <c r="F155" s="63">
        <v>-5016319</v>
      </c>
      <c r="G155" s="63">
        <v>66312362</v>
      </c>
      <c r="H155" s="63">
        <v>-1127300</v>
      </c>
      <c r="I155" s="63">
        <v>0</v>
      </c>
      <c r="J155" s="63">
        <v>0</v>
      </c>
      <c r="K155" s="63">
        <v>18021446</v>
      </c>
      <c r="L155" s="63">
        <v>83206508</v>
      </c>
      <c r="M155" s="63">
        <v>0</v>
      </c>
      <c r="N155" s="63">
        <v>0</v>
      </c>
      <c r="O155" s="63">
        <v>0</v>
      </c>
      <c r="P155" s="63">
        <v>0</v>
      </c>
      <c r="Q155" s="63">
        <v>-23288183</v>
      </c>
      <c r="R155" s="63">
        <v>-30599854</v>
      </c>
      <c r="S155" s="63">
        <v>-6119971</v>
      </c>
      <c r="T155" s="63">
        <v>-24479883</v>
      </c>
      <c r="U155" s="63">
        <v>-227185</v>
      </c>
      <c r="V155" s="63">
        <v>0</v>
      </c>
      <c r="W155" s="63">
        <v>-7808208</v>
      </c>
      <c r="X155" s="63">
        <v>-92523284</v>
      </c>
      <c r="Y155" s="63">
        <v>0</v>
      </c>
      <c r="Z155" s="63">
        <v>-14333095</v>
      </c>
      <c r="AB155" s="189"/>
    </row>
    <row r="156" spans="1:28" ht="12.75" x14ac:dyDescent="0.2">
      <c r="A156" s="90">
        <v>149</v>
      </c>
      <c r="B156" s="129" t="s">
        <v>169</v>
      </c>
      <c r="C156" s="198" t="s">
        <v>749</v>
      </c>
      <c r="D156" s="131" t="s">
        <v>750</v>
      </c>
      <c r="E156" s="132" t="s">
        <v>168</v>
      </c>
      <c r="F156" s="63">
        <v>-59268735</v>
      </c>
      <c r="G156" s="63">
        <v>359570009</v>
      </c>
      <c r="H156" s="63">
        <v>0</v>
      </c>
      <c r="I156" s="63">
        <v>-4111312</v>
      </c>
      <c r="J156" s="63">
        <v>26826613</v>
      </c>
      <c r="K156" s="63">
        <v>-1372837</v>
      </c>
      <c r="L156" s="63">
        <v>380912473</v>
      </c>
      <c r="M156" s="63">
        <v>0</v>
      </c>
      <c r="N156" s="63">
        <v>0</v>
      </c>
      <c r="O156" s="63">
        <v>13118572</v>
      </c>
      <c r="P156" s="63">
        <v>13118572</v>
      </c>
      <c r="Q156" s="63">
        <v>-4378313</v>
      </c>
      <c r="R156" s="63">
        <v>-190449232</v>
      </c>
      <c r="S156" s="63">
        <v>-3813185</v>
      </c>
      <c r="T156" s="63">
        <v>-186846047</v>
      </c>
      <c r="U156" s="63">
        <v>-1452261</v>
      </c>
      <c r="V156" s="63">
        <v>0</v>
      </c>
      <c r="W156" s="63">
        <v>0</v>
      </c>
      <c r="X156" s="63">
        <v>-386939038</v>
      </c>
      <c r="Y156" s="63">
        <v>5166391</v>
      </c>
      <c r="Z156" s="63">
        <v>-47010337</v>
      </c>
      <c r="AB156" s="189" t="s">
        <v>768</v>
      </c>
    </row>
    <row r="157" spans="1:28" ht="12.75" x14ac:dyDescent="0.2">
      <c r="A157" s="90">
        <v>150</v>
      </c>
      <c r="B157" s="129" t="s">
        <v>170</v>
      </c>
      <c r="C157" s="198" t="s">
        <v>501</v>
      </c>
      <c r="D157" s="131" t="s">
        <v>745</v>
      </c>
      <c r="E157" s="132" t="s">
        <v>540</v>
      </c>
      <c r="F157" s="63">
        <v>-7917907</v>
      </c>
      <c r="G157" s="63">
        <v>102449702</v>
      </c>
      <c r="H157" s="63">
        <v>0</v>
      </c>
      <c r="I157" s="63">
        <v>-1161338</v>
      </c>
      <c r="J157" s="63">
        <v>1050000</v>
      </c>
      <c r="K157" s="63">
        <v>1966007</v>
      </c>
      <c r="L157" s="63">
        <v>104304371</v>
      </c>
      <c r="M157" s="63">
        <v>0</v>
      </c>
      <c r="N157" s="63">
        <v>0</v>
      </c>
      <c r="O157" s="63">
        <v>0</v>
      </c>
      <c r="P157" s="63">
        <v>0</v>
      </c>
      <c r="Q157" s="63">
        <v>-770626</v>
      </c>
      <c r="R157" s="63">
        <v>-51520689</v>
      </c>
      <c r="S157" s="63">
        <v>-1030414</v>
      </c>
      <c r="T157" s="63">
        <v>-50490275</v>
      </c>
      <c r="U157" s="63">
        <v>-492367</v>
      </c>
      <c r="V157" s="63">
        <v>0</v>
      </c>
      <c r="W157" s="63">
        <v>-2681000</v>
      </c>
      <c r="X157" s="63">
        <v>-106985371</v>
      </c>
      <c r="Y157" s="63">
        <v>0</v>
      </c>
      <c r="Z157" s="63">
        <v>-10598907</v>
      </c>
      <c r="AB157" s="189"/>
    </row>
    <row r="158" spans="1:28" ht="12.75" x14ac:dyDescent="0.2">
      <c r="A158" s="90">
        <v>151</v>
      </c>
      <c r="B158" s="129" t="s">
        <v>172</v>
      </c>
      <c r="C158" s="198" t="s">
        <v>742</v>
      </c>
      <c r="D158" s="131" t="s">
        <v>743</v>
      </c>
      <c r="E158" s="132" t="s">
        <v>171</v>
      </c>
      <c r="F158" s="63">
        <v>-613000</v>
      </c>
      <c r="G158" s="63">
        <v>24926890</v>
      </c>
      <c r="H158" s="63">
        <v>0</v>
      </c>
      <c r="I158" s="63">
        <v>-26540</v>
      </c>
      <c r="J158" s="63">
        <v>0</v>
      </c>
      <c r="K158" s="63">
        <v>-690000</v>
      </c>
      <c r="L158" s="63">
        <v>24210350</v>
      </c>
      <c r="M158" s="63">
        <v>0</v>
      </c>
      <c r="N158" s="63">
        <v>0</v>
      </c>
      <c r="O158" s="63">
        <v>0</v>
      </c>
      <c r="P158" s="63">
        <v>0</v>
      </c>
      <c r="Q158" s="63">
        <v>0</v>
      </c>
      <c r="R158" s="63">
        <v>-12533041</v>
      </c>
      <c r="S158" s="63">
        <v>-2506608</v>
      </c>
      <c r="T158" s="63">
        <v>-10026433</v>
      </c>
      <c r="U158" s="63">
        <v>-130673</v>
      </c>
      <c r="V158" s="63">
        <v>0</v>
      </c>
      <c r="W158" s="63">
        <v>0</v>
      </c>
      <c r="X158" s="63">
        <v>-25196755</v>
      </c>
      <c r="Y158" s="63">
        <v>0</v>
      </c>
      <c r="Z158" s="63">
        <v>-1599405</v>
      </c>
      <c r="AB158" s="189"/>
    </row>
    <row r="159" spans="1:28" ht="12.75" x14ac:dyDescent="0.2">
      <c r="A159" s="90">
        <v>152</v>
      </c>
      <c r="B159" s="129" t="s">
        <v>174</v>
      </c>
      <c r="C159" s="198" t="s">
        <v>754</v>
      </c>
      <c r="D159" s="131" t="s">
        <v>748</v>
      </c>
      <c r="E159" s="132" t="s">
        <v>173</v>
      </c>
      <c r="F159" s="63">
        <v>-2289218</v>
      </c>
      <c r="G159" s="63">
        <v>54621504</v>
      </c>
      <c r="H159" s="63">
        <v>-695265</v>
      </c>
      <c r="I159" s="63">
        <v>-748000</v>
      </c>
      <c r="J159" s="63">
        <v>0</v>
      </c>
      <c r="K159" s="63">
        <v>-555000</v>
      </c>
      <c r="L159" s="63">
        <v>52623239</v>
      </c>
      <c r="M159" s="63">
        <v>336475</v>
      </c>
      <c r="N159" s="63">
        <v>0</v>
      </c>
      <c r="O159" s="63">
        <v>0</v>
      </c>
      <c r="P159" s="63">
        <v>336475</v>
      </c>
      <c r="Q159" s="63">
        <v>0</v>
      </c>
      <c r="R159" s="63">
        <v>-26616487</v>
      </c>
      <c r="S159" s="63">
        <v>-10646595</v>
      </c>
      <c r="T159" s="63">
        <v>-15969893</v>
      </c>
      <c r="U159" s="63">
        <v>-310399</v>
      </c>
      <c r="V159" s="63">
        <v>0</v>
      </c>
      <c r="W159" s="63">
        <v>-1607758</v>
      </c>
      <c r="X159" s="63">
        <v>-55151132</v>
      </c>
      <c r="Y159" s="63">
        <v>0</v>
      </c>
      <c r="Z159" s="63">
        <v>-4480636</v>
      </c>
      <c r="AB159" s="189"/>
    </row>
    <row r="160" spans="1:28" ht="12.75" x14ac:dyDescent="0.2">
      <c r="A160" s="90">
        <v>153</v>
      </c>
      <c r="B160" s="129" t="s">
        <v>176</v>
      </c>
      <c r="C160" s="198" t="s">
        <v>742</v>
      </c>
      <c r="D160" s="131" t="s">
        <v>752</v>
      </c>
      <c r="E160" s="132" t="s">
        <v>175</v>
      </c>
      <c r="F160" s="63">
        <v>-1422853</v>
      </c>
      <c r="G160" s="63">
        <v>33633716</v>
      </c>
      <c r="H160" s="63">
        <v>0</v>
      </c>
      <c r="I160" s="63">
        <v>-321000</v>
      </c>
      <c r="J160" s="63">
        <v>0</v>
      </c>
      <c r="K160" s="63">
        <v>-320174</v>
      </c>
      <c r="L160" s="63">
        <v>32992542</v>
      </c>
      <c r="M160" s="63">
        <v>0</v>
      </c>
      <c r="N160" s="63">
        <v>0</v>
      </c>
      <c r="O160" s="63">
        <v>0</v>
      </c>
      <c r="P160" s="63">
        <v>0</v>
      </c>
      <c r="Q160" s="63">
        <v>-7377</v>
      </c>
      <c r="R160" s="63">
        <v>-16278673</v>
      </c>
      <c r="S160" s="63">
        <v>-3255735</v>
      </c>
      <c r="T160" s="63">
        <v>-13022938</v>
      </c>
      <c r="U160" s="63">
        <v>-124275</v>
      </c>
      <c r="V160" s="63">
        <v>0</v>
      </c>
      <c r="W160" s="63">
        <v>-344298</v>
      </c>
      <c r="X160" s="63">
        <v>-33033296</v>
      </c>
      <c r="Y160" s="63">
        <v>0</v>
      </c>
      <c r="Z160" s="63">
        <v>-1463607</v>
      </c>
      <c r="AB160" s="189"/>
    </row>
    <row r="161" spans="1:28" s="246" customFormat="1" ht="18" x14ac:dyDescent="0.25">
      <c r="A161" s="244">
        <v>154</v>
      </c>
      <c r="B161" s="243" t="s">
        <v>178</v>
      </c>
      <c r="C161" s="198" t="s">
        <v>742</v>
      </c>
      <c r="D161" s="245" t="s">
        <v>745</v>
      </c>
      <c r="E161" s="132" t="s">
        <v>809</v>
      </c>
      <c r="F161" s="63">
        <v>-3267010</v>
      </c>
      <c r="G161" s="63">
        <v>43020396</v>
      </c>
      <c r="H161" s="63">
        <v>0</v>
      </c>
      <c r="I161" s="63">
        <v>-250000</v>
      </c>
      <c r="J161" s="63">
        <v>160270</v>
      </c>
      <c r="K161" s="63">
        <v>-3170636</v>
      </c>
      <c r="L161" s="63">
        <v>39760030</v>
      </c>
      <c r="M161" s="63">
        <v>0</v>
      </c>
      <c r="N161" s="63">
        <v>0</v>
      </c>
      <c r="O161" s="63">
        <v>1830423</v>
      </c>
      <c r="P161" s="63">
        <v>1830423</v>
      </c>
      <c r="Q161" s="63">
        <v>-108380</v>
      </c>
      <c r="R161" s="63">
        <v>-21166377</v>
      </c>
      <c r="S161" s="63">
        <v>-4233275</v>
      </c>
      <c r="T161" s="63">
        <v>-16933102</v>
      </c>
      <c r="U161" s="63">
        <v>-148989</v>
      </c>
      <c r="V161" s="63">
        <v>0</v>
      </c>
      <c r="W161" s="63">
        <v>0</v>
      </c>
      <c r="X161" s="63">
        <v>-42590123</v>
      </c>
      <c r="Y161" s="63">
        <v>800439</v>
      </c>
      <c r="Z161" s="63">
        <v>-3466241</v>
      </c>
      <c r="AB161" s="189" t="s">
        <v>768</v>
      </c>
    </row>
    <row r="162" spans="1:28" ht="12.75" x14ac:dyDescent="0.2">
      <c r="A162" s="90">
        <v>155</v>
      </c>
      <c r="B162" s="129" t="s">
        <v>180</v>
      </c>
      <c r="C162" s="198" t="s">
        <v>749</v>
      </c>
      <c r="D162" s="131" t="s">
        <v>744</v>
      </c>
      <c r="E162" s="132" t="s">
        <v>179</v>
      </c>
      <c r="F162" s="63">
        <v>-25064523</v>
      </c>
      <c r="G162" s="63">
        <v>182071308</v>
      </c>
      <c r="H162" s="63">
        <v>0</v>
      </c>
      <c r="I162" s="63">
        <v>-5019589</v>
      </c>
      <c r="J162" s="63">
        <v>14103724</v>
      </c>
      <c r="K162" s="63">
        <v>-12000000</v>
      </c>
      <c r="L162" s="63">
        <v>179155443</v>
      </c>
      <c r="M162" s="63">
        <v>0</v>
      </c>
      <c r="N162" s="63">
        <v>0</v>
      </c>
      <c r="O162" s="63">
        <v>15777707</v>
      </c>
      <c r="P162" s="63">
        <v>15777707</v>
      </c>
      <c r="Q162" s="63">
        <v>0</v>
      </c>
      <c r="R162" s="63">
        <v>-94689354</v>
      </c>
      <c r="S162" s="63">
        <v>-1900441</v>
      </c>
      <c r="T162" s="63">
        <v>-93454341</v>
      </c>
      <c r="U162" s="63">
        <v>-1111306</v>
      </c>
      <c r="V162" s="63">
        <v>0</v>
      </c>
      <c r="W162" s="63">
        <v>0</v>
      </c>
      <c r="X162" s="63">
        <v>-191155442</v>
      </c>
      <c r="Y162" s="63">
        <v>2861147</v>
      </c>
      <c r="Z162" s="63">
        <v>-18425668</v>
      </c>
      <c r="AB162" s="189" t="s">
        <v>768</v>
      </c>
    </row>
    <row r="163" spans="1:28" ht="12.75" x14ac:dyDescent="0.2">
      <c r="A163" s="90">
        <v>156</v>
      </c>
      <c r="B163" s="129" t="s">
        <v>181</v>
      </c>
      <c r="C163" s="198" t="s">
        <v>501</v>
      </c>
      <c r="D163" s="131" t="s">
        <v>746</v>
      </c>
      <c r="E163" s="132" t="s">
        <v>504</v>
      </c>
      <c r="F163" s="63">
        <v>2126461</v>
      </c>
      <c r="G163" s="63">
        <v>69115200</v>
      </c>
      <c r="H163" s="63">
        <v>0</v>
      </c>
      <c r="I163" s="63">
        <v>0</v>
      </c>
      <c r="J163" s="63">
        <v>0</v>
      </c>
      <c r="K163" s="63">
        <v>-1068700</v>
      </c>
      <c r="L163" s="63">
        <v>68046500</v>
      </c>
      <c r="M163" s="63">
        <v>28237</v>
      </c>
      <c r="N163" s="63">
        <v>0</v>
      </c>
      <c r="O163" s="63">
        <v>0</v>
      </c>
      <c r="P163" s="63">
        <v>28237</v>
      </c>
      <c r="Q163" s="63">
        <v>0</v>
      </c>
      <c r="R163" s="63">
        <v>-33197062</v>
      </c>
      <c r="S163" s="63">
        <v>-663941</v>
      </c>
      <c r="T163" s="63">
        <v>-32533121</v>
      </c>
      <c r="U163" s="63">
        <v>-259684</v>
      </c>
      <c r="V163" s="63">
        <v>0</v>
      </c>
      <c r="W163" s="63">
        <v>-2672986</v>
      </c>
      <c r="X163" s="63">
        <v>-69326794</v>
      </c>
      <c r="Y163" s="63">
        <v>0</v>
      </c>
      <c r="Z163" s="63">
        <v>874404</v>
      </c>
      <c r="AB163" s="189"/>
    </row>
    <row r="164" spans="1:28" ht="12.75" x14ac:dyDescent="0.2">
      <c r="A164" s="90">
        <v>157</v>
      </c>
      <c r="B164" s="129" t="s">
        <v>183</v>
      </c>
      <c r="C164" s="198" t="s">
        <v>742</v>
      </c>
      <c r="D164" s="131" t="s">
        <v>743</v>
      </c>
      <c r="E164" s="132" t="s">
        <v>182</v>
      </c>
      <c r="F164" s="63">
        <v>613939</v>
      </c>
      <c r="G164" s="63">
        <v>59812571</v>
      </c>
      <c r="H164" s="63">
        <v>0</v>
      </c>
      <c r="I164" s="63">
        <v>0</v>
      </c>
      <c r="J164" s="63">
        <v>0</v>
      </c>
      <c r="K164" s="63">
        <v>0</v>
      </c>
      <c r="L164" s="63">
        <v>59812571</v>
      </c>
      <c r="M164" s="63">
        <v>23670</v>
      </c>
      <c r="N164" s="63">
        <v>0</v>
      </c>
      <c r="O164" s="63">
        <v>0</v>
      </c>
      <c r="P164" s="63">
        <v>23670</v>
      </c>
      <c r="Q164" s="63">
        <v>-284239</v>
      </c>
      <c r="R164" s="63">
        <v>-29262537</v>
      </c>
      <c r="S164" s="63">
        <v>-5852508</v>
      </c>
      <c r="T164" s="63">
        <v>-23410030</v>
      </c>
      <c r="U164" s="63">
        <v>-206271</v>
      </c>
      <c r="V164" s="63">
        <v>0</v>
      </c>
      <c r="W164" s="63">
        <v>0</v>
      </c>
      <c r="X164" s="63">
        <v>-59015585</v>
      </c>
      <c r="Y164" s="63">
        <v>1103137</v>
      </c>
      <c r="Z164" s="63">
        <v>2537732</v>
      </c>
      <c r="AB164" s="189" t="s">
        <v>768</v>
      </c>
    </row>
    <row r="165" spans="1:28" ht="12.75" x14ac:dyDescent="0.2">
      <c r="A165" s="90">
        <v>158</v>
      </c>
      <c r="B165" s="129" t="s">
        <v>185</v>
      </c>
      <c r="C165" s="198" t="s">
        <v>742</v>
      </c>
      <c r="D165" s="131" t="s">
        <v>746</v>
      </c>
      <c r="E165" s="132" t="s">
        <v>184</v>
      </c>
      <c r="F165" s="63">
        <v>-541831</v>
      </c>
      <c r="G165" s="63">
        <v>14349496</v>
      </c>
      <c r="H165" s="63">
        <v>-39324</v>
      </c>
      <c r="I165" s="63">
        <v>0</v>
      </c>
      <c r="J165" s="63">
        <v>651639</v>
      </c>
      <c r="K165" s="63">
        <v>220239</v>
      </c>
      <c r="L165" s="63">
        <v>15182050</v>
      </c>
      <c r="M165" s="63">
        <v>0</v>
      </c>
      <c r="N165" s="63">
        <v>0</v>
      </c>
      <c r="O165" s="63">
        <v>0</v>
      </c>
      <c r="P165" s="63">
        <v>0</v>
      </c>
      <c r="Q165" s="63">
        <v>0</v>
      </c>
      <c r="R165" s="63">
        <v>-6644949</v>
      </c>
      <c r="S165" s="63">
        <v>-1328990</v>
      </c>
      <c r="T165" s="63">
        <v>-5315959</v>
      </c>
      <c r="U165" s="63">
        <v>-573726</v>
      </c>
      <c r="V165" s="63">
        <v>0</v>
      </c>
      <c r="W165" s="63">
        <v>-96786</v>
      </c>
      <c r="X165" s="63">
        <v>-13960410</v>
      </c>
      <c r="Y165" s="63">
        <v>0</v>
      </c>
      <c r="Z165" s="63">
        <v>679809</v>
      </c>
      <c r="AB165" s="189"/>
    </row>
    <row r="166" spans="1:28" ht="12.75" x14ac:dyDescent="0.2">
      <c r="A166" s="90">
        <v>159</v>
      </c>
      <c r="B166" s="129" t="s">
        <v>186</v>
      </c>
      <c r="C166" s="198" t="s">
        <v>742</v>
      </c>
      <c r="D166" s="131" t="s">
        <v>752</v>
      </c>
      <c r="E166" s="132" t="s">
        <v>766</v>
      </c>
      <c r="F166" s="63">
        <v>-5307104</v>
      </c>
      <c r="G166" s="63">
        <v>12631964</v>
      </c>
      <c r="H166" s="63">
        <v>-155000</v>
      </c>
      <c r="I166" s="63">
        <v>0</v>
      </c>
      <c r="J166" s="63">
        <v>2224845</v>
      </c>
      <c r="K166" s="63">
        <v>-1191635</v>
      </c>
      <c r="L166" s="63">
        <v>13510174</v>
      </c>
      <c r="M166" s="63">
        <v>0</v>
      </c>
      <c r="N166" s="63">
        <v>0</v>
      </c>
      <c r="O166" s="63">
        <v>758217</v>
      </c>
      <c r="P166" s="63">
        <v>758217</v>
      </c>
      <c r="Q166" s="63">
        <v>0</v>
      </c>
      <c r="R166" s="63">
        <v>-7535778</v>
      </c>
      <c r="S166" s="63">
        <v>-1507156</v>
      </c>
      <c r="T166" s="63">
        <v>-6028623</v>
      </c>
      <c r="U166" s="63">
        <v>0</v>
      </c>
      <c r="V166" s="63">
        <v>0</v>
      </c>
      <c r="W166" s="63">
        <v>0</v>
      </c>
      <c r="X166" s="63">
        <v>-15071557</v>
      </c>
      <c r="Y166" s="63">
        <v>91858</v>
      </c>
      <c r="Z166" s="63">
        <v>-6018412</v>
      </c>
      <c r="AB166" s="189" t="s">
        <v>768</v>
      </c>
    </row>
    <row r="167" spans="1:28" ht="12.75" x14ac:dyDescent="0.2">
      <c r="A167" s="90">
        <v>160</v>
      </c>
      <c r="B167" s="129" t="s">
        <v>188</v>
      </c>
      <c r="C167" s="198" t="s">
        <v>749</v>
      </c>
      <c r="D167" s="131" t="s">
        <v>744</v>
      </c>
      <c r="E167" s="132" t="s">
        <v>187</v>
      </c>
      <c r="F167" s="63">
        <v>-73655600</v>
      </c>
      <c r="G167" s="63">
        <v>329132647</v>
      </c>
      <c r="H167" s="63">
        <v>0</v>
      </c>
      <c r="I167" s="63">
        <v>-8715000</v>
      </c>
      <c r="J167" s="63">
        <v>27959353</v>
      </c>
      <c r="K167" s="63">
        <v>-13496000</v>
      </c>
      <c r="L167" s="63">
        <v>334881000</v>
      </c>
      <c r="M167" s="63">
        <v>3400000</v>
      </c>
      <c r="N167" s="63">
        <v>0</v>
      </c>
      <c r="O167" s="63">
        <v>55452000</v>
      </c>
      <c r="P167" s="63">
        <v>58852000</v>
      </c>
      <c r="Q167" s="63">
        <v>0</v>
      </c>
      <c r="R167" s="63">
        <v>-159509993</v>
      </c>
      <c r="S167" s="63">
        <v>-3190200</v>
      </c>
      <c r="T167" s="63">
        <v>-156319793</v>
      </c>
      <c r="U167" s="63">
        <v>-1120777</v>
      </c>
      <c r="V167" s="63">
        <v>0</v>
      </c>
      <c r="W167" s="63">
        <v>0</v>
      </c>
      <c r="X167" s="63">
        <v>-320140763</v>
      </c>
      <c r="Y167" s="63">
        <v>0</v>
      </c>
      <c r="Z167" s="63">
        <v>-63363</v>
      </c>
      <c r="AB167" s="189"/>
    </row>
    <row r="168" spans="1:28" ht="12.75" x14ac:dyDescent="0.2">
      <c r="A168" s="90">
        <v>161</v>
      </c>
      <c r="B168" s="129" t="s">
        <v>190</v>
      </c>
      <c r="C168" s="198" t="s">
        <v>742</v>
      </c>
      <c r="D168" s="131" t="s">
        <v>745</v>
      </c>
      <c r="E168" s="132" t="s">
        <v>189</v>
      </c>
      <c r="F168" s="63">
        <v>-4453304</v>
      </c>
      <c r="G168" s="63">
        <v>28849552</v>
      </c>
      <c r="H168" s="63">
        <v>-277925</v>
      </c>
      <c r="I168" s="63">
        <v>146145</v>
      </c>
      <c r="J168" s="63">
        <v>1917230</v>
      </c>
      <c r="K168" s="63">
        <v>-1671200</v>
      </c>
      <c r="L168" s="63">
        <v>28963802</v>
      </c>
      <c r="M168" s="63">
        <v>0</v>
      </c>
      <c r="N168" s="63">
        <v>0</v>
      </c>
      <c r="O168" s="63">
        <v>2535488</v>
      </c>
      <c r="P168" s="63">
        <v>2535488</v>
      </c>
      <c r="Q168" s="63">
        <v>-505870</v>
      </c>
      <c r="R168" s="63">
        <v>-14482952</v>
      </c>
      <c r="S168" s="63">
        <v>-2896590</v>
      </c>
      <c r="T168" s="63">
        <v>-11586362</v>
      </c>
      <c r="U168" s="63">
        <v>-128720</v>
      </c>
      <c r="V168" s="63">
        <v>0</v>
      </c>
      <c r="W168" s="63">
        <v>0</v>
      </c>
      <c r="X168" s="63">
        <v>-29600494</v>
      </c>
      <c r="Y168" s="63">
        <v>114924</v>
      </c>
      <c r="Z168" s="63">
        <v>-2439584</v>
      </c>
      <c r="AB168" s="189" t="s">
        <v>768</v>
      </c>
    </row>
    <row r="169" spans="1:28" ht="12.75" x14ac:dyDescent="0.2">
      <c r="A169" s="90">
        <v>162</v>
      </c>
      <c r="B169" s="129" t="s">
        <v>191</v>
      </c>
      <c r="C169" s="198" t="s">
        <v>501</v>
      </c>
      <c r="D169" s="131" t="s">
        <v>743</v>
      </c>
      <c r="E169" s="132" t="s">
        <v>536</v>
      </c>
      <c r="F169" s="63">
        <v>-12619210</v>
      </c>
      <c r="G169" s="63">
        <v>89705280</v>
      </c>
      <c r="H169" s="63">
        <v>0</v>
      </c>
      <c r="I169" s="63">
        <v>-1068886</v>
      </c>
      <c r="J169" s="63">
        <v>0</v>
      </c>
      <c r="K169" s="63">
        <v>4095047</v>
      </c>
      <c r="L169" s="63">
        <v>92731441</v>
      </c>
      <c r="M169" s="63">
        <v>0</v>
      </c>
      <c r="N169" s="63">
        <v>283782</v>
      </c>
      <c r="O169" s="63">
        <v>225096</v>
      </c>
      <c r="P169" s="63">
        <v>508878</v>
      </c>
      <c r="Q169" s="63">
        <v>0</v>
      </c>
      <c r="R169" s="63">
        <v>-45539735</v>
      </c>
      <c r="S169" s="63">
        <v>-910975</v>
      </c>
      <c r="T169" s="63">
        <v>-44628941</v>
      </c>
      <c r="U169" s="63">
        <v>0</v>
      </c>
      <c r="V169" s="63">
        <v>0</v>
      </c>
      <c r="W169" s="63">
        <v>0</v>
      </c>
      <c r="X169" s="63">
        <v>-91079651</v>
      </c>
      <c r="Y169" s="63">
        <v>1621321</v>
      </c>
      <c r="Z169" s="63">
        <v>-8837221</v>
      </c>
      <c r="AB169" s="189" t="s">
        <v>768</v>
      </c>
    </row>
    <row r="170" spans="1:28" ht="12.75" x14ac:dyDescent="0.2">
      <c r="A170" s="90">
        <v>163</v>
      </c>
      <c r="B170" s="129" t="s">
        <v>193</v>
      </c>
      <c r="C170" s="198" t="s">
        <v>742</v>
      </c>
      <c r="D170" s="131" t="s">
        <v>745</v>
      </c>
      <c r="E170" s="132" t="s">
        <v>192</v>
      </c>
      <c r="F170" s="63">
        <v>53047</v>
      </c>
      <c r="G170" s="63">
        <v>13551772</v>
      </c>
      <c r="H170" s="63">
        <v>0</v>
      </c>
      <c r="I170" s="63">
        <v>-104514</v>
      </c>
      <c r="J170" s="63">
        <v>430000</v>
      </c>
      <c r="K170" s="63">
        <v>-483974</v>
      </c>
      <c r="L170" s="63">
        <v>13393284</v>
      </c>
      <c r="M170" s="63">
        <v>11072</v>
      </c>
      <c r="N170" s="63">
        <v>0</v>
      </c>
      <c r="O170" s="63">
        <v>0</v>
      </c>
      <c r="P170" s="63">
        <v>11072</v>
      </c>
      <c r="Q170" s="63">
        <v>-12200</v>
      </c>
      <c r="R170" s="63">
        <v>-6590705</v>
      </c>
      <c r="S170" s="63">
        <v>-1318141</v>
      </c>
      <c r="T170" s="63">
        <v>-5272564</v>
      </c>
      <c r="U170" s="63">
        <v>-62568</v>
      </c>
      <c r="V170" s="63">
        <v>-81750</v>
      </c>
      <c r="W170" s="63">
        <v>-300440</v>
      </c>
      <c r="X170" s="63">
        <v>-13638368</v>
      </c>
      <c r="Y170" s="63">
        <v>0</v>
      </c>
      <c r="Z170" s="63">
        <v>-180965</v>
      </c>
      <c r="AB170" s="189"/>
    </row>
    <row r="171" spans="1:28" ht="12.75" x14ac:dyDescent="0.2">
      <c r="A171" s="90">
        <v>164</v>
      </c>
      <c r="B171" s="129" t="s">
        <v>195</v>
      </c>
      <c r="C171" s="198" t="s">
        <v>742</v>
      </c>
      <c r="D171" s="131" t="s">
        <v>751</v>
      </c>
      <c r="E171" s="132" t="s">
        <v>194</v>
      </c>
      <c r="F171" s="63">
        <v>-2652770</v>
      </c>
      <c r="G171" s="63">
        <v>32882139</v>
      </c>
      <c r="H171" s="63">
        <v>0</v>
      </c>
      <c r="I171" s="63">
        <v>-68998</v>
      </c>
      <c r="J171" s="63">
        <v>861999</v>
      </c>
      <c r="K171" s="63">
        <v>-2564372</v>
      </c>
      <c r="L171" s="63">
        <v>31110768</v>
      </c>
      <c r="M171" s="63">
        <v>486496</v>
      </c>
      <c r="N171" s="63">
        <v>0</v>
      </c>
      <c r="O171" s="63">
        <v>1793272</v>
      </c>
      <c r="P171" s="63">
        <v>2279768</v>
      </c>
      <c r="Q171" s="63">
        <v>0</v>
      </c>
      <c r="R171" s="63">
        <v>-16348844</v>
      </c>
      <c r="S171" s="63">
        <v>-3269769</v>
      </c>
      <c r="T171" s="63">
        <v>-13079075</v>
      </c>
      <c r="U171" s="63">
        <v>-164661</v>
      </c>
      <c r="V171" s="63">
        <v>-220938</v>
      </c>
      <c r="W171" s="63">
        <v>0</v>
      </c>
      <c r="X171" s="63">
        <v>-33083287</v>
      </c>
      <c r="Y171" s="63">
        <v>0</v>
      </c>
      <c r="Z171" s="63">
        <v>-2345521</v>
      </c>
      <c r="AB171" s="189"/>
    </row>
    <row r="172" spans="1:28" ht="12.75" x14ac:dyDescent="0.2">
      <c r="A172" s="90">
        <v>165</v>
      </c>
      <c r="B172" s="129" t="s">
        <v>197</v>
      </c>
      <c r="C172" s="198" t="s">
        <v>747</v>
      </c>
      <c r="D172" s="131" t="s">
        <v>748</v>
      </c>
      <c r="E172" s="132" t="s">
        <v>196</v>
      </c>
      <c r="F172" s="63">
        <v>-6205401</v>
      </c>
      <c r="G172" s="63">
        <v>86061908</v>
      </c>
      <c r="H172" s="63">
        <v>0</v>
      </c>
      <c r="I172" s="63">
        <v>-408877</v>
      </c>
      <c r="J172" s="63">
        <v>3589000</v>
      </c>
      <c r="K172" s="63">
        <v>-6022000</v>
      </c>
      <c r="L172" s="63">
        <v>83220031</v>
      </c>
      <c r="M172" s="63">
        <v>452217</v>
      </c>
      <c r="N172" s="63">
        <v>0</v>
      </c>
      <c r="O172" s="63">
        <v>1309337</v>
      </c>
      <c r="P172" s="63">
        <v>1761554</v>
      </c>
      <c r="Q172" s="63">
        <v>-134524</v>
      </c>
      <c r="R172" s="63">
        <v>-41894896</v>
      </c>
      <c r="S172" s="63">
        <v>-16757995</v>
      </c>
      <c r="T172" s="63">
        <v>-25452047</v>
      </c>
      <c r="U172" s="63">
        <v>-272612</v>
      </c>
      <c r="V172" s="63">
        <v>0</v>
      </c>
      <c r="W172" s="63">
        <v>0</v>
      </c>
      <c r="X172" s="63">
        <v>-84512074</v>
      </c>
      <c r="Y172" s="63">
        <v>0</v>
      </c>
      <c r="Z172" s="63">
        <v>-5735890</v>
      </c>
      <c r="AB172" s="189"/>
    </row>
    <row r="173" spans="1:28" ht="12.75" x14ac:dyDescent="0.2">
      <c r="A173" s="90">
        <v>166</v>
      </c>
      <c r="B173" s="129" t="s">
        <v>199</v>
      </c>
      <c r="C173" s="198" t="s">
        <v>742</v>
      </c>
      <c r="D173" s="131" t="s">
        <v>751</v>
      </c>
      <c r="E173" s="132" t="s">
        <v>198</v>
      </c>
      <c r="F173" s="63">
        <v>43917</v>
      </c>
      <c r="G173" s="63">
        <v>15596137</v>
      </c>
      <c r="H173" s="63">
        <v>-100000</v>
      </c>
      <c r="I173" s="63">
        <v>-30000</v>
      </c>
      <c r="J173" s="63">
        <v>0</v>
      </c>
      <c r="K173" s="63">
        <v>-1300000</v>
      </c>
      <c r="L173" s="63">
        <v>14166137</v>
      </c>
      <c r="M173" s="63">
        <v>13778</v>
      </c>
      <c r="N173" s="63">
        <v>0</v>
      </c>
      <c r="O173" s="63">
        <v>0</v>
      </c>
      <c r="P173" s="63">
        <v>13778</v>
      </c>
      <c r="Q173" s="63">
        <v>-174736</v>
      </c>
      <c r="R173" s="63">
        <v>-7381876</v>
      </c>
      <c r="S173" s="63">
        <v>-1476376</v>
      </c>
      <c r="T173" s="63">
        <v>-5905502</v>
      </c>
      <c r="U173" s="63">
        <v>-169221</v>
      </c>
      <c r="V173" s="63">
        <v>-45173</v>
      </c>
      <c r="W173" s="63">
        <v>-411952</v>
      </c>
      <c r="X173" s="63">
        <v>-15564836</v>
      </c>
      <c r="Y173" s="63">
        <v>0</v>
      </c>
      <c r="Z173" s="63">
        <v>-1341004</v>
      </c>
      <c r="AB173" s="189"/>
    </row>
    <row r="174" spans="1:28" ht="12.75" x14ac:dyDescent="0.2">
      <c r="A174" s="90">
        <v>167</v>
      </c>
      <c r="B174" s="129" t="s">
        <v>201</v>
      </c>
      <c r="C174" s="198" t="s">
        <v>742</v>
      </c>
      <c r="D174" s="131" t="s">
        <v>746</v>
      </c>
      <c r="E174" s="132" t="s">
        <v>200</v>
      </c>
      <c r="F174" s="63">
        <v>-1535369</v>
      </c>
      <c r="G174" s="63">
        <v>22923714</v>
      </c>
      <c r="H174" s="63">
        <v>0</v>
      </c>
      <c r="I174" s="63">
        <v>-181572</v>
      </c>
      <c r="J174" s="63">
        <v>48726</v>
      </c>
      <c r="K174" s="63">
        <v>-584971</v>
      </c>
      <c r="L174" s="63">
        <v>22205897</v>
      </c>
      <c r="M174" s="63">
        <v>0</v>
      </c>
      <c r="N174" s="63">
        <v>0</v>
      </c>
      <c r="O174" s="63">
        <v>1200050</v>
      </c>
      <c r="P174" s="63">
        <v>1200050</v>
      </c>
      <c r="Q174" s="63">
        <v>-10218</v>
      </c>
      <c r="R174" s="63">
        <v>-11038023</v>
      </c>
      <c r="S174" s="63">
        <v>-2207605</v>
      </c>
      <c r="T174" s="63">
        <v>-8830419</v>
      </c>
      <c r="U174" s="63">
        <v>-427742</v>
      </c>
      <c r="V174" s="63">
        <v>0</v>
      </c>
      <c r="W174" s="63">
        <v>0</v>
      </c>
      <c r="X174" s="63">
        <v>-22514007</v>
      </c>
      <c r="Y174" s="63">
        <v>0</v>
      </c>
      <c r="Z174" s="63">
        <v>-643429</v>
      </c>
      <c r="AB174" s="189"/>
    </row>
    <row r="175" spans="1:28" ht="12.75" x14ac:dyDescent="0.2">
      <c r="A175" s="90">
        <v>168</v>
      </c>
      <c r="B175" s="129" t="s">
        <v>203</v>
      </c>
      <c r="C175" s="198" t="s">
        <v>742</v>
      </c>
      <c r="D175" s="131" t="s">
        <v>743</v>
      </c>
      <c r="E175" s="132" t="s">
        <v>202</v>
      </c>
      <c r="F175" s="63">
        <v>-1317998</v>
      </c>
      <c r="G175" s="63">
        <v>43419931</v>
      </c>
      <c r="H175" s="63">
        <v>-160000</v>
      </c>
      <c r="I175" s="63">
        <v>-129069</v>
      </c>
      <c r="J175" s="63">
        <v>1106593</v>
      </c>
      <c r="K175" s="63">
        <v>-2335706</v>
      </c>
      <c r="L175" s="63">
        <v>41901749</v>
      </c>
      <c r="M175" s="63">
        <v>182959</v>
      </c>
      <c r="N175" s="63">
        <v>0</v>
      </c>
      <c r="O175" s="63">
        <v>677130</v>
      </c>
      <c r="P175" s="63">
        <v>860089</v>
      </c>
      <c r="Q175" s="63">
        <v>0</v>
      </c>
      <c r="R175" s="63">
        <v>-21506776</v>
      </c>
      <c r="S175" s="63">
        <v>-4301355</v>
      </c>
      <c r="T175" s="63">
        <v>-17205421</v>
      </c>
      <c r="U175" s="63">
        <v>-172866</v>
      </c>
      <c r="V175" s="63">
        <v>0</v>
      </c>
      <c r="W175" s="63">
        <v>0</v>
      </c>
      <c r="X175" s="63">
        <v>-43186418</v>
      </c>
      <c r="Y175" s="63">
        <v>0</v>
      </c>
      <c r="Z175" s="63">
        <v>-1742578</v>
      </c>
      <c r="AB175" s="189"/>
    </row>
    <row r="176" spans="1:28" ht="12.75" x14ac:dyDescent="0.2">
      <c r="A176" s="90">
        <v>169</v>
      </c>
      <c r="B176" s="129" t="s">
        <v>204</v>
      </c>
      <c r="C176" s="198" t="s">
        <v>501</v>
      </c>
      <c r="D176" s="131" t="s">
        <v>755</v>
      </c>
      <c r="E176" s="132" t="s">
        <v>517</v>
      </c>
      <c r="F176" s="63">
        <v>-2909211</v>
      </c>
      <c r="G176" s="63">
        <v>39076219</v>
      </c>
      <c r="H176" s="63">
        <v>0</v>
      </c>
      <c r="I176" s="63">
        <v>-819443</v>
      </c>
      <c r="J176" s="63">
        <v>4000000</v>
      </c>
      <c r="K176" s="63">
        <v>0</v>
      </c>
      <c r="L176" s="63">
        <v>42256776</v>
      </c>
      <c r="M176" s="63">
        <v>0</v>
      </c>
      <c r="N176" s="63">
        <v>0</v>
      </c>
      <c r="O176" s="63">
        <v>103634</v>
      </c>
      <c r="P176" s="63">
        <v>103634</v>
      </c>
      <c r="Q176" s="63">
        <v>-99451</v>
      </c>
      <c r="R176" s="63">
        <v>-20266361</v>
      </c>
      <c r="S176" s="63">
        <v>-405327</v>
      </c>
      <c r="T176" s="63">
        <v>-19861034</v>
      </c>
      <c r="U176" s="63">
        <v>-178921</v>
      </c>
      <c r="V176" s="63">
        <v>0</v>
      </c>
      <c r="W176" s="63">
        <v>0</v>
      </c>
      <c r="X176" s="63">
        <v>-40811094</v>
      </c>
      <c r="Y176" s="63">
        <v>0</v>
      </c>
      <c r="Z176" s="63">
        <v>-1359895</v>
      </c>
      <c r="AB176" s="189"/>
    </row>
    <row r="177" spans="1:28" ht="12.75" x14ac:dyDescent="0.2">
      <c r="A177" s="90">
        <v>170</v>
      </c>
      <c r="B177" s="129" t="s">
        <v>205</v>
      </c>
      <c r="C177" s="198" t="s">
        <v>501</v>
      </c>
      <c r="D177" s="131" t="s">
        <v>743</v>
      </c>
      <c r="E177" s="132" t="s">
        <v>511</v>
      </c>
      <c r="F177" s="63">
        <v>-9639946</v>
      </c>
      <c r="G177" s="63">
        <v>166158460</v>
      </c>
      <c r="H177" s="63">
        <v>0</v>
      </c>
      <c r="I177" s="63">
        <v>400000</v>
      </c>
      <c r="J177" s="63">
        <v>5790460</v>
      </c>
      <c r="K177" s="63">
        <v>-13790520</v>
      </c>
      <c r="L177" s="63">
        <v>158558400</v>
      </c>
      <c r="M177" s="63">
        <v>0</v>
      </c>
      <c r="N177" s="63">
        <v>0</v>
      </c>
      <c r="O177" s="63">
        <v>0</v>
      </c>
      <c r="P177" s="63">
        <v>0</v>
      </c>
      <c r="Q177" s="63">
        <v>-1472532</v>
      </c>
      <c r="R177" s="63">
        <v>-77600990</v>
      </c>
      <c r="S177" s="63">
        <v>-1552020</v>
      </c>
      <c r="T177" s="63">
        <v>-76048970</v>
      </c>
      <c r="U177" s="63">
        <v>-376320</v>
      </c>
      <c r="V177" s="63">
        <v>0</v>
      </c>
      <c r="W177" s="63">
        <v>-3423040</v>
      </c>
      <c r="X177" s="63">
        <v>-160473872</v>
      </c>
      <c r="Y177" s="63">
        <v>0</v>
      </c>
      <c r="Z177" s="63">
        <v>-11555418</v>
      </c>
      <c r="AB177" s="189"/>
    </row>
    <row r="178" spans="1:28" ht="12.75" x14ac:dyDescent="0.2">
      <c r="A178" s="90">
        <v>171</v>
      </c>
      <c r="B178" s="129" t="s">
        <v>207</v>
      </c>
      <c r="C178" s="198" t="s">
        <v>742</v>
      </c>
      <c r="D178" s="131" t="s">
        <v>743</v>
      </c>
      <c r="E178" s="132" t="s">
        <v>206</v>
      </c>
      <c r="F178" s="63">
        <v>-2310169</v>
      </c>
      <c r="G178" s="63">
        <v>37986587</v>
      </c>
      <c r="H178" s="63">
        <v>0</v>
      </c>
      <c r="I178" s="63">
        <v>0</v>
      </c>
      <c r="J178" s="63">
        <v>1710000</v>
      </c>
      <c r="K178" s="63">
        <v>-960000</v>
      </c>
      <c r="L178" s="63">
        <v>38736587</v>
      </c>
      <c r="M178" s="63">
        <v>1711</v>
      </c>
      <c r="N178" s="63">
        <v>151601</v>
      </c>
      <c r="O178" s="63">
        <v>0</v>
      </c>
      <c r="P178" s="63">
        <v>153312</v>
      </c>
      <c r="Q178" s="63">
        <v>0</v>
      </c>
      <c r="R178" s="63">
        <v>-18936791</v>
      </c>
      <c r="S178" s="63">
        <v>-3787358</v>
      </c>
      <c r="T178" s="63">
        <v>-15149432</v>
      </c>
      <c r="U178" s="63">
        <v>-151601</v>
      </c>
      <c r="V178" s="63">
        <v>0</v>
      </c>
      <c r="W178" s="63">
        <v>-184442</v>
      </c>
      <c r="X178" s="63">
        <v>-38209624</v>
      </c>
      <c r="Y178" s="63">
        <v>0</v>
      </c>
      <c r="Z178" s="63">
        <v>-1629894</v>
      </c>
      <c r="AB178" s="189"/>
    </row>
    <row r="179" spans="1:28" ht="12.75" x14ac:dyDescent="0.2">
      <c r="A179" s="90">
        <v>172</v>
      </c>
      <c r="B179" s="129" t="s">
        <v>209</v>
      </c>
      <c r="C179" s="198" t="s">
        <v>742</v>
      </c>
      <c r="D179" s="131" t="s">
        <v>743</v>
      </c>
      <c r="E179" s="132" t="s">
        <v>208</v>
      </c>
      <c r="F179" s="63">
        <v>-583020</v>
      </c>
      <c r="G179" s="63">
        <v>63895093</v>
      </c>
      <c r="H179" s="63">
        <v>0</v>
      </c>
      <c r="I179" s="63">
        <v>-329000</v>
      </c>
      <c r="J179" s="63">
        <v>428456</v>
      </c>
      <c r="K179" s="63">
        <v>-2109549</v>
      </c>
      <c r="L179" s="63">
        <v>61885000</v>
      </c>
      <c r="M179" s="63">
        <v>1839140</v>
      </c>
      <c r="N179" s="63">
        <v>1972</v>
      </c>
      <c r="O179" s="63">
        <v>0</v>
      </c>
      <c r="P179" s="63">
        <v>1841112</v>
      </c>
      <c r="Q179" s="63">
        <v>0</v>
      </c>
      <c r="R179" s="63">
        <v>-31864492</v>
      </c>
      <c r="S179" s="63">
        <v>-6372898</v>
      </c>
      <c r="T179" s="63">
        <v>-25491593</v>
      </c>
      <c r="U179" s="63">
        <v>-299834</v>
      </c>
      <c r="V179" s="63">
        <v>0</v>
      </c>
      <c r="W179" s="63">
        <v>-40859</v>
      </c>
      <c r="X179" s="63">
        <v>-64069676</v>
      </c>
      <c r="Y179" s="63">
        <v>0</v>
      </c>
      <c r="Z179" s="63">
        <v>-926584</v>
      </c>
      <c r="AB179" s="189"/>
    </row>
    <row r="180" spans="1:28" ht="12.75" x14ac:dyDescent="0.2">
      <c r="A180" s="90">
        <v>173</v>
      </c>
      <c r="B180" s="129" t="s">
        <v>210</v>
      </c>
      <c r="C180" s="198" t="s">
        <v>742</v>
      </c>
      <c r="D180" s="131" t="s">
        <v>745</v>
      </c>
      <c r="E180" s="132" t="s">
        <v>546</v>
      </c>
      <c r="F180" s="63">
        <v>-2051707</v>
      </c>
      <c r="G180" s="63">
        <v>38970830</v>
      </c>
      <c r="H180" s="63">
        <v>-200000</v>
      </c>
      <c r="I180" s="63">
        <v>-250000</v>
      </c>
      <c r="J180" s="63">
        <v>800000</v>
      </c>
      <c r="K180" s="63">
        <v>-3500000</v>
      </c>
      <c r="L180" s="63">
        <v>35820830</v>
      </c>
      <c r="M180" s="63">
        <v>152339</v>
      </c>
      <c r="N180" s="63">
        <v>0</v>
      </c>
      <c r="O180" s="63">
        <v>705179</v>
      </c>
      <c r="P180" s="63">
        <v>857518</v>
      </c>
      <c r="Q180" s="63">
        <v>-3130</v>
      </c>
      <c r="R180" s="63">
        <v>-19531547</v>
      </c>
      <c r="S180" s="63">
        <v>-3906309</v>
      </c>
      <c r="T180" s="63">
        <v>-15625238</v>
      </c>
      <c r="U180" s="63">
        <v>-164151</v>
      </c>
      <c r="V180" s="63">
        <v>-80000</v>
      </c>
      <c r="W180" s="63">
        <v>0</v>
      </c>
      <c r="X180" s="63">
        <v>-39310375</v>
      </c>
      <c r="Y180" s="63">
        <v>0</v>
      </c>
      <c r="Z180" s="63">
        <v>-4683734</v>
      </c>
      <c r="AB180" s="189"/>
    </row>
    <row r="181" spans="1:28" ht="12.75" x14ac:dyDescent="0.2">
      <c r="A181" s="90">
        <v>174</v>
      </c>
      <c r="B181" s="129" t="s">
        <v>211</v>
      </c>
      <c r="C181" s="198" t="s">
        <v>749</v>
      </c>
      <c r="D181" s="131" t="s">
        <v>755</v>
      </c>
      <c r="E181" s="132" t="s">
        <v>760</v>
      </c>
      <c r="F181" s="63">
        <v>-13649725</v>
      </c>
      <c r="G181" s="63">
        <v>151489844</v>
      </c>
      <c r="H181" s="63">
        <v>0</v>
      </c>
      <c r="I181" s="63">
        <v>-2238375</v>
      </c>
      <c r="J181" s="63">
        <v>8508384</v>
      </c>
      <c r="K181" s="63">
        <v>-12911988</v>
      </c>
      <c r="L181" s="63">
        <v>144847865</v>
      </c>
      <c r="M181" s="63">
        <v>44543</v>
      </c>
      <c r="N181" s="63">
        <v>0</v>
      </c>
      <c r="O181" s="63">
        <v>790870</v>
      </c>
      <c r="P181" s="63">
        <v>835413</v>
      </c>
      <c r="Q181" s="63">
        <v>0</v>
      </c>
      <c r="R181" s="63">
        <v>-76301796</v>
      </c>
      <c r="S181" s="63">
        <v>-1526036</v>
      </c>
      <c r="T181" s="63">
        <v>-75535724</v>
      </c>
      <c r="U181" s="63">
        <v>-288714</v>
      </c>
      <c r="V181" s="63">
        <v>0</v>
      </c>
      <c r="W181" s="63">
        <v>0</v>
      </c>
      <c r="X181" s="63">
        <v>-153652270</v>
      </c>
      <c r="Y181" s="63">
        <v>2807179</v>
      </c>
      <c r="Z181" s="63">
        <v>-18811538</v>
      </c>
      <c r="AB181" s="189" t="s">
        <v>768</v>
      </c>
    </row>
    <row r="182" spans="1:28" ht="12.75" x14ac:dyDescent="0.2">
      <c r="A182" s="90">
        <v>175</v>
      </c>
      <c r="B182" s="129" t="s">
        <v>213</v>
      </c>
      <c r="C182" s="198" t="s">
        <v>742</v>
      </c>
      <c r="D182" s="131" t="s">
        <v>752</v>
      </c>
      <c r="E182" s="132" t="s">
        <v>212</v>
      </c>
      <c r="F182" s="63">
        <v>-2121824</v>
      </c>
      <c r="G182" s="63">
        <v>33647384</v>
      </c>
      <c r="H182" s="63">
        <v>-351575</v>
      </c>
      <c r="I182" s="63">
        <v>0</v>
      </c>
      <c r="J182" s="63">
        <v>1004019</v>
      </c>
      <c r="K182" s="63">
        <v>-2008038</v>
      </c>
      <c r="L182" s="63">
        <v>32291790</v>
      </c>
      <c r="M182" s="63">
        <v>0</v>
      </c>
      <c r="N182" s="63">
        <v>0</v>
      </c>
      <c r="O182" s="63">
        <v>2000708</v>
      </c>
      <c r="P182" s="63">
        <v>2000708</v>
      </c>
      <c r="Q182" s="63">
        <v>0</v>
      </c>
      <c r="R182" s="63">
        <v>-16430663</v>
      </c>
      <c r="S182" s="63">
        <v>-3286133</v>
      </c>
      <c r="T182" s="63">
        <v>-13144530</v>
      </c>
      <c r="U182" s="63">
        <v>0</v>
      </c>
      <c r="V182" s="63">
        <v>0</v>
      </c>
      <c r="W182" s="63">
        <v>0</v>
      </c>
      <c r="X182" s="63">
        <v>-32861326</v>
      </c>
      <c r="Y182" s="63">
        <v>0</v>
      </c>
      <c r="Z182" s="63">
        <v>-690652</v>
      </c>
      <c r="AB182" s="189"/>
    </row>
    <row r="183" spans="1:28" ht="12.75" x14ac:dyDescent="0.2">
      <c r="A183" s="90">
        <v>176</v>
      </c>
      <c r="B183" s="129" t="s">
        <v>215</v>
      </c>
      <c r="C183" s="198" t="s">
        <v>747</v>
      </c>
      <c r="D183" s="131" t="s">
        <v>748</v>
      </c>
      <c r="E183" s="132" t="s">
        <v>214</v>
      </c>
      <c r="F183" s="63">
        <v>-16506599</v>
      </c>
      <c r="G183" s="63">
        <v>130913105</v>
      </c>
      <c r="H183" s="63">
        <v>0</v>
      </c>
      <c r="I183" s="63">
        <v>-1426024</v>
      </c>
      <c r="J183" s="63">
        <v>8190000</v>
      </c>
      <c r="K183" s="63">
        <v>-9868000</v>
      </c>
      <c r="L183" s="63">
        <v>127809081</v>
      </c>
      <c r="M183" s="63">
        <v>0</v>
      </c>
      <c r="N183" s="63">
        <v>0</v>
      </c>
      <c r="O183" s="63">
        <v>5680822</v>
      </c>
      <c r="P183" s="63">
        <v>5680822</v>
      </c>
      <c r="Q183" s="63">
        <v>0</v>
      </c>
      <c r="R183" s="63">
        <v>-63068461</v>
      </c>
      <c r="S183" s="63">
        <v>-37947403</v>
      </c>
      <c r="T183" s="63">
        <v>-25298269</v>
      </c>
      <c r="U183" s="63">
        <v>-827921</v>
      </c>
      <c r="V183" s="63">
        <v>0</v>
      </c>
      <c r="W183" s="63">
        <v>0</v>
      </c>
      <c r="X183" s="63">
        <v>-127142054</v>
      </c>
      <c r="Y183" s="63">
        <v>0</v>
      </c>
      <c r="Z183" s="63">
        <v>-10158750</v>
      </c>
      <c r="AB183" s="189"/>
    </row>
    <row r="184" spans="1:28" ht="12.75" x14ac:dyDescent="0.2">
      <c r="A184" s="90">
        <v>177</v>
      </c>
      <c r="B184" s="129" t="s">
        <v>217</v>
      </c>
      <c r="C184" s="198" t="s">
        <v>742</v>
      </c>
      <c r="D184" s="131" t="s">
        <v>751</v>
      </c>
      <c r="E184" s="132" t="s">
        <v>216</v>
      </c>
      <c r="F184" s="63">
        <v>-1058249</v>
      </c>
      <c r="G184" s="63">
        <v>31598679</v>
      </c>
      <c r="H184" s="63">
        <v>0</v>
      </c>
      <c r="I184" s="63">
        <v>-160076</v>
      </c>
      <c r="J184" s="63">
        <v>1467294</v>
      </c>
      <c r="K184" s="63">
        <v>-2533295</v>
      </c>
      <c r="L184" s="63">
        <v>30372602</v>
      </c>
      <c r="M184" s="63">
        <v>626424</v>
      </c>
      <c r="N184" s="63">
        <v>0</v>
      </c>
      <c r="O184" s="63">
        <v>847282</v>
      </c>
      <c r="P184" s="63">
        <v>1473706</v>
      </c>
      <c r="Q184" s="63">
        <v>0</v>
      </c>
      <c r="R184" s="63">
        <v>-16113571</v>
      </c>
      <c r="S184" s="63">
        <v>-3222714</v>
      </c>
      <c r="T184" s="63">
        <v>-12890856</v>
      </c>
      <c r="U184" s="63">
        <v>-263252</v>
      </c>
      <c r="V184" s="63">
        <v>-114693</v>
      </c>
      <c r="W184" s="63">
        <v>0</v>
      </c>
      <c r="X184" s="63">
        <v>-32605086</v>
      </c>
      <c r="Y184" s="63">
        <v>0</v>
      </c>
      <c r="Z184" s="63">
        <v>-1817027</v>
      </c>
      <c r="AB184" s="189"/>
    </row>
    <row r="185" spans="1:28" ht="12.75" x14ac:dyDescent="0.2">
      <c r="A185" s="90">
        <v>178</v>
      </c>
      <c r="B185" s="129" t="s">
        <v>219</v>
      </c>
      <c r="C185" s="198" t="s">
        <v>742</v>
      </c>
      <c r="D185" s="131" t="s">
        <v>751</v>
      </c>
      <c r="E185" s="132" t="s">
        <v>218</v>
      </c>
      <c r="F185" s="63">
        <v>-412549</v>
      </c>
      <c r="G185" s="63">
        <v>12746009</v>
      </c>
      <c r="H185" s="63">
        <v>0</v>
      </c>
      <c r="I185" s="63">
        <v>-412384</v>
      </c>
      <c r="J185" s="63">
        <v>1216342</v>
      </c>
      <c r="K185" s="63">
        <v>-728546</v>
      </c>
      <c r="L185" s="63">
        <v>12821421</v>
      </c>
      <c r="M185" s="63">
        <v>0</v>
      </c>
      <c r="N185" s="63">
        <v>0</v>
      </c>
      <c r="O185" s="63">
        <v>57053</v>
      </c>
      <c r="P185" s="63">
        <v>57053</v>
      </c>
      <c r="Q185" s="63">
        <v>0</v>
      </c>
      <c r="R185" s="63">
        <v>-6492681</v>
      </c>
      <c r="S185" s="63">
        <v>-1298537</v>
      </c>
      <c r="T185" s="63">
        <v>-5194146</v>
      </c>
      <c r="U185" s="63">
        <v>-92435</v>
      </c>
      <c r="V185" s="63">
        <v>0</v>
      </c>
      <c r="W185" s="63">
        <v>0</v>
      </c>
      <c r="X185" s="63">
        <v>-13077799</v>
      </c>
      <c r="Y185" s="63">
        <v>0</v>
      </c>
      <c r="Z185" s="63">
        <v>-611874</v>
      </c>
      <c r="AB185" s="189"/>
    </row>
    <row r="186" spans="1:28" ht="12.75" x14ac:dyDescent="0.2">
      <c r="A186" s="90">
        <v>179</v>
      </c>
      <c r="B186" s="129" t="s">
        <v>221</v>
      </c>
      <c r="C186" s="198" t="s">
        <v>742</v>
      </c>
      <c r="D186" s="131" t="s">
        <v>745</v>
      </c>
      <c r="E186" s="132" t="s">
        <v>220</v>
      </c>
      <c r="F186" s="63">
        <v>796033</v>
      </c>
      <c r="G186" s="63">
        <v>15614467</v>
      </c>
      <c r="H186" s="63">
        <v>0</v>
      </c>
      <c r="I186" s="63">
        <v>0</v>
      </c>
      <c r="J186" s="63">
        <v>0</v>
      </c>
      <c r="K186" s="63">
        <v>0</v>
      </c>
      <c r="L186" s="63">
        <v>15614467</v>
      </c>
      <c r="M186" s="63">
        <v>0</v>
      </c>
      <c r="N186" s="63">
        <v>0</v>
      </c>
      <c r="O186" s="63">
        <v>0</v>
      </c>
      <c r="P186" s="63">
        <v>0</v>
      </c>
      <c r="Q186" s="63">
        <v>0</v>
      </c>
      <c r="R186" s="63">
        <v>-8022422</v>
      </c>
      <c r="S186" s="63">
        <v>-1604484</v>
      </c>
      <c r="T186" s="63">
        <v>-6417938</v>
      </c>
      <c r="U186" s="63">
        <v>-97835</v>
      </c>
      <c r="V186" s="63">
        <v>0</v>
      </c>
      <c r="W186" s="63">
        <v>-733186</v>
      </c>
      <c r="X186" s="63">
        <v>-16875865</v>
      </c>
      <c r="Y186" s="63">
        <v>0</v>
      </c>
      <c r="Z186" s="63">
        <v>-465365</v>
      </c>
      <c r="AB186" s="189"/>
    </row>
    <row r="187" spans="1:28" ht="12.75" x14ac:dyDescent="0.2">
      <c r="A187" s="90">
        <v>180</v>
      </c>
      <c r="B187" s="129" t="s">
        <v>222</v>
      </c>
      <c r="C187" s="198" t="s">
        <v>501</v>
      </c>
      <c r="D187" s="131" t="s">
        <v>750</v>
      </c>
      <c r="E187" s="132" t="s">
        <v>534</v>
      </c>
      <c r="F187" s="63">
        <v>-18629385</v>
      </c>
      <c r="G187" s="63">
        <v>68559076</v>
      </c>
      <c r="H187" s="63">
        <v>-1172510</v>
      </c>
      <c r="I187" s="63">
        <v>-2827490</v>
      </c>
      <c r="J187" s="63">
        <v>2184436</v>
      </c>
      <c r="K187" s="63">
        <v>-4699141</v>
      </c>
      <c r="L187" s="63">
        <v>62044371</v>
      </c>
      <c r="M187" s="63">
        <v>927545</v>
      </c>
      <c r="N187" s="63">
        <v>0</v>
      </c>
      <c r="O187" s="63">
        <v>21164323</v>
      </c>
      <c r="P187" s="63">
        <v>22091868</v>
      </c>
      <c r="Q187" s="63">
        <v>-50360</v>
      </c>
      <c r="R187" s="63">
        <v>-34102548</v>
      </c>
      <c r="S187" s="63">
        <v>-682051</v>
      </c>
      <c r="T187" s="63">
        <v>-33420498</v>
      </c>
      <c r="U187" s="63">
        <v>-235478</v>
      </c>
      <c r="V187" s="63">
        <v>-65199</v>
      </c>
      <c r="W187" s="63">
        <v>0</v>
      </c>
      <c r="X187" s="63">
        <v>-68556134</v>
      </c>
      <c r="Y187" s="63">
        <v>874135</v>
      </c>
      <c r="Z187" s="63">
        <v>-2175145</v>
      </c>
      <c r="AB187" s="189" t="s">
        <v>768</v>
      </c>
    </row>
    <row r="188" spans="1:28" ht="12.75" x14ac:dyDescent="0.2">
      <c r="A188" s="90">
        <v>181</v>
      </c>
      <c r="B188" s="129" t="s">
        <v>224</v>
      </c>
      <c r="C188" s="198" t="s">
        <v>742</v>
      </c>
      <c r="D188" s="131" t="s">
        <v>746</v>
      </c>
      <c r="E188" s="132" t="s">
        <v>223</v>
      </c>
      <c r="F188" s="63">
        <v>-3254288</v>
      </c>
      <c r="G188" s="63">
        <v>38968795</v>
      </c>
      <c r="H188" s="63">
        <v>-347219</v>
      </c>
      <c r="I188" s="63">
        <v>-326737</v>
      </c>
      <c r="J188" s="63">
        <v>1601175</v>
      </c>
      <c r="K188" s="63">
        <v>-1619937</v>
      </c>
      <c r="L188" s="63">
        <v>38276077</v>
      </c>
      <c r="M188" s="63">
        <v>0</v>
      </c>
      <c r="N188" s="63">
        <v>0</v>
      </c>
      <c r="O188" s="63">
        <v>3335928</v>
      </c>
      <c r="P188" s="63">
        <v>3335928</v>
      </c>
      <c r="Q188" s="63">
        <v>-531154</v>
      </c>
      <c r="R188" s="63">
        <v>-19079411</v>
      </c>
      <c r="S188" s="63">
        <v>-3815882</v>
      </c>
      <c r="T188" s="63">
        <v>-15263529</v>
      </c>
      <c r="U188" s="63">
        <v>-181145</v>
      </c>
      <c r="V188" s="63">
        <v>0</v>
      </c>
      <c r="W188" s="63">
        <v>0</v>
      </c>
      <c r="X188" s="63">
        <v>-38871121</v>
      </c>
      <c r="Y188" s="63">
        <v>0</v>
      </c>
      <c r="Z188" s="63">
        <v>-513404</v>
      </c>
      <c r="AB188" s="189"/>
    </row>
    <row r="189" spans="1:28" ht="12.75" x14ac:dyDescent="0.2">
      <c r="A189" s="90">
        <v>182</v>
      </c>
      <c r="B189" s="129" t="s">
        <v>226</v>
      </c>
      <c r="C189" s="198" t="s">
        <v>742</v>
      </c>
      <c r="D189" s="131" t="s">
        <v>745</v>
      </c>
      <c r="E189" s="132" t="s">
        <v>225</v>
      </c>
      <c r="F189" s="63">
        <v>-2177237</v>
      </c>
      <c r="G189" s="63">
        <v>23000000</v>
      </c>
      <c r="H189" s="63">
        <v>0</v>
      </c>
      <c r="I189" s="63">
        <v>0</v>
      </c>
      <c r="J189" s="63">
        <v>0</v>
      </c>
      <c r="K189" s="63">
        <v>0</v>
      </c>
      <c r="L189" s="63">
        <v>23000000</v>
      </c>
      <c r="M189" s="63">
        <v>0</v>
      </c>
      <c r="N189" s="63">
        <v>0</v>
      </c>
      <c r="O189" s="63">
        <v>0</v>
      </c>
      <c r="P189" s="63">
        <v>0</v>
      </c>
      <c r="Q189" s="63">
        <v>0</v>
      </c>
      <c r="R189" s="63">
        <v>-12591602</v>
      </c>
      <c r="S189" s="63">
        <v>-2518320</v>
      </c>
      <c r="T189" s="63">
        <v>-10073282</v>
      </c>
      <c r="U189" s="63">
        <v>0</v>
      </c>
      <c r="V189" s="63">
        <v>-122921</v>
      </c>
      <c r="W189" s="63">
        <v>0</v>
      </c>
      <c r="X189" s="63">
        <v>-25306125</v>
      </c>
      <c r="Y189" s="63">
        <v>0</v>
      </c>
      <c r="Z189" s="63">
        <v>-4483362</v>
      </c>
      <c r="AB189" s="189"/>
    </row>
    <row r="190" spans="1:28" ht="12.75" x14ac:dyDescent="0.2">
      <c r="A190" s="90">
        <v>183</v>
      </c>
      <c r="B190" s="129" t="s">
        <v>227</v>
      </c>
      <c r="C190" s="198" t="s">
        <v>501</v>
      </c>
      <c r="D190" s="131" t="s">
        <v>750</v>
      </c>
      <c r="E190" s="132" t="s">
        <v>535</v>
      </c>
      <c r="F190" s="63">
        <v>1898131</v>
      </c>
      <c r="G190" s="63">
        <v>80449589</v>
      </c>
      <c r="H190" s="63">
        <v>-772286</v>
      </c>
      <c r="I190" s="63">
        <v>-200000</v>
      </c>
      <c r="J190" s="63">
        <v>13000000</v>
      </c>
      <c r="K190" s="63">
        <v>-7425950</v>
      </c>
      <c r="L190" s="63">
        <v>85051353</v>
      </c>
      <c r="M190" s="63">
        <v>0</v>
      </c>
      <c r="N190" s="63">
        <v>0</v>
      </c>
      <c r="O190" s="63">
        <v>411158</v>
      </c>
      <c r="P190" s="63">
        <v>411158</v>
      </c>
      <c r="Q190" s="63">
        <v>0</v>
      </c>
      <c r="R190" s="63">
        <v>-44759467</v>
      </c>
      <c r="S190" s="63">
        <v>-891077</v>
      </c>
      <c r="T190" s="63">
        <v>-43872501</v>
      </c>
      <c r="U190" s="63">
        <v>-897600</v>
      </c>
      <c r="V190" s="63">
        <v>-251144</v>
      </c>
      <c r="W190" s="63">
        <v>0</v>
      </c>
      <c r="X190" s="63">
        <v>-90671789</v>
      </c>
      <c r="Y190" s="63">
        <v>0</v>
      </c>
      <c r="Z190" s="63">
        <v>-3311147</v>
      </c>
      <c r="AB190" s="189"/>
    </row>
    <row r="191" spans="1:28" ht="12.75" x14ac:dyDescent="0.2">
      <c r="A191" s="90">
        <v>184</v>
      </c>
      <c r="B191" s="129" t="s">
        <v>229</v>
      </c>
      <c r="C191" s="198" t="s">
        <v>742</v>
      </c>
      <c r="D191" s="131" t="s">
        <v>746</v>
      </c>
      <c r="E191" s="132" t="s">
        <v>228</v>
      </c>
      <c r="F191" s="63">
        <v>-1897984</v>
      </c>
      <c r="G191" s="63">
        <v>24685776</v>
      </c>
      <c r="H191" s="63">
        <v>0</v>
      </c>
      <c r="I191" s="63">
        <v>-77038</v>
      </c>
      <c r="J191" s="63">
        <v>332916</v>
      </c>
      <c r="K191" s="63">
        <v>-1571639</v>
      </c>
      <c r="L191" s="63">
        <v>23370015</v>
      </c>
      <c r="M191" s="63">
        <v>0</v>
      </c>
      <c r="N191" s="63">
        <v>0</v>
      </c>
      <c r="O191" s="63">
        <v>1604993</v>
      </c>
      <c r="P191" s="63">
        <v>1604993</v>
      </c>
      <c r="Q191" s="63">
        <v>0</v>
      </c>
      <c r="R191" s="63">
        <v>-12079022</v>
      </c>
      <c r="S191" s="63">
        <v>-2415805</v>
      </c>
      <c r="T191" s="63">
        <v>-9663218</v>
      </c>
      <c r="U191" s="63">
        <v>-435295</v>
      </c>
      <c r="V191" s="63">
        <v>-373036</v>
      </c>
      <c r="W191" s="63">
        <v>0</v>
      </c>
      <c r="X191" s="63">
        <v>-24966376</v>
      </c>
      <c r="Y191" s="63">
        <v>0</v>
      </c>
      <c r="Z191" s="63">
        <v>-1889352</v>
      </c>
      <c r="AB191" s="189"/>
    </row>
    <row r="192" spans="1:28" ht="12.75" x14ac:dyDescent="0.2">
      <c r="A192" s="90">
        <v>185</v>
      </c>
      <c r="B192" s="129" t="s">
        <v>230</v>
      </c>
      <c r="C192" s="198" t="s">
        <v>501</v>
      </c>
      <c r="D192" s="131" t="s">
        <v>751</v>
      </c>
      <c r="E192" s="132" t="s">
        <v>503</v>
      </c>
      <c r="F192" s="63">
        <v>1269378</v>
      </c>
      <c r="G192" s="63">
        <v>69773383</v>
      </c>
      <c r="H192" s="63">
        <v>0</v>
      </c>
      <c r="I192" s="63">
        <v>-1459635</v>
      </c>
      <c r="J192" s="63">
        <v>1034007</v>
      </c>
      <c r="K192" s="63">
        <v>-1673355</v>
      </c>
      <c r="L192" s="63">
        <v>67674400</v>
      </c>
      <c r="M192" s="63">
        <v>0</v>
      </c>
      <c r="N192" s="63">
        <v>0</v>
      </c>
      <c r="O192" s="63">
        <v>0</v>
      </c>
      <c r="P192" s="63">
        <v>0</v>
      </c>
      <c r="Q192" s="63">
        <v>-5056</v>
      </c>
      <c r="R192" s="63">
        <v>-28714610</v>
      </c>
      <c r="S192" s="63">
        <v>-574292</v>
      </c>
      <c r="T192" s="63">
        <v>-28140318</v>
      </c>
      <c r="U192" s="63">
        <v>-546667</v>
      </c>
      <c r="V192" s="63">
        <v>-41332</v>
      </c>
      <c r="W192" s="63">
        <v>-1421579</v>
      </c>
      <c r="X192" s="63">
        <v>-59443854</v>
      </c>
      <c r="Y192" s="63">
        <v>0</v>
      </c>
      <c r="Z192" s="63">
        <v>9499924</v>
      </c>
      <c r="AB192" s="189"/>
    </row>
    <row r="193" spans="1:28" ht="12.75" x14ac:dyDescent="0.2">
      <c r="A193" s="90">
        <v>186</v>
      </c>
      <c r="B193" s="129" t="s">
        <v>232</v>
      </c>
      <c r="C193" s="198" t="s">
        <v>749</v>
      </c>
      <c r="D193" s="131" t="s">
        <v>755</v>
      </c>
      <c r="E193" s="132" t="s">
        <v>231</v>
      </c>
      <c r="F193" s="63">
        <v>-5827818</v>
      </c>
      <c r="G193" s="63">
        <v>58496020</v>
      </c>
      <c r="H193" s="63">
        <v>0</v>
      </c>
      <c r="I193" s="63">
        <v>-200000</v>
      </c>
      <c r="J193" s="63">
        <v>0</v>
      </c>
      <c r="K193" s="63">
        <v>-1000000</v>
      </c>
      <c r="L193" s="63">
        <v>57296020</v>
      </c>
      <c r="M193" s="63">
        <v>0</v>
      </c>
      <c r="N193" s="63">
        <v>0</v>
      </c>
      <c r="O193" s="63">
        <v>4490200</v>
      </c>
      <c r="P193" s="63">
        <v>4490200</v>
      </c>
      <c r="Q193" s="63">
        <v>-256368</v>
      </c>
      <c r="R193" s="63">
        <v>-28897951</v>
      </c>
      <c r="S193" s="63">
        <v>-577959</v>
      </c>
      <c r="T193" s="63">
        <v>-28319992</v>
      </c>
      <c r="U193" s="63">
        <v>0</v>
      </c>
      <c r="V193" s="63">
        <v>-290977</v>
      </c>
      <c r="W193" s="63">
        <v>0</v>
      </c>
      <c r="X193" s="63">
        <v>-58343247</v>
      </c>
      <c r="Y193" s="63">
        <v>0</v>
      </c>
      <c r="Z193" s="63">
        <v>-2384845</v>
      </c>
      <c r="AB193" s="189"/>
    </row>
    <row r="194" spans="1:28" ht="12.75" x14ac:dyDescent="0.2">
      <c r="A194" s="90">
        <v>187</v>
      </c>
      <c r="B194" s="129" t="s">
        <v>234</v>
      </c>
      <c r="C194" s="198" t="s">
        <v>742</v>
      </c>
      <c r="D194" s="131" t="s">
        <v>752</v>
      </c>
      <c r="E194" s="132" t="s">
        <v>233</v>
      </c>
      <c r="F194" s="63">
        <v>-2906666</v>
      </c>
      <c r="G194" s="63">
        <v>43517017</v>
      </c>
      <c r="H194" s="63">
        <v>0</v>
      </c>
      <c r="I194" s="63">
        <v>-160000</v>
      </c>
      <c r="J194" s="63">
        <v>1583000</v>
      </c>
      <c r="K194" s="63">
        <v>-3033000</v>
      </c>
      <c r="L194" s="63">
        <v>41907017</v>
      </c>
      <c r="M194" s="63">
        <v>0</v>
      </c>
      <c r="N194" s="63">
        <v>0</v>
      </c>
      <c r="O194" s="63">
        <v>718431</v>
      </c>
      <c r="P194" s="63">
        <v>718431</v>
      </c>
      <c r="Q194" s="63">
        <v>0</v>
      </c>
      <c r="R194" s="63">
        <v>-21496379</v>
      </c>
      <c r="S194" s="63">
        <v>-4299276</v>
      </c>
      <c r="T194" s="63">
        <v>-17197104</v>
      </c>
      <c r="U194" s="63">
        <v>-110738</v>
      </c>
      <c r="V194" s="63">
        <v>0</v>
      </c>
      <c r="W194" s="63">
        <v>0</v>
      </c>
      <c r="X194" s="63">
        <v>-43103497</v>
      </c>
      <c r="Y194" s="63">
        <v>0</v>
      </c>
      <c r="Z194" s="63">
        <v>-3384715</v>
      </c>
      <c r="AB194" s="189"/>
    </row>
    <row r="195" spans="1:28" ht="12.75" x14ac:dyDescent="0.2">
      <c r="A195" s="90">
        <v>188</v>
      </c>
      <c r="B195" s="129" t="s">
        <v>245</v>
      </c>
      <c r="C195" s="198" t="s">
        <v>742</v>
      </c>
      <c r="D195" s="131" t="s">
        <v>745</v>
      </c>
      <c r="E195" s="132" t="s">
        <v>244</v>
      </c>
      <c r="F195" s="63">
        <v>-6838000</v>
      </c>
      <c r="G195" s="63">
        <v>52454402</v>
      </c>
      <c r="H195" s="63">
        <v>-511946</v>
      </c>
      <c r="I195" s="63">
        <v>401401</v>
      </c>
      <c r="J195" s="63">
        <v>93579</v>
      </c>
      <c r="K195" s="63">
        <v>0</v>
      </c>
      <c r="L195" s="63">
        <v>52437436</v>
      </c>
      <c r="M195" s="63">
        <v>21859</v>
      </c>
      <c r="N195" s="63">
        <v>0</v>
      </c>
      <c r="O195" s="63">
        <v>3510456</v>
      </c>
      <c r="P195" s="63">
        <v>3532315</v>
      </c>
      <c r="Q195" s="63">
        <v>0</v>
      </c>
      <c r="R195" s="63">
        <v>-25106358</v>
      </c>
      <c r="S195" s="63">
        <v>-5021272</v>
      </c>
      <c r="T195" s="63">
        <v>-20085087</v>
      </c>
      <c r="U195" s="63">
        <v>-146594</v>
      </c>
      <c r="V195" s="63">
        <v>0</v>
      </c>
      <c r="W195" s="63">
        <v>0</v>
      </c>
      <c r="X195" s="63">
        <v>-50359311</v>
      </c>
      <c r="Y195" s="63">
        <v>0</v>
      </c>
      <c r="Z195" s="63">
        <v>-1227560</v>
      </c>
      <c r="AB195" s="189"/>
    </row>
    <row r="196" spans="1:28" ht="12.75" x14ac:dyDescent="0.2">
      <c r="A196" s="90">
        <v>189</v>
      </c>
      <c r="B196" s="129" t="s">
        <v>247</v>
      </c>
      <c r="C196" s="198" t="s">
        <v>742</v>
      </c>
      <c r="D196" s="131" t="s">
        <v>745</v>
      </c>
      <c r="E196" s="132" t="s">
        <v>246</v>
      </c>
      <c r="F196" s="63">
        <v>-14486000</v>
      </c>
      <c r="G196" s="63">
        <v>100228443</v>
      </c>
      <c r="H196" s="63">
        <v>-450000</v>
      </c>
      <c r="I196" s="63">
        <v>-112965</v>
      </c>
      <c r="J196" s="63">
        <v>1002370</v>
      </c>
      <c r="K196" s="63">
        <v>-3707267</v>
      </c>
      <c r="L196" s="63">
        <v>96960581</v>
      </c>
      <c r="M196" s="63">
        <v>6918</v>
      </c>
      <c r="N196" s="63">
        <v>0</v>
      </c>
      <c r="O196" s="63">
        <v>14938058</v>
      </c>
      <c r="P196" s="63">
        <v>14944976</v>
      </c>
      <c r="Q196" s="63">
        <v>-140458</v>
      </c>
      <c r="R196" s="63">
        <v>-47042648</v>
      </c>
      <c r="S196" s="63">
        <v>-9816786</v>
      </c>
      <c r="T196" s="63">
        <v>-39267146</v>
      </c>
      <c r="U196" s="63">
        <v>-519041</v>
      </c>
      <c r="V196" s="63">
        <v>-297757</v>
      </c>
      <c r="W196" s="63">
        <v>0</v>
      </c>
      <c r="X196" s="63">
        <v>-97083836</v>
      </c>
      <c r="Y196" s="63">
        <v>76000</v>
      </c>
      <c r="Z196" s="63">
        <v>411721</v>
      </c>
      <c r="AB196" s="189" t="s">
        <v>768</v>
      </c>
    </row>
    <row r="197" spans="1:28" ht="12.75" x14ac:dyDescent="0.2">
      <c r="A197" s="90">
        <v>190</v>
      </c>
      <c r="B197" s="129" t="s">
        <v>249</v>
      </c>
      <c r="C197" s="198" t="s">
        <v>501</v>
      </c>
      <c r="D197" s="131" t="s">
        <v>755</v>
      </c>
      <c r="E197" s="132" t="s">
        <v>248</v>
      </c>
      <c r="F197" s="63">
        <v>-1501244</v>
      </c>
      <c r="G197" s="63">
        <v>76327484</v>
      </c>
      <c r="H197" s="63">
        <v>0</v>
      </c>
      <c r="I197" s="63">
        <v>-745017</v>
      </c>
      <c r="J197" s="63">
        <v>3920650</v>
      </c>
      <c r="K197" s="63">
        <v>-4628035</v>
      </c>
      <c r="L197" s="63">
        <v>74875082</v>
      </c>
      <c r="M197" s="63">
        <v>0</v>
      </c>
      <c r="N197" s="63">
        <v>22692</v>
      </c>
      <c r="O197" s="63">
        <v>736837</v>
      </c>
      <c r="P197" s="63">
        <v>759529</v>
      </c>
      <c r="Q197" s="63">
        <v>-188480</v>
      </c>
      <c r="R197" s="63">
        <v>-37565840</v>
      </c>
      <c r="S197" s="63">
        <v>0</v>
      </c>
      <c r="T197" s="63">
        <v>-37649896</v>
      </c>
      <c r="U197" s="63">
        <v>-1795785</v>
      </c>
      <c r="V197" s="63">
        <v>-38189</v>
      </c>
      <c r="W197" s="63">
        <v>0</v>
      </c>
      <c r="X197" s="63">
        <v>-77238190</v>
      </c>
      <c r="Y197" s="63">
        <v>0</v>
      </c>
      <c r="Z197" s="63">
        <v>-3104823</v>
      </c>
      <c r="AB197" s="189"/>
    </row>
    <row r="198" spans="1:28" ht="12.75" x14ac:dyDescent="0.2">
      <c r="A198" s="90">
        <v>191</v>
      </c>
      <c r="B198" s="129" t="s">
        <v>251</v>
      </c>
      <c r="C198" s="198" t="s">
        <v>742</v>
      </c>
      <c r="D198" s="131" t="s">
        <v>746</v>
      </c>
      <c r="E198" s="132" t="s">
        <v>250</v>
      </c>
      <c r="F198" s="63">
        <v>-3427952</v>
      </c>
      <c r="G198" s="63">
        <v>78037027</v>
      </c>
      <c r="H198" s="63">
        <v>0</v>
      </c>
      <c r="I198" s="63">
        <v>-1235340</v>
      </c>
      <c r="J198" s="63">
        <v>1433785</v>
      </c>
      <c r="K198" s="63">
        <v>-3313906</v>
      </c>
      <c r="L198" s="63">
        <v>74921566</v>
      </c>
      <c r="M198" s="63">
        <v>0</v>
      </c>
      <c r="N198" s="63">
        <v>0</v>
      </c>
      <c r="O198" s="63">
        <v>3117181</v>
      </c>
      <c r="P198" s="63">
        <v>3117181</v>
      </c>
      <c r="Q198" s="63">
        <v>-456423</v>
      </c>
      <c r="R198" s="63">
        <v>-38379248</v>
      </c>
      <c r="S198" s="63">
        <v>-7675850</v>
      </c>
      <c r="T198" s="63">
        <v>-30703399</v>
      </c>
      <c r="U198" s="63">
        <v>-270558</v>
      </c>
      <c r="V198" s="63">
        <v>0</v>
      </c>
      <c r="W198" s="63">
        <v>0</v>
      </c>
      <c r="X198" s="63">
        <v>-77485478</v>
      </c>
      <c r="Y198" s="63">
        <v>0</v>
      </c>
      <c r="Z198" s="63">
        <v>-2874683</v>
      </c>
      <c r="AB198" s="189"/>
    </row>
    <row r="199" spans="1:28" ht="12.75" x14ac:dyDescent="0.2">
      <c r="A199" s="90">
        <v>192</v>
      </c>
      <c r="B199" s="129" t="s">
        <v>252</v>
      </c>
      <c r="C199" s="198" t="s">
        <v>501</v>
      </c>
      <c r="D199" s="131" t="s">
        <v>745</v>
      </c>
      <c r="E199" s="132" t="s">
        <v>545</v>
      </c>
      <c r="F199" s="63">
        <v>3119595</v>
      </c>
      <c r="G199" s="63">
        <v>128368503</v>
      </c>
      <c r="H199" s="63">
        <v>0</v>
      </c>
      <c r="I199" s="63">
        <v>0</v>
      </c>
      <c r="J199" s="63">
        <v>5125657</v>
      </c>
      <c r="K199" s="63">
        <v>-11628390</v>
      </c>
      <c r="L199" s="63">
        <v>121865770</v>
      </c>
      <c r="M199" s="63">
        <v>0</v>
      </c>
      <c r="N199" s="63">
        <v>0</v>
      </c>
      <c r="O199" s="63">
        <v>0</v>
      </c>
      <c r="P199" s="63">
        <v>0</v>
      </c>
      <c r="Q199" s="63">
        <v>-1854</v>
      </c>
      <c r="R199" s="63">
        <v>-61702168</v>
      </c>
      <c r="S199" s="63">
        <v>-1234043</v>
      </c>
      <c r="T199" s="63">
        <v>-60468125</v>
      </c>
      <c r="U199" s="63">
        <v>-495983</v>
      </c>
      <c r="V199" s="63">
        <v>0</v>
      </c>
      <c r="W199" s="63">
        <v>-5200543</v>
      </c>
      <c r="X199" s="63">
        <v>-129102716</v>
      </c>
      <c r="Y199" s="63">
        <v>0</v>
      </c>
      <c r="Z199" s="63">
        <v>-4117351</v>
      </c>
      <c r="AB199" s="189"/>
    </row>
    <row r="200" spans="1:28" ht="12.75" x14ac:dyDescent="0.2">
      <c r="A200" s="90">
        <v>193</v>
      </c>
      <c r="B200" s="129" t="s">
        <v>253</v>
      </c>
      <c r="C200" s="198" t="s">
        <v>742</v>
      </c>
      <c r="D200" s="131" t="s">
        <v>752</v>
      </c>
      <c r="E200" s="132" t="s">
        <v>550</v>
      </c>
      <c r="F200" s="63">
        <v>-2585049</v>
      </c>
      <c r="G200" s="63">
        <v>35292470</v>
      </c>
      <c r="H200" s="63">
        <v>-55582</v>
      </c>
      <c r="I200" s="63">
        <v>-246400</v>
      </c>
      <c r="J200" s="63">
        <v>490111</v>
      </c>
      <c r="K200" s="63">
        <v>-2373173</v>
      </c>
      <c r="L200" s="63">
        <v>33107426</v>
      </c>
      <c r="M200" s="63">
        <v>0</v>
      </c>
      <c r="N200" s="63">
        <v>0</v>
      </c>
      <c r="O200" s="63">
        <v>1210570</v>
      </c>
      <c r="P200" s="63">
        <v>1210570</v>
      </c>
      <c r="Q200" s="63">
        <v>0</v>
      </c>
      <c r="R200" s="63">
        <v>-17251364</v>
      </c>
      <c r="S200" s="63">
        <v>-3450273</v>
      </c>
      <c r="T200" s="63">
        <v>-13801091</v>
      </c>
      <c r="U200" s="63">
        <v>-134325</v>
      </c>
      <c r="V200" s="63">
        <v>0</v>
      </c>
      <c r="W200" s="63">
        <v>0</v>
      </c>
      <c r="X200" s="63">
        <v>-34637053</v>
      </c>
      <c r="Y200" s="63">
        <v>0</v>
      </c>
      <c r="Z200" s="63">
        <v>-2904106</v>
      </c>
      <c r="AB200" s="189"/>
    </row>
    <row r="201" spans="1:28" ht="12.75" x14ac:dyDescent="0.2">
      <c r="A201" s="90">
        <v>194</v>
      </c>
      <c r="B201" s="129" t="s">
        <v>254</v>
      </c>
      <c r="C201" s="198" t="s">
        <v>742</v>
      </c>
      <c r="D201" s="131" t="s">
        <v>745</v>
      </c>
      <c r="E201" s="132" t="s">
        <v>543</v>
      </c>
      <c r="F201" s="63">
        <v>-895337</v>
      </c>
      <c r="G201" s="63">
        <v>12349668</v>
      </c>
      <c r="H201" s="63">
        <v>0</v>
      </c>
      <c r="I201" s="63">
        <v>-92706</v>
      </c>
      <c r="J201" s="63">
        <v>0</v>
      </c>
      <c r="K201" s="63">
        <v>-610802</v>
      </c>
      <c r="L201" s="63">
        <v>11646160</v>
      </c>
      <c r="M201" s="63">
        <v>0</v>
      </c>
      <c r="N201" s="63">
        <v>0</v>
      </c>
      <c r="O201" s="63">
        <v>434045</v>
      </c>
      <c r="P201" s="63">
        <v>434045</v>
      </c>
      <c r="Q201" s="63">
        <v>-4154</v>
      </c>
      <c r="R201" s="63">
        <v>-5912875</v>
      </c>
      <c r="S201" s="63">
        <v>-1182574</v>
      </c>
      <c r="T201" s="63">
        <v>-4730300</v>
      </c>
      <c r="U201" s="63">
        <v>-56350</v>
      </c>
      <c r="V201" s="63">
        <v>0</v>
      </c>
      <c r="W201" s="63">
        <v>0</v>
      </c>
      <c r="X201" s="63">
        <v>-11886253</v>
      </c>
      <c r="Y201" s="63">
        <v>0</v>
      </c>
      <c r="Z201" s="63">
        <v>-701385</v>
      </c>
      <c r="AB201" s="189"/>
    </row>
    <row r="202" spans="1:28" ht="12.75" x14ac:dyDescent="0.2">
      <c r="A202" s="90">
        <v>195</v>
      </c>
      <c r="B202" s="129" t="s">
        <v>256</v>
      </c>
      <c r="C202" s="198" t="s">
        <v>749</v>
      </c>
      <c r="D202" s="131" t="s">
        <v>744</v>
      </c>
      <c r="E202" s="132" t="s">
        <v>255</v>
      </c>
      <c r="F202" s="63">
        <v>-2974886</v>
      </c>
      <c r="G202" s="63">
        <v>59782587</v>
      </c>
      <c r="H202" s="63">
        <v>0</v>
      </c>
      <c r="I202" s="63">
        <v>-1368909</v>
      </c>
      <c r="J202" s="63">
        <v>491380</v>
      </c>
      <c r="K202" s="63">
        <v>-5363526</v>
      </c>
      <c r="L202" s="63">
        <v>53541532</v>
      </c>
      <c r="M202" s="63">
        <v>767564</v>
      </c>
      <c r="N202" s="63">
        <v>0</v>
      </c>
      <c r="O202" s="63">
        <v>1856275</v>
      </c>
      <c r="P202" s="63">
        <v>2623839</v>
      </c>
      <c r="Q202" s="63">
        <v>-145514</v>
      </c>
      <c r="R202" s="63">
        <v>-29182251</v>
      </c>
      <c r="S202" s="63">
        <v>-583645</v>
      </c>
      <c r="T202" s="63">
        <v>-28598606</v>
      </c>
      <c r="U202" s="63">
        <v>-313041</v>
      </c>
      <c r="V202" s="63">
        <v>0</v>
      </c>
      <c r="W202" s="63">
        <v>0</v>
      </c>
      <c r="X202" s="63">
        <v>-58823057</v>
      </c>
      <c r="Y202" s="63">
        <v>0</v>
      </c>
      <c r="Z202" s="63">
        <v>-5632572</v>
      </c>
      <c r="AB202" s="189"/>
    </row>
    <row r="203" spans="1:28" ht="12.75" x14ac:dyDescent="0.2">
      <c r="A203" s="90">
        <v>196</v>
      </c>
      <c r="B203" s="129" t="s">
        <v>258</v>
      </c>
      <c r="C203" s="198" t="s">
        <v>742</v>
      </c>
      <c r="D203" s="131" t="s">
        <v>743</v>
      </c>
      <c r="E203" s="132" t="s">
        <v>257</v>
      </c>
      <c r="F203" s="63">
        <v>-10504278</v>
      </c>
      <c r="G203" s="63">
        <v>88077889</v>
      </c>
      <c r="H203" s="63">
        <v>0</v>
      </c>
      <c r="I203" s="63">
        <v>263982</v>
      </c>
      <c r="J203" s="63">
        <v>357098</v>
      </c>
      <c r="K203" s="63">
        <v>-730700</v>
      </c>
      <c r="L203" s="63">
        <v>87968269</v>
      </c>
      <c r="M203" s="63">
        <v>0</v>
      </c>
      <c r="N203" s="63">
        <v>0</v>
      </c>
      <c r="O203" s="63">
        <v>0</v>
      </c>
      <c r="P203" s="63">
        <v>0</v>
      </c>
      <c r="Q203" s="63">
        <v>-93746</v>
      </c>
      <c r="R203" s="63">
        <v>-42424107</v>
      </c>
      <c r="S203" s="63">
        <v>-8484822</v>
      </c>
      <c r="T203" s="63">
        <v>-33939286</v>
      </c>
      <c r="U203" s="63">
        <v>-219682</v>
      </c>
      <c r="V203" s="63">
        <v>-21818</v>
      </c>
      <c r="W203" s="63">
        <v>-173116</v>
      </c>
      <c r="X203" s="63">
        <v>-85356577</v>
      </c>
      <c r="Y203" s="63">
        <v>0</v>
      </c>
      <c r="Z203" s="63">
        <v>-7892586</v>
      </c>
      <c r="AB203" s="189"/>
    </row>
    <row r="204" spans="1:28" ht="12.75" x14ac:dyDescent="0.2">
      <c r="A204" s="90">
        <v>197</v>
      </c>
      <c r="B204" s="129" t="s">
        <v>260</v>
      </c>
      <c r="C204" s="198" t="s">
        <v>742</v>
      </c>
      <c r="D204" s="131" t="s">
        <v>744</v>
      </c>
      <c r="E204" s="132" t="s">
        <v>259</v>
      </c>
      <c r="F204" s="63">
        <v>-433064</v>
      </c>
      <c r="G204" s="63">
        <v>19147624</v>
      </c>
      <c r="H204" s="63">
        <v>-300000</v>
      </c>
      <c r="I204" s="63">
        <v>100000</v>
      </c>
      <c r="J204" s="63">
        <v>1202927</v>
      </c>
      <c r="K204" s="63">
        <v>-1612927</v>
      </c>
      <c r="L204" s="63">
        <v>18537624</v>
      </c>
      <c r="M204" s="63">
        <v>65227</v>
      </c>
      <c r="N204" s="63">
        <v>0</v>
      </c>
      <c r="O204" s="63">
        <v>0</v>
      </c>
      <c r="P204" s="63">
        <v>65227</v>
      </c>
      <c r="Q204" s="63">
        <v>0</v>
      </c>
      <c r="R204" s="63">
        <v>-9663009</v>
      </c>
      <c r="S204" s="63">
        <v>-1932602</v>
      </c>
      <c r="T204" s="63">
        <v>-7730408</v>
      </c>
      <c r="U204" s="63">
        <v>-136755</v>
      </c>
      <c r="V204" s="63">
        <v>0</v>
      </c>
      <c r="W204" s="63">
        <v>0</v>
      </c>
      <c r="X204" s="63">
        <v>-19462774</v>
      </c>
      <c r="Y204" s="63">
        <v>0</v>
      </c>
      <c r="Z204" s="63">
        <v>-1292987</v>
      </c>
      <c r="AB204" s="189"/>
    </row>
    <row r="205" spans="1:28" ht="12.75" x14ac:dyDescent="0.2">
      <c r="A205" s="90">
        <v>198</v>
      </c>
      <c r="B205" s="129" t="s">
        <v>261</v>
      </c>
      <c r="C205" s="198" t="s">
        <v>501</v>
      </c>
      <c r="D205" s="131" t="s">
        <v>746</v>
      </c>
      <c r="E205" s="132" t="s">
        <v>512</v>
      </c>
      <c r="F205" s="63">
        <v>-6019539</v>
      </c>
      <c r="G205" s="63">
        <v>102269409</v>
      </c>
      <c r="H205" s="63">
        <v>0</v>
      </c>
      <c r="I205" s="63">
        <v>-850000</v>
      </c>
      <c r="J205" s="63">
        <v>4222000</v>
      </c>
      <c r="K205" s="63">
        <v>-4899000</v>
      </c>
      <c r="L205" s="63">
        <v>100742409</v>
      </c>
      <c r="M205" s="63">
        <v>0</v>
      </c>
      <c r="N205" s="63">
        <v>40000</v>
      </c>
      <c r="O205" s="63">
        <v>3106000</v>
      </c>
      <c r="P205" s="63">
        <v>3146000</v>
      </c>
      <c r="Q205" s="63">
        <v>-4744409</v>
      </c>
      <c r="R205" s="63">
        <v>-48090503</v>
      </c>
      <c r="S205" s="63">
        <v>-961810</v>
      </c>
      <c r="T205" s="63">
        <v>-47128692</v>
      </c>
      <c r="U205" s="63">
        <v>-314992</v>
      </c>
      <c r="V205" s="63">
        <v>0</v>
      </c>
      <c r="W205" s="63">
        <v>0</v>
      </c>
      <c r="X205" s="63">
        <v>-101240406</v>
      </c>
      <c r="Y205" s="63">
        <v>1654688</v>
      </c>
      <c r="Z205" s="63">
        <v>-1716848</v>
      </c>
      <c r="AB205" s="189" t="s">
        <v>768</v>
      </c>
    </row>
    <row r="206" spans="1:28" ht="12.75" x14ac:dyDescent="0.2">
      <c r="A206" s="90">
        <v>199</v>
      </c>
      <c r="B206" s="129" t="s">
        <v>262</v>
      </c>
      <c r="C206" s="198" t="s">
        <v>501</v>
      </c>
      <c r="D206" s="131" t="s">
        <v>751</v>
      </c>
      <c r="E206" s="132" t="s">
        <v>522</v>
      </c>
      <c r="F206" s="63">
        <v>910380</v>
      </c>
      <c r="G206" s="63">
        <v>89026735</v>
      </c>
      <c r="H206" s="63">
        <v>0</v>
      </c>
      <c r="I206" s="63">
        <v>-116602</v>
      </c>
      <c r="J206" s="63">
        <v>1657897</v>
      </c>
      <c r="K206" s="63">
        <v>-1470303</v>
      </c>
      <c r="L206" s="63">
        <v>89097727</v>
      </c>
      <c r="M206" s="63">
        <v>176375</v>
      </c>
      <c r="N206" s="63">
        <v>1282000</v>
      </c>
      <c r="O206" s="63">
        <v>1078094</v>
      </c>
      <c r="P206" s="63">
        <v>2536469</v>
      </c>
      <c r="Q206" s="63">
        <v>0</v>
      </c>
      <c r="R206" s="63">
        <v>-45390438</v>
      </c>
      <c r="S206" s="63">
        <v>-907809</v>
      </c>
      <c r="T206" s="63">
        <v>-44482630</v>
      </c>
      <c r="U206" s="63">
        <v>0</v>
      </c>
      <c r="V206" s="63">
        <v>-1594349</v>
      </c>
      <c r="W206" s="63">
        <v>0</v>
      </c>
      <c r="X206" s="63">
        <v>-92375226</v>
      </c>
      <c r="Y206" s="63">
        <v>0</v>
      </c>
      <c r="Z206" s="63">
        <v>169350</v>
      </c>
      <c r="AB206" s="189"/>
    </row>
    <row r="207" spans="1:28" ht="12.75" x14ac:dyDescent="0.2">
      <c r="A207" s="90">
        <v>200</v>
      </c>
      <c r="B207" s="129" t="s">
        <v>263</v>
      </c>
      <c r="C207" s="198" t="s">
        <v>501</v>
      </c>
      <c r="D207" s="131" t="s">
        <v>751</v>
      </c>
      <c r="E207" s="132" t="s">
        <v>524</v>
      </c>
      <c r="F207" s="63">
        <v>-763510</v>
      </c>
      <c r="G207" s="63">
        <v>63117254</v>
      </c>
      <c r="H207" s="63">
        <v>0</v>
      </c>
      <c r="I207" s="63">
        <v>-500000</v>
      </c>
      <c r="J207" s="63">
        <v>0</v>
      </c>
      <c r="K207" s="63">
        <v>-3388647</v>
      </c>
      <c r="L207" s="63">
        <v>59228607</v>
      </c>
      <c r="M207" s="63">
        <v>0</v>
      </c>
      <c r="N207" s="63">
        <v>0</v>
      </c>
      <c r="O207" s="63">
        <v>523613</v>
      </c>
      <c r="P207" s="63">
        <v>523613</v>
      </c>
      <c r="Q207" s="63">
        <v>-56599</v>
      </c>
      <c r="R207" s="63">
        <v>-29596395</v>
      </c>
      <c r="S207" s="63">
        <v>-591928</v>
      </c>
      <c r="T207" s="63">
        <v>-29004468</v>
      </c>
      <c r="U207" s="63">
        <v>-236916</v>
      </c>
      <c r="V207" s="63">
        <v>0</v>
      </c>
      <c r="W207" s="63">
        <v>0</v>
      </c>
      <c r="X207" s="63">
        <v>-59486306</v>
      </c>
      <c r="Y207" s="63">
        <v>497596</v>
      </c>
      <c r="Z207" s="63">
        <v>0</v>
      </c>
      <c r="AB207" s="189" t="s">
        <v>768</v>
      </c>
    </row>
    <row r="208" spans="1:28" ht="12.75" x14ac:dyDescent="0.2">
      <c r="A208" s="90">
        <v>201</v>
      </c>
      <c r="B208" s="129" t="s">
        <v>264</v>
      </c>
      <c r="C208" s="198" t="s">
        <v>501</v>
      </c>
      <c r="D208" s="131" t="s">
        <v>743</v>
      </c>
      <c r="E208" s="132" t="s">
        <v>530</v>
      </c>
      <c r="F208" s="63">
        <v>-5311844</v>
      </c>
      <c r="G208" s="63">
        <v>83953600</v>
      </c>
      <c r="H208" s="63">
        <v>-976200</v>
      </c>
      <c r="I208" s="63">
        <v>0</v>
      </c>
      <c r="J208" s="63">
        <v>2278700</v>
      </c>
      <c r="K208" s="63">
        <v>-2603214</v>
      </c>
      <c r="L208" s="63">
        <v>82652886</v>
      </c>
      <c r="M208" s="63">
        <v>470000</v>
      </c>
      <c r="N208" s="63">
        <v>0</v>
      </c>
      <c r="O208" s="63">
        <v>2692143</v>
      </c>
      <c r="P208" s="63">
        <v>3162143</v>
      </c>
      <c r="Q208" s="63">
        <v>0</v>
      </c>
      <c r="R208" s="63">
        <v>-40430520</v>
      </c>
      <c r="S208" s="63">
        <v>-808610</v>
      </c>
      <c r="T208" s="63">
        <v>-39621909</v>
      </c>
      <c r="U208" s="63">
        <v>-277975</v>
      </c>
      <c r="V208" s="63">
        <v>0</v>
      </c>
      <c r="W208" s="63">
        <v>0</v>
      </c>
      <c r="X208" s="63">
        <v>-81139014</v>
      </c>
      <c r="Y208" s="63">
        <v>0</v>
      </c>
      <c r="Z208" s="63">
        <v>-635829</v>
      </c>
      <c r="AB208" s="189"/>
    </row>
    <row r="209" spans="1:28" ht="12.75" x14ac:dyDescent="0.2">
      <c r="A209" s="90">
        <v>202</v>
      </c>
      <c r="B209" s="129" t="s">
        <v>266</v>
      </c>
      <c r="C209" s="198" t="s">
        <v>742</v>
      </c>
      <c r="D209" s="131" t="s">
        <v>744</v>
      </c>
      <c r="E209" s="132" t="s">
        <v>265</v>
      </c>
      <c r="F209" s="63">
        <v>-5349932</v>
      </c>
      <c r="G209" s="63">
        <v>69903788</v>
      </c>
      <c r="H209" s="63">
        <v>0</v>
      </c>
      <c r="I209" s="63">
        <v>-1980000</v>
      </c>
      <c r="J209" s="63">
        <v>1827333</v>
      </c>
      <c r="K209" s="63">
        <v>-2017371</v>
      </c>
      <c r="L209" s="63">
        <v>67733750</v>
      </c>
      <c r="M209" s="63">
        <v>0</v>
      </c>
      <c r="N209" s="63">
        <v>0</v>
      </c>
      <c r="O209" s="63">
        <v>4900221</v>
      </c>
      <c r="P209" s="63">
        <v>4900221</v>
      </c>
      <c r="Q209" s="63">
        <v>-117300</v>
      </c>
      <c r="R209" s="63">
        <v>-32746129</v>
      </c>
      <c r="S209" s="63">
        <v>-6549226</v>
      </c>
      <c r="T209" s="63">
        <v>-26196903</v>
      </c>
      <c r="U209" s="63">
        <v>-237714</v>
      </c>
      <c r="V209" s="63">
        <v>0</v>
      </c>
      <c r="W209" s="63">
        <v>0</v>
      </c>
      <c r="X209" s="63">
        <v>-65847272</v>
      </c>
      <c r="Y209" s="63">
        <v>0</v>
      </c>
      <c r="Z209" s="63">
        <v>1436767</v>
      </c>
      <c r="AB209" s="189"/>
    </row>
    <row r="210" spans="1:28" ht="12.75" x14ac:dyDescent="0.2">
      <c r="A210" s="90">
        <v>203</v>
      </c>
      <c r="B210" s="129" t="s">
        <v>268</v>
      </c>
      <c r="C210" s="198" t="s">
        <v>742</v>
      </c>
      <c r="D210" s="131" t="s">
        <v>751</v>
      </c>
      <c r="E210" s="132" t="s">
        <v>267</v>
      </c>
      <c r="F210" s="63">
        <v>-3951622</v>
      </c>
      <c r="G210" s="63">
        <v>14992419</v>
      </c>
      <c r="H210" s="63">
        <v>0</v>
      </c>
      <c r="I210" s="63">
        <v>-55000</v>
      </c>
      <c r="J210" s="63">
        <v>2490000</v>
      </c>
      <c r="K210" s="63">
        <v>-2730000</v>
      </c>
      <c r="L210" s="63">
        <v>14697419</v>
      </c>
      <c r="M210" s="63">
        <v>20176</v>
      </c>
      <c r="N210" s="63">
        <v>0</v>
      </c>
      <c r="O210" s="63">
        <v>33210</v>
      </c>
      <c r="P210" s="63">
        <v>53386</v>
      </c>
      <c r="Q210" s="63">
        <v>0</v>
      </c>
      <c r="R210" s="63">
        <v>-8444221</v>
      </c>
      <c r="S210" s="63">
        <v>-1688844</v>
      </c>
      <c r="T210" s="63">
        <v>-6755377</v>
      </c>
      <c r="U210" s="63">
        <v>-215071</v>
      </c>
      <c r="V210" s="63">
        <v>-56054</v>
      </c>
      <c r="W210" s="63">
        <v>0</v>
      </c>
      <c r="X210" s="63">
        <v>-17159567</v>
      </c>
      <c r="Y210" s="63">
        <v>0</v>
      </c>
      <c r="Z210" s="63">
        <v>-6360384</v>
      </c>
      <c r="AB210" s="189"/>
    </row>
    <row r="211" spans="1:28" ht="12.75" x14ac:dyDescent="0.2">
      <c r="A211" s="90">
        <v>204</v>
      </c>
      <c r="B211" s="129" t="s">
        <v>269</v>
      </c>
      <c r="C211" s="198" t="s">
        <v>501</v>
      </c>
      <c r="D211" s="131" t="s">
        <v>743</v>
      </c>
      <c r="E211" s="132" t="s">
        <v>507</v>
      </c>
      <c r="F211" s="63">
        <v>2916000</v>
      </c>
      <c r="G211" s="63">
        <v>110169089</v>
      </c>
      <c r="H211" s="63">
        <v>-700000</v>
      </c>
      <c r="I211" s="63">
        <v>-44011</v>
      </c>
      <c r="J211" s="63">
        <v>0</v>
      </c>
      <c r="K211" s="63">
        <v>-6700000</v>
      </c>
      <c r="L211" s="63">
        <v>102725078</v>
      </c>
      <c r="M211" s="63">
        <v>0</v>
      </c>
      <c r="N211" s="63">
        <v>0</v>
      </c>
      <c r="O211" s="63">
        <v>0</v>
      </c>
      <c r="P211" s="63">
        <v>0</v>
      </c>
      <c r="Q211" s="63">
        <v>-120578</v>
      </c>
      <c r="R211" s="63">
        <v>-52607665</v>
      </c>
      <c r="S211" s="63">
        <v>-1052153</v>
      </c>
      <c r="T211" s="63">
        <v>-51555512</v>
      </c>
      <c r="U211" s="63">
        <v>-270170</v>
      </c>
      <c r="V211" s="63">
        <v>0</v>
      </c>
      <c r="W211" s="63">
        <v>-1735000</v>
      </c>
      <c r="X211" s="63">
        <v>-107341078</v>
      </c>
      <c r="Y211" s="63">
        <v>2700000</v>
      </c>
      <c r="Z211" s="63">
        <v>1000000</v>
      </c>
      <c r="AB211" s="189" t="s">
        <v>768</v>
      </c>
    </row>
    <row r="212" spans="1:28" ht="12.75" x14ac:dyDescent="0.2">
      <c r="A212" s="90">
        <v>205</v>
      </c>
      <c r="B212" s="129" t="s">
        <v>271</v>
      </c>
      <c r="C212" s="198" t="s">
        <v>747</v>
      </c>
      <c r="D212" s="131" t="s">
        <v>748</v>
      </c>
      <c r="E212" s="132" t="s">
        <v>270</v>
      </c>
      <c r="F212" s="63">
        <v>2601000</v>
      </c>
      <c r="G212" s="63">
        <v>52751291</v>
      </c>
      <c r="H212" s="63">
        <v>-915000</v>
      </c>
      <c r="I212" s="63">
        <v>-1265000</v>
      </c>
      <c r="J212" s="63">
        <v>0</v>
      </c>
      <c r="K212" s="63">
        <v>0</v>
      </c>
      <c r="L212" s="63">
        <v>50571291</v>
      </c>
      <c r="M212" s="63">
        <v>0</v>
      </c>
      <c r="N212" s="63">
        <v>0</v>
      </c>
      <c r="O212" s="63">
        <v>0</v>
      </c>
      <c r="P212" s="63">
        <v>0</v>
      </c>
      <c r="Q212" s="63">
        <v>0</v>
      </c>
      <c r="R212" s="63">
        <v>-26208779</v>
      </c>
      <c r="S212" s="63">
        <v>-10483512</v>
      </c>
      <c r="T212" s="63">
        <v>-15725000</v>
      </c>
      <c r="U212" s="63">
        <v>-281000</v>
      </c>
      <c r="V212" s="63">
        <v>0</v>
      </c>
      <c r="W212" s="63">
        <v>-1044000</v>
      </c>
      <c r="X212" s="63">
        <v>-53742291</v>
      </c>
      <c r="Y212" s="63">
        <v>0</v>
      </c>
      <c r="Z212" s="63">
        <v>-570000</v>
      </c>
      <c r="AB212" s="189"/>
    </row>
    <row r="213" spans="1:28" ht="12.75" x14ac:dyDescent="0.2">
      <c r="A213" s="90">
        <v>206</v>
      </c>
      <c r="B213" s="129" t="s">
        <v>272</v>
      </c>
      <c r="C213" s="198" t="s">
        <v>501</v>
      </c>
      <c r="D213" s="131" t="s">
        <v>755</v>
      </c>
      <c r="E213" s="132" t="s">
        <v>518</v>
      </c>
      <c r="F213" s="63">
        <v>29198823</v>
      </c>
      <c r="G213" s="63">
        <v>48994715</v>
      </c>
      <c r="H213" s="63">
        <v>0</v>
      </c>
      <c r="I213" s="63">
        <v>-10959715</v>
      </c>
      <c r="J213" s="63">
        <v>0</v>
      </c>
      <c r="K213" s="63">
        <v>-1321000</v>
      </c>
      <c r="L213" s="63">
        <v>36714000</v>
      </c>
      <c r="M213" s="63">
        <v>0</v>
      </c>
      <c r="N213" s="63">
        <v>0</v>
      </c>
      <c r="O213" s="63">
        <v>0</v>
      </c>
      <c r="P213" s="63">
        <v>0</v>
      </c>
      <c r="Q213" s="63">
        <v>0</v>
      </c>
      <c r="R213" s="63">
        <v>-23697000</v>
      </c>
      <c r="S213" s="63">
        <v>-476000</v>
      </c>
      <c r="T213" s="63">
        <v>-23223000</v>
      </c>
      <c r="U213" s="63">
        <v>0</v>
      </c>
      <c r="V213" s="63">
        <v>-449826</v>
      </c>
      <c r="W213" s="63">
        <v>-27869000</v>
      </c>
      <c r="X213" s="63">
        <v>-75714826</v>
      </c>
      <c r="Y213" s="63">
        <v>280410</v>
      </c>
      <c r="Z213" s="63">
        <v>-9521593</v>
      </c>
      <c r="AB213" s="189" t="s">
        <v>768</v>
      </c>
    </row>
    <row r="214" spans="1:28" ht="12.75" x14ac:dyDescent="0.2">
      <c r="A214" s="90">
        <v>207</v>
      </c>
      <c r="B214" s="129" t="s">
        <v>274</v>
      </c>
      <c r="C214" s="198" t="s">
        <v>742</v>
      </c>
      <c r="D214" s="131" t="s">
        <v>752</v>
      </c>
      <c r="E214" s="132" t="s">
        <v>273</v>
      </c>
      <c r="F214" s="63">
        <v>-4042125</v>
      </c>
      <c r="G214" s="63">
        <v>36332254</v>
      </c>
      <c r="H214" s="63">
        <v>0</v>
      </c>
      <c r="I214" s="63">
        <v>0</v>
      </c>
      <c r="J214" s="63">
        <v>668989</v>
      </c>
      <c r="K214" s="63">
        <v>-1261464</v>
      </c>
      <c r="L214" s="63">
        <v>35739779</v>
      </c>
      <c r="M214" s="63">
        <v>0</v>
      </c>
      <c r="N214" s="63">
        <v>0</v>
      </c>
      <c r="O214" s="63">
        <v>2286416</v>
      </c>
      <c r="P214" s="63">
        <v>2286416</v>
      </c>
      <c r="Q214" s="63">
        <v>-45232</v>
      </c>
      <c r="R214" s="63">
        <v>-18361715</v>
      </c>
      <c r="S214" s="63">
        <v>-14689372</v>
      </c>
      <c r="T214" s="63">
        <v>-3672343</v>
      </c>
      <c r="U214" s="63">
        <v>-109875</v>
      </c>
      <c r="V214" s="63">
        <v>0</v>
      </c>
      <c r="W214" s="63">
        <v>0</v>
      </c>
      <c r="X214" s="63">
        <v>-36878537</v>
      </c>
      <c r="Y214" s="63">
        <v>486404</v>
      </c>
      <c r="Z214" s="63">
        <v>-2408063</v>
      </c>
      <c r="AB214" s="189" t="s">
        <v>768</v>
      </c>
    </row>
    <row r="215" spans="1:28" ht="12.75" x14ac:dyDescent="0.2">
      <c r="A215" s="90">
        <v>208</v>
      </c>
      <c r="B215" s="129" t="s">
        <v>275</v>
      </c>
      <c r="C215" s="198" t="s">
        <v>742</v>
      </c>
      <c r="D215" s="131" t="s">
        <v>743</v>
      </c>
      <c r="E215" s="132" t="s">
        <v>549</v>
      </c>
      <c r="F215" s="63">
        <v>-2196907</v>
      </c>
      <c r="G215" s="63">
        <v>50238070</v>
      </c>
      <c r="H215" s="63">
        <v>-193500</v>
      </c>
      <c r="I215" s="63">
        <v>-19175</v>
      </c>
      <c r="J215" s="63">
        <v>493601</v>
      </c>
      <c r="K215" s="63">
        <v>-2025331</v>
      </c>
      <c r="L215" s="63">
        <v>48493665</v>
      </c>
      <c r="M215" s="63">
        <v>150000</v>
      </c>
      <c r="N215" s="63">
        <v>0</v>
      </c>
      <c r="O215" s="63">
        <v>0</v>
      </c>
      <c r="P215" s="63">
        <v>150000</v>
      </c>
      <c r="Q215" s="63">
        <v>-20604</v>
      </c>
      <c r="R215" s="63">
        <v>-24403433</v>
      </c>
      <c r="S215" s="63">
        <v>-4880687</v>
      </c>
      <c r="T215" s="63">
        <v>-19522746</v>
      </c>
      <c r="U215" s="63">
        <v>-172098</v>
      </c>
      <c r="V215" s="63">
        <v>0</v>
      </c>
      <c r="W215" s="63">
        <v>-1681571</v>
      </c>
      <c r="X215" s="63">
        <v>-50681139</v>
      </c>
      <c r="Y215" s="63">
        <v>0</v>
      </c>
      <c r="Z215" s="63">
        <v>-4234381</v>
      </c>
      <c r="AB215" s="189"/>
    </row>
    <row r="216" spans="1:28" ht="12.75" x14ac:dyDescent="0.2">
      <c r="A216" s="90">
        <v>209</v>
      </c>
      <c r="B216" s="129" t="s">
        <v>277</v>
      </c>
      <c r="C216" s="198" t="s">
        <v>742</v>
      </c>
      <c r="D216" s="131" t="s">
        <v>744</v>
      </c>
      <c r="E216" s="132" t="s">
        <v>276</v>
      </c>
      <c r="F216" s="63">
        <v>-222238</v>
      </c>
      <c r="G216" s="63">
        <v>14615777</v>
      </c>
      <c r="H216" s="63">
        <v>0</v>
      </c>
      <c r="I216" s="63">
        <v>-116000</v>
      </c>
      <c r="J216" s="63">
        <v>0</v>
      </c>
      <c r="K216" s="63">
        <v>-806200</v>
      </c>
      <c r="L216" s="63">
        <v>13693577</v>
      </c>
      <c r="M216" s="63">
        <v>0</v>
      </c>
      <c r="N216" s="63">
        <v>0</v>
      </c>
      <c r="O216" s="63">
        <v>115340</v>
      </c>
      <c r="P216" s="63">
        <v>115340</v>
      </c>
      <c r="Q216" s="63">
        <v>-11422</v>
      </c>
      <c r="R216" s="63">
        <v>-7254738</v>
      </c>
      <c r="S216" s="63">
        <v>-1450948</v>
      </c>
      <c r="T216" s="63">
        <v>-5803790</v>
      </c>
      <c r="U216" s="63">
        <v>-117512</v>
      </c>
      <c r="V216" s="63">
        <v>0</v>
      </c>
      <c r="W216" s="63">
        <v>0</v>
      </c>
      <c r="X216" s="63">
        <v>-14638410</v>
      </c>
      <c r="Y216" s="63">
        <v>0</v>
      </c>
      <c r="Z216" s="63">
        <v>-1051731</v>
      </c>
      <c r="AB216" s="189"/>
    </row>
    <row r="217" spans="1:28" ht="12.75" x14ac:dyDescent="0.2">
      <c r="A217" s="90">
        <v>210</v>
      </c>
      <c r="B217" s="129" t="s">
        <v>279</v>
      </c>
      <c r="C217" s="198" t="s">
        <v>747</v>
      </c>
      <c r="D217" s="131" t="s">
        <v>748</v>
      </c>
      <c r="E217" s="132" t="s">
        <v>278</v>
      </c>
      <c r="F217" s="63">
        <v>-7917000</v>
      </c>
      <c r="G217" s="63">
        <v>82484000</v>
      </c>
      <c r="H217" s="63">
        <v>-58000</v>
      </c>
      <c r="I217" s="63">
        <v>69000</v>
      </c>
      <c r="J217" s="63">
        <v>2903000</v>
      </c>
      <c r="K217" s="63">
        <v>-2182000</v>
      </c>
      <c r="L217" s="63">
        <v>83216000</v>
      </c>
      <c r="M217" s="63">
        <v>0</v>
      </c>
      <c r="N217" s="63">
        <v>0</v>
      </c>
      <c r="O217" s="63">
        <v>3443000</v>
      </c>
      <c r="P217" s="63">
        <v>3443000</v>
      </c>
      <c r="Q217" s="63">
        <v>0</v>
      </c>
      <c r="R217" s="63">
        <v>-40804000</v>
      </c>
      <c r="S217" s="63">
        <v>-16322000</v>
      </c>
      <c r="T217" s="63">
        <v>-24483000</v>
      </c>
      <c r="U217" s="63">
        <v>-299000</v>
      </c>
      <c r="V217" s="63">
        <v>0</v>
      </c>
      <c r="W217" s="63">
        <v>0</v>
      </c>
      <c r="X217" s="63">
        <v>-81908000</v>
      </c>
      <c r="Y217" s="63">
        <v>0</v>
      </c>
      <c r="Z217" s="63">
        <v>-3166000</v>
      </c>
      <c r="AB217" s="189"/>
    </row>
    <row r="218" spans="1:28" ht="12.75" x14ac:dyDescent="0.2">
      <c r="A218" s="90">
        <v>211</v>
      </c>
      <c r="B218" s="129" t="s">
        <v>281</v>
      </c>
      <c r="C218" s="198" t="s">
        <v>742</v>
      </c>
      <c r="D218" s="131" t="s">
        <v>750</v>
      </c>
      <c r="E218" s="132" t="s">
        <v>280</v>
      </c>
      <c r="F218" s="63">
        <v>-4576162</v>
      </c>
      <c r="G218" s="63">
        <v>12753400</v>
      </c>
      <c r="H218" s="63">
        <v>0</v>
      </c>
      <c r="I218" s="63">
        <v>-187034</v>
      </c>
      <c r="J218" s="63">
        <v>988500</v>
      </c>
      <c r="K218" s="63">
        <v>-1999450</v>
      </c>
      <c r="L218" s="63">
        <v>11555416</v>
      </c>
      <c r="M218" s="63">
        <v>8694</v>
      </c>
      <c r="N218" s="63">
        <v>0</v>
      </c>
      <c r="O218" s="63">
        <v>3775364</v>
      </c>
      <c r="P218" s="63">
        <v>3784058</v>
      </c>
      <c r="Q218" s="63">
        <v>0</v>
      </c>
      <c r="R218" s="63">
        <v>-6162853</v>
      </c>
      <c r="S218" s="63">
        <v>-1232571</v>
      </c>
      <c r="T218" s="63">
        <v>-4930282</v>
      </c>
      <c r="U218" s="63">
        <v>-96555</v>
      </c>
      <c r="V218" s="63">
        <v>0</v>
      </c>
      <c r="W218" s="63">
        <v>0</v>
      </c>
      <c r="X218" s="63">
        <v>-12422261</v>
      </c>
      <c r="Y218" s="63">
        <v>0</v>
      </c>
      <c r="Z218" s="63">
        <v>-1658949</v>
      </c>
      <c r="AB218" s="189"/>
    </row>
    <row r="219" spans="1:28" ht="12.75" x14ac:dyDescent="0.2">
      <c r="A219" s="90">
        <v>212</v>
      </c>
      <c r="B219" s="129" t="s">
        <v>283</v>
      </c>
      <c r="C219" s="198" t="s">
        <v>749</v>
      </c>
      <c r="D219" s="131" t="s">
        <v>744</v>
      </c>
      <c r="E219" s="132" t="s">
        <v>282</v>
      </c>
      <c r="F219" s="63">
        <v>-5850639</v>
      </c>
      <c r="G219" s="63">
        <v>66990687</v>
      </c>
      <c r="H219" s="63">
        <v>0</v>
      </c>
      <c r="I219" s="63">
        <v>-1100000</v>
      </c>
      <c r="J219" s="63">
        <v>1020600</v>
      </c>
      <c r="K219" s="63">
        <v>-3950600</v>
      </c>
      <c r="L219" s="63">
        <v>62960687</v>
      </c>
      <c r="M219" s="63">
        <v>0</v>
      </c>
      <c r="N219" s="63">
        <v>0</v>
      </c>
      <c r="O219" s="63">
        <v>2234000</v>
      </c>
      <c r="P219" s="63">
        <v>2234000</v>
      </c>
      <c r="Q219" s="63">
        <v>0</v>
      </c>
      <c r="R219" s="63">
        <v>-30713697</v>
      </c>
      <c r="S219" s="63">
        <v>-614274</v>
      </c>
      <c r="T219" s="63">
        <v>-30099424</v>
      </c>
      <c r="U219" s="63">
        <v>-285653</v>
      </c>
      <c r="V219" s="63">
        <v>0</v>
      </c>
      <c r="W219" s="63">
        <v>0</v>
      </c>
      <c r="X219" s="63">
        <v>-61713048</v>
      </c>
      <c r="Y219" s="63">
        <v>0</v>
      </c>
      <c r="Z219" s="63">
        <v>-2369000</v>
      </c>
      <c r="AB219" s="189"/>
    </row>
    <row r="220" spans="1:28" ht="12.75" x14ac:dyDescent="0.2">
      <c r="A220" s="90">
        <v>213</v>
      </c>
      <c r="B220" s="129" t="s">
        <v>285</v>
      </c>
      <c r="C220" s="198" t="s">
        <v>742</v>
      </c>
      <c r="D220" s="131" t="s">
        <v>746</v>
      </c>
      <c r="E220" s="132" t="s">
        <v>284</v>
      </c>
      <c r="F220" s="63">
        <v>-1926421</v>
      </c>
      <c r="G220" s="63">
        <v>15225512</v>
      </c>
      <c r="H220" s="63">
        <v>-88981</v>
      </c>
      <c r="I220" s="63">
        <v>-27213</v>
      </c>
      <c r="J220" s="63">
        <v>134304</v>
      </c>
      <c r="K220" s="63">
        <v>-160922</v>
      </c>
      <c r="L220" s="63">
        <v>15082700</v>
      </c>
      <c r="M220" s="63">
        <v>0</v>
      </c>
      <c r="N220" s="63">
        <v>0</v>
      </c>
      <c r="O220" s="63">
        <v>0</v>
      </c>
      <c r="P220" s="63">
        <v>0</v>
      </c>
      <c r="Q220" s="63">
        <v>-9938</v>
      </c>
      <c r="R220" s="63">
        <v>-7357245</v>
      </c>
      <c r="S220" s="63">
        <v>-1471450</v>
      </c>
      <c r="T220" s="63">
        <v>-5885797</v>
      </c>
      <c r="U220" s="63">
        <v>-85235</v>
      </c>
      <c r="V220" s="63">
        <v>0</v>
      </c>
      <c r="W220" s="63">
        <v>0</v>
      </c>
      <c r="X220" s="63">
        <v>-14809665</v>
      </c>
      <c r="Y220" s="63">
        <v>0</v>
      </c>
      <c r="Z220" s="63">
        <v>-1653386</v>
      </c>
      <c r="AB220" s="189"/>
    </row>
    <row r="221" spans="1:28" ht="12.75" x14ac:dyDescent="0.2">
      <c r="A221" s="90">
        <v>214</v>
      </c>
      <c r="B221" s="129" t="s">
        <v>287</v>
      </c>
      <c r="C221" s="198" t="s">
        <v>742</v>
      </c>
      <c r="D221" s="131" t="s">
        <v>744</v>
      </c>
      <c r="E221" s="132" t="s">
        <v>286</v>
      </c>
      <c r="F221" s="63">
        <v>105107</v>
      </c>
      <c r="G221" s="63">
        <v>13355955</v>
      </c>
      <c r="H221" s="63">
        <v>0</v>
      </c>
      <c r="I221" s="63">
        <v>-370795</v>
      </c>
      <c r="J221" s="63">
        <v>0</v>
      </c>
      <c r="K221" s="63">
        <v>-772509</v>
      </c>
      <c r="L221" s="63">
        <v>12212651</v>
      </c>
      <c r="M221" s="63">
        <v>0</v>
      </c>
      <c r="N221" s="63">
        <v>0</v>
      </c>
      <c r="O221" s="63">
        <v>0</v>
      </c>
      <c r="P221" s="63">
        <v>0</v>
      </c>
      <c r="Q221" s="63">
        <v>0</v>
      </c>
      <c r="R221" s="63">
        <v>-6891026</v>
      </c>
      <c r="S221" s="63">
        <v>-1378206</v>
      </c>
      <c r="T221" s="63">
        <v>-5512821</v>
      </c>
      <c r="U221" s="63">
        <v>-101000</v>
      </c>
      <c r="V221" s="63">
        <v>0</v>
      </c>
      <c r="W221" s="63">
        <v>0</v>
      </c>
      <c r="X221" s="63">
        <v>-13883053</v>
      </c>
      <c r="Y221" s="63">
        <v>0</v>
      </c>
      <c r="Z221" s="63">
        <v>-1565295</v>
      </c>
      <c r="AB221" s="189"/>
    </row>
    <row r="222" spans="1:28" ht="12.75" x14ac:dyDescent="0.2">
      <c r="A222" s="90">
        <v>215</v>
      </c>
      <c r="B222" s="129" t="s">
        <v>289</v>
      </c>
      <c r="C222" s="198" t="s">
        <v>742</v>
      </c>
      <c r="D222" s="131" t="s">
        <v>743</v>
      </c>
      <c r="E222" s="132" t="s">
        <v>288</v>
      </c>
      <c r="F222" s="63">
        <v>141024</v>
      </c>
      <c r="G222" s="63">
        <v>17019485</v>
      </c>
      <c r="H222" s="63">
        <v>-80000</v>
      </c>
      <c r="I222" s="63">
        <v>21000</v>
      </c>
      <c r="J222" s="63">
        <v>0</v>
      </c>
      <c r="K222" s="63">
        <v>-707000</v>
      </c>
      <c r="L222" s="63">
        <v>16253485</v>
      </c>
      <c r="M222" s="63">
        <v>26976</v>
      </c>
      <c r="N222" s="63">
        <v>0</v>
      </c>
      <c r="O222" s="63">
        <v>0</v>
      </c>
      <c r="P222" s="63">
        <v>26976</v>
      </c>
      <c r="Q222" s="63">
        <v>0</v>
      </c>
      <c r="R222" s="63">
        <v>-8388824</v>
      </c>
      <c r="S222" s="63">
        <v>-1677764</v>
      </c>
      <c r="T222" s="63">
        <v>-6711059</v>
      </c>
      <c r="U222" s="63">
        <v>-146945</v>
      </c>
      <c r="V222" s="63">
        <v>0</v>
      </c>
      <c r="W222" s="63">
        <v>-312492</v>
      </c>
      <c r="X222" s="63">
        <v>-17237084</v>
      </c>
      <c r="Y222" s="63">
        <v>0</v>
      </c>
      <c r="Z222" s="63">
        <v>-815599</v>
      </c>
      <c r="AB222" s="189"/>
    </row>
    <row r="223" spans="1:28" ht="12.75" x14ac:dyDescent="0.2">
      <c r="A223" s="90">
        <v>216</v>
      </c>
      <c r="B223" s="129" t="s">
        <v>291</v>
      </c>
      <c r="C223" s="198" t="s">
        <v>749</v>
      </c>
      <c r="D223" s="131" t="s">
        <v>750</v>
      </c>
      <c r="E223" s="132" t="s">
        <v>290</v>
      </c>
      <c r="F223" s="63">
        <v>-4903618</v>
      </c>
      <c r="G223" s="63">
        <v>73605026</v>
      </c>
      <c r="H223" s="63">
        <v>0</v>
      </c>
      <c r="I223" s="63">
        <v>0</v>
      </c>
      <c r="J223" s="63">
        <v>0</v>
      </c>
      <c r="K223" s="63">
        <v>4025022</v>
      </c>
      <c r="L223" s="63">
        <v>77630048</v>
      </c>
      <c r="M223" s="63">
        <v>0</v>
      </c>
      <c r="N223" s="63">
        <v>0</v>
      </c>
      <c r="O223" s="63">
        <v>0</v>
      </c>
      <c r="P223" s="63">
        <v>0</v>
      </c>
      <c r="Q223" s="63">
        <v>-75704</v>
      </c>
      <c r="R223" s="63">
        <v>-36651024</v>
      </c>
      <c r="S223" s="63">
        <v>-738995</v>
      </c>
      <c r="T223" s="63">
        <v>-36210731</v>
      </c>
      <c r="U223" s="63">
        <v>-765609</v>
      </c>
      <c r="V223" s="63">
        <v>0</v>
      </c>
      <c r="W223" s="63">
        <v>0</v>
      </c>
      <c r="X223" s="63">
        <v>-74442063</v>
      </c>
      <c r="Y223" s="63">
        <v>0</v>
      </c>
      <c r="Z223" s="63">
        <v>-1715633</v>
      </c>
      <c r="AB223" s="189"/>
    </row>
    <row r="224" spans="1:28" ht="12.75" x14ac:dyDescent="0.2">
      <c r="A224" s="90">
        <v>217</v>
      </c>
      <c r="B224" s="129" t="s">
        <v>293</v>
      </c>
      <c r="C224" s="198" t="s">
        <v>742</v>
      </c>
      <c r="D224" s="131" t="s">
        <v>752</v>
      </c>
      <c r="E224" s="132" t="s">
        <v>292</v>
      </c>
      <c r="F224" s="63">
        <v>-617028</v>
      </c>
      <c r="G224" s="63">
        <v>45983062</v>
      </c>
      <c r="H224" s="63">
        <v>0</v>
      </c>
      <c r="I224" s="63">
        <v>-240000</v>
      </c>
      <c r="J224" s="63">
        <v>1524755</v>
      </c>
      <c r="K224" s="63">
        <v>-3421381</v>
      </c>
      <c r="L224" s="63">
        <v>43846436</v>
      </c>
      <c r="M224" s="63">
        <v>0</v>
      </c>
      <c r="N224" s="63">
        <v>0</v>
      </c>
      <c r="O224" s="63">
        <v>0</v>
      </c>
      <c r="P224" s="63">
        <v>0</v>
      </c>
      <c r="Q224" s="63">
        <v>-203030</v>
      </c>
      <c r="R224" s="63">
        <v>-23192984</v>
      </c>
      <c r="S224" s="63">
        <v>-4638597</v>
      </c>
      <c r="T224" s="63">
        <v>-18554388</v>
      </c>
      <c r="U224" s="63">
        <v>-137030</v>
      </c>
      <c r="V224" s="63">
        <v>0</v>
      </c>
      <c r="W224" s="63">
        <v>-208834</v>
      </c>
      <c r="X224" s="63">
        <v>-46934863</v>
      </c>
      <c r="Y224" s="63">
        <v>0</v>
      </c>
      <c r="Z224" s="63">
        <v>-3705455</v>
      </c>
      <c r="AB224" s="189"/>
    </row>
    <row r="225" spans="1:28" ht="12.75" x14ac:dyDescent="0.2">
      <c r="A225" s="90">
        <v>218</v>
      </c>
      <c r="B225" s="129" t="s">
        <v>295</v>
      </c>
      <c r="C225" s="198" t="s">
        <v>742</v>
      </c>
      <c r="D225" s="131" t="s">
        <v>743</v>
      </c>
      <c r="E225" s="132" t="s">
        <v>294</v>
      </c>
      <c r="F225" s="63">
        <v>-5616000</v>
      </c>
      <c r="G225" s="63">
        <v>45893175</v>
      </c>
      <c r="H225" s="63">
        <v>-338890</v>
      </c>
      <c r="I225" s="63">
        <v>-409000</v>
      </c>
      <c r="J225" s="63">
        <v>0</v>
      </c>
      <c r="K225" s="63">
        <v>-965000</v>
      </c>
      <c r="L225" s="63">
        <v>44180285</v>
      </c>
      <c r="M225" s="63">
        <v>0</v>
      </c>
      <c r="N225" s="63">
        <v>0</v>
      </c>
      <c r="O225" s="63">
        <v>2674227</v>
      </c>
      <c r="P225" s="63">
        <v>2674227</v>
      </c>
      <c r="Q225" s="63">
        <v>0</v>
      </c>
      <c r="R225" s="63">
        <v>-22372642</v>
      </c>
      <c r="S225" s="63">
        <v>-4474528</v>
      </c>
      <c r="T225" s="63">
        <v>-17898114</v>
      </c>
      <c r="U225" s="63">
        <v>-126689</v>
      </c>
      <c r="V225" s="63">
        <v>0</v>
      </c>
      <c r="W225" s="63">
        <v>0</v>
      </c>
      <c r="X225" s="63">
        <v>-44871973</v>
      </c>
      <c r="Y225" s="63">
        <v>0</v>
      </c>
      <c r="Z225" s="63">
        <v>-3633461</v>
      </c>
      <c r="AB225" s="189"/>
    </row>
    <row r="226" spans="1:28" ht="12.75" x14ac:dyDescent="0.2">
      <c r="A226" s="90">
        <v>219</v>
      </c>
      <c r="B226" s="129" t="s">
        <v>297</v>
      </c>
      <c r="C226" s="198" t="s">
        <v>742</v>
      </c>
      <c r="D226" s="131" t="s">
        <v>745</v>
      </c>
      <c r="E226" s="132" t="s">
        <v>296</v>
      </c>
      <c r="F226" s="63">
        <v>-2164211</v>
      </c>
      <c r="G226" s="63">
        <v>27582754</v>
      </c>
      <c r="H226" s="63">
        <v>0</v>
      </c>
      <c r="I226" s="63">
        <v>-56226</v>
      </c>
      <c r="J226" s="63">
        <v>697315</v>
      </c>
      <c r="K226" s="63">
        <v>-1283151</v>
      </c>
      <c r="L226" s="63">
        <v>26940692</v>
      </c>
      <c r="M226" s="63">
        <v>9031</v>
      </c>
      <c r="N226" s="63">
        <v>11770</v>
      </c>
      <c r="O226" s="63">
        <v>1244636</v>
      </c>
      <c r="P226" s="63">
        <v>1265437</v>
      </c>
      <c r="Q226" s="63">
        <v>-84799</v>
      </c>
      <c r="R226" s="63">
        <v>-13319997</v>
      </c>
      <c r="S226" s="63">
        <v>-2663999</v>
      </c>
      <c r="T226" s="63">
        <v>-10655997</v>
      </c>
      <c r="U226" s="63">
        <v>-168144</v>
      </c>
      <c r="V226" s="63">
        <v>0</v>
      </c>
      <c r="W226" s="63">
        <v>0</v>
      </c>
      <c r="X226" s="63">
        <v>-26892936</v>
      </c>
      <c r="Y226" s="63">
        <v>196000</v>
      </c>
      <c r="Z226" s="63">
        <v>-655018</v>
      </c>
      <c r="AB226" s="189" t="s">
        <v>768</v>
      </c>
    </row>
    <row r="227" spans="1:28" ht="12.75" x14ac:dyDescent="0.2">
      <c r="A227" s="90">
        <v>220</v>
      </c>
      <c r="B227" s="129" t="s">
        <v>299</v>
      </c>
      <c r="C227" s="198" t="s">
        <v>742</v>
      </c>
      <c r="D227" s="131" t="s">
        <v>743</v>
      </c>
      <c r="E227" s="132" t="s">
        <v>298</v>
      </c>
      <c r="F227" s="63">
        <v>11584363</v>
      </c>
      <c r="G227" s="63">
        <v>46976771</v>
      </c>
      <c r="H227" s="63">
        <v>0</v>
      </c>
      <c r="I227" s="63">
        <v>-282593</v>
      </c>
      <c r="J227" s="63">
        <v>672150</v>
      </c>
      <c r="K227" s="63">
        <v>-2261525</v>
      </c>
      <c r="L227" s="63">
        <v>45104803</v>
      </c>
      <c r="M227" s="63">
        <v>0</v>
      </c>
      <c r="N227" s="63">
        <v>0</v>
      </c>
      <c r="O227" s="63">
        <v>0</v>
      </c>
      <c r="P227" s="63">
        <v>0</v>
      </c>
      <c r="Q227" s="63">
        <v>-31327</v>
      </c>
      <c r="R227" s="63">
        <v>-23275415</v>
      </c>
      <c r="S227" s="63">
        <v>-4655083</v>
      </c>
      <c r="T227" s="63">
        <v>-18620332</v>
      </c>
      <c r="U227" s="63">
        <v>-123644</v>
      </c>
      <c r="V227" s="63">
        <v>0</v>
      </c>
      <c r="W227" s="63">
        <v>-10885526</v>
      </c>
      <c r="X227" s="63">
        <v>-57591327</v>
      </c>
      <c r="Y227" s="63">
        <v>0</v>
      </c>
      <c r="Z227" s="63">
        <v>-902161</v>
      </c>
      <c r="AB227" s="189"/>
    </row>
    <row r="228" spans="1:28" ht="12.75" x14ac:dyDescent="0.2">
      <c r="A228" s="90">
        <v>221</v>
      </c>
      <c r="B228" s="129" t="s">
        <v>300</v>
      </c>
      <c r="C228" s="198" t="s">
        <v>501</v>
      </c>
      <c r="D228" s="131" t="s">
        <v>745</v>
      </c>
      <c r="E228" s="132" t="s">
        <v>541</v>
      </c>
      <c r="F228" s="63">
        <v>-506170</v>
      </c>
      <c r="G228" s="63">
        <v>10323969</v>
      </c>
      <c r="H228" s="63">
        <v>0</v>
      </c>
      <c r="I228" s="63">
        <v>-25000</v>
      </c>
      <c r="J228" s="63">
        <v>78566</v>
      </c>
      <c r="K228" s="63">
        <v>0</v>
      </c>
      <c r="L228" s="63">
        <v>10377535</v>
      </c>
      <c r="M228" s="63">
        <v>0</v>
      </c>
      <c r="N228" s="63">
        <v>0</v>
      </c>
      <c r="O228" s="63">
        <v>601729</v>
      </c>
      <c r="P228" s="63">
        <v>601729</v>
      </c>
      <c r="Q228" s="63">
        <v>0</v>
      </c>
      <c r="R228" s="63">
        <v>-5126959</v>
      </c>
      <c r="S228" s="63">
        <v>-102539</v>
      </c>
      <c r="T228" s="63">
        <v>-5024419</v>
      </c>
      <c r="U228" s="63">
        <v>0</v>
      </c>
      <c r="V228" s="63">
        <v>-54620</v>
      </c>
      <c r="W228" s="63">
        <v>0</v>
      </c>
      <c r="X228" s="63">
        <v>-10308537</v>
      </c>
      <c r="Y228" s="63">
        <v>0</v>
      </c>
      <c r="Z228" s="63">
        <v>164557</v>
      </c>
      <c r="AB228" s="189"/>
    </row>
    <row r="229" spans="1:28" ht="12.75" x14ac:dyDescent="0.2">
      <c r="A229" s="90">
        <v>222</v>
      </c>
      <c r="B229" s="129" t="s">
        <v>302</v>
      </c>
      <c r="C229" s="198" t="s">
        <v>742</v>
      </c>
      <c r="D229" s="131" t="s">
        <v>750</v>
      </c>
      <c r="E229" s="132" t="s">
        <v>301</v>
      </c>
      <c r="F229" s="63">
        <v>-1438288</v>
      </c>
      <c r="G229" s="63">
        <v>16750000</v>
      </c>
      <c r="H229" s="63">
        <v>-120000</v>
      </c>
      <c r="I229" s="63">
        <v>0</v>
      </c>
      <c r="J229" s="63">
        <v>461000</v>
      </c>
      <c r="K229" s="63">
        <v>-700000</v>
      </c>
      <c r="L229" s="63">
        <v>16391000</v>
      </c>
      <c r="M229" s="63">
        <v>0</v>
      </c>
      <c r="N229" s="63">
        <v>0</v>
      </c>
      <c r="O229" s="63">
        <v>1800521</v>
      </c>
      <c r="P229" s="63">
        <v>1800521</v>
      </c>
      <c r="Q229" s="63">
        <v>-239956</v>
      </c>
      <c r="R229" s="63">
        <v>-8196051</v>
      </c>
      <c r="S229" s="63">
        <v>-1639210</v>
      </c>
      <c r="T229" s="63">
        <v>-6556840</v>
      </c>
      <c r="U229" s="63">
        <v>-117111</v>
      </c>
      <c r="V229" s="63">
        <v>0</v>
      </c>
      <c r="W229" s="63">
        <v>0</v>
      </c>
      <c r="X229" s="63">
        <v>-16749168</v>
      </c>
      <c r="Y229" s="63">
        <v>0</v>
      </c>
      <c r="Z229" s="63">
        <v>4065</v>
      </c>
      <c r="AB229" s="189"/>
    </row>
    <row r="230" spans="1:28" ht="12.75" x14ac:dyDescent="0.2">
      <c r="A230" s="90">
        <v>223</v>
      </c>
      <c r="B230" s="129" t="s">
        <v>304</v>
      </c>
      <c r="C230" s="198" t="s">
        <v>749</v>
      </c>
      <c r="D230" s="131" t="s">
        <v>744</v>
      </c>
      <c r="E230" s="132" t="s">
        <v>303</v>
      </c>
      <c r="F230" s="63">
        <v>-2100001</v>
      </c>
      <c r="G230" s="63">
        <v>100775026</v>
      </c>
      <c r="H230" s="63">
        <v>0</v>
      </c>
      <c r="I230" s="63">
        <v>-4292590</v>
      </c>
      <c r="J230" s="63">
        <v>4684787</v>
      </c>
      <c r="K230" s="63">
        <v>-12049865</v>
      </c>
      <c r="L230" s="63">
        <v>89117358</v>
      </c>
      <c r="M230" s="63">
        <v>24547</v>
      </c>
      <c r="N230" s="63">
        <v>0</v>
      </c>
      <c r="O230" s="63">
        <v>2100001</v>
      </c>
      <c r="P230" s="63">
        <v>2124548</v>
      </c>
      <c r="Q230" s="63">
        <v>0</v>
      </c>
      <c r="R230" s="63">
        <v>-47869883</v>
      </c>
      <c r="S230" s="63">
        <v>-957398</v>
      </c>
      <c r="T230" s="63">
        <v>-46912485</v>
      </c>
      <c r="U230" s="63">
        <v>-445996</v>
      </c>
      <c r="V230" s="63">
        <v>-99000</v>
      </c>
      <c r="W230" s="63">
        <v>0</v>
      </c>
      <c r="X230" s="63">
        <v>-96284762</v>
      </c>
      <c r="Y230" s="63">
        <v>0</v>
      </c>
      <c r="Z230" s="63">
        <v>-7142857</v>
      </c>
      <c r="AB230" s="189"/>
    </row>
    <row r="231" spans="1:28" ht="12.75" x14ac:dyDescent="0.2">
      <c r="A231" s="90">
        <v>224</v>
      </c>
      <c r="B231" s="129" t="s">
        <v>306</v>
      </c>
      <c r="C231" s="198" t="s">
        <v>749</v>
      </c>
      <c r="D231" s="131" t="s">
        <v>752</v>
      </c>
      <c r="E231" s="132" t="s">
        <v>305</v>
      </c>
      <c r="F231" s="63">
        <v>-4877502</v>
      </c>
      <c r="G231" s="63">
        <v>106755978</v>
      </c>
      <c r="H231" s="63">
        <v>-2231000</v>
      </c>
      <c r="I231" s="63">
        <v>-160620</v>
      </c>
      <c r="J231" s="63">
        <v>0</v>
      </c>
      <c r="K231" s="63">
        <v>-386562</v>
      </c>
      <c r="L231" s="63">
        <v>103977796</v>
      </c>
      <c r="M231" s="63">
        <v>0</v>
      </c>
      <c r="N231" s="63">
        <v>0</v>
      </c>
      <c r="O231" s="63">
        <v>869676</v>
      </c>
      <c r="P231" s="63">
        <v>869676</v>
      </c>
      <c r="Q231" s="63">
        <v>0</v>
      </c>
      <c r="R231" s="63">
        <v>-51429340</v>
      </c>
      <c r="S231" s="63">
        <v>-1028587</v>
      </c>
      <c r="T231" s="63">
        <v>-50400753</v>
      </c>
      <c r="U231" s="63">
        <v>-451968</v>
      </c>
      <c r="V231" s="63">
        <v>0</v>
      </c>
      <c r="W231" s="63">
        <v>0</v>
      </c>
      <c r="X231" s="63">
        <v>-103310648</v>
      </c>
      <c r="Y231" s="63">
        <v>0</v>
      </c>
      <c r="Z231" s="63">
        <v>-3340678</v>
      </c>
      <c r="AB231" s="189"/>
    </row>
    <row r="232" spans="1:28" ht="12.75" x14ac:dyDescent="0.2">
      <c r="A232" s="90">
        <v>225</v>
      </c>
      <c r="B232" s="129" t="s">
        <v>308</v>
      </c>
      <c r="C232" s="198" t="s">
        <v>742</v>
      </c>
      <c r="D232" s="131" t="s">
        <v>750</v>
      </c>
      <c r="E232" s="132" t="s">
        <v>307</v>
      </c>
      <c r="F232" s="63">
        <v>-3149525</v>
      </c>
      <c r="G232" s="63">
        <v>34253168</v>
      </c>
      <c r="H232" s="63">
        <v>-210475</v>
      </c>
      <c r="I232" s="63">
        <v>67850</v>
      </c>
      <c r="J232" s="63">
        <v>721581</v>
      </c>
      <c r="K232" s="63">
        <v>-2060496</v>
      </c>
      <c r="L232" s="63">
        <v>32771628</v>
      </c>
      <c r="M232" s="63">
        <v>16435</v>
      </c>
      <c r="N232" s="63">
        <v>0</v>
      </c>
      <c r="O232" s="63">
        <v>3229409</v>
      </c>
      <c r="P232" s="63">
        <v>3245844</v>
      </c>
      <c r="Q232" s="63">
        <v>0</v>
      </c>
      <c r="R232" s="63">
        <v>-16273222</v>
      </c>
      <c r="S232" s="63">
        <v>-3254644</v>
      </c>
      <c r="T232" s="63">
        <v>-13018577</v>
      </c>
      <c r="U232" s="63">
        <v>-254871</v>
      </c>
      <c r="V232" s="63">
        <v>0</v>
      </c>
      <c r="W232" s="63">
        <v>0</v>
      </c>
      <c r="X232" s="63">
        <v>-32801314</v>
      </c>
      <c r="Y232" s="63">
        <v>0</v>
      </c>
      <c r="Z232" s="63">
        <v>66633</v>
      </c>
      <c r="AB232" s="189"/>
    </row>
    <row r="233" spans="1:28" ht="12.75" x14ac:dyDescent="0.2">
      <c r="A233" s="90">
        <v>226</v>
      </c>
      <c r="B233" s="129" t="s">
        <v>310</v>
      </c>
      <c r="C233" s="198" t="s">
        <v>742</v>
      </c>
      <c r="D233" s="131" t="s">
        <v>751</v>
      </c>
      <c r="E233" s="132" t="s">
        <v>309</v>
      </c>
      <c r="F233" s="63">
        <v>-602207</v>
      </c>
      <c r="G233" s="63">
        <v>37502605</v>
      </c>
      <c r="H233" s="63">
        <v>-113000</v>
      </c>
      <c r="I233" s="63">
        <v>400000</v>
      </c>
      <c r="J233" s="63">
        <v>968000</v>
      </c>
      <c r="K233" s="63">
        <v>-1588379</v>
      </c>
      <c r="L233" s="63">
        <v>37169226</v>
      </c>
      <c r="M233" s="63">
        <v>315000</v>
      </c>
      <c r="N233" s="63">
        <v>0</v>
      </c>
      <c r="O233" s="63">
        <v>0</v>
      </c>
      <c r="P233" s="63">
        <v>315000</v>
      </c>
      <c r="Q233" s="63">
        <v>0</v>
      </c>
      <c r="R233" s="63">
        <v>-18324849</v>
      </c>
      <c r="S233" s="63">
        <v>-18324849</v>
      </c>
      <c r="T233" s="63">
        <v>-162577</v>
      </c>
      <c r="U233" s="63">
        <v>-84378</v>
      </c>
      <c r="V233" s="63">
        <v>-64027</v>
      </c>
      <c r="W233" s="63">
        <v>-110576</v>
      </c>
      <c r="X233" s="63">
        <v>-37071256</v>
      </c>
      <c r="Y233" s="63">
        <v>0</v>
      </c>
      <c r="Z233" s="63">
        <v>-189237</v>
      </c>
      <c r="AB233" s="189"/>
    </row>
    <row r="234" spans="1:28" ht="12.75" x14ac:dyDescent="0.2">
      <c r="A234" s="90">
        <v>227</v>
      </c>
      <c r="B234" s="129" t="s">
        <v>312</v>
      </c>
      <c r="C234" s="198" t="s">
        <v>749</v>
      </c>
      <c r="D234" s="131" t="s">
        <v>744</v>
      </c>
      <c r="E234" s="132" t="s">
        <v>311</v>
      </c>
      <c r="F234" s="63">
        <v>5739831</v>
      </c>
      <c r="G234" s="63">
        <v>71366773</v>
      </c>
      <c r="H234" s="63">
        <v>0</v>
      </c>
      <c r="I234" s="63">
        <v>-1499313</v>
      </c>
      <c r="J234" s="63">
        <v>1025952</v>
      </c>
      <c r="K234" s="63">
        <v>-3855376</v>
      </c>
      <c r="L234" s="63">
        <v>67038036</v>
      </c>
      <c r="M234" s="63">
        <v>0</v>
      </c>
      <c r="N234" s="63">
        <v>0</v>
      </c>
      <c r="O234" s="63">
        <v>0</v>
      </c>
      <c r="P234" s="63">
        <v>0</v>
      </c>
      <c r="Q234" s="63">
        <v>-502595</v>
      </c>
      <c r="R234" s="63">
        <v>-32790231</v>
      </c>
      <c r="S234" s="63">
        <v>-655805</v>
      </c>
      <c r="T234" s="63">
        <v>-32134426</v>
      </c>
      <c r="U234" s="63">
        <v>-326802</v>
      </c>
      <c r="V234" s="63">
        <v>0</v>
      </c>
      <c r="W234" s="63">
        <v>-4165073</v>
      </c>
      <c r="X234" s="63">
        <v>-70574932</v>
      </c>
      <c r="Y234" s="63">
        <v>661600</v>
      </c>
      <c r="Z234" s="63">
        <v>2864535</v>
      </c>
      <c r="AB234" s="189" t="s">
        <v>768</v>
      </c>
    </row>
    <row r="235" spans="1:28" ht="12.75" x14ac:dyDescent="0.2">
      <c r="A235" s="90">
        <v>228</v>
      </c>
      <c r="B235" s="129" t="s">
        <v>314</v>
      </c>
      <c r="C235" s="198" t="s">
        <v>742</v>
      </c>
      <c r="D235" s="131" t="s">
        <v>750</v>
      </c>
      <c r="E235" s="132" t="s">
        <v>313</v>
      </c>
      <c r="F235" s="63">
        <v>-4037094</v>
      </c>
      <c r="G235" s="63">
        <v>46063324</v>
      </c>
      <c r="H235" s="63">
        <v>0</v>
      </c>
      <c r="I235" s="63">
        <v>-17208</v>
      </c>
      <c r="J235" s="63">
        <v>1013599</v>
      </c>
      <c r="K235" s="63">
        <v>-2496181</v>
      </c>
      <c r="L235" s="63">
        <v>44563534</v>
      </c>
      <c r="M235" s="63">
        <v>0</v>
      </c>
      <c r="N235" s="63">
        <v>0</v>
      </c>
      <c r="O235" s="63">
        <v>0</v>
      </c>
      <c r="P235" s="63">
        <v>0</v>
      </c>
      <c r="Q235" s="63">
        <v>0</v>
      </c>
      <c r="R235" s="63">
        <v>-21134024</v>
      </c>
      <c r="S235" s="63">
        <v>-4226806</v>
      </c>
      <c r="T235" s="63">
        <v>-16907220</v>
      </c>
      <c r="U235" s="63">
        <v>-125568</v>
      </c>
      <c r="V235" s="63">
        <v>-5330796</v>
      </c>
      <c r="W235" s="63">
        <v>-219312</v>
      </c>
      <c r="X235" s="63">
        <v>-47943726</v>
      </c>
      <c r="Y235" s="63">
        <v>0</v>
      </c>
      <c r="Z235" s="63">
        <v>-7417286</v>
      </c>
      <c r="AB235" s="189"/>
    </row>
    <row r="236" spans="1:28" ht="12.75" x14ac:dyDescent="0.2">
      <c r="A236" s="90">
        <v>229</v>
      </c>
      <c r="B236" s="129" t="s">
        <v>316</v>
      </c>
      <c r="C236" s="198" t="s">
        <v>742</v>
      </c>
      <c r="D236" s="131" t="s">
        <v>743</v>
      </c>
      <c r="E236" s="132" t="s">
        <v>315</v>
      </c>
      <c r="F236" s="63">
        <v>1911287</v>
      </c>
      <c r="G236" s="63">
        <v>36641368</v>
      </c>
      <c r="H236" s="63">
        <v>-100000</v>
      </c>
      <c r="I236" s="63">
        <v>0</v>
      </c>
      <c r="J236" s="63">
        <v>182152</v>
      </c>
      <c r="K236" s="63">
        <v>-2641088</v>
      </c>
      <c r="L236" s="63">
        <v>34082432</v>
      </c>
      <c r="M236" s="63">
        <v>21503</v>
      </c>
      <c r="N236" s="63">
        <v>0</v>
      </c>
      <c r="O236" s="63">
        <v>0</v>
      </c>
      <c r="P236" s="63">
        <v>21503</v>
      </c>
      <c r="Q236" s="63">
        <v>0</v>
      </c>
      <c r="R236" s="63">
        <v>-17678417</v>
      </c>
      <c r="S236" s="63">
        <v>-3535683</v>
      </c>
      <c r="T236" s="63">
        <v>-14142734</v>
      </c>
      <c r="U236" s="63">
        <v>-167320</v>
      </c>
      <c r="V236" s="63">
        <v>0</v>
      </c>
      <c r="W236" s="63">
        <v>-3857813</v>
      </c>
      <c r="X236" s="63">
        <v>-39381967</v>
      </c>
      <c r="Y236" s="63">
        <v>0</v>
      </c>
      <c r="Z236" s="63">
        <v>-3366745</v>
      </c>
      <c r="AB236" s="189"/>
    </row>
    <row r="237" spans="1:28" ht="12.75" x14ac:dyDescent="0.2">
      <c r="A237" s="90">
        <v>230</v>
      </c>
      <c r="B237" s="129" t="s">
        <v>318</v>
      </c>
      <c r="C237" s="198" t="s">
        <v>749</v>
      </c>
      <c r="D237" s="131" t="s">
        <v>750</v>
      </c>
      <c r="E237" s="132" t="s">
        <v>317</v>
      </c>
      <c r="F237" s="63">
        <v>336951</v>
      </c>
      <c r="G237" s="63">
        <v>219035944</v>
      </c>
      <c r="H237" s="63">
        <v>0</v>
      </c>
      <c r="I237" s="63">
        <v>800000</v>
      </c>
      <c r="J237" s="63">
        <v>6146886</v>
      </c>
      <c r="K237" s="63">
        <v>-16544563</v>
      </c>
      <c r="L237" s="63">
        <v>209438267</v>
      </c>
      <c r="M237" s="63">
        <v>0</v>
      </c>
      <c r="N237" s="63">
        <v>0</v>
      </c>
      <c r="O237" s="63">
        <v>0</v>
      </c>
      <c r="P237" s="63">
        <v>0</v>
      </c>
      <c r="Q237" s="63">
        <v>-530841</v>
      </c>
      <c r="R237" s="63">
        <v>-106741545</v>
      </c>
      <c r="S237" s="63">
        <v>-2135931</v>
      </c>
      <c r="T237" s="63">
        <v>-104660614</v>
      </c>
      <c r="U237" s="63">
        <v>-2134912</v>
      </c>
      <c r="V237" s="63">
        <v>-863071</v>
      </c>
      <c r="W237" s="63">
        <v>-2694000</v>
      </c>
      <c r="X237" s="63">
        <v>-219760914</v>
      </c>
      <c r="Y237" s="63">
        <v>0</v>
      </c>
      <c r="Z237" s="63">
        <v>-9985696</v>
      </c>
      <c r="AB237" s="189"/>
    </row>
    <row r="238" spans="1:28" ht="12.75" x14ac:dyDescent="0.2">
      <c r="A238" s="90">
        <v>231</v>
      </c>
      <c r="B238" s="129" t="s">
        <v>320</v>
      </c>
      <c r="C238" s="198" t="s">
        <v>742</v>
      </c>
      <c r="D238" s="131" t="s">
        <v>743</v>
      </c>
      <c r="E238" s="132" t="s">
        <v>319</v>
      </c>
      <c r="F238" s="63">
        <v>766487</v>
      </c>
      <c r="G238" s="63">
        <v>26979727</v>
      </c>
      <c r="H238" s="63">
        <v>-90000</v>
      </c>
      <c r="I238" s="63">
        <v>13849</v>
      </c>
      <c r="J238" s="63">
        <v>645350</v>
      </c>
      <c r="K238" s="63">
        <v>-1050621</v>
      </c>
      <c r="L238" s="63">
        <v>26498305</v>
      </c>
      <c r="M238" s="63">
        <v>277745</v>
      </c>
      <c r="N238" s="63">
        <v>0</v>
      </c>
      <c r="O238" s="63">
        <v>0</v>
      </c>
      <c r="P238" s="63">
        <v>277745</v>
      </c>
      <c r="Q238" s="63">
        <v>0</v>
      </c>
      <c r="R238" s="63">
        <v>-13578933</v>
      </c>
      <c r="S238" s="63">
        <v>-2715787</v>
      </c>
      <c r="T238" s="63">
        <v>-10863147</v>
      </c>
      <c r="U238" s="63">
        <v>-151180</v>
      </c>
      <c r="V238" s="63">
        <v>0</v>
      </c>
      <c r="W238" s="63">
        <v>0</v>
      </c>
      <c r="X238" s="63">
        <v>-27309047</v>
      </c>
      <c r="Y238" s="63">
        <v>0</v>
      </c>
      <c r="Z238" s="63">
        <v>233490</v>
      </c>
      <c r="AB238" s="189"/>
    </row>
    <row r="239" spans="1:28" ht="12.75" x14ac:dyDescent="0.2">
      <c r="A239" s="90">
        <v>232</v>
      </c>
      <c r="B239" s="129" t="s">
        <v>322</v>
      </c>
      <c r="C239" s="198" t="s">
        <v>501</v>
      </c>
      <c r="D239" s="131" t="s">
        <v>752</v>
      </c>
      <c r="E239" s="132" t="s">
        <v>321</v>
      </c>
      <c r="F239" s="63">
        <v>-10100841</v>
      </c>
      <c r="G239" s="63">
        <v>74889953</v>
      </c>
      <c r="H239" s="63">
        <v>0</v>
      </c>
      <c r="I239" s="63">
        <v>-100240</v>
      </c>
      <c r="J239" s="63">
        <v>2907076</v>
      </c>
      <c r="K239" s="63">
        <v>-8703742</v>
      </c>
      <c r="L239" s="63">
        <v>68993047</v>
      </c>
      <c r="M239" s="63">
        <v>375364</v>
      </c>
      <c r="N239" s="63">
        <v>0</v>
      </c>
      <c r="O239" s="63">
        <v>1906226</v>
      </c>
      <c r="P239" s="63">
        <v>2281590</v>
      </c>
      <c r="Q239" s="63">
        <v>0</v>
      </c>
      <c r="R239" s="63">
        <v>-39965475</v>
      </c>
      <c r="S239" s="63">
        <v>-799309</v>
      </c>
      <c r="T239" s="63">
        <v>-39166166</v>
      </c>
      <c r="U239" s="63">
        <v>-463056</v>
      </c>
      <c r="V239" s="63">
        <v>0</v>
      </c>
      <c r="W239" s="63">
        <v>0</v>
      </c>
      <c r="X239" s="63">
        <v>-80394006</v>
      </c>
      <c r="Y239" s="63">
        <v>0</v>
      </c>
      <c r="Z239" s="63">
        <v>-19220210</v>
      </c>
      <c r="AB239" s="189"/>
    </row>
    <row r="240" spans="1:28" ht="12.75" x14ac:dyDescent="0.2">
      <c r="A240" s="90">
        <v>233</v>
      </c>
      <c r="B240" s="129" t="s">
        <v>323</v>
      </c>
      <c r="C240" s="198" t="s">
        <v>501</v>
      </c>
      <c r="D240" s="131" t="s">
        <v>743</v>
      </c>
      <c r="E240" s="132" t="s">
        <v>508</v>
      </c>
      <c r="F240" s="63">
        <v>627724</v>
      </c>
      <c r="G240" s="63">
        <v>100416652</v>
      </c>
      <c r="H240" s="63">
        <v>0</v>
      </c>
      <c r="I240" s="63">
        <v>0</v>
      </c>
      <c r="J240" s="63">
        <v>0</v>
      </c>
      <c r="K240" s="63">
        <v>0</v>
      </c>
      <c r="L240" s="63">
        <v>100416652</v>
      </c>
      <c r="M240" s="63">
        <v>0</v>
      </c>
      <c r="N240" s="63">
        <v>0</v>
      </c>
      <c r="O240" s="63">
        <v>0</v>
      </c>
      <c r="P240" s="63">
        <v>0</v>
      </c>
      <c r="Q240" s="63">
        <v>-1260203</v>
      </c>
      <c r="R240" s="63">
        <v>-48796120</v>
      </c>
      <c r="S240" s="63">
        <v>-975922</v>
      </c>
      <c r="T240" s="63">
        <v>-47820198</v>
      </c>
      <c r="U240" s="63">
        <v>-204561</v>
      </c>
      <c r="V240" s="63">
        <v>-1912888</v>
      </c>
      <c r="W240" s="63">
        <v>0</v>
      </c>
      <c r="X240" s="63">
        <v>-100969892</v>
      </c>
      <c r="Y240" s="63">
        <v>0</v>
      </c>
      <c r="Z240" s="63">
        <v>74484</v>
      </c>
      <c r="AB240" s="189"/>
    </row>
    <row r="241" spans="1:28" ht="12.75" x14ac:dyDescent="0.2">
      <c r="A241" s="90">
        <v>234</v>
      </c>
      <c r="B241" s="129" t="s">
        <v>325</v>
      </c>
      <c r="C241" s="198" t="s">
        <v>749</v>
      </c>
      <c r="D241" s="131" t="s">
        <v>752</v>
      </c>
      <c r="E241" s="132" t="s">
        <v>324</v>
      </c>
      <c r="F241" s="63">
        <v>-11002802</v>
      </c>
      <c r="G241" s="63">
        <v>119703383</v>
      </c>
      <c r="H241" s="63">
        <v>0</v>
      </c>
      <c r="I241" s="63">
        <v>-500000</v>
      </c>
      <c r="J241" s="63">
        <v>740616</v>
      </c>
      <c r="K241" s="63">
        <v>-3460897</v>
      </c>
      <c r="L241" s="63">
        <v>116483102</v>
      </c>
      <c r="M241" s="63">
        <v>4166</v>
      </c>
      <c r="N241" s="63">
        <v>0</v>
      </c>
      <c r="O241" s="63">
        <v>4886220</v>
      </c>
      <c r="P241" s="63">
        <v>4890386</v>
      </c>
      <c r="Q241" s="63">
        <v>-132096</v>
      </c>
      <c r="R241" s="63">
        <v>-58801079</v>
      </c>
      <c r="S241" s="63">
        <v>-1176022</v>
      </c>
      <c r="T241" s="63">
        <v>-57625058</v>
      </c>
      <c r="U241" s="63">
        <v>-247739</v>
      </c>
      <c r="V241" s="63">
        <v>0</v>
      </c>
      <c r="W241" s="63">
        <v>0</v>
      </c>
      <c r="X241" s="63">
        <v>-117981994</v>
      </c>
      <c r="Y241" s="63">
        <v>1288339.5</v>
      </c>
      <c r="Z241" s="63">
        <v>-6322968.5</v>
      </c>
      <c r="AB241" s="189" t="s">
        <v>768</v>
      </c>
    </row>
    <row r="242" spans="1:28" ht="12.75" x14ac:dyDescent="0.2">
      <c r="A242" s="90">
        <v>235</v>
      </c>
      <c r="B242" s="129" t="s">
        <v>327</v>
      </c>
      <c r="C242" s="198" t="s">
        <v>742</v>
      </c>
      <c r="D242" s="131" t="s">
        <v>743</v>
      </c>
      <c r="E242" s="132" t="s">
        <v>326</v>
      </c>
      <c r="F242" s="63">
        <v>462757</v>
      </c>
      <c r="G242" s="63">
        <v>31629581</v>
      </c>
      <c r="H242" s="63">
        <v>0</v>
      </c>
      <c r="I242" s="63">
        <v>-317645</v>
      </c>
      <c r="J242" s="63">
        <v>206946</v>
      </c>
      <c r="K242" s="63">
        <v>-815950</v>
      </c>
      <c r="L242" s="63">
        <v>30702932</v>
      </c>
      <c r="M242" s="63">
        <v>134916</v>
      </c>
      <c r="N242" s="63">
        <v>0</v>
      </c>
      <c r="O242" s="63">
        <v>0</v>
      </c>
      <c r="P242" s="63">
        <v>134916</v>
      </c>
      <c r="Q242" s="63">
        <v>0</v>
      </c>
      <c r="R242" s="63">
        <v>-15768629</v>
      </c>
      <c r="S242" s="63">
        <v>-3153726</v>
      </c>
      <c r="T242" s="63">
        <v>-12614904</v>
      </c>
      <c r="U242" s="63">
        <v>0</v>
      </c>
      <c r="V242" s="63">
        <v>-97084</v>
      </c>
      <c r="W242" s="63">
        <v>-4241812</v>
      </c>
      <c r="X242" s="63">
        <v>-35876155</v>
      </c>
      <c r="Y242" s="63">
        <v>0</v>
      </c>
      <c r="Z242" s="63">
        <v>-4575550</v>
      </c>
      <c r="AB242" s="189"/>
    </row>
    <row r="243" spans="1:28" ht="12.75" x14ac:dyDescent="0.2">
      <c r="A243" s="90">
        <v>236</v>
      </c>
      <c r="B243" s="129" t="s">
        <v>329</v>
      </c>
      <c r="C243" s="198" t="s">
        <v>742</v>
      </c>
      <c r="D243" s="131" t="s">
        <v>746</v>
      </c>
      <c r="E243" s="132" t="s">
        <v>328</v>
      </c>
      <c r="F243" s="63">
        <v>-2284421</v>
      </c>
      <c r="G243" s="63">
        <v>70663963</v>
      </c>
      <c r="H243" s="63">
        <v>-103578</v>
      </c>
      <c r="I243" s="63">
        <v>-193332</v>
      </c>
      <c r="J243" s="63">
        <v>2995800</v>
      </c>
      <c r="K243" s="63">
        <v>-4759188</v>
      </c>
      <c r="L243" s="63">
        <v>68603665</v>
      </c>
      <c r="M243" s="63">
        <v>0</v>
      </c>
      <c r="N243" s="63">
        <v>0</v>
      </c>
      <c r="O243" s="63">
        <v>3604960</v>
      </c>
      <c r="P243" s="63">
        <v>3604960</v>
      </c>
      <c r="Q243" s="63">
        <v>0</v>
      </c>
      <c r="R243" s="63">
        <v>-34979379</v>
      </c>
      <c r="S243" s="63">
        <v>-6995876</v>
      </c>
      <c r="T243" s="63">
        <v>-27983503</v>
      </c>
      <c r="U243" s="63">
        <v>-219672</v>
      </c>
      <c r="V243" s="63">
        <v>-128720</v>
      </c>
      <c r="W243" s="63">
        <v>0</v>
      </c>
      <c r="X243" s="63">
        <v>-70307150</v>
      </c>
      <c r="Y243" s="63">
        <v>0</v>
      </c>
      <c r="Z243" s="63">
        <v>-382946</v>
      </c>
      <c r="AB243" s="189"/>
    </row>
    <row r="244" spans="1:28" ht="12.75" x14ac:dyDescent="0.2">
      <c r="A244" s="90">
        <v>237</v>
      </c>
      <c r="B244" s="129" t="s">
        <v>331</v>
      </c>
      <c r="C244" s="198" t="s">
        <v>742</v>
      </c>
      <c r="D244" s="131" t="s">
        <v>745</v>
      </c>
      <c r="E244" s="132" t="s">
        <v>330</v>
      </c>
      <c r="F244" s="63">
        <v>647188</v>
      </c>
      <c r="G244" s="63">
        <v>23410202</v>
      </c>
      <c r="H244" s="63">
        <v>0</v>
      </c>
      <c r="I244" s="63">
        <v>326995</v>
      </c>
      <c r="J244" s="63">
        <v>72098</v>
      </c>
      <c r="K244" s="63">
        <v>-1145242</v>
      </c>
      <c r="L244" s="63">
        <v>22664053</v>
      </c>
      <c r="M244" s="63">
        <v>29360</v>
      </c>
      <c r="N244" s="63">
        <v>0</v>
      </c>
      <c r="O244" s="63">
        <v>0</v>
      </c>
      <c r="P244" s="63">
        <v>29360</v>
      </c>
      <c r="Q244" s="63">
        <v>0</v>
      </c>
      <c r="R244" s="63">
        <v>-10989962</v>
      </c>
      <c r="S244" s="63">
        <v>-2197992</v>
      </c>
      <c r="T244" s="63">
        <v>-8791969</v>
      </c>
      <c r="U244" s="63">
        <v>-91614</v>
      </c>
      <c r="V244" s="63">
        <v>0</v>
      </c>
      <c r="W244" s="63">
        <v>-720760</v>
      </c>
      <c r="X244" s="63">
        <v>-22792297</v>
      </c>
      <c r="Y244" s="63">
        <v>0</v>
      </c>
      <c r="Z244" s="63">
        <v>548304</v>
      </c>
      <c r="AB244" s="189"/>
    </row>
    <row r="245" spans="1:28" ht="12.75" x14ac:dyDescent="0.2">
      <c r="A245" s="90">
        <v>238</v>
      </c>
      <c r="B245" s="129" t="s">
        <v>332</v>
      </c>
      <c r="C245" s="198" t="s">
        <v>501</v>
      </c>
      <c r="D245" s="131" t="s">
        <v>751</v>
      </c>
      <c r="E245" s="132" t="s">
        <v>502</v>
      </c>
      <c r="F245" s="63">
        <v>-16048000</v>
      </c>
      <c r="G245" s="63">
        <v>145668000</v>
      </c>
      <c r="H245" s="63">
        <v>0</v>
      </c>
      <c r="I245" s="63">
        <v>-300000</v>
      </c>
      <c r="J245" s="63">
        <v>3127000</v>
      </c>
      <c r="K245" s="63">
        <v>-6844700</v>
      </c>
      <c r="L245" s="63">
        <v>141650300</v>
      </c>
      <c r="M245" s="63">
        <v>412670</v>
      </c>
      <c r="N245" s="63">
        <v>0</v>
      </c>
      <c r="O245" s="63">
        <v>1968000</v>
      </c>
      <c r="P245" s="63">
        <v>2380670</v>
      </c>
      <c r="Q245" s="63">
        <v>0</v>
      </c>
      <c r="R245" s="63">
        <v>-68360000</v>
      </c>
      <c r="S245" s="63">
        <v>-1367000</v>
      </c>
      <c r="T245" s="63">
        <v>-66993000</v>
      </c>
      <c r="U245" s="63">
        <v>-3391000</v>
      </c>
      <c r="V245" s="63">
        <v>-334000</v>
      </c>
      <c r="W245" s="63">
        <v>0</v>
      </c>
      <c r="X245" s="63">
        <v>-140445000</v>
      </c>
      <c r="Y245" s="63">
        <v>0</v>
      </c>
      <c r="Z245" s="63">
        <v>-12462030</v>
      </c>
      <c r="AB245" s="189"/>
    </row>
    <row r="246" spans="1:28" ht="12.75" x14ac:dyDescent="0.2">
      <c r="A246" s="90">
        <v>239</v>
      </c>
      <c r="B246" s="129" t="s">
        <v>334</v>
      </c>
      <c r="C246" s="198" t="s">
        <v>742</v>
      </c>
      <c r="D246" s="131" t="s">
        <v>751</v>
      </c>
      <c r="E246" s="132" t="s">
        <v>333</v>
      </c>
      <c r="F246" s="63">
        <v>-435087</v>
      </c>
      <c r="G246" s="63">
        <v>31642806</v>
      </c>
      <c r="H246" s="63">
        <v>0</v>
      </c>
      <c r="I246" s="63">
        <v>24948</v>
      </c>
      <c r="J246" s="63">
        <v>274704</v>
      </c>
      <c r="K246" s="63">
        <v>-1907407</v>
      </c>
      <c r="L246" s="63">
        <v>30035051</v>
      </c>
      <c r="M246" s="63">
        <v>0</v>
      </c>
      <c r="N246" s="63">
        <v>0</v>
      </c>
      <c r="O246" s="63">
        <v>267022</v>
      </c>
      <c r="P246" s="63">
        <v>267022</v>
      </c>
      <c r="Q246" s="63">
        <v>-40983</v>
      </c>
      <c r="R246" s="63">
        <v>-15101347</v>
      </c>
      <c r="S246" s="63">
        <v>-3020269</v>
      </c>
      <c r="T246" s="63">
        <v>-12081078</v>
      </c>
      <c r="U246" s="63">
        <v>-206372</v>
      </c>
      <c r="V246" s="63">
        <v>0</v>
      </c>
      <c r="W246" s="63">
        <v>0</v>
      </c>
      <c r="X246" s="63">
        <v>-30450049</v>
      </c>
      <c r="Y246" s="63">
        <v>0</v>
      </c>
      <c r="Z246" s="63">
        <v>-583063</v>
      </c>
      <c r="AB246" s="189"/>
    </row>
    <row r="247" spans="1:28" ht="12.75" x14ac:dyDescent="0.2">
      <c r="A247" s="90">
        <v>240</v>
      </c>
      <c r="B247" s="129" t="s">
        <v>336</v>
      </c>
      <c r="C247" s="198" t="s">
        <v>742</v>
      </c>
      <c r="D247" s="131" t="s">
        <v>745</v>
      </c>
      <c r="E247" s="132" t="s">
        <v>335</v>
      </c>
      <c r="F247" s="63">
        <v>-2159741</v>
      </c>
      <c r="G247" s="63">
        <v>25986829</v>
      </c>
      <c r="H247" s="63">
        <v>0</v>
      </c>
      <c r="I247" s="63">
        <v>-255778</v>
      </c>
      <c r="J247" s="63">
        <v>447516</v>
      </c>
      <c r="K247" s="63">
        <v>-358729</v>
      </c>
      <c r="L247" s="63">
        <v>25819838</v>
      </c>
      <c r="M247" s="63">
        <v>0</v>
      </c>
      <c r="N247" s="63">
        <v>4893</v>
      </c>
      <c r="O247" s="63">
        <v>680941</v>
      </c>
      <c r="P247" s="63">
        <v>685834</v>
      </c>
      <c r="Q247" s="63">
        <v>-26186</v>
      </c>
      <c r="R247" s="63">
        <v>-13209764</v>
      </c>
      <c r="S247" s="63">
        <v>-2641953</v>
      </c>
      <c r="T247" s="63">
        <v>-10567812</v>
      </c>
      <c r="U247" s="63">
        <v>-325322</v>
      </c>
      <c r="V247" s="63">
        <v>0</v>
      </c>
      <c r="W247" s="63">
        <v>0</v>
      </c>
      <c r="X247" s="63">
        <v>-26771037</v>
      </c>
      <c r="Y247" s="63">
        <v>0</v>
      </c>
      <c r="Z247" s="63">
        <v>-2425106</v>
      </c>
      <c r="AB247" s="189"/>
    </row>
    <row r="248" spans="1:28" ht="12.75" x14ac:dyDescent="0.2">
      <c r="A248" s="90">
        <v>241</v>
      </c>
      <c r="B248" s="129" t="s">
        <v>338</v>
      </c>
      <c r="C248" s="198" t="s">
        <v>742</v>
      </c>
      <c r="D248" s="131" t="s">
        <v>745</v>
      </c>
      <c r="E248" s="132" t="s">
        <v>337</v>
      </c>
      <c r="F248" s="63">
        <v>-2140157</v>
      </c>
      <c r="G248" s="63">
        <v>39844755</v>
      </c>
      <c r="H248" s="63">
        <v>0</v>
      </c>
      <c r="I248" s="63">
        <v>-254532</v>
      </c>
      <c r="J248" s="63">
        <v>275250</v>
      </c>
      <c r="K248" s="63">
        <v>-401657</v>
      </c>
      <c r="L248" s="63">
        <v>39463816</v>
      </c>
      <c r="M248" s="63">
        <v>0</v>
      </c>
      <c r="N248" s="63">
        <v>0</v>
      </c>
      <c r="O248" s="63">
        <v>779337</v>
      </c>
      <c r="P248" s="63">
        <v>779337</v>
      </c>
      <c r="Q248" s="63">
        <v>0</v>
      </c>
      <c r="R248" s="63">
        <v>-19900883</v>
      </c>
      <c r="S248" s="63">
        <v>-3980177</v>
      </c>
      <c r="T248" s="63">
        <v>-15920706</v>
      </c>
      <c r="U248" s="63">
        <v>0</v>
      </c>
      <c r="V248" s="63">
        <v>-180716</v>
      </c>
      <c r="W248" s="63">
        <v>0</v>
      </c>
      <c r="X248" s="63">
        <v>-39982482</v>
      </c>
      <c r="Y248" s="63">
        <v>0</v>
      </c>
      <c r="Z248" s="63">
        <v>-1879486</v>
      </c>
      <c r="AB248" s="189"/>
    </row>
    <row r="249" spans="1:28" ht="12.75" x14ac:dyDescent="0.2">
      <c r="A249" s="90">
        <v>242</v>
      </c>
      <c r="B249" s="129" t="s">
        <v>340</v>
      </c>
      <c r="C249" s="198" t="s">
        <v>742</v>
      </c>
      <c r="D249" s="131" t="s">
        <v>744</v>
      </c>
      <c r="E249" s="132" t="s">
        <v>339</v>
      </c>
      <c r="F249" s="63">
        <v>-1614530</v>
      </c>
      <c r="G249" s="63">
        <v>40819224</v>
      </c>
      <c r="H249" s="63">
        <v>0</v>
      </c>
      <c r="I249" s="63">
        <v>-287000</v>
      </c>
      <c r="J249" s="63">
        <v>530000</v>
      </c>
      <c r="K249" s="63">
        <v>-1080000</v>
      </c>
      <c r="L249" s="63">
        <v>39982224</v>
      </c>
      <c r="M249" s="63">
        <v>27726</v>
      </c>
      <c r="N249" s="63">
        <v>0</v>
      </c>
      <c r="O249" s="63">
        <v>304824</v>
      </c>
      <c r="P249" s="63">
        <v>332550</v>
      </c>
      <c r="Q249" s="63">
        <v>-32025</v>
      </c>
      <c r="R249" s="63">
        <v>-20122915</v>
      </c>
      <c r="S249" s="63">
        <v>-4024584</v>
      </c>
      <c r="T249" s="63">
        <v>-16397878</v>
      </c>
      <c r="U249" s="63">
        <v>-299546</v>
      </c>
      <c r="V249" s="63">
        <v>0</v>
      </c>
      <c r="W249" s="63">
        <v>0</v>
      </c>
      <c r="X249" s="63">
        <v>-40876948</v>
      </c>
      <c r="Y249" s="63">
        <v>0</v>
      </c>
      <c r="Z249" s="63">
        <v>-2176704</v>
      </c>
      <c r="AB249" s="189"/>
    </row>
    <row r="250" spans="1:28" ht="12.75" x14ac:dyDescent="0.2">
      <c r="A250" s="90">
        <v>243</v>
      </c>
      <c r="B250" s="129" t="s">
        <v>342</v>
      </c>
      <c r="C250" s="198" t="s">
        <v>742</v>
      </c>
      <c r="D250" s="131" t="s">
        <v>746</v>
      </c>
      <c r="E250" s="132" t="s">
        <v>341</v>
      </c>
      <c r="F250" s="63">
        <v>-1503217</v>
      </c>
      <c r="G250" s="63">
        <v>30095656</v>
      </c>
      <c r="H250" s="63">
        <v>0</v>
      </c>
      <c r="I250" s="63">
        <v>0</v>
      </c>
      <c r="J250" s="63">
        <v>0</v>
      </c>
      <c r="K250" s="63">
        <v>-1921903</v>
      </c>
      <c r="L250" s="63">
        <v>28173753</v>
      </c>
      <c r="M250" s="63">
        <v>27105</v>
      </c>
      <c r="N250" s="63">
        <v>0</v>
      </c>
      <c r="O250" s="63">
        <v>1454754</v>
      </c>
      <c r="P250" s="63">
        <v>1481859</v>
      </c>
      <c r="Q250" s="63">
        <v>0</v>
      </c>
      <c r="R250" s="63">
        <v>-14933238</v>
      </c>
      <c r="S250" s="63">
        <v>-11946590</v>
      </c>
      <c r="T250" s="63">
        <v>-2986648</v>
      </c>
      <c r="U250" s="63">
        <v>-191148</v>
      </c>
      <c r="V250" s="63">
        <v>0</v>
      </c>
      <c r="W250" s="63">
        <v>0</v>
      </c>
      <c r="X250" s="63">
        <v>-30057624</v>
      </c>
      <c r="Y250" s="63">
        <v>0</v>
      </c>
      <c r="Z250" s="63">
        <v>-1905229</v>
      </c>
      <c r="AB250" s="189"/>
    </row>
    <row r="251" spans="1:28" ht="12.75" x14ac:dyDescent="0.2">
      <c r="A251" s="90">
        <v>244</v>
      </c>
      <c r="B251" s="129" t="s">
        <v>344</v>
      </c>
      <c r="C251" s="198" t="s">
        <v>742</v>
      </c>
      <c r="D251" s="131" t="s">
        <v>745</v>
      </c>
      <c r="E251" s="132" t="s">
        <v>343</v>
      </c>
      <c r="F251" s="63">
        <v>-3316985</v>
      </c>
      <c r="G251" s="63">
        <v>21433520</v>
      </c>
      <c r="H251" s="63">
        <v>-110643</v>
      </c>
      <c r="I251" s="63">
        <v>-3487</v>
      </c>
      <c r="J251" s="63">
        <v>114641</v>
      </c>
      <c r="K251" s="63">
        <v>-191217</v>
      </c>
      <c r="L251" s="63">
        <v>21242814</v>
      </c>
      <c r="M251" s="63">
        <v>0</v>
      </c>
      <c r="N251" s="63">
        <v>9017</v>
      </c>
      <c r="O251" s="63">
        <v>1526967</v>
      </c>
      <c r="P251" s="63">
        <v>1535984</v>
      </c>
      <c r="Q251" s="63">
        <v>-30150</v>
      </c>
      <c r="R251" s="63">
        <v>-10400334</v>
      </c>
      <c r="S251" s="63">
        <v>-2080067</v>
      </c>
      <c r="T251" s="63">
        <v>-8320267</v>
      </c>
      <c r="U251" s="63">
        <v>-225207</v>
      </c>
      <c r="V251" s="63">
        <v>0</v>
      </c>
      <c r="W251" s="63">
        <v>0</v>
      </c>
      <c r="X251" s="63">
        <v>-21056025</v>
      </c>
      <c r="Y251" s="63">
        <v>0</v>
      </c>
      <c r="Z251" s="63">
        <v>-1594212</v>
      </c>
      <c r="AB251" s="189"/>
    </row>
    <row r="252" spans="1:28" ht="12.75" x14ac:dyDescent="0.2">
      <c r="A252" s="90">
        <v>245</v>
      </c>
      <c r="B252" s="129" t="s">
        <v>346</v>
      </c>
      <c r="C252" s="198" t="s">
        <v>742</v>
      </c>
      <c r="D252" s="131" t="s">
        <v>743</v>
      </c>
      <c r="E252" s="132" t="s">
        <v>345</v>
      </c>
      <c r="F252" s="63">
        <v>-2567056</v>
      </c>
      <c r="G252" s="63">
        <v>43544283</v>
      </c>
      <c r="H252" s="63">
        <v>0</v>
      </c>
      <c r="I252" s="63">
        <v>-172210</v>
      </c>
      <c r="J252" s="63">
        <v>293881</v>
      </c>
      <c r="K252" s="63">
        <v>-1944821</v>
      </c>
      <c r="L252" s="63">
        <v>41721133</v>
      </c>
      <c r="M252" s="63">
        <v>0</v>
      </c>
      <c r="N252" s="63">
        <v>0</v>
      </c>
      <c r="O252" s="63">
        <v>1020738</v>
      </c>
      <c r="P252" s="63">
        <v>1020738</v>
      </c>
      <c r="Q252" s="63">
        <v>-51478</v>
      </c>
      <c r="R252" s="63">
        <v>-21444232</v>
      </c>
      <c r="S252" s="63">
        <v>-4288847</v>
      </c>
      <c r="T252" s="63">
        <v>-17155386</v>
      </c>
      <c r="U252" s="63">
        <v>-186946</v>
      </c>
      <c r="V252" s="63">
        <v>0</v>
      </c>
      <c r="W252" s="63">
        <v>0</v>
      </c>
      <c r="X252" s="63">
        <v>-43126889</v>
      </c>
      <c r="Y252" s="63">
        <v>0</v>
      </c>
      <c r="Z252" s="63">
        <v>-2952074</v>
      </c>
      <c r="AB252" s="189"/>
    </row>
    <row r="253" spans="1:28" ht="12.75" x14ac:dyDescent="0.2">
      <c r="A253" s="90">
        <v>246</v>
      </c>
      <c r="B253" s="129" t="s">
        <v>348</v>
      </c>
      <c r="C253" s="198" t="s">
        <v>742</v>
      </c>
      <c r="D253" s="131" t="s">
        <v>744</v>
      </c>
      <c r="E253" s="132" t="s">
        <v>347</v>
      </c>
      <c r="F253" s="63">
        <v>3706819</v>
      </c>
      <c r="G253" s="63">
        <v>39128726</v>
      </c>
      <c r="H253" s="63">
        <v>-391000</v>
      </c>
      <c r="I253" s="63">
        <v>0</v>
      </c>
      <c r="J253" s="63">
        <v>400000</v>
      </c>
      <c r="K253" s="63">
        <v>-2083276</v>
      </c>
      <c r="L253" s="63">
        <v>37054450</v>
      </c>
      <c r="M253" s="63">
        <v>24885</v>
      </c>
      <c r="N253" s="63">
        <v>0</v>
      </c>
      <c r="O253" s="63">
        <v>0</v>
      </c>
      <c r="P253" s="63">
        <v>24885</v>
      </c>
      <c r="Q253" s="63">
        <v>0</v>
      </c>
      <c r="R253" s="63">
        <v>-18735725</v>
      </c>
      <c r="S253" s="63">
        <v>-3747146</v>
      </c>
      <c r="T253" s="63">
        <v>-14988581</v>
      </c>
      <c r="U253" s="63">
        <v>-147026</v>
      </c>
      <c r="V253" s="63">
        <v>0</v>
      </c>
      <c r="W253" s="63">
        <v>-2403562</v>
      </c>
      <c r="X253" s="63">
        <v>-40022040</v>
      </c>
      <c r="Y253" s="63">
        <v>0</v>
      </c>
      <c r="Z253" s="63">
        <v>764114</v>
      </c>
      <c r="AB253" s="189"/>
    </row>
    <row r="254" spans="1:28" ht="12.75" x14ac:dyDescent="0.2">
      <c r="A254" s="90">
        <v>247</v>
      </c>
      <c r="B254" s="129" t="s">
        <v>350</v>
      </c>
      <c r="C254" s="198" t="s">
        <v>742</v>
      </c>
      <c r="D254" s="131" t="s">
        <v>751</v>
      </c>
      <c r="E254" s="132" t="s">
        <v>349</v>
      </c>
      <c r="F254" s="63">
        <v>-1622473</v>
      </c>
      <c r="G254" s="63">
        <v>41955183</v>
      </c>
      <c r="H254" s="63">
        <v>0</v>
      </c>
      <c r="I254" s="63">
        <v>-297100</v>
      </c>
      <c r="J254" s="63">
        <v>2031614</v>
      </c>
      <c r="K254" s="63">
        <v>-4239745</v>
      </c>
      <c r="L254" s="63">
        <v>39449952</v>
      </c>
      <c r="M254" s="63">
        <v>572840</v>
      </c>
      <c r="N254" s="63">
        <v>0</v>
      </c>
      <c r="O254" s="63">
        <v>0</v>
      </c>
      <c r="P254" s="63">
        <v>572840</v>
      </c>
      <c r="Q254" s="63">
        <v>0</v>
      </c>
      <c r="R254" s="63">
        <v>-22101279</v>
      </c>
      <c r="S254" s="63">
        <v>-4420256</v>
      </c>
      <c r="T254" s="63">
        <v>-17681023</v>
      </c>
      <c r="U254" s="63">
        <v>-406131</v>
      </c>
      <c r="V254" s="63">
        <v>-55839</v>
      </c>
      <c r="W254" s="63">
        <v>-2398661</v>
      </c>
      <c r="X254" s="63">
        <v>-47063189</v>
      </c>
      <c r="Y254" s="63">
        <v>0</v>
      </c>
      <c r="Z254" s="63">
        <v>-8662870</v>
      </c>
      <c r="AB254" s="189"/>
    </row>
    <row r="255" spans="1:28" ht="12.75" x14ac:dyDescent="0.2">
      <c r="A255" s="90">
        <v>248</v>
      </c>
      <c r="B255" s="129" t="s">
        <v>352</v>
      </c>
      <c r="C255" s="198" t="s">
        <v>742</v>
      </c>
      <c r="D255" s="131" t="s">
        <v>752</v>
      </c>
      <c r="E255" s="132" t="s">
        <v>351</v>
      </c>
      <c r="F255" s="63">
        <v>-3769867</v>
      </c>
      <c r="G255" s="63">
        <v>24657000</v>
      </c>
      <c r="H255" s="63">
        <v>0</v>
      </c>
      <c r="I255" s="63">
        <v>-309000</v>
      </c>
      <c r="J255" s="63">
        <v>652000</v>
      </c>
      <c r="K255" s="63">
        <v>-800000</v>
      </c>
      <c r="L255" s="63">
        <v>24200000</v>
      </c>
      <c r="M255" s="63">
        <v>0</v>
      </c>
      <c r="N255" s="63">
        <v>0</v>
      </c>
      <c r="O255" s="63">
        <v>402519</v>
      </c>
      <c r="P255" s="63">
        <v>402519</v>
      </c>
      <c r="Q255" s="63">
        <v>0</v>
      </c>
      <c r="R255" s="63">
        <v>-10933302</v>
      </c>
      <c r="S255" s="63">
        <v>-2068433</v>
      </c>
      <c r="T255" s="63">
        <v>-8746642</v>
      </c>
      <c r="U255" s="63">
        <v>-2469367</v>
      </c>
      <c r="V255" s="63">
        <v>0</v>
      </c>
      <c r="W255" s="63">
        <v>0</v>
      </c>
      <c r="X255" s="63">
        <v>-24217744</v>
      </c>
      <c r="Y255" s="63">
        <v>0</v>
      </c>
      <c r="Z255" s="63">
        <v>-3385092</v>
      </c>
      <c r="AB255" s="189"/>
    </row>
    <row r="256" spans="1:28" ht="12.75" x14ac:dyDescent="0.2">
      <c r="A256" s="90">
        <v>249</v>
      </c>
      <c r="B256" s="129" t="s">
        <v>354</v>
      </c>
      <c r="C256" s="198" t="s">
        <v>749</v>
      </c>
      <c r="D256" s="131" t="s">
        <v>755</v>
      </c>
      <c r="E256" s="132" t="s">
        <v>353</v>
      </c>
      <c r="F256" s="63">
        <v>-1281070</v>
      </c>
      <c r="G256" s="63">
        <v>31461482</v>
      </c>
      <c r="H256" s="63">
        <v>-500000</v>
      </c>
      <c r="I256" s="63">
        <v>-100000</v>
      </c>
      <c r="J256" s="63">
        <v>800000</v>
      </c>
      <c r="K256" s="63">
        <v>-1200000</v>
      </c>
      <c r="L256" s="63">
        <v>30461482</v>
      </c>
      <c r="M256" s="63">
        <v>22065</v>
      </c>
      <c r="N256" s="63">
        <v>150544</v>
      </c>
      <c r="O256" s="63">
        <v>1400695</v>
      </c>
      <c r="P256" s="63">
        <v>1573304</v>
      </c>
      <c r="Q256" s="63">
        <v>-605387</v>
      </c>
      <c r="R256" s="63">
        <v>-15414637</v>
      </c>
      <c r="S256" s="63">
        <v>-308293</v>
      </c>
      <c r="T256" s="63">
        <v>-15106345</v>
      </c>
      <c r="U256" s="63">
        <v>-150544</v>
      </c>
      <c r="V256" s="63">
        <v>0</v>
      </c>
      <c r="W256" s="63">
        <v>0</v>
      </c>
      <c r="X256" s="63">
        <v>-31585206</v>
      </c>
      <c r="Y256" s="63">
        <v>300000</v>
      </c>
      <c r="Z256" s="63">
        <v>-531490</v>
      </c>
      <c r="AB256" s="189" t="s">
        <v>768</v>
      </c>
    </row>
    <row r="257" spans="1:28" ht="12.75" x14ac:dyDescent="0.2">
      <c r="A257" s="90">
        <v>250</v>
      </c>
      <c r="B257" s="129" t="s">
        <v>355</v>
      </c>
      <c r="C257" s="198" t="s">
        <v>501</v>
      </c>
      <c r="D257" s="131" t="s">
        <v>743</v>
      </c>
      <c r="E257" s="132" t="s">
        <v>531</v>
      </c>
      <c r="F257" s="63">
        <v>5784348</v>
      </c>
      <c r="G257" s="63">
        <v>103343081</v>
      </c>
      <c r="H257" s="63">
        <v>-761000</v>
      </c>
      <c r="I257" s="63">
        <v>-238982</v>
      </c>
      <c r="J257" s="63">
        <v>6435727</v>
      </c>
      <c r="K257" s="63">
        <v>-7571669</v>
      </c>
      <c r="L257" s="63">
        <v>101207157</v>
      </c>
      <c r="M257" s="63">
        <v>0</v>
      </c>
      <c r="N257" s="63">
        <v>0</v>
      </c>
      <c r="O257" s="63">
        <v>0</v>
      </c>
      <c r="P257" s="63">
        <v>0</v>
      </c>
      <c r="Q257" s="63">
        <v>-790746</v>
      </c>
      <c r="R257" s="63">
        <v>-47453631</v>
      </c>
      <c r="S257" s="63">
        <v>-949073</v>
      </c>
      <c r="T257" s="63">
        <v>-46504558</v>
      </c>
      <c r="U257" s="63">
        <v>-314029</v>
      </c>
      <c r="V257" s="63">
        <v>0</v>
      </c>
      <c r="W257" s="63">
        <v>-4834163</v>
      </c>
      <c r="X257" s="63">
        <v>-100846200</v>
      </c>
      <c r="Y257" s="63">
        <v>0</v>
      </c>
      <c r="Z257" s="63">
        <v>6145305</v>
      </c>
      <c r="AB257" s="189"/>
    </row>
    <row r="258" spans="1:28" ht="12.75" x14ac:dyDescent="0.2">
      <c r="A258" s="90">
        <v>251</v>
      </c>
      <c r="B258" s="129" t="s">
        <v>356</v>
      </c>
      <c r="C258" s="198" t="s">
        <v>501</v>
      </c>
      <c r="D258" s="131" t="s">
        <v>746</v>
      </c>
      <c r="E258" s="132" t="s">
        <v>528</v>
      </c>
      <c r="F258" s="63">
        <v>-1774232</v>
      </c>
      <c r="G258" s="63">
        <v>46792296</v>
      </c>
      <c r="H258" s="63">
        <v>0</v>
      </c>
      <c r="I258" s="63">
        <v>-357255</v>
      </c>
      <c r="J258" s="63">
        <v>1721068</v>
      </c>
      <c r="K258" s="63">
        <v>-798676</v>
      </c>
      <c r="L258" s="63">
        <v>47357433</v>
      </c>
      <c r="M258" s="63">
        <v>0</v>
      </c>
      <c r="N258" s="63">
        <v>0</v>
      </c>
      <c r="O258" s="63">
        <v>1277163</v>
      </c>
      <c r="P258" s="63">
        <v>1277163</v>
      </c>
      <c r="Q258" s="63">
        <v>0</v>
      </c>
      <c r="R258" s="63">
        <v>-23223840</v>
      </c>
      <c r="S258" s="63">
        <v>-464477</v>
      </c>
      <c r="T258" s="63">
        <v>-22759364</v>
      </c>
      <c r="U258" s="63">
        <v>-239216</v>
      </c>
      <c r="V258" s="63">
        <v>0</v>
      </c>
      <c r="W258" s="63">
        <v>0</v>
      </c>
      <c r="X258" s="63">
        <v>-46686897</v>
      </c>
      <c r="Y258" s="63">
        <v>0</v>
      </c>
      <c r="Z258" s="63">
        <v>173467</v>
      </c>
      <c r="AB258" s="189"/>
    </row>
    <row r="259" spans="1:28" ht="12.75" x14ac:dyDescent="0.2">
      <c r="A259" s="90">
        <v>252</v>
      </c>
      <c r="B259" s="129" t="s">
        <v>358</v>
      </c>
      <c r="C259" s="198" t="s">
        <v>754</v>
      </c>
      <c r="D259" s="131" t="s">
        <v>748</v>
      </c>
      <c r="E259" s="132" t="s">
        <v>357</v>
      </c>
      <c r="F259" s="63">
        <v>-32726349</v>
      </c>
      <c r="G259" s="63">
        <v>227375041</v>
      </c>
      <c r="H259" s="63">
        <v>0</v>
      </c>
      <c r="I259" s="63">
        <v>-1329678</v>
      </c>
      <c r="J259" s="63">
        <v>8199590</v>
      </c>
      <c r="K259" s="63">
        <v>-4460059</v>
      </c>
      <c r="L259" s="63">
        <v>229784894</v>
      </c>
      <c r="M259" s="63">
        <v>0</v>
      </c>
      <c r="N259" s="63">
        <v>0</v>
      </c>
      <c r="O259" s="63">
        <v>13146699</v>
      </c>
      <c r="P259" s="63">
        <v>13146699</v>
      </c>
      <c r="Q259" s="63">
        <v>-58321</v>
      </c>
      <c r="R259" s="63">
        <v>-114311386</v>
      </c>
      <c r="S259" s="63">
        <v>-45724554</v>
      </c>
      <c r="T259" s="63">
        <v>-68586831</v>
      </c>
      <c r="U259" s="63">
        <v>-652462</v>
      </c>
      <c r="V259" s="63">
        <v>0</v>
      </c>
      <c r="W259" s="63">
        <v>0</v>
      </c>
      <c r="X259" s="63">
        <v>-229333554</v>
      </c>
      <c r="Y259" s="63">
        <v>4521007</v>
      </c>
      <c r="Z259" s="63">
        <v>-14607303</v>
      </c>
      <c r="AB259" s="189" t="s">
        <v>768</v>
      </c>
    </row>
    <row r="260" spans="1:28" ht="12.75" x14ac:dyDescent="0.2">
      <c r="A260" s="90">
        <v>253</v>
      </c>
      <c r="B260" s="129" t="s">
        <v>360</v>
      </c>
      <c r="C260" s="198" t="s">
        <v>742</v>
      </c>
      <c r="D260" s="131" t="s">
        <v>743</v>
      </c>
      <c r="E260" s="132" t="s">
        <v>359</v>
      </c>
      <c r="F260" s="63">
        <v>-4909868</v>
      </c>
      <c r="G260" s="63">
        <v>41443232</v>
      </c>
      <c r="H260" s="63">
        <v>0</v>
      </c>
      <c r="I260" s="63">
        <v>-142000</v>
      </c>
      <c r="J260" s="63">
        <v>0</v>
      </c>
      <c r="K260" s="63">
        <v>-1608389</v>
      </c>
      <c r="L260" s="63">
        <v>39692843</v>
      </c>
      <c r="M260" s="63">
        <v>0</v>
      </c>
      <c r="N260" s="63">
        <v>0</v>
      </c>
      <c r="O260" s="63">
        <v>1581232</v>
      </c>
      <c r="P260" s="63">
        <v>1581232</v>
      </c>
      <c r="Q260" s="63">
        <v>0</v>
      </c>
      <c r="R260" s="63">
        <v>-22523057</v>
      </c>
      <c r="S260" s="63">
        <v>-4504611</v>
      </c>
      <c r="T260" s="63">
        <v>-18018446</v>
      </c>
      <c r="U260" s="63">
        <v>-129885</v>
      </c>
      <c r="V260" s="63">
        <v>0</v>
      </c>
      <c r="W260" s="63">
        <v>0</v>
      </c>
      <c r="X260" s="63">
        <v>-45175999</v>
      </c>
      <c r="Y260" s="63">
        <v>0</v>
      </c>
      <c r="Z260" s="63">
        <v>-8811792</v>
      </c>
      <c r="AB260" s="189"/>
    </row>
    <row r="261" spans="1:28" ht="12.75" x14ac:dyDescent="0.2">
      <c r="A261" s="90">
        <v>254</v>
      </c>
      <c r="B261" s="129" t="s">
        <v>362</v>
      </c>
      <c r="C261" s="198" t="s">
        <v>742</v>
      </c>
      <c r="D261" s="131" t="s">
        <v>746</v>
      </c>
      <c r="E261" s="132" t="s">
        <v>361</v>
      </c>
      <c r="F261" s="63">
        <v>-9463327</v>
      </c>
      <c r="G261" s="63">
        <v>65018218</v>
      </c>
      <c r="H261" s="63">
        <v>-120000</v>
      </c>
      <c r="I261" s="63">
        <v>-80000</v>
      </c>
      <c r="J261" s="63">
        <v>0</v>
      </c>
      <c r="K261" s="63">
        <v>-2000000</v>
      </c>
      <c r="L261" s="63">
        <v>62818218</v>
      </c>
      <c r="M261" s="63">
        <v>7190</v>
      </c>
      <c r="N261" s="63">
        <v>0</v>
      </c>
      <c r="O261" s="63">
        <v>6081409</v>
      </c>
      <c r="P261" s="63">
        <v>6088599</v>
      </c>
      <c r="Q261" s="63">
        <v>-88062</v>
      </c>
      <c r="R261" s="63">
        <v>-31582774</v>
      </c>
      <c r="S261" s="63">
        <v>-6316555</v>
      </c>
      <c r="T261" s="63">
        <v>-25266219</v>
      </c>
      <c r="U261" s="63">
        <v>-195891</v>
      </c>
      <c r="V261" s="63">
        <v>0</v>
      </c>
      <c r="W261" s="63">
        <v>0</v>
      </c>
      <c r="X261" s="63">
        <v>-63449501</v>
      </c>
      <c r="Y261" s="63">
        <v>0</v>
      </c>
      <c r="Z261" s="63">
        <v>-4006011</v>
      </c>
      <c r="AB261" s="189"/>
    </row>
    <row r="262" spans="1:28" ht="12.75" x14ac:dyDescent="0.2">
      <c r="A262" s="90">
        <v>255</v>
      </c>
      <c r="B262" s="129" t="s">
        <v>364</v>
      </c>
      <c r="C262" s="198" t="s">
        <v>742</v>
      </c>
      <c r="D262" s="131" t="s">
        <v>746</v>
      </c>
      <c r="E262" s="132" t="s">
        <v>363</v>
      </c>
      <c r="F262" s="63">
        <v>-244258</v>
      </c>
      <c r="G262" s="63">
        <v>47430990</v>
      </c>
      <c r="H262" s="63">
        <v>0</v>
      </c>
      <c r="I262" s="63">
        <v>-302962</v>
      </c>
      <c r="J262" s="63">
        <v>4635174</v>
      </c>
      <c r="K262" s="63">
        <v>-6207592</v>
      </c>
      <c r="L262" s="63">
        <v>45555610</v>
      </c>
      <c r="M262" s="63">
        <v>0</v>
      </c>
      <c r="N262" s="63">
        <v>0</v>
      </c>
      <c r="O262" s="63">
        <v>599854</v>
      </c>
      <c r="P262" s="63">
        <v>599854</v>
      </c>
      <c r="Q262" s="63">
        <v>-108250</v>
      </c>
      <c r="R262" s="63">
        <v>-23103694</v>
      </c>
      <c r="S262" s="63">
        <v>-4620739</v>
      </c>
      <c r="T262" s="63">
        <v>-18482955</v>
      </c>
      <c r="U262" s="63">
        <v>-423178</v>
      </c>
      <c r="V262" s="63">
        <v>0</v>
      </c>
      <c r="W262" s="63">
        <v>0</v>
      </c>
      <c r="X262" s="63">
        <v>-46738816</v>
      </c>
      <c r="Y262" s="63">
        <v>0</v>
      </c>
      <c r="Z262" s="63">
        <v>-827610</v>
      </c>
      <c r="AB262" s="189"/>
    </row>
    <row r="263" spans="1:28" ht="12.75" x14ac:dyDescent="0.2">
      <c r="A263" s="90">
        <v>256</v>
      </c>
      <c r="B263" s="129" t="s">
        <v>366</v>
      </c>
      <c r="C263" s="198" t="s">
        <v>749</v>
      </c>
      <c r="D263" s="131" t="s">
        <v>744</v>
      </c>
      <c r="E263" s="132" t="s">
        <v>365</v>
      </c>
      <c r="F263" s="63">
        <v>598384</v>
      </c>
      <c r="G263" s="63">
        <v>47829121</v>
      </c>
      <c r="H263" s="63">
        <v>0</v>
      </c>
      <c r="I263" s="63">
        <v>0</v>
      </c>
      <c r="J263" s="63">
        <v>1750000</v>
      </c>
      <c r="K263" s="63">
        <v>-1341097</v>
      </c>
      <c r="L263" s="63">
        <v>48238024</v>
      </c>
      <c r="M263" s="63">
        <v>0</v>
      </c>
      <c r="N263" s="63">
        <v>0</v>
      </c>
      <c r="O263" s="63">
        <v>0</v>
      </c>
      <c r="P263" s="63">
        <v>0</v>
      </c>
      <c r="Q263" s="63">
        <v>-87481</v>
      </c>
      <c r="R263" s="63">
        <v>-23956952</v>
      </c>
      <c r="S263" s="63">
        <v>-479139</v>
      </c>
      <c r="T263" s="63">
        <v>-23477812</v>
      </c>
      <c r="U263" s="63">
        <v>-199028</v>
      </c>
      <c r="V263" s="63">
        <v>-122309</v>
      </c>
      <c r="W263" s="63">
        <v>-513687</v>
      </c>
      <c r="X263" s="63">
        <v>-48836408</v>
      </c>
      <c r="Y263" s="63">
        <v>0</v>
      </c>
      <c r="Z263" s="63">
        <v>0</v>
      </c>
      <c r="AB263" s="189"/>
    </row>
    <row r="264" spans="1:28" ht="12.75" x14ac:dyDescent="0.2">
      <c r="A264" s="90">
        <v>257</v>
      </c>
      <c r="B264" s="129" t="s">
        <v>368</v>
      </c>
      <c r="C264" s="198" t="s">
        <v>742</v>
      </c>
      <c r="D264" s="131" t="s">
        <v>752</v>
      </c>
      <c r="E264" s="132" t="s">
        <v>367</v>
      </c>
      <c r="F264" s="63">
        <v>-3196138</v>
      </c>
      <c r="G264" s="63">
        <v>46828738</v>
      </c>
      <c r="H264" s="63">
        <v>0</v>
      </c>
      <c r="I264" s="63">
        <v>-521732</v>
      </c>
      <c r="J264" s="63">
        <v>725214</v>
      </c>
      <c r="K264" s="63">
        <v>-1616520</v>
      </c>
      <c r="L264" s="63">
        <v>45415700</v>
      </c>
      <c r="M264" s="63">
        <v>0</v>
      </c>
      <c r="N264" s="63">
        <v>0</v>
      </c>
      <c r="O264" s="63">
        <v>0</v>
      </c>
      <c r="P264" s="63">
        <v>0</v>
      </c>
      <c r="Q264" s="63">
        <v>-204074</v>
      </c>
      <c r="R264" s="63">
        <v>-22712177</v>
      </c>
      <c r="S264" s="63">
        <v>-4542436</v>
      </c>
      <c r="T264" s="63">
        <v>-18169742</v>
      </c>
      <c r="U264" s="63">
        <v>-170588</v>
      </c>
      <c r="V264" s="63">
        <v>0</v>
      </c>
      <c r="W264" s="63">
        <v>-1506558</v>
      </c>
      <c r="X264" s="63">
        <v>-47305575</v>
      </c>
      <c r="Y264" s="63">
        <v>0</v>
      </c>
      <c r="Z264" s="63">
        <v>-5086013</v>
      </c>
      <c r="AB264" s="189"/>
    </row>
    <row r="265" spans="1:28" ht="12.75" x14ac:dyDescent="0.2">
      <c r="A265" s="90">
        <v>258</v>
      </c>
      <c r="B265" s="129" t="s">
        <v>370</v>
      </c>
      <c r="C265" s="198" t="s">
        <v>742</v>
      </c>
      <c r="D265" s="131" t="s">
        <v>752</v>
      </c>
      <c r="E265" s="132" t="s">
        <v>369</v>
      </c>
      <c r="F265" s="63">
        <v>-1234292</v>
      </c>
      <c r="G265" s="63">
        <v>18756877</v>
      </c>
      <c r="H265" s="63">
        <v>0</v>
      </c>
      <c r="I265" s="63">
        <v>56303</v>
      </c>
      <c r="J265" s="63">
        <v>0</v>
      </c>
      <c r="K265" s="63">
        <v>-638951</v>
      </c>
      <c r="L265" s="63">
        <v>18174229</v>
      </c>
      <c r="M265" s="63">
        <v>14838</v>
      </c>
      <c r="N265" s="63">
        <v>0</v>
      </c>
      <c r="O265" s="63">
        <v>640331</v>
      </c>
      <c r="P265" s="63">
        <v>655169</v>
      </c>
      <c r="Q265" s="63">
        <v>0</v>
      </c>
      <c r="R265" s="63">
        <v>-9137936</v>
      </c>
      <c r="S265" s="63">
        <v>-1827587</v>
      </c>
      <c r="T265" s="63">
        <v>-7310349</v>
      </c>
      <c r="U265" s="63">
        <v>-115122</v>
      </c>
      <c r="V265" s="63">
        <v>0</v>
      </c>
      <c r="W265" s="63">
        <v>0</v>
      </c>
      <c r="X265" s="63">
        <v>-18390994</v>
      </c>
      <c r="Y265" s="63">
        <v>0</v>
      </c>
      <c r="Z265" s="63">
        <v>-795888</v>
      </c>
      <c r="AB265" s="189"/>
    </row>
    <row r="266" spans="1:28" ht="12.75" x14ac:dyDescent="0.2">
      <c r="A266" s="90">
        <v>259</v>
      </c>
      <c r="B266" s="129" t="s">
        <v>372</v>
      </c>
      <c r="C266" s="198" t="s">
        <v>742</v>
      </c>
      <c r="D266" s="131" t="s">
        <v>746</v>
      </c>
      <c r="E266" s="132" t="s">
        <v>371</v>
      </c>
      <c r="F266" s="63">
        <v>1550153</v>
      </c>
      <c r="G266" s="63">
        <v>48205088</v>
      </c>
      <c r="H266" s="63">
        <v>0</v>
      </c>
      <c r="I266" s="63">
        <v>-826000</v>
      </c>
      <c r="J266" s="63">
        <v>0</v>
      </c>
      <c r="K266" s="63">
        <v>-411245</v>
      </c>
      <c r="L266" s="63">
        <v>46967843</v>
      </c>
      <c r="M266" s="63">
        <v>0</v>
      </c>
      <c r="N266" s="63">
        <v>0</v>
      </c>
      <c r="O266" s="63">
        <v>0</v>
      </c>
      <c r="P266" s="63">
        <v>0</v>
      </c>
      <c r="Q266" s="63">
        <v>-78021</v>
      </c>
      <c r="R266" s="63">
        <v>-23858719</v>
      </c>
      <c r="S266" s="63">
        <v>-4771744</v>
      </c>
      <c r="T266" s="63">
        <v>-19086976</v>
      </c>
      <c r="U266" s="63">
        <v>-112274</v>
      </c>
      <c r="V266" s="63">
        <v>0</v>
      </c>
      <c r="W266" s="63">
        <v>-2949721</v>
      </c>
      <c r="X266" s="63">
        <v>-50857455</v>
      </c>
      <c r="Y266" s="63">
        <v>0</v>
      </c>
      <c r="Z266" s="63">
        <v>-2339459</v>
      </c>
      <c r="AB266" s="189"/>
    </row>
    <row r="267" spans="1:28" ht="12.75" x14ac:dyDescent="0.2">
      <c r="A267" s="90">
        <v>260</v>
      </c>
      <c r="B267" s="129" t="s">
        <v>374</v>
      </c>
      <c r="C267" s="198" t="s">
        <v>749</v>
      </c>
      <c r="D267" s="131" t="s">
        <v>744</v>
      </c>
      <c r="E267" s="132" t="s">
        <v>373</v>
      </c>
      <c r="F267" s="63">
        <v>273135</v>
      </c>
      <c r="G267" s="63">
        <v>95797000</v>
      </c>
      <c r="H267" s="63">
        <v>0</v>
      </c>
      <c r="I267" s="63">
        <v>-5446000</v>
      </c>
      <c r="J267" s="63">
        <v>0</v>
      </c>
      <c r="K267" s="63">
        <v>-1593000</v>
      </c>
      <c r="L267" s="63">
        <v>88758000</v>
      </c>
      <c r="M267" s="63">
        <v>335000</v>
      </c>
      <c r="N267" s="63">
        <v>0</v>
      </c>
      <c r="O267" s="63">
        <v>0</v>
      </c>
      <c r="P267" s="63">
        <v>335000</v>
      </c>
      <c r="Q267" s="63">
        <v>-335000</v>
      </c>
      <c r="R267" s="63">
        <v>-45257000</v>
      </c>
      <c r="S267" s="63">
        <v>-905150</v>
      </c>
      <c r="T267" s="63">
        <v>-44352000</v>
      </c>
      <c r="U267" s="63">
        <v>0</v>
      </c>
      <c r="V267" s="63">
        <v>-432000</v>
      </c>
      <c r="W267" s="63">
        <v>-273135</v>
      </c>
      <c r="X267" s="63">
        <v>-91554285</v>
      </c>
      <c r="Y267" s="63">
        <v>0</v>
      </c>
      <c r="Z267" s="63">
        <v>-2188150</v>
      </c>
      <c r="AB267" s="189"/>
    </row>
    <row r="268" spans="1:28" ht="12.75" x14ac:dyDescent="0.2">
      <c r="A268" s="90">
        <v>261</v>
      </c>
      <c r="B268" s="129" t="s">
        <v>375</v>
      </c>
      <c r="C268" s="198" t="s">
        <v>501</v>
      </c>
      <c r="D268" s="131" t="s">
        <v>755</v>
      </c>
      <c r="E268" s="132" t="s">
        <v>519</v>
      </c>
      <c r="F268" s="63">
        <v>-3671283</v>
      </c>
      <c r="G268" s="63">
        <v>84760028</v>
      </c>
      <c r="H268" s="63">
        <v>0</v>
      </c>
      <c r="I268" s="63">
        <v>-560876</v>
      </c>
      <c r="J268" s="63">
        <v>2105124</v>
      </c>
      <c r="K268" s="63">
        <v>-6879881</v>
      </c>
      <c r="L268" s="63">
        <v>79424395</v>
      </c>
      <c r="M268" s="63">
        <v>0</v>
      </c>
      <c r="N268" s="63">
        <v>0</v>
      </c>
      <c r="O268" s="63">
        <v>0</v>
      </c>
      <c r="P268" s="63">
        <v>0</v>
      </c>
      <c r="Q268" s="63">
        <v>-479787</v>
      </c>
      <c r="R268" s="63">
        <v>-41335556</v>
      </c>
      <c r="S268" s="63">
        <v>-826711</v>
      </c>
      <c r="T268" s="63">
        <v>-40508845</v>
      </c>
      <c r="U268" s="63">
        <v>-1073146</v>
      </c>
      <c r="V268" s="63">
        <v>-239418</v>
      </c>
      <c r="W268" s="63">
        <v>-103903</v>
      </c>
      <c r="X268" s="63">
        <v>-84567366</v>
      </c>
      <c r="Y268" s="63">
        <v>0</v>
      </c>
      <c r="Z268" s="63">
        <v>-8814254</v>
      </c>
      <c r="AB268" s="189"/>
    </row>
    <row r="269" spans="1:28" ht="12.75" x14ac:dyDescent="0.2">
      <c r="A269" s="90">
        <v>262</v>
      </c>
      <c r="B269" s="129" t="s">
        <v>376</v>
      </c>
      <c r="C269" s="198" t="s">
        <v>501</v>
      </c>
      <c r="D269" s="131" t="s">
        <v>752</v>
      </c>
      <c r="E269" s="132" t="s">
        <v>548</v>
      </c>
      <c r="F269" s="63">
        <v>-5604439</v>
      </c>
      <c r="G269" s="63">
        <v>88027185</v>
      </c>
      <c r="H269" s="63">
        <v>0</v>
      </c>
      <c r="I269" s="63">
        <v>-1874928</v>
      </c>
      <c r="J269" s="63">
        <v>0</v>
      </c>
      <c r="K269" s="63">
        <v>3051906</v>
      </c>
      <c r="L269" s="63">
        <v>89204163</v>
      </c>
      <c r="M269" s="63">
        <v>0</v>
      </c>
      <c r="N269" s="63">
        <v>0</v>
      </c>
      <c r="O269" s="63">
        <v>0</v>
      </c>
      <c r="P269" s="63">
        <v>0</v>
      </c>
      <c r="Q269" s="63">
        <v>-72571</v>
      </c>
      <c r="R269" s="63">
        <v>-41621284</v>
      </c>
      <c r="S269" s="63">
        <v>-832426</v>
      </c>
      <c r="T269" s="63">
        <v>-40761395</v>
      </c>
      <c r="U269" s="63">
        <v>-368093</v>
      </c>
      <c r="V269" s="63">
        <v>0</v>
      </c>
      <c r="W269" s="63">
        <v>0</v>
      </c>
      <c r="X269" s="63">
        <v>-83655769</v>
      </c>
      <c r="Y269" s="63">
        <v>0</v>
      </c>
      <c r="Z269" s="63">
        <v>-56045</v>
      </c>
      <c r="AB269" s="189"/>
    </row>
    <row r="270" spans="1:28" ht="12.75" x14ac:dyDescent="0.2">
      <c r="A270" s="90">
        <v>263</v>
      </c>
      <c r="B270" s="129" t="s">
        <v>378</v>
      </c>
      <c r="C270" s="198" t="s">
        <v>742</v>
      </c>
      <c r="D270" s="131" t="s">
        <v>752</v>
      </c>
      <c r="E270" s="132" t="s">
        <v>377</v>
      </c>
      <c r="F270" s="63">
        <v>-2109066</v>
      </c>
      <c r="G270" s="63">
        <v>54586740</v>
      </c>
      <c r="H270" s="63">
        <v>0</v>
      </c>
      <c r="I270" s="63">
        <v>-58518</v>
      </c>
      <c r="J270" s="63">
        <v>0</v>
      </c>
      <c r="K270" s="63">
        <v>-1000000</v>
      </c>
      <c r="L270" s="63">
        <v>53528222</v>
      </c>
      <c r="M270" s="63">
        <v>0</v>
      </c>
      <c r="N270" s="63">
        <v>0</v>
      </c>
      <c r="O270" s="63">
        <v>1819354</v>
      </c>
      <c r="P270" s="63">
        <v>1819354</v>
      </c>
      <c r="Q270" s="63">
        <v>0</v>
      </c>
      <c r="R270" s="63">
        <v>-27072025</v>
      </c>
      <c r="S270" s="63">
        <v>-5414405</v>
      </c>
      <c r="T270" s="63">
        <v>-21657620</v>
      </c>
      <c r="U270" s="63">
        <v>-217612</v>
      </c>
      <c r="V270" s="63">
        <v>0</v>
      </c>
      <c r="W270" s="63">
        <v>0</v>
      </c>
      <c r="X270" s="63">
        <v>-54361662</v>
      </c>
      <c r="Y270" s="63">
        <v>0</v>
      </c>
      <c r="Z270" s="63">
        <v>-1123152</v>
      </c>
      <c r="AB270" s="189"/>
    </row>
    <row r="271" spans="1:28" ht="12.75" x14ac:dyDescent="0.2">
      <c r="A271" s="90">
        <v>264</v>
      </c>
      <c r="B271" s="129" t="s">
        <v>380</v>
      </c>
      <c r="C271" s="198" t="s">
        <v>742</v>
      </c>
      <c r="D271" s="131" t="s">
        <v>751</v>
      </c>
      <c r="E271" s="132" t="s">
        <v>379</v>
      </c>
      <c r="F271" s="63">
        <v>-2727395</v>
      </c>
      <c r="G271" s="63">
        <v>26257736</v>
      </c>
      <c r="H271" s="63">
        <v>0</v>
      </c>
      <c r="I271" s="63">
        <v>-150000</v>
      </c>
      <c r="J271" s="63">
        <v>750000</v>
      </c>
      <c r="K271" s="63">
        <v>-538417</v>
      </c>
      <c r="L271" s="63">
        <v>26319319</v>
      </c>
      <c r="M271" s="63">
        <v>0</v>
      </c>
      <c r="N271" s="63">
        <v>0</v>
      </c>
      <c r="O271" s="63">
        <v>1038438</v>
      </c>
      <c r="P271" s="63">
        <v>1038438</v>
      </c>
      <c r="Q271" s="63">
        <v>0</v>
      </c>
      <c r="R271" s="63">
        <v>-12825342</v>
      </c>
      <c r="S271" s="63">
        <v>-2565068</v>
      </c>
      <c r="T271" s="63">
        <v>-10260274</v>
      </c>
      <c r="U271" s="63">
        <v>-159152</v>
      </c>
      <c r="V271" s="63">
        <v>0</v>
      </c>
      <c r="W271" s="63">
        <v>0</v>
      </c>
      <c r="X271" s="63">
        <v>-25809836</v>
      </c>
      <c r="Y271" s="63">
        <v>0</v>
      </c>
      <c r="Z271" s="63">
        <v>-1179474</v>
      </c>
      <c r="AB271" s="189"/>
    </row>
    <row r="272" spans="1:28" ht="12.75" x14ac:dyDescent="0.2">
      <c r="A272" s="90">
        <v>265</v>
      </c>
      <c r="B272" s="129" t="s">
        <v>382</v>
      </c>
      <c r="C272" s="198" t="s">
        <v>742</v>
      </c>
      <c r="D272" s="131" t="s">
        <v>746</v>
      </c>
      <c r="E272" s="132" t="s">
        <v>381</v>
      </c>
      <c r="F272" s="63">
        <v>10004352</v>
      </c>
      <c r="G272" s="63">
        <v>67678421</v>
      </c>
      <c r="H272" s="63">
        <v>0</v>
      </c>
      <c r="I272" s="63">
        <v>-280300</v>
      </c>
      <c r="J272" s="63">
        <v>514253</v>
      </c>
      <c r="K272" s="63">
        <v>-3981689</v>
      </c>
      <c r="L272" s="63">
        <v>63930685</v>
      </c>
      <c r="M272" s="63">
        <v>20530</v>
      </c>
      <c r="N272" s="63">
        <v>0</v>
      </c>
      <c r="O272" s="63">
        <v>0</v>
      </c>
      <c r="P272" s="63">
        <v>20530</v>
      </c>
      <c r="Q272" s="63">
        <v>-13914</v>
      </c>
      <c r="R272" s="63">
        <v>-32628912</v>
      </c>
      <c r="S272" s="63">
        <v>-6525782</v>
      </c>
      <c r="T272" s="63">
        <v>-26103130</v>
      </c>
      <c r="U272" s="63">
        <v>-278319</v>
      </c>
      <c r="V272" s="63">
        <v>-122264</v>
      </c>
      <c r="W272" s="63">
        <v>-739913</v>
      </c>
      <c r="X272" s="63">
        <v>-66412234</v>
      </c>
      <c r="Y272" s="63">
        <v>0</v>
      </c>
      <c r="Z272" s="63">
        <v>7543333</v>
      </c>
      <c r="AB272" s="189"/>
    </row>
    <row r="273" spans="1:28" ht="12.75" x14ac:dyDescent="0.2">
      <c r="A273" s="90">
        <v>266</v>
      </c>
      <c r="B273" s="129" t="s">
        <v>384</v>
      </c>
      <c r="C273" s="198" t="s">
        <v>749</v>
      </c>
      <c r="D273" s="131" t="s">
        <v>755</v>
      </c>
      <c r="E273" s="132" t="s">
        <v>383</v>
      </c>
      <c r="F273" s="63">
        <v>371570</v>
      </c>
      <c r="G273" s="63">
        <v>92526297</v>
      </c>
      <c r="H273" s="63">
        <v>0</v>
      </c>
      <c r="I273" s="63">
        <v>-2730000</v>
      </c>
      <c r="J273" s="63">
        <v>2500000</v>
      </c>
      <c r="K273" s="63">
        <v>-3537000</v>
      </c>
      <c r="L273" s="63">
        <v>88759297</v>
      </c>
      <c r="M273" s="63">
        <v>0</v>
      </c>
      <c r="N273" s="63">
        <v>0</v>
      </c>
      <c r="O273" s="63">
        <v>0</v>
      </c>
      <c r="P273" s="63">
        <v>0</v>
      </c>
      <c r="Q273" s="63">
        <v>0</v>
      </c>
      <c r="R273" s="63">
        <v>-43515493</v>
      </c>
      <c r="S273" s="63">
        <v>-871000</v>
      </c>
      <c r="T273" s="63">
        <v>-42679003</v>
      </c>
      <c r="U273" s="63">
        <v>-1029449</v>
      </c>
      <c r="V273" s="63">
        <v>0</v>
      </c>
      <c r="W273" s="63">
        <v>-1035922</v>
      </c>
      <c r="X273" s="63">
        <v>-89130867</v>
      </c>
      <c r="Y273" s="63">
        <v>0</v>
      </c>
      <c r="Z273" s="63">
        <v>0</v>
      </c>
      <c r="AB273" s="189"/>
    </row>
    <row r="274" spans="1:28" ht="12.75" x14ac:dyDescent="0.2">
      <c r="A274" s="90">
        <v>267</v>
      </c>
      <c r="B274" s="129" t="s">
        <v>386</v>
      </c>
      <c r="C274" s="198" t="s">
        <v>742</v>
      </c>
      <c r="D274" s="131" t="s">
        <v>743</v>
      </c>
      <c r="E274" s="132" t="s">
        <v>385</v>
      </c>
      <c r="F274" s="63">
        <v>-2992645</v>
      </c>
      <c r="G274" s="63">
        <v>36298282</v>
      </c>
      <c r="H274" s="63">
        <v>0</v>
      </c>
      <c r="I274" s="63">
        <v>486000</v>
      </c>
      <c r="J274" s="63">
        <v>0</v>
      </c>
      <c r="K274" s="63">
        <v>1700000</v>
      </c>
      <c r="L274" s="63">
        <v>38484282</v>
      </c>
      <c r="M274" s="63">
        <v>0</v>
      </c>
      <c r="N274" s="63">
        <v>0</v>
      </c>
      <c r="O274" s="63">
        <v>1479043</v>
      </c>
      <c r="P274" s="63">
        <v>1479043</v>
      </c>
      <c r="Q274" s="63">
        <v>0</v>
      </c>
      <c r="R274" s="63">
        <v>-18862566</v>
      </c>
      <c r="S274" s="63">
        <v>-3772513</v>
      </c>
      <c r="T274" s="63">
        <v>-15090093</v>
      </c>
      <c r="U274" s="63">
        <v>-122065</v>
      </c>
      <c r="V274" s="63">
        <v>0</v>
      </c>
      <c r="W274" s="63">
        <v>0</v>
      </c>
      <c r="X274" s="63">
        <v>-37847237</v>
      </c>
      <c r="Y274" s="63">
        <v>0</v>
      </c>
      <c r="Z274" s="63">
        <v>-876557</v>
      </c>
      <c r="AB274" s="189"/>
    </row>
    <row r="275" spans="1:28" ht="12.75" x14ac:dyDescent="0.2">
      <c r="A275" s="90">
        <v>268</v>
      </c>
      <c r="B275" s="129" t="s">
        <v>388</v>
      </c>
      <c r="C275" s="198" t="s">
        <v>747</v>
      </c>
      <c r="D275" s="131" t="s">
        <v>748</v>
      </c>
      <c r="E275" s="132" t="s">
        <v>387</v>
      </c>
      <c r="F275" s="63">
        <v>-9958800</v>
      </c>
      <c r="G275" s="63">
        <v>51831000</v>
      </c>
      <c r="H275" s="63">
        <v>0</v>
      </c>
      <c r="I275" s="63">
        <v>-807422</v>
      </c>
      <c r="J275" s="63">
        <v>1389774</v>
      </c>
      <c r="K275" s="63">
        <v>2000000</v>
      </c>
      <c r="L275" s="63">
        <v>54413352</v>
      </c>
      <c r="M275" s="63">
        <v>34000</v>
      </c>
      <c r="N275" s="63">
        <v>819553</v>
      </c>
      <c r="O275" s="63">
        <v>6104172</v>
      </c>
      <c r="P275" s="63">
        <v>6957725</v>
      </c>
      <c r="Q275" s="63">
        <v>-166856</v>
      </c>
      <c r="R275" s="63">
        <v>-25261151</v>
      </c>
      <c r="S275" s="63">
        <v>-10104465</v>
      </c>
      <c r="T275" s="63">
        <v>-15156697</v>
      </c>
      <c r="U275" s="63">
        <v>0</v>
      </c>
      <c r="V275" s="63">
        <v>0</v>
      </c>
      <c r="W275" s="63">
        <v>0</v>
      </c>
      <c r="X275" s="63">
        <v>-50689169</v>
      </c>
      <c r="Y275" s="63">
        <v>0</v>
      </c>
      <c r="Z275" s="63">
        <v>723108</v>
      </c>
      <c r="AB275" s="189"/>
    </row>
    <row r="276" spans="1:28" ht="12.75" x14ac:dyDescent="0.2">
      <c r="A276" s="90">
        <v>269</v>
      </c>
      <c r="B276" s="129" t="s">
        <v>390</v>
      </c>
      <c r="C276" s="198" t="s">
        <v>742</v>
      </c>
      <c r="D276" s="131" t="s">
        <v>743</v>
      </c>
      <c r="E276" s="132" t="s">
        <v>389</v>
      </c>
      <c r="F276" s="63">
        <v>-492274</v>
      </c>
      <c r="G276" s="63">
        <v>45796271</v>
      </c>
      <c r="H276" s="63">
        <v>-325743</v>
      </c>
      <c r="I276" s="63">
        <v>-15109</v>
      </c>
      <c r="J276" s="63">
        <v>899275</v>
      </c>
      <c r="K276" s="63">
        <v>-4831401</v>
      </c>
      <c r="L276" s="63">
        <v>41523293</v>
      </c>
      <c r="M276" s="63">
        <v>0</v>
      </c>
      <c r="N276" s="63">
        <v>0</v>
      </c>
      <c r="O276" s="63">
        <v>0</v>
      </c>
      <c r="P276" s="63">
        <v>0</v>
      </c>
      <c r="Q276" s="63">
        <v>0</v>
      </c>
      <c r="R276" s="63">
        <v>-21645075</v>
      </c>
      <c r="S276" s="63">
        <v>-4329014</v>
      </c>
      <c r="T276" s="63">
        <v>-17316060</v>
      </c>
      <c r="U276" s="63">
        <v>-436990</v>
      </c>
      <c r="V276" s="63">
        <v>-248805</v>
      </c>
      <c r="W276" s="63">
        <v>-424000</v>
      </c>
      <c r="X276" s="63">
        <v>-44399944</v>
      </c>
      <c r="Y276" s="63">
        <v>0</v>
      </c>
      <c r="Z276" s="63">
        <v>-3368925</v>
      </c>
      <c r="AB276" s="189"/>
    </row>
    <row r="277" spans="1:28" ht="12.75" x14ac:dyDescent="0.2">
      <c r="A277" s="90">
        <v>270</v>
      </c>
      <c r="B277" s="129" t="s">
        <v>391</v>
      </c>
      <c r="C277" s="198" t="s">
        <v>501</v>
      </c>
      <c r="D277" s="131" t="s">
        <v>751</v>
      </c>
      <c r="E277" s="132" t="s">
        <v>551</v>
      </c>
      <c r="F277" s="63">
        <v>-5275493</v>
      </c>
      <c r="G277" s="63">
        <v>111110597</v>
      </c>
      <c r="H277" s="63">
        <v>0</v>
      </c>
      <c r="I277" s="63">
        <v>-1783418</v>
      </c>
      <c r="J277" s="63">
        <v>2092492</v>
      </c>
      <c r="K277" s="63">
        <v>-5019883</v>
      </c>
      <c r="L277" s="63">
        <v>106399788</v>
      </c>
      <c r="M277" s="63">
        <v>0</v>
      </c>
      <c r="N277" s="63">
        <v>0</v>
      </c>
      <c r="O277" s="63">
        <v>5080555</v>
      </c>
      <c r="P277" s="63">
        <v>5080555</v>
      </c>
      <c r="Q277" s="63">
        <v>-284927</v>
      </c>
      <c r="R277" s="63">
        <v>-52898235</v>
      </c>
      <c r="S277" s="63">
        <v>-1057965</v>
      </c>
      <c r="T277" s="63">
        <v>-51840271</v>
      </c>
      <c r="U277" s="63">
        <v>-270907</v>
      </c>
      <c r="V277" s="63">
        <v>-372398</v>
      </c>
      <c r="W277" s="63">
        <v>0</v>
      </c>
      <c r="X277" s="63">
        <v>-106724703</v>
      </c>
      <c r="Y277" s="63">
        <v>0</v>
      </c>
      <c r="Z277" s="63">
        <v>-519853</v>
      </c>
      <c r="AB277" s="189"/>
    </row>
    <row r="278" spans="1:28" ht="12.75" x14ac:dyDescent="0.2">
      <c r="A278" s="90">
        <v>271</v>
      </c>
      <c r="B278" s="129" t="s">
        <v>393</v>
      </c>
      <c r="C278" s="198" t="s">
        <v>749</v>
      </c>
      <c r="D278" s="131" t="s">
        <v>744</v>
      </c>
      <c r="E278" s="132" t="s">
        <v>392</v>
      </c>
      <c r="F278" s="63">
        <v>-868430</v>
      </c>
      <c r="G278" s="63">
        <v>60804184</v>
      </c>
      <c r="H278" s="63">
        <v>-3040209</v>
      </c>
      <c r="I278" s="63">
        <v>-300741</v>
      </c>
      <c r="J278" s="63">
        <v>950925</v>
      </c>
      <c r="K278" s="63">
        <v>0</v>
      </c>
      <c r="L278" s="63">
        <v>58414159</v>
      </c>
      <c r="M278" s="63">
        <v>0</v>
      </c>
      <c r="N278" s="63">
        <v>0</v>
      </c>
      <c r="O278" s="63">
        <v>0</v>
      </c>
      <c r="P278" s="63">
        <v>0</v>
      </c>
      <c r="Q278" s="63">
        <v>0</v>
      </c>
      <c r="R278" s="63">
        <v>-28256155</v>
      </c>
      <c r="S278" s="63">
        <v>-565123</v>
      </c>
      <c r="T278" s="63">
        <v>-27691031</v>
      </c>
      <c r="U278" s="63">
        <v>0</v>
      </c>
      <c r="V278" s="63">
        <v>0</v>
      </c>
      <c r="W278" s="63">
        <v>0</v>
      </c>
      <c r="X278" s="63">
        <v>-56512309</v>
      </c>
      <c r="Y278" s="63">
        <v>0</v>
      </c>
      <c r="Z278" s="63">
        <v>1033420</v>
      </c>
      <c r="AB278" s="189"/>
    </row>
    <row r="279" spans="1:28" ht="12.75" x14ac:dyDescent="0.2">
      <c r="A279" s="90">
        <v>272</v>
      </c>
      <c r="B279" s="129" t="s">
        <v>395</v>
      </c>
      <c r="C279" s="198" t="s">
        <v>742</v>
      </c>
      <c r="D279" s="131" t="s">
        <v>752</v>
      </c>
      <c r="E279" s="132" t="s">
        <v>394</v>
      </c>
      <c r="F279" s="63">
        <v>-378444</v>
      </c>
      <c r="G279" s="63">
        <v>33698197</v>
      </c>
      <c r="H279" s="63">
        <v>0</v>
      </c>
      <c r="I279" s="63">
        <v>-255403</v>
      </c>
      <c r="J279" s="63">
        <v>1653140</v>
      </c>
      <c r="K279" s="63">
        <v>-1208173</v>
      </c>
      <c r="L279" s="63">
        <v>33887761</v>
      </c>
      <c r="M279" s="63">
        <v>0</v>
      </c>
      <c r="N279" s="63">
        <v>0</v>
      </c>
      <c r="O279" s="63">
        <v>0</v>
      </c>
      <c r="P279" s="63">
        <v>0</v>
      </c>
      <c r="Q279" s="63">
        <v>-44848</v>
      </c>
      <c r="R279" s="63">
        <v>-16476412</v>
      </c>
      <c r="S279" s="63">
        <v>-3295282</v>
      </c>
      <c r="T279" s="63">
        <v>-13181129</v>
      </c>
      <c r="U279" s="63">
        <v>-91651</v>
      </c>
      <c r="V279" s="63">
        <v>0</v>
      </c>
      <c r="W279" s="63">
        <v>-1820057</v>
      </c>
      <c r="X279" s="63">
        <v>-34909379</v>
      </c>
      <c r="Y279" s="63">
        <v>0</v>
      </c>
      <c r="Z279" s="63">
        <v>-1400062</v>
      </c>
      <c r="AB279" s="189"/>
    </row>
    <row r="280" spans="1:28" ht="12.75" x14ac:dyDescent="0.2">
      <c r="A280" s="90">
        <v>273</v>
      </c>
      <c r="B280" s="129" t="s">
        <v>397</v>
      </c>
      <c r="C280" s="198" t="s">
        <v>742</v>
      </c>
      <c r="D280" s="131" t="s">
        <v>743</v>
      </c>
      <c r="E280" s="132" t="s">
        <v>396</v>
      </c>
      <c r="F280" s="63">
        <v>-1423964</v>
      </c>
      <c r="G280" s="63">
        <v>19991949</v>
      </c>
      <c r="H280" s="63">
        <v>0</v>
      </c>
      <c r="I280" s="63">
        <v>0</v>
      </c>
      <c r="J280" s="63">
        <v>131478</v>
      </c>
      <c r="K280" s="63">
        <v>-100000</v>
      </c>
      <c r="L280" s="63">
        <v>20023427</v>
      </c>
      <c r="M280" s="63">
        <v>0</v>
      </c>
      <c r="N280" s="63">
        <v>0</v>
      </c>
      <c r="O280" s="63">
        <v>1767591</v>
      </c>
      <c r="P280" s="63">
        <v>1767591</v>
      </c>
      <c r="Q280" s="63">
        <v>0</v>
      </c>
      <c r="R280" s="63">
        <v>-9995974</v>
      </c>
      <c r="S280" s="63">
        <v>-1999195</v>
      </c>
      <c r="T280" s="63">
        <v>-7996780</v>
      </c>
      <c r="U280" s="63">
        <v>-126117</v>
      </c>
      <c r="V280" s="63">
        <v>0</v>
      </c>
      <c r="W280" s="63">
        <v>0</v>
      </c>
      <c r="X280" s="63">
        <v>-20118066</v>
      </c>
      <c r="Y280" s="63">
        <v>0</v>
      </c>
      <c r="Z280" s="63">
        <v>248988</v>
      </c>
      <c r="AB280" s="189"/>
    </row>
    <row r="281" spans="1:28" ht="12.75" x14ac:dyDescent="0.2">
      <c r="A281" s="90">
        <v>274</v>
      </c>
      <c r="B281" s="129" t="s">
        <v>399</v>
      </c>
      <c r="C281" s="198" t="s">
        <v>742</v>
      </c>
      <c r="D281" s="131" t="s">
        <v>751</v>
      </c>
      <c r="E281" s="132" t="s">
        <v>398</v>
      </c>
      <c r="F281" s="63">
        <v>-4938379</v>
      </c>
      <c r="G281" s="63">
        <v>42401576</v>
      </c>
      <c r="H281" s="63">
        <v>0</v>
      </c>
      <c r="I281" s="63">
        <v>-250000</v>
      </c>
      <c r="J281" s="63">
        <v>826100</v>
      </c>
      <c r="K281" s="63">
        <v>0</v>
      </c>
      <c r="L281" s="63">
        <v>42977676</v>
      </c>
      <c r="M281" s="63">
        <v>0</v>
      </c>
      <c r="N281" s="63">
        <v>0</v>
      </c>
      <c r="O281" s="63">
        <v>1774139</v>
      </c>
      <c r="P281" s="63">
        <v>1774139</v>
      </c>
      <c r="Q281" s="63">
        <v>-168016</v>
      </c>
      <c r="R281" s="63">
        <v>-19904344</v>
      </c>
      <c r="S281" s="63">
        <v>-3980869</v>
      </c>
      <c r="T281" s="63">
        <v>-15923475</v>
      </c>
      <c r="U281" s="63">
        <v>-283502</v>
      </c>
      <c r="V281" s="63">
        <v>-32400</v>
      </c>
      <c r="W281" s="63">
        <v>0</v>
      </c>
      <c r="X281" s="63">
        <v>-40292606</v>
      </c>
      <c r="Y281" s="63">
        <v>0</v>
      </c>
      <c r="Z281" s="63">
        <v>-479170</v>
      </c>
      <c r="AB281" s="189"/>
    </row>
    <row r="282" spans="1:28" ht="12.75" x14ac:dyDescent="0.2">
      <c r="A282" s="90">
        <v>275</v>
      </c>
      <c r="B282" s="129" t="s">
        <v>401</v>
      </c>
      <c r="C282" s="198" t="s">
        <v>742</v>
      </c>
      <c r="D282" s="131" t="s">
        <v>751</v>
      </c>
      <c r="E282" s="132" t="s">
        <v>400</v>
      </c>
      <c r="F282" s="63">
        <v>-879726</v>
      </c>
      <c r="G282" s="63">
        <v>32380558</v>
      </c>
      <c r="H282" s="63">
        <v>-100000</v>
      </c>
      <c r="I282" s="63">
        <v>0</v>
      </c>
      <c r="J282" s="63">
        <v>100000</v>
      </c>
      <c r="K282" s="63">
        <v>-473536</v>
      </c>
      <c r="L282" s="63">
        <v>31907022</v>
      </c>
      <c r="M282" s="63">
        <v>0</v>
      </c>
      <c r="N282" s="63">
        <v>0</v>
      </c>
      <c r="O282" s="63">
        <v>105865</v>
      </c>
      <c r="P282" s="63">
        <v>105865</v>
      </c>
      <c r="Q282" s="63">
        <v>0</v>
      </c>
      <c r="R282" s="63">
        <v>-16176330</v>
      </c>
      <c r="S282" s="63">
        <v>-3235267</v>
      </c>
      <c r="T282" s="63">
        <v>-12941065</v>
      </c>
      <c r="U282" s="63">
        <v>-191444</v>
      </c>
      <c r="V282" s="63">
        <v>0</v>
      </c>
      <c r="W282" s="63">
        <v>0</v>
      </c>
      <c r="X282" s="63">
        <v>-32544106</v>
      </c>
      <c r="Y282" s="63">
        <v>47189</v>
      </c>
      <c r="Z282" s="63">
        <v>-1363756</v>
      </c>
      <c r="AB282" s="189" t="s">
        <v>768</v>
      </c>
    </row>
    <row r="283" spans="1:28" ht="12.75" x14ac:dyDescent="0.2">
      <c r="A283" s="90">
        <v>276</v>
      </c>
      <c r="B283" s="129" t="s">
        <v>402</v>
      </c>
      <c r="C283" s="198" t="s">
        <v>501</v>
      </c>
      <c r="D283" s="131" t="s">
        <v>752</v>
      </c>
      <c r="E283" s="132" t="s">
        <v>547</v>
      </c>
      <c r="F283" s="63">
        <v>1497099</v>
      </c>
      <c r="G283" s="63">
        <v>75265902</v>
      </c>
      <c r="H283" s="63">
        <v>-230272</v>
      </c>
      <c r="I283" s="63">
        <v>-916000</v>
      </c>
      <c r="J283" s="63">
        <v>1466407</v>
      </c>
      <c r="K283" s="63">
        <v>-4386407</v>
      </c>
      <c r="L283" s="63">
        <v>71199630</v>
      </c>
      <c r="M283" s="63">
        <v>156119</v>
      </c>
      <c r="N283" s="63">
        <v>0</v>
      </c>
      <c r="O283" s="63">
        <v>0</v>
      </c>
      <c r="P283" s="63">
        <v>156119</v>
      </c>
      <c r="Q283" s="63">
        <v>0</v>
      </c>
      <c r="R283" s="63">
        <v>-34460938</v>
      </c>
      <c r="S283" s="63">
        <v>-689219</v>
      </c>
      <c r="T283" s="63">
        <v>-33771719</v>
      </c>
      <c r="U283" s="63">
        <v>-230084</v>
      </c>
      <c r="V283" s="63">
        <v>0</v>
      </c>
      <c r="W283" s="63">
        <v>-1015799</v>
      </c>
      <c r="X283" s="63">
        <v>-70167759</v>
      </c>
      <c r="Y283" s="63">
        <v>0</v>
      </c>
      <c r="Z283" s="63">
        <v>2685089</v>
      </c>
      <c r="AB283" s="189"/>
    </row>
    <row r="284" spans="1:28" ht="12.75" x14ac:dyDescent="0.2">
      <c r="A284" s="90">
        <v>277</v>
      </c>
      <c r="B284" s="129" t="s">
        <v>404</v>
      </c>
      <c r="C284" s="198" t="s">
        <v>742</v>
      </c>
      <c r="D284" s="131" t="s">
        <v>746</v>
      </c>
      <c r="E284" s="132" t="s">
        <v>403</v>
      </c>
      <c r="F284" s="63">
        <v>-1000680</v>
      </c>
      <c r="G284" s="63">
        <v>26391188</v>
      </c>
      <c r="H284" s="63">
        <v>-200000</v>
      </c>
      <c r="I284" s="63">
        <v>0</v>
      </c>
      <c r="J284" s="63">
        <v>190000</v>
      </c>
      <c r="K284" s="63">
        <v>-780000</v>
      </c>
      <c r="L284" s="63">
        <v>25601188</v>
      </c>
      <c r="M284" s="63">
        <v>4946</v>
      </c>
      <c r="N284" s="63">
        <v>0</v>
      </c>
      <c r="O284" s="63">
        <v>226798</v>
      </c>
      <c r="P284" s="63">
        <v>231744</v>
      </c>
      <c r="Q284" s="63">
        <v>0</v>
      </c>
      <c r="R284" s="63">
        <v>-12673483</v>
      </c>
      <c r="S284" s="63">
        <v>-2534697</v>
      </c>
      <c r="T284" s="63">
        <v>-10138786</v>
      </c>
      <c r="U284" s="63">
        <v>-481785</v>
      </c>
      <c r="V284" s="63">
        <v>-33607</v>
      </c>
      <c r="W284" s="63">
        <v>0</v>
      </c>
      <c r="X284" s="63">
        <v>-25862358</v>
      </c>
      <c r="Y284" s="63">
        <v>0</v>
      </c>
      <c r="Z284" s="63">
        <v>-1030106</v>
      </c>
      <c r="AB284" s="189"/>
    </row>
    <row r="285" spans="1:28" ht="12.75" x14ac:dyDescent="0.2">
      <c r="A285" s="90">
        <v>278</v>
      </c>
      <c r="B285" s="129" t="s">
        <v>406</v>
      </c>
      <c r="C285" s="198" t="s">
        <v>742</v>
      </c>
      <c r="D285" s="131" t="s">
        <v>743</v>
      </c>
      <c r="E285" s="132" t="s">
        <v>405</v>
      </c>
      <c r="F285" s="63">
        <v>-3907000</v>
      </c>
      <c r="G285" s="63">
        <v>49733941</v>
      </c>
      <c r="H285" s="63">
        <v>0</v>
      </c>
      <c r="I285" s="63">
        <v>-375506</v>
      </c>
      <c r="J285" s="63">
        <v>2295260</v>
      </c>
      <c r="K285" s="63">
        <v>-874559</v>
      </c>
      <c r="L285" s="63">
        <v>50779136</v>
      </c>
      <c r="M285" s="63">
        <v>257314</v>
      </c>
      <c r="N285" s="63">
        <v>0</v>
      </c>
      <c r="O285" s="63">
        <v>3836127</v>
      </c>
      <c r="P285" s="63">
        <v>4093441</v>
      </c>
      <c r="Q285" s="63">
        <v>0</v>
      </c>
      <c r="R285" s="63">
        <v>-23826508</v>
      </c>
      <c r="S285" s="63">
        <v>-4765302</v>
      </c>
      <c r="T285" s="63">
        <v>-19061207</v>
      </c>
      <c r="U285" s="63">
        <v>-189487</v>
      </c>
      <c r="V285" s="63">
        <v>-23171</v>
      </c>
      <c r="W285" s="63">
        <v>0</v>
      </c>
      <c r="X285" s="63">
        <v>-47865675</v>
      </c>
      <c r="Y285" s="63">
        <v>0</v>
      </c>
      <c r="Z285" s="63">
        <v>3099902</v>
      </c>
      <c r="AB285" s="189"/>
    </row>
    <row r="286" spans="1:28" ht="12.75" x14ac:dyDescent="0.2">
      <c r="A286" s="90">
        <v>279</v>
      </c>
      <c r="B286" s="129" t="s">
        <v>408</v>
      </c>
      <c r="C286" s="198" t="s">
        <v>742</v>
      </c>
      <c r="D286" s="131" t="s">
        <v>751</v>
      </c>
      <c r="E286" s="132" t="s">
        <v>407</v>
      </c>
      <c r="F286" s="63">
        <v>-14937668</v>
      </c>
      <c r="G286" s="63">
        <v>28072508</v>
      </c>
      <c r="H286" s="63">
        <v>0</v>
      </c>
      <c r="I286" s="63">
        <v>-312286</v>
      </c>
      <c r="J286" s="63">
        <v>6750000</v>
      </c>
      <c r="K286" s="63">
        <v>-1734600</v>
      </c>
      <c r="L286" s="63">
        <v>32775622</v>
      </c>
      <c r="M286" s="63">
        <v>635340</v>
      </c>
      <c r="N286" s="63">
        <v>0</v>
      </c>
      <c r="O286" s="63">
        <v>6530008</v>
      </c>
      <c r="P286" s="63">
        <v>7165348</v>
      </c>
      <c r="Q286" s="63">
        <v>0</v>
      </c>
      <c r="R286" s="63">
        <v>-17513766</v>
      </c>
      <c r="S286" s="63">
        <v>-3502753</v>
      </c>
      <c r="T286" s="63">
        <v>-14011012</v>
      </c>
      <c r="U286" s="63">
        <v>-123912</v>
      </c>
      <c r="V286" s="63">
        <v>0</v>
      </c>
      <c r="W286" s="63">
        <v>0</v>
      </c>
      <c r="X286" s="63">
        <v>-35151443</v>
      </c>
      <c r="Y286" s="63">
        <v>862912</v>
      </c>
      <c r="Z286" s="63">
        <v>-9285229</v>
      </c>
      <c r="AB286" s="189" t="s">
        <v>768</v>
      </c>
    </row>
    <row r="287" spans="1:28" ht="12.75" x14ac:dyDescent="0.2">
      <c r="A287" s="90">
        <v>280</v>
      </c>
      <c r="B287" s="129" t="s">
        <v>410</v>
      </c>
      <c r="C287" s="198" t="s">
        <v>742</v>
      </c>
      <c r="D287" s="131" t="s">
        <v>743</v>
      </c>
      <c r="E287" s="132" t="s">
        <v>409</v>
      </c>
      <c r="F287" s="63">
        <v>-5059245</v>
      </c>
      <c r="G287" s="63">
        <v>31693887</v>
      </c>
      <c r="H287" s="63">
        <v>0</v>
      </c>
      <c r="I287" s="63">
        <v>-238158</v>
      </c>
      <c r="J287" s="63">
        <v>1500000</v>
      </c>
      <c r="K287" s="63">
        <v>-1172631</v>
      </c>
      <c r="L287" s="63">
        <v>31783098</v>
      </c>
      <c r="M287" s="63">
        <v>104873</v>
      </c>
      <c r="N287" s="63">
        <v>0</v>
      </c>
      <c r="O287" s="63">
        <v>1298440</v>
      </c>
      <c r="P287" s="63">
        <v>1403313</v>
      </c>
      <c r="Q287" s="63">
        <v>0</v>
      </c>
      <c r="R287" s="63">
        <v>-15470953</v>
      </c>
      <c r="S287" s="63">
        <v>-3094191</v>
      </c>
      <c r="T287" s="63">
        <v>-12376762</v>
      </c>
      <c r="U287" s="63">
        <v>-191716</v>
      </c>
      <c r="V287" s="63">
        <v>0</v>
      </c>
      <c r="W287" s="63">
        <v>0</v>
      </c>
      <c r="X287" s="63">
        <v>-31133622</v>
      </c>
      <c r="Y287" s="63">
        <v>0</v>
      </c>
      <c r="Z287" s="63">
        <v>-3006456</v>
      </c>
      <c r="AB287" s="189"/>
    </row>
    <row r="288" spans="1:28" ht="12.75" x14ac:dyDescent="0.2">
      <c r="A288" s="90">
        <v>281</v>
      </c>
      <c r="B288" s="129" t="s">
        <v>412</v>
      </c>
      <c r="C288" s="198" t="s">
        <v>742</v>
      </c>
      <c r="D288" s="131" t="s">
        <v>746</v>
      </c>
      <c r="E288" s="132" t="s">
        <v>411</v>
      </c>
      <c r="F288" s="63">
        <v>5687189</v>
      </c>
      <c r="G288" s="63">
        <v>28620849</v>
      </c>
      <c r="H288" s="63">
        <v>0</v>
      </c>
      <c r="I288" s="63">
        <v>-310000</v>
      </c>
      <c r="J288" s="63">
        <v>335000</v>
      </c>
      <c r="K288" s="63">
        <v>257790</v>
      </c>
      <c r="L288" s="63">
        <v>28903639</v>
      </c>
      <c r="M288" s="63">
        <v>38804</v>
      </c>
      <c r="N288" s="63">
        <v>0</v>
      </c>
      <c r="O288" s="63">
        <v>1021822</v>
      </c>
      <c r="P288" s="63">
        <v>1060626</v>
      </c>
      <c r="Q288" s="63">
        <v>0</v>
      </c>
      <c r="R288" s="63">
        <v>-14112520</v>
      </c>
      <c r="S288" s="63">
        <v>-2822504</v>
      </c>
      <c r="T288" s="63">
        <v>-11290016</v>
      </c>
      <c r="U288" s="63">
        <v>-95987</v>
      </c>
      <c r="V288" s="63">
        <v>0</v>
      </c>
      <c r="W288" s="63">
        <v>0</v>
      </c>
      <c r="X288" s="63">
        <v>-28321027</v>
      </c>
      <c r="Y288" s="63">
        <v>0</v>
      </c>
      <c r="Z288" s="63">
        <v>7330427</v>
      </c>
      <c r="AB288" s="189"/>
    </row>
    <row r="289" spans="1:28" ht="12.75" x14ac:dyDescent="0.2">
      <c r="A289" s="90">
        <v>282</v>
      </c>
      <c r="B289" s="129" t="s">
        <v>413</v>
      </c>
      <c r="C289" s="198" t="s">
        <v>501</v>
      </c>
      <c r="D289" s="131" t="s">
        <v>746</v>
      </c>
      <c r="E289" s="132" t="s">
        <v>529</v>
      </c>
      <c r="F289" s="63">
        <v>-12178641</v>
      </c>
      <c r="G289" s="63">
        <v>105135051</v>
      </c>
      <c r="H289" s="63">
        <v>-179414</v>
      </c>
      <c r="I289" s="63">
        <v>-234584</v>
      </c>
      <c r="J289" s="63">
        <v>2037951</v>
      </c>
      <c r="K289" s="63">
        <v>-1065692</v>
      </c>
      <c r="L289" s="63">
        <v>105693312</v>
      </c>
      <c r="M289" s="63">
        <v>909956</v>
      </c>
      <c r="N289" s="63">
        <v>0</v>
      </c>
      <c r="O289" s="63">
        <v>8896308</v>
      </c>
      <c r="P289" s="63">
        <v>9806264</v>
      </c>
      <c r="Q289" s="63">
        <v>0</v>
      </c>
      <c r="R289" s="63">
        <v>-54541010</v>
      </c>
      <c r="S289" s="63">
        <v>-1090820</v>
      </c>
      <c r="T289" s="63">
        <v>-53450190</v>
      </c>
      <c r="U289" s="63">
        <v>0</v>
      </c>
      <c r="V289" s="63">
        <v>0</v>
      </c>
      <c r="W289" s="63">
        <v>0</v>
      </c>
      <c r="X289" s="63">
        <v>-109082020</v>
      </c>
      <c r="Y289" s="63">
        <v>0</v>
      </c>
      <c r="Z289" s="63">
        <v>-5761085</v>
      </c>
      <c r="AB289" s="189"/>
    </row>
    <row r="290" spans="1:28" ht="12.75" x14ac:dyDescent="0.2">
      <c r="A290" s="90">
        <v>283</v>
      </c>
      <c r="B290" s="129" t="s">
        <v>414</v>
      </c>
      <c r="C290" s="198" t="s">
        <v>742</v>
      </c>
      <c r="D290" s="131" t="s">
        <v>743</v>
      </c>
      <c r="E290" s="132" t="s">
        <v>537</v>
      </c>
      <c r="F290" s="63">
        <v>-6934345</v>
      </c>
      <c r="G290" s="63">
        <v>54149486</v>
      </c>
      <c r="H290" s="63">
        <v>-350000</v>
      </c>
      <c r="I290" s="63">
        <v>0</v>
      </c>
      <c r="J290" s="63">
        <v>996000</v>
      </c>
      <c r="K290" s="63">
        <v>-1934000</v>
      </c>
      <c r="L290" s="63">
        <v>52861486</v>
      </c>
      <c r="M290" s="63">
        <v>0</v>
      </c>
      <c r="N290" s="63">
        <v>0</v>
      </c>
      <c r="O290" s="63">
        <v>2988226</v>
      </c>
      <c r="P290" s="63">
        <v>2988226</v>
      </c>
      <c r="Q290" s="63">
        <v>-70834</v>
      </c>
      <c r="R290" s="63">
        <v>-26979132</v>
      </c>
      <c r="S290" s="63">
        <v>-5395827</v>
      </c>
      <c r="T290" s="63">
        <v>-21583306</v>
      </c>
      <c r="U290" s="63">
        <v>-165385</v>
      </c>
      <c r="V290" s="63">
        <v>0</v>
      </c>
      <c r="W290" s="63">
        <v>0</v>
      </c>
      <c r="X290" s="63">
        <v>-54194484</v>
      </c>
      <c r="Y290" s="63">
        <v>306000</v>
      </c>
      <c r="Z290" s="63">
        <v>-4973117</v>
      </c>
      <c r="AB290" s="189" t="s">
        <v>768</v>
      </c>
    </row>
    <row r="291" spans="1:28" ht="12.75" x14ac:dyDescent="0.2">
      <c r="A291" s="90">
        <v>284</v>
      </c>
      <c r="B291" s="129" t="s">
        <v>415</v>
      </c>
      <c r="C291" s="198" t="s">
        <v>501</v>
      </c>
      <c r="D291" s="131" t="s">
        <v>751</v>
      </c>
      <c r="E291" s="132" t="s">
        <v>523</v>
      </c>
      <c r="F291" s="63">
        <v>-308566</v>
      </c>
      <c r="G291" s="63">
        <v>36542446</v>
      </c>
      <c r="H291" s="63">
        <v>0</v>
      </c>
      <c r="I291" s="63">
        <v>-472232</v>
      </c>
      <c r="J291" s="63">
        <v>0</v>
      </c>
      <c r="K291" s="63">
        <v>-1146990</v>
      </c>
      <c r="L291" s="63">
        <v>34923224</v>
      </c>
      <c r="M291" s="63">
        <v>0</v>
      </c>
      <c r="N291" s="63">
        <v>0</v>
      </c>
      <c r="O291" s="63">
        <v>0</v>
      </c>
      <c r="P291" s="63">
        <v>0</v>
      </c>
      <c r="Q291" s="63">
        <v>0</v>
      </c>
      <c r="R291" s="63">
        <v>-18197419</v>
      </c>
      <c r="S291" s="63">
        <v>-363948</v>
      </c>
      <c r="T291" s="63">
        <v>-17833471</v>
      </c>
      <c r="U291" s="63">
        <v>-202829</v>
      </c>
      <c r="V291" s="63">
        <v>0</v>
      </c>
      <c r="W291" s="63">
        <v>-14434</v>
      </c>
      <c r="X291" s="63">
        <v>-36612101</v>
      </c>
      <c r="Y291" s="63">
        <v>0</v>
      </c>
      <c r="Z291" s="63">
        <v>-1997443</v>
      </c>
      <c r="AB291" s="189"/>
    </row>
    <row r="292" spans="1:28" ht="12.75" x14ac:dyDescent="0.2">
      <c r="A292" s="90">
        <v>285</v>
      </c>
      <c r="B292" s="129" t="s">
        <v>417</v>
      </c>
      <c r="C292" s="198" t="s">
        <v>742</v>
      </c>
      <c r="D292" s="131" t="s">
        <v>751</v>
      </c>
      <c r="E292" s="132" t="s">
        <v>416</v>
      </c>
      <c r="F292" s="63">
        <v>-886001</v>
      </c>
      <c r="G292" s="63">
        <v>10502558</v>
      </c>
      <c r="H292" s="63">
        <v>0</v>
      </c>
      <c r="I292" s="63">
        <v>-39791</v>
      </c>
      <c r="J292" s="63">
        <v>484577</v>
      </c>
      <c r="K292" s="63">
        <v>-1556213</v>
      </c>
      <c r="L292" s="63">
        <v>9391131</v>
      </c>
      <c r="M292" s="63">
        <v>227239</v>
      </c>
      <c r="N292" s="63">
        <v>54904</v>
      </c>
      <c r="O292" s="63">
        <v>750677</v>
      </c>
      <c r="P292" s="63">
        <v>1032820</v>
      </c>
      <c r="Q292" s="63">
        <v>0</v>
      </c>
      <c r="R292" s="63">
        <v>-5480826</v>
      </c>
      <c r="S292" s="63">
        <v>-1096166</v>
      </c>
      <c r="T292" s="63">
        <v>-4384661</v>
      </c>
      <c r="U292" s="63">
        <v>-639091</v>
      </c>
      <c r="V292" s="63">
        <v>0</v>
      </c>
      <c r="W292" s="63">
        <v>0</v>
      </c>
      <c r="X292" s="63">
        <v>-11600744</v>
      </c>
      <c r="Y292" s="63">
        <v>0</v>
      </c>
      <c r="Z292" s="63">
        <v>-2062794</v>
      </c>
      <c r="AB292" s="189"/>
    </row>
    <row r="293" spans="1:28" ht="12.75" x14ac:dyDescent="0.2">
      <c r="A293" s="90">
        <v>286</v>
      </c>
      <c r="B293" s="129" t="s">
        <v>419</v>
      </c>
      <c r="C293" s="198" t="s">
        <v>754</v>
      </c>
      <c r="D293" s="131" t="s">
        <v>748</v>
      </c>
      <c r="E293" s="132" t="s">
        <v>418</v>
      </c>
      <c r="F293" s="63">
        <v>15123714</v>
      </c>
      <c r="G293" s="63">
        <v>383037550</v>
      </c>
      <c r="H293" s="63">
        <v>-2500000</v>
      </c>
      <c r="I293" s="63">
        <v>0</v>
      </c>
      <c r="J293" s="63">
        <v>7000000</v>
      </c>
      <c r="K293" s="63">
        <v>0</v>
      </c>
      <c r="L293" s="63">
        <v>387537550</v>
      </c>
      <c r="M293" s="63">
        <v>0</v>
      </c>
      <c r="N293" s="63">
        <v>0</v>
      </c>
      <c r="O293" s="63">
        <v>0</v>
      </c>
      <c r="P293" s="63">
        <v>0</v>
      </c>
      <c r="Q293" s="63">
        <v>0</v>
      </c>
      <c r="R293" s="63">
        <v>-191230249</v>
      </c>
      <c r="S293" s="63">
        <v>-76492100</v>
      </c>
      <c r="T293" s="63">
        <v>-114738149</v>
      </c>
      <c r="U293" s="63">
        <v>-1989884</v>
      </c>
      <c r="V293" s="63">
        <v>0</v>
      </c>
      <c r="W293" s="63">
        <v>-16185449</v>
      </c>
      <c r="X293" s="63">
        <v>-400635831</v>
      </c>
      <c r="Y293" s="63">
        <v>0</v>
      </c>
      <c r="Z293" s="63">
        <v>2025433</v>
      </c>
      <c r="AB293" s="189"/>
    </row>
    <row r="294" spans="1:28" ht="12.75" x14ac:dyDescent="0.2">
      <c r="A294" s="90">
        <v>287</v>
      </c>
      <c r="B294" s="129" t="s">
        <v>421</v>
      </c>
      <c r="C294" s="198" t="s">
        <v>749</v>
      </c>
      <c r="D294" s="131" t="s">
        <v>744</v>
      </c>
      <c r="E294" s="132" t="s">
        <v>420</v>
      </c>
      <c r="F294" s="63">
        <v>-12132902</v>
      </c>
      <c r="G294" s="63">
        <v>161172656</v>
      </c>
      <c r="H294" s="63">
        <v>0</v>
      </c>
      <c r="I294" s="63">
        <v>0</v>
      </c>
      <c r="J294" s="63">
        <v>0</v>
      </c>
      <c r="K294" s="63">
        <v>0</v>
      </c>
      <c r="L294" s="63">
        <v>161172656</v>
      </c>
      <c r="M294" s="63">
        <v>604208</v>
      </c>
      <c r="N294" s="63">
        <v>0</v>
      </c>
      <c r="O294" s="63">
        <v>15656279</v>
      </c>
      <c r="P294" s="63">
        <v>16260487</v>
      </c>
      <c r="Q294" s="63">
        <v>0</v>
      </c>
      <c r="R294" s="63">
        <v>-80618885</v>
      </c>
      <c r="S294" s="63">
        <v>-1612378</v>
      </c>
      <c r="T294" s="63">
        <v>-79006506</v>
      </c>
      <c r="U294" s="63">
        <v>-539096</v>
      </c>
      <c r="V294" s="63">
        <v>0</v>
      </c>
      <c r="W294" s="63">
        <v>-3489820</v>
      </c>
      <c r="X294" s="63">
        <v>-165266685</v>
      </c>
      <c r="Y294" s="63">
        <v>0</v>
      </c>
      <c r="Z294" s="63">
        <v>33556</v>
      </c>
      <c r="AB294" s="189"/>
    </row>
    <row r="295" spans="1:28" ht="12.75" x14ac:dyDescent="0.2">
      <c r="A295" s="90">
        <v>288</v>
      </c>
      <c r="B295" s="129" t="s">
        <v>423</v>
      </c>
      <c r="C295" s="198" t="s">
        <v>742</v>
      </c>
      <c r="D295" s="131" t="s">
        <v>743</v>
      </c>
      <c r="E295" s="132" t="s">
        <v>422</v>
      </c>
      <c r="F295" s="63">
        <v>-950000</v>
      </c>
      <c r="G295" s="63">
        <v>54096000</v>
      </c>
      <c r="H295" s="63">
        <v>-650000</v>
      </c>
      <c r="I295" s="63">
        <v>-200000</v>
      </c>
      <c r="J295" s="63">
        <v>200000</v>
      </c>
      <c r="K295" s="63">
        <v>-3913000</v>
      </c>
      <c r="L295" s="63">
        <v>49533000</v>
      </c>
      <c r="M295" s="63">
        <v>0</v>
      </c>
      <c r="N295" s="63">
        <v>0</v>
      </c>
      <c r="O295" s="63">
        <v>0</v>
      </c>
      <c r="P295" s="63">
        <v>0</v>
      </c>
      <c r="Q295" s="63">
        <v>-65000</v>
      </c>
      <c r="R295" s="63">
        <v>-24250000</v>
      </c>
      <c r="S295" s="63">
        <v>-4850000</v>
      </c>
      <c r="T295" s="63">
        <v>-19400000</v>
      </c>
      <c r="U295" s="63">
        <v>-177000</v>
      </c>
      <c r="V295" s="63">
        <v>0</v>
      </c>
      <c r="W295" s="63">
        <v>0</v>
      </c>
      <c r="X295" s="63">
        <v>-48742000</v>
      </c>
      <c r="Y295" s="63">
        <v>0</v>
      </c>
      <c r="Z295" s="63">
        <v>-159000</v>
      </c>
      <c r="AB295" s="189"/>
    </row>
    <row r="296" spans="1:28" ht="12.75" x14ac:dyDescent="0.2">
      <c r="A296" s="90">
        <v>289</v>
      </c>
      <c r="B296" s="129" t="s">
        <v>425</v>
      </c>
      <c r="C296" s="198" t="s">
        <v>742</v>
      </c>
      <c r="D296" s="131" t="s">
        <v>746</v>
      </c>
      <c r="E296" s="132" t="s">
        <v>424</v>
      </c>
      <c r="F296" s="63">
        <v>-5160979</v>
      </c>
      <c r="G296" s="63">
        <v>44123313</v>
      </c>
      <c r="H296" s="63">
        <v>-1216086</v>
      </c>
      <c r="I296" s="63">
        <v>0</v>
      </c>
      <c r="J296" s="63">
        <v>349548</v>
      </c>
      <c r="K296" s="63">
        <v>-2032892</v>
      </c>
      <c r="L296" s="63">
        <v>41223883</v>
      </c>
      <c r="M296" s="63">
        <v>0</v>
      </c>
      <c r="N296" s="63">
        <v>0</v>
      </c>
      <c r="O296" s="63">
        <v>5845112</v>
      </c>
      <c r="P296" s="63">
        <v>5845112</v>
      </c>
      <c r="Q296" s="63">
        <v>0</v>
      </c>
      <c r="R296" s="63">
        <v>-20596740</v>
      </c>
      <c r="S296" s="63">
        <v>-4119348</v>
      </c>
      <c r="T296" s="63">
        <v>-16477392</v>
      </c>
      <c r="U296" s="63">
        <v>-137952</v>
      </c>
      <c r="V296" s="63">
        <v>0</v>
      </c>
      <c r="W296" s="63">
        <v>0</v>
      </c>
      <c r="X296" s="63">
        <v>-41331432</v>
      </c>
      <c r="Y296" s="63">
        <v>0</v>
      </c>
      <c r="Z296" s="63">
        <v>576584</v>
      </c>
      <c r="AB296" s="189"/>
    </row>
    <row r="297" spans="1:28" ht="12.75" x14ac:dyDescent="0.2">
      <c r="A297" s="90">
        <v>290</v>
      </c>
      <c r="B297" s="129" t="s">
        <v>427</v>
      </c>
      <c r="C297" s="198" t="s">
        <v>742</v>
      </c>
      <c r="D297" s="131" t="s">
        <v>743</v>
      </c>
      <c r="E297" s="132" t="s">
        <v>426</v>
      </c>
      <c r="F297" s="63">
        <v>-6198720</v>
      </c>
      <c r="G297" s="63">
        <v>54086473</v>
      </c>
      <c r="H297" s="63">
        <v>0</v>
      </c>
      <c r="I297" s="63">
        <v>-161920</v>
      </c>
      <c r="J297" s="63">
        <v>5742000</v>
      </c>
      <c r="K297" s="63">
        <v>-6458130</v>
      </c>
      <c r="L297" s="63">
        <v>53208423</v>
      </c>
      <c r="M297" s="63">
        <v>0</v>
      </c>
      <c r="N297" s="63">
        <v>0</v>
      </c>
      <c r="O297" s="63">
        <v>7217603</v>
      </c>
      <c r="P297" s="63">
        <v>7217603</v>
      </c>
      <c r="Q297" s="63">
        <v>-64968</v>
      </c>
      <c r="R297" s="63">
        <v>-28142064</v>
      </c>
      <c r="S297" s="63">
        <v>-5703060</v>
      </c>
      <c r="T297" s="63">
        <v>-22812242</v>
      </c>
      <c r="U297" s="63">
        <v>-679238</v>
      </c>
      <c r="V297" s="63">
        <v>0</v>
      </c>
      <c r="W297" s="63">
        <v>0</v>
      </c>
      <c r="X297" s="63">
        <v>-57401572</v>
      </c>
      <c r="Y297" s="63">
        <v>0</v>
      </c>
      <c r="Z297" s="63">
        <v>-3174266</v>
      </c>
      <c r="AB297" s="189"/>
    </row>
    <row r="298" spans="1:28" ht="12.75" x14ac:dyDescent="0.2">
      <c r="A298" s="90">
        <v>291</v>
      </c>
      <c r="B298" s="129" t="s">
        <v>429</v>
      </c>
      <c r="C298" s="198" t="s">
        <v>749</v>
      </c>
      <c r="D298" s="131" t="s">
        <v>750</v>
      </c>
      <c r="E298" s="132" t="s">
        <v>428</v>
      </c>
      <c r="F298" s="63">
        <v>-1604550</v>
      </c>
      <c r="G298" s="63">
        <v>116861335</v>
      </c>
      <c r="H298" s="63">
        <v>0</v>
      </c>
      <c r="I298" s="63">
        <v>-1000000</v>
      </c>
      <c r="J298" s="63">
        <v>12475092</v>
      </c>
      <c r="K298" s="63">
        <v>-10500000</v>
      </c>
      <c r="L298" s="63">
        <v>117836427</v>
      </c>
      <c r="M298" s="63">
        <v>1873195</v>
      </c>
      <c r="N298" s="63">
        <v>0</v>
      </c>
      <c r="O298" s="63">
        <v>484506</v>
      </c>
      <c r="P298" s="63">
        <v>2357701</v>
      </c>
      <c r="Q298" s="63">
        <v>-2457654</v>
      </c>
      <c r="R298" s="63">
        <v>-60384089</v>
      </c>
      <c r="S298" s="63">
        <v>-1207682</v>
      </c>
      <c r="T298" s="63">
        <v>-59176408</v>
      </c>
      <c r="U298" s="63">
        <v>-461041</v>
      </c>
      <c r="V298" s="63">
        <v>0</v>
      </c>
      <c r="W298" s="63">
        <v>0</v>
      </c>
      <c r="X298" s="63">
        <v>-123686874</v>
      </c>
      <c r="Y298" s="63">
        <v>0</v>
      </c>
      <c r="Z298" s="63">
        <v>-5097296</v>
      </c>
      <c r="AB298" s="189"/>
    </row>
    <row r="299" spans="1:28" ht="12.75" x14ac:dyDescent="0.2">
      <c r="A299" s="90">
        <v>292</v>
      </c>
      <c r="B299" s="129" t="s">
        <v>431</v>
      </c>
      <c r="C299" s="198" t="s">
        <v>749</v>
      </c>
      <c r="D299" s="131" t="s">
        <v>752</v>
      </c>
      <c r="E299" s="132" t="s">
        <v>430</v>
      </c>
      <c r="F299" s="63">
        <v>-9058936</v>
      </c>
      <c r="G299" s="63">
        <v>66329217</v>
      </c>
      <c r="H299" s="63">
        <v>-1200000</v>
      </c>
      <c r="I299" s="63">
        <v>-250000</v>
      </c>
      <c r="J299" s="63">
        <v>0</v>
      </c>
      <c r="K299" s="63">
        <v>-1451102</v>
      </c>
      <c r="L299" s="63">
        <v>63428115</v>
      </c>
      <c r="M299" s="63">
        <v>0</v>
      </c>
      <c r="N299" s="63">
        <v>0</v>
      </c>
      <c r="O299" s="63">
        <v>6727072</v>
      </c>
      <c r="P299" s="63">
        <v>6727072</v>
      </c>
      <c r="Q299" s="63">
        <v>-878374</v>
      </c>
      <c r="R299" s="63">
        <v>-35010829</v>
      </c>
      <c r="S299" s="63">
        <v>-700217</v>
      </c>
      <c r="T299" s="63">
        <v>-34310613</v>
      </c>
      <c r="U299" s="63">
        <v>-351087</v>
      </c>
      <c r="V299" s="63">
        <v>0</v>
      </c>
      <c r="W299" s="63">
        <v>0</v>
      </c>
      <c r="X299" s="63">
        <v>-71251120</v>
      </c>
      <c r="Y299" s="63">
        <v>826137</v>
      </c>
      <c r="Z299" s="63">
        <v>-9328732</v>
      </c>
      <c r="AB299" s="189" t="s">
        <v>768</v>
      </c>
    </row>
    <row r="300" spans="1:28" ht="12.75" x14ac:dyDescent="0.2">
      <c r="A300" s="90">
        <v>293</v>
      </c>
      <c r="B300" s="129" t="s">
        <v>433</v>
      </c>
      <c r="C300" s="198" t="s">
        <v>747</v>
      </c>
      <c r="D300" s="131" t="s">
        <v>748</v>
      </c>
      <c r="E300" s="132" t="s">
        <v>432</v>
      </c>
      <c r="F300" s="63">
        <v>-4563665</v>
      </c>
      <c r="G300" s="63">
        <v>55477889</v>
      </c>
      <c r="H300" s="63">
        <v>0</v>
      </c>
      <c r="I300" s="63">
        <v>-1486281</v>
      </c>
      <c r="J300" s="63">
        <v>1363252</v>
      </c>
      <c r="K300" s="63">
        <v>-3484777</v>
      </c>
      <c r="L300" s="63">
        <v>51870083</v>
      </c>
      <c r="M300" s="63">
        <v>0</v>
      </c>
      <c r="N300" s="63">
        <v>0</v>
      </c>
      <c r="O300" s="63">
        <v>6030070</v>
      </c>
      <c r="P300" s="63">
        <v>6030070</v>
      </c>
      <c r="Q300" s="63">
        <v>-335000</v>
      </c>
      <c r="R300" s="63">
        <v>-27109282</v>
      </c>
      <c r="S300" s="63">
        <v>-10843713</v>
      </c>
      <c r="T300" s="63">
        <v>-16265569</v>
      </c>
      <c r="U300" s="63">
        <v>-290876</v>
      </c>
      <c r="V300" s="63">
        <v>0</v>
      </c>
      <c r="W300" s="63">
        <v>0</v>
      </c>
      <c r="X300" s="63">
        <v>-54844440</v>
      </c>
      <c r="Y300" s="63">
        <v>0</v>
      </c>
      <c r="Z300" s="63">
        <v>-1507952</v>
      </c>
      <c r="AB300" s="189"/>
    </row>
    <row r="301" spans="1:28" ht="12.75" x14ac:dyDescent="0.2">
      <c r="A301" s="90">
        <v>294</v>
      </c>
      <c r="B301" s="129" t="s">
        <v>435</v>
      </c>
      <c r="C301" s="198" t="s">
        <v>754</v>
      </c>
      <c r="D301" s="131" t="s">
        <v>748</v>
      </c>
      <c r="E301" s="132" t="s">
        <v>434</v>
      </c>
      <c r="F301" s="63">
        <v>-4612012</v>
      </c>
      <c r="G301" s="63">
        <v>99901397</v>
      </c>
      <c r="H301" s="63">
        <v>0</v>
      </c>
      <c r="I301" s="63">
        <v>-998000</v>
      </c>
      <c r="J301" s="63">
        <v>5160100</v>
      </c>
      <c r="K301" s="63">
        <v>-6315222</v>
      </c>
      <c r="L301" s="63">
        <v>97748275</v>
      </c>
      <c r="M301" s="63">
        <v>0</v>
      </c>
      <c r="N301" s="63">
        <v>468827</v>
      </c>
      <c r="O301" s="63">
        <v>0</v>
      </c>
      <c r="P301" s="63">
        <v>468827</v>
      </c>
      <c r="Q301" s="63">
        <v>0</v>
      </c>
      <c r="R301" s="63">
        <v>-51730568</v>
      </c>
      <c r="S301" s="63">
        <v>-20692227</v>
      </c>
      <c r="T301" s="63">
        <v>-31038341</v>
      </c>
      <c r="U301" s="63">
        <v>-468827</v>
      </c>
      <c r="V301" s="63">
        <v>0</v>
      </c>
      <c r="W301" s="63">
        <v>-28385</v>
      </c>
      <c r="X301" s="63">
        <v>-103958348</v>
      </c>
      <c r="Y301" s="63">
        <v>1253570</v>
      </c>
      <c r="Z301" s="63">
        <v>-9099688</v>
      </c>
      <c r="AB301" s="189" t="s">
        <v>768</v>
      </c>
    </row>
    <row r="302" spans="1:28" ht="12.75" x14ac:dyDescent="0.2">
      <c r="A302" s="90">
        <v>295</v>
      </c>
      <c r="B302" s="129" t="s">
        <v>436</v>
      </c>
      <c r="C302" s="198" t="s">
        <v>501</v>
      </c>
      <c r="D302" s="131" t="s">
        <v>744</v>
      </c>
      <c r="E302" s="132" t="s">
        <v>514</v>
      </c>
      <c r="F302" s="63">
        <v>-7559107</v>
      </c>
      <c r="G302" s="63">
        <v>109260979</v>
      </c>
      <c r="H302" s="63">
        <v>-1361058</v>
      </c>
      <c r="I302" s="63">
        <v>1478849</v>
      </c>
      <c r="J302" s="63">
        <v>0</v>
      </c>
      <c r="K302" s="63">
        <v>-835335</v>
      </c>
      <c r="L302" s="63">
        <v>108543435</v>
      </c>
      <c r="M302" s="63">
        <v>0</v>
      </c>
      <c r="N302" s="63">
        <v>0</v>
      </c>
      <c r="O302" s="63">
        <v>3355663</v>
      </c>
      <c r="P302" s="63">
        <v>3355663</v>
      </c>
      <c r="Q302" s="63">
        <v>-304782</v>
      </c>
      <c r="R302" s="63">
        <v>-56225774</v>
      </c>
      <c r="S302" s="63">
        <v>-1124515</v>
      </c>
      <c r="T302" s="63">
        <v>-55101258</v>
      </c>
      <c r="U302" s="63">
        <v>0</v>
      </c>
      <c r="V302" s="63">
        <v>0</v>
      </c>
      <c r="W302" s="63">
        <v>0</v>
      </c>
      <c r="X302" s="63">
        <v>-112756329</v>
      </c>
      <c r="Y302" s="63">
        <v>763379</v>
      </c>
      <c r="Z302" s="63">
        <v>-7652959</v>
      </c>
      <c r="AB302" s="189" t="s">
        <v>768</v>
      </c>
    </row>
    <row r="303" spans="1:28" ht="12.75" x14ac:dyDescent="0.2">
      <c r="A303" s="90">
        <v>296</v>
      </c>
      <c r="B303" s="129" t="s">
        <v>438</v>
      </c>
      <c r="C303" s="198" t="s">
        <v>742</v>
      </c>
      <c r="D303" s="131" t="s">
        <v>752</v>
      </c>
      <c r="E303" s="132" t="s">
        <v>437</v>
      </c>
      <c r="F303" s="63">
        <v>-9307653</v>
      </c>
      <c r="G303" s="63">
        <v>68879650</v>
      </c>
      <c r="H303" s="63">
        <v>-400000</v>
      </c>
      <c r="I303" s="63">
        <v>-17277</v>
      </c>
      <c r="J303" s="63">
        <v>138000</v>
      </c>
      <c r="K303" s="63">
        <v>-2628773</v>
      </c>
      <c r="L303" s="63">
        <v>65971600</v>
      </c>
      <c r="M303" s="63">
        <v>0</v>
      </c>
      <c r="N303" s="63">
        <v>0</v>
      </c>
      <c r="O303" s="63">
        <v>2994819</v>
      </c>
      <c r="P303" s="63">
        <v>2994819</v>
      </c>
      <c r="Q303" s="63">
        <v>-26403</v>
      </c>
      <c r="R303" s="63">
        <v>-34224014</v>
      </c>
      <c r="S303" s="63">
        <v>-6844803</v>
      </c>
      <c r="T303" s="63">
        <v>-27379211</v>
      </c>
      <c r="U303" s="63">
        <v>-214945</v>
      </c>
      <c r="V303" s="63">
        <v>0</v>
      </c>
      <c r="W303" s="63">
        <v>0</v>
      </c>
      <c r="X303" s="63">
        <v>-68689376</v>
      </c>
      <c r="Y303" s="63">
        <v>0</v>
      </c>
      <c r="Z303" s="63">
        <v>-9030610</v>
      </c>
      <c r="AB303" s="189"/>
    </row>
    <row r="304" spans="1:28" ht="12.75" x14ac:dyDescent="0.2">
      <c r="A304" s="90">
        <v>297</v>
      </c>
      <c r="B304" s="129" t="s">
        <v>440</v>
      </c>
      <c r="C304" s="198" t="s">
        <v>742</v>
      </c>
      <c r="D304" s="131" t="s">
        <v>746</v>
      </c>
      <c r="E304" s="132" t="s">
        <v>439</v>
      </c>
      <c r="F304" s="63">
        <v>-10975835</v>
      </c>
      <c r="G304" s="63">
        <v>67246483</v>
      </c>
      <c r="H304" s="63">
        <v>0</v>
      </c>
      <c r="I304" s="63">
        <v>-942000</v>
      </c>
      <c r="J304" s="63">
        <v>883100</v>
      </c>
      <c r="K304" s="63">
        <v>-7192903</v>
      </c>
      <c r="L304" s="63">
        <v>59994680</v>
      </c>
      <c r="M304" s="63">
        <v>0</v>
      </c>
      <c r="N304" s="63">
        <v>0</v>
      </c>
      <c r="O304" s="63">
        <v>3882386</v>
      </c>
      <c r="P304" s="63">
        <v>3882386</v>
      </c>
      <c r="Q304" s="63">
        <v>0</v>
      </c>
      <c r="R304" s="63">
        <v>-33489703</v>
      </c>
      <c r="S304" s="63">
        <v>-6519129</v>
      </c>
      <c r="T304" s="63">
        <v>-26076514</v>
      </c>
      <c r="U304" s="63">
        <v>-171837</v>
      </c>
      <c r="V304" s="63">
        <v>0</v>
      </c>
      <c r="W304" s="63">
        <v>0</v>
      </c>
      <c r="X304" s="63">
        <v>-66257183</v>
      </c>
      <c r="Y304" s="63">
        <v>0</v>
      </c>
      <c r="Z304" s="63">
        <v>-13355952</v>
      </c>
      <c r="AB304" s="189"/>
    </row>
    <row r="305" spans="1:28" ht="12.75" x14ac:dyDescent="0.2">
      <c r="A305" s="90">
        <v>298</v>
      </c>
      <c r="B305" s="129" t="s">
        <v>442</v>
      </c>
      <c r="C305" s="198" t="s">
        <v>742</v>
      </c>
      <c r="D305" s="131" t="s">
        <v>746</v>
      </c>
      <c r="E305" s="132" t="s">
        <v>441</v>
      </c>
      <c r="F305" s="63">
        <v>-419988</v>
      </c>
      <c r="G305" s="63">
        <v>27111249</v>
      </c>
      <c r="H305" s="63">
        <v>0</v>
      </c>
      <c r="I305" s="63">
        <v>-435000</v>
      </c>
      <c r="J305" s="63">
        <v>476460</v>
      </c>
      <c r="K305" s="63">
        <v>-1160506</v>
      </c>
      <c r="L305" s="63">
        <v>25992203</v>
      </c>
      <c r="M305" s="63">
        <v>0</v>
      </c>
      <c r="N305" s="63">
        <v>0</v>
      </c>
      <c r="O305" s="63">
        <v>0</v>
      </c>
      <c r="P305" s="63">
        <v>0</v>
      </c>
      <c r="Q305" s="63">
        <v>-262585</v>
      </c>
      <c r="R305" s="63">
        <v>-13082867</v>
      </c>
      <c r="S305" s="63">
        <v>-2633098</v>
      </c>
      <c r="T305" s="63">
        <v>-10532393</v>
      </c>
      <c r="U305" s="63">
        <v>-319854</v>
      </c>
      <c r="V305" s="63">
        <v>-356650</v>
      </c>
      <c r="W305" s="63">
        <v>-27562</v>
      </c>
      <c r="X305" s="63">
        <v>-27215009</v>
      </c>
      <c r="Y305" s="63">
        <v>0</v>
      </c>
      <c r="Z305" s="63">
        <v>-1642794</v>
      </c>
      <c r="AB305" s="189"/>
    </row>
    <row r="306" spans="1:28" ht="12.75" x14ac:dyDescent="0.2">
      <c r="A306" s="90">
        <v>299</v>
      </c>
      <c r="B306" s="129" t="s">
        <v>444</v>
      </c>
      <c r="C306" s="198" t="s">
        <v>742</v>
      </c>
      <c r="D306" s="131" t="s">
        <v>743</v>
      </c>
      <c r="E306" s="132" t="s">
        <v>443</v>
      </c>
      <c r="F306" s="63">
        <v>550895</v>
      </c>
      <c r="G306" s="63">
        <v>36420407</v>
      </c>
      <c r="H306" s="63">
        <v>0</v>
      </c>
      <c r="I306" s="63">
        <v>-273000</v>
      </c>
      <c r="J306" s="63">
        <v>550000</v>
      </c>
      <c r="K306" s="63">
        <v>-1352000</v>
      </c>
      <c r="L306" s="63">
        <v>35345407</v>
      </c>
      <c r="M306" s="63">
        <v>0</v>
      </c>
      <c r="N306" s="63">
        <v>0</v>
      </c>
      <c r="O306" s="63">
        <v>0</v>
      </c>
      <c r="P306" s="63">
        <v>0</v>
      </c>
      <c r="Q306" s="63">
        <v>0</v>
      </c>
      <c r="R306" s="63">
        <v>-18365580</v>
      </c>
      <c r="S306" s="63">
        <v>-3673116</v>
      </c>
      <c r="T306" s="63">
        <v>-14692464</v>
      </c>
      <c r="U306" s="63">
        <v>-180761</v>
      </c>
      <c r="V306" s="63">
        <v>0</v>
      </c>
      <c r="W306" s="63">
        <v>-962157</v>
      </c>
      <c r="X306" s="63">
        <v>-37874078</v>
      </c>
      <c r="Y306" s="63">
        <v>0</v>
      </c>
      <c r="Z306" s="63">
        <v>-1977776</v>
      </c>
      <c r="AB306" s="189"/>
    </row>
    <row r="307" spans="1:28" ht="12.75" x14ac:dyDescent="0.2">
      <c r="A307" s="90">
        <v>300</v>
      </c>
      <c r="B307" s="129" t="s">
        <v>446</v>
      </c>
      <c r="C307" s="198" t="s">
        <v>742</v>
      </c>
      <c r="D307" s="131" t="s">
        <v>743</v>
      </c>
      <c r="E307" s="132" t="s">
        <v>445</v>
      </c>
      <c r="F307" s="63">
        <v>42032</v>
      </c>
      <c r="G307" s="63">
        <v>30323921</v>
      </c>
      <c r="H307" s="63">
        <v>-200000</v>
      </c>
      <c r="I307" s="63">
        <v>-260000</v>
      </c>
      <c r="J307" s="63">
        <v>117899</v>
      </c>
      <c r="K307" s="63">
        <v>-511399</v>
      </c>
      <c r="L307" s="63">
        <v>29470421</v>
      </c>
      <c r="M307" s="63">
        <v>0</v>
      </c>
      <c r="N307" s="63">
        <v>0</v>
      </c>
      <c r="O307" s="63">
        <v>0</v>
      </c>
      <c r="P307" s="63">
        <v>0</v>
      </c>
      <c r="Q307" s="63">
        <v>0</v>
      </c>
      <c r="R307" s="63">
        <v>-14555559</v>
      </c>
      <c r="S307" s="63">
        <v>-2911112</v>
      </c>
      <c r="T307" s="63">
        <v>-11644448</v>
      </c>
      <c r="U307" s="63">
        <v>-356385</v>
      </c>
      <c r="V307" s="63">
        <v>-15183</v>
      </c>
      <c r="W307" s="63">
        <v>-27131</v>
      </c>
      <c r="X307" s="63">
        <v>-29509818</v>
      </c>
      <c r="Y307" s="63">
        <v>0</v>
      </c>
      <c r="Z307" s="63">
        <v>2635</v>
      </c>
      <c r="AB307" s="189"/>
    </row>
    <row r="308" spans="1:28" ht="12.75" x14ac:dyDescent="0.2">
      <c r="A308" s="90">
        <v>301</v>
      </c>
      <c r="B308" s="129" t="s">
        <v>448</v>
      </c>
      <c r="C308" s="198" t="s">
        <v>742</v>
      </c>
      <c r="D308" s="131" t="s">
        <v>745</v>
      </c>
      <c r="E308" s="132" t="s">
        <v>447</v>
      </c>
      <c r="F308" s="63">
        <v>-3213532</v>
      </c>
      <c r="G308" s="63">
        <v>30141707</v>
      </c>
      <c r="H308" s="63">
        <v>-200000</v>
      </c>
      <c r="I308" s="63">
        <v>-5597</v>
      </c>
      <c r="J308" s="63">
        <v>837193</v>
      </c>
      <c r="K308" s="63">
        <v>-1535194</v>
      </c>
      <c r="L308" s="63">
        <v>29238109</v>
      </c>
      <c r="M308" s="63">
        <v>3908</v>
      </c>
      <c r="N308" s="63">
        <v>0</v>
      </c>
      <c r="O308" s="63">
        <v>1902115</v>
      </c>
      <c r="P308" s="63">
        <v>1906023</v>
      </c>
      <c r="Q308" s="63">
        <v>-27722</v>
      </c>
      <c r="R308" s="63">
        <v>-14727302</v>
      </c>
      <c r="S308" s="63">
        <v>-2945460</v>
      </c>
      <c r="T308" s="63">
        <v>-11781842</v>
      </c>
      <c r="U308" s="63">
        <v>-145118</v>
      </c>
      <c r="V308" s="63">
        <v>-882</v>
      </c>
      <c r="W308" s="63">
        <v>0</v>
      </c>
      <c r="X308" s="63">
        <v>-29628326</v>
      </c>
      <c r="Y308" s="63">
        <v>0</v>
      </c>
      <c r="Z308" s="63">
        <v>-1697726</v>
      </c>
      <c r="AB308" s="189"/>
    </row>
    <row r="309" spans="1:28" ht="12.75" x14ac:dyDescent="0.2">
      <c r="A309" s="90">
        <v>302</v>
      </c>
      <c r="B309" s="129" t="s">
        <v>450</v>
      </c>
      <c r="C309" s="198" t="s">
        <v>742</v>
      </c>
      <c r="D309" s="131" t="s">
        <v>746</v>
      </c>
      <c r="E309" s="132" t="s">
        <v>449</v>
      </c>
      <c r="F309" s="63">
        <v>2228826</v>
      </c>
      <c r="G309" s="63">
        <v>60170500</v>
      </c>
      <c r="H309" s="63">
        <v>0</v>
      </c>
      <c r="I309" s="63">
        <v>-13768</v>
      </c>
      <c r="J309" s="63">
        <v>1352292</v>
      </c>
      <c r="K309" s="63">
        <v>-3482738</v>
      </c>
      <c r="L309" s="63">
        <v>58026286</v>
      </c>
      <c r="M309" s="63">
        <v>0</v>
      </c>
      <c r="N309" s="63">
        <v>0</v>
      </c>
      <c r="O309" s="63">
        <v>0</v>
      </c>
      <c r="P309" s="63">
        <v>0</v>
      </c>
      <c r="Q309" s="63">
        <v>0</v>
      </c>
      <c r="R309" s="63">
        <v>-28838887</v>
      </c>
      <c r="S309" s="63">
        <v>-5767778</v>
      </c>
      <c r="T309" s="63">
        <v>-23071110</v>
      </c>
      <c r="U309" s="63">
        <v>-154681</v>
      </c>
      <c r="V309" s="63">
        <v>0</v>
      </c>
      <c r="W309" s="63">
        <v>-1138249</v>
      </c>
      <c r="X309" s="63">
        <v>-58970705</v>
      </c>
      <c r="Y309" s="63">
        <v>0</v>
      </c>
      <c r="Z309" s="63">
        <v>1284407</v>
      </c>
      <c r="AB309" s="189"/>
    </row>
    <row r="310" spans="1:28" ht="12.75" x14ac:dyDescent="0.2">
      <c r="A310" s="90">
        <v>303</v>
      </c>
      <c r="B310" s="129" t="s">
        <v>451</v>
      </c>
      <c r="C310" s="198" t="s">
        <v>501</v>
      </c>
      <c r="D310" s="131" t="s">
        <v>743</v>
      </c>
      <c r="E310" s="132" t="s">
        <v>506</v>
      </c>
      <c r="F310" s="63">
        <v>-6873309</v>
      </c>
      <c r="G310" s="63">
        <v>80379387</v>
      </c>
      <c r="H310" s="63">
        <v>0</v>
      </c>
      <c r="I310" s="63">
        <v>80000</v>
      </c>
      <c r="J310" s="63">
        <v>4750000</v>
      </c>
      <c r="K310" s="63">
        <v>1029000</v>
      </c>
      <c r="L310" s="63">
        <v>86238387</v>
      </c>
      <c r="M310" s="63">
        <v>60251</v>
      </c>
      <c r="N310" s="63">
        <v>0</v>
      </c>
      <c r="O310" s="63">
        <v>0</v>
      </c>
      <c r="P310" s="63">
        <v>60251</v>
      </c>
      <c r="Q310" s="63">
        <v>-47453</v>
      </c>
      <c r="R310" s="63">
        <v>-41024597</v>
      </c>
      <c r="S310" s="63">
        <v>-820492</v>
      </c>
      <c r="T310" s="63">
        <v>-40204105</v>
      </c>
      <c r="U310" s="63">
        <v>-258585</v>
      </c>
      <c r="V310" s="63">
        <v>0</v>
      </c>
      <c r="W310" s="63">
        <v>-383440</v>
      </c>
      <c r="X310" s="63">
        <v>-82738672</v>
      </c>
      <c r="Y310" s="63">
        <v>0</v>
      </c>
      <c r="Z310" s="63">
        <v>-3313343</v>
      </c>
      <c r="AB310" s="189"/>
    </row>
    <row r="311" spans="1:28" ht="12.75" x14ac:dyDescent="0.2">
      <c r="A311" s="90">
        <v>304</v>
      </c>
      <c r="B311" s="129" t="s">
        <v>453</v>
      </c>
      <c r="C311" s="198" t="s">
        <v>742</v>
      </c>
      <c r="D311" s="131" t="s">
        <v>751</v>
      </c>
      <c r="E311" s="132" t="s">
        <v>452</v>
      </c>
      <c r="F311" s="63">
        <v>231591</v>
      </c>
      <c r="G311" s="63">
        <v>10506537</v>
      </c>
      <c r="H311" s="63">
        <v>0</v>
      </c>
      <c r="I311" s="63">
        <v>-56947</v>
      </c>
      <c r="J311" s="63">
        <v>162675</v>
      </c>
      <c r="K311" s="63">
        <v>-1197415</v>
      </c>
      <c r="L311" s="63">
        <v>9414850</v>
      </c>
      <c r="M311" s="63">
        <v>92252</v>
      </c>
      <c r="N311" s="63">
        <v>0</v>
      </c>
      <c r="O311" s="63">
        <v>0</v>
      </c>
      <c r="P311" s="63">
        <v>92252</v>
      </c>
      <c r="Q311" s="63">
        <v>-1112</v>
      </c>
      <c r="R311" s="63">
        <v>-5174059</v>
      </c>
      <c r="S311" s="63">
        <v>-1034811</v>
      </c>
      <c r="T311" s="63">
        <v>-4139246</v>
      </c>
      <c r="U311" s="63">
        <v>-83914</v>
      </c>
      <c r="V311" s="63">
        <v>0</v>
      </c>
      <c r="W311" s="63">
        <v>-707639</v>
      </c>
      <c r="X311" s="63">
        <v>-11140781</v>
      </c>
      <c r="Y311" s="63">
        <v>0</v>
      </c>
      <c r="Z311" s="63">
        <v>-1402088</v>
      </c>
      <c r="AB311" s="189"/>
    </row>
    <row r="312" spans="1:28" ht="12.75" x14ac:dyDescent="0.2">
      <c r="A312" s="90">
        <v>305</v>
      </c>
      <c r="B312" s="129" t="s">
        <v>455</v>
      </c>
      <c r="C312" s="198" t="s">
        <v>742</v>
      </c>
      <c r="D312" s="131" t="s">
        <v>751</v>
      </c>
      <c r="E312" s="132" t="s">
        <v>454</v>
      </c>
      <c r="F312" s="63">
        <v>2032562</v>
      </c>
      <c r="G312" s="63">
        <v>29582603</v>
      </c>
      <c r="H312" s="63">
        <v>0</v>
      </c>
      <c r="I312" s="63">
        <v>-887478</v>
      </c>
      <c r="J312" s="63">
        <v>670168</v>
      </c>
      <c r="K312" s="63">
        <v>-2238046</v>
      </c>
      <c r="L312" s="63">
        <v>27127247</v>
      </c>
      <c r="M312" s="63">
        <v>0</v>
      </c>
      <c r="N312" s="63">
        <v>17119</v>
      </c>
      <c r="O312" s="63">
        <v>0</v>
      </c>
      <c r="P312" s="63">
        <v>17119</v>
      </c>
      <c r="Q312" s="63">
        <v>-36187</v>
      </c>
      <c r="R312" s="63">
        <v>-13708689</v>
      </c>
      <c r="S312" s="63">
        <v>-2741738</v>
      </c>
      <c r="T312" s="63">
        <v>-10966951</v>
      </c>
      <c r="U312" s="63">
        <v>-321157</v>
      </c>
      <c r="V312" s="63">
        <v>0</v>
      </c>
      <c r="W312" s="63">
        <v>-1390886</v>
      </c>
      <c r="X312" s="63">
        <v>-29165608</v>
      </c>
      <c r="Y312" s="63">
        <v>0</v>
      </c>
      <c r="Z312" s="63">
        <v>11320</v>
      </c>
      <c r="AB312" s="189"/>
    </row>
    <row r="313" spans="1:28" ht="12.75" x14ac:dyDescent="0.2">
      <c r="A313" s="90">
        <v>306</v>
      </c>
      <c r="B313" s="129" t="s">
        <v>457</v>
      </c>
      <c r="C313" s="198" t="s">
        <v>742</v>
      </c>
      <c r="D313" s="131" t="s">
        <v>744</v>
      </c>
      <c r="E313" s="132" t="s">
        <v>456</v>
      </c>
      <c r="F313" s="63">
        <v>-2583481</v>
      </c>
      <c r="G313" s="63">
        <v>32059114</v>
      </c>
      <c r="H313" s="63">
        <v>0</v>
      </c>
      <c r="I313" s="63">
        <v>-961773</v>
      </c>
      <c r="J313" s="63">
        <v>0</v>
      </c>
      <c r="K313" s="63">
        <v>-95000</v>
      </c>
      <c r="L313" s="63">
        <v>31002341</v>
      </c>
      <c r="M313" s="63">
        <v>0</v>
      </c>
      <c r="N313" s="63">
        <v>0</v>
      </c>
      <c r="O313" s="63">
        <v>1554282</v>
      </c>
      <c r="P313" s="63">
        <v>1554282</v>
      </c>
      <c r="Q313" s="63">
        <v>0</v>
      </c>
      <c r="R313" s="63">
        <v>-15608592</v>
      </c>
      <c r="S313" s="63">
        <v>-3121719</v>
      </c>
      <c r="T313" s="63">
        <v>-12486874</v>
      </c>
      <c r="U313" s="63">
        <v>-132639</v>
      </c>
      <c r="V313" s="63">
        <v>0</v>
      </c>
      <c r="W313" s="63">
        <v>0</v>
      </c>
      <c r="X313" s="63">
        <v>-31349824</v>
      </c>
      <c r="Y313" s="63">
        <v>0</v>
      </c>
      <c r="Z313" s="63">
        <v>-1376682</v>
      </c>
      <c r="AB313" s="189"/>
    </row>
    <row r="314" spans="1:28" ht="12.75" x14ac:dyDescent="0.2">
      <c r="A314" s="90">
        <v>307</v>
      </c>
      <c r="B314" s="129" t="s">
        <v>459</v>
      </c>
      <c r="C314" s="198" t="s">
        <v>742</v>
      </c>
      <c r="D314" s="131" t="s">
        <v>745</v>
      </c>
      <c r="E314" s="132" t="s">
        <v>458</v>
      </c>
      <c r="F314" s="63">
        <v>-255321</v>
      </c>
      <c r="G314" s="63">
        <v>16988950</v>
      </c>
      <c r="H314" s="63">
        <v>-102760</v>
      </c>
      <c r="I314" s="63">
        <v>172000</v>
      </c>
      <c r="J314" s="63">
        <v>32400</v>
      </c>
      <c r="K314" s="63">
        <v>-942000</v>
      </c>
      <c r="L314" s="63">
        <v>16148590</v>
      </c>
      <c r="M314" s="63">
        <v>130800</v>
      </c>
      <c r="N314" s="63">
        <v>0</v>
      </c>
      <c r="O314" s="63">
        <v>255320</v>
      </c>
      <c r="P314" s="63">
        <v>386120</v>
      </c>
      <c r="Q314" s="63">
        <v>-130800</v>
      </c>
      <c r="R314" s="63">
        <v>-8139076</v>
      </c>
      <c r="S314" s="63">
        <v>-1632802</v>
      </c>
      <c r="T314" s="63">
        <v>-6637024</v>
      </c>
      <c r="U314" s="63">
        <v>-105817</v>
      </c>
      <c r="V314" s="63">
        <v>0</v>
      </c>
      <c r="W314" s="63">
        <v>0</v>
      </c>
      <c r="X314" s="63">
        <v>-16645519</v>
      </c>
      <c r="Y314" s="63">
        <v>0</v>
      </c>
      <c r="Z314" s="63">
        <v>-366130</v>
      </c>
      <c r="AB314" s="189"/>
    </row>
    <row r="315" spans="1:28" ht="12.75" x14ac:dyDescent="0.2">
      <c r="A315" s="90">
        <v>308</v>
      </c>
      <c r="B315" s="129" t="s">
        <v>461</v>
      </c>
      <c r="C315" s="198" t="s">
        <v>742</v>
      </c>
      <c r="D315" s="131" t="s">
        <v>743</v>
      </c>
      <c r="E315" s="132" t="s">
        <v>460</v>
      </c>
      <c r="F315" s="63">
        <v>-774052</v>
      </c>
      <c r="G315" s="63">
        <v>32330086</v>
      </c>
      <c r="H315" s="63">
        <v>0</v>
      </c>
      <c r="I315" s="63">
        <v>-62294</v>
      </c>
      <c r="J315" s="63">
        <v>0</v>
      </c>
      <c r="K315" s="63">
        <v>-184415</v>
      </c>
      <c r="L315" s="63">
        <v>32083377</v>
      </c>
      <c r="M315" s="63">
        <v>21890</v>
      </c>
      <c r="N315" s="63">
        <v>53172</v>
      </c>
      <c r="O315" s="63">
        <v>0</v>
      </c>
      <c r="P315" s="63">
        <v>75062</v>
      </c>
      <c r="Q315" s="63">
        <v>-44633</v>
      </c>
      <c r="R315" s="63">
        <v>-16625797</v>
      </c>
      <c r="S315" s="63">
        <v>-3325159</v>
      </c>
      <c r="T315" s="63">
        <v>-13300638</v>
      </c>
      <c r="U315" s="63">
        <v>-163844</v>
      </c>
      <c r="V315" s="63">
        <v>-198186</v>
      </c>
      <c r="W315" s="63">
        <v>-441910</v>
      </c>
      <c r="X315" s="63">
        <v>-34100167</v>
      </c>
      <c r="Y315" s="63">
        <v>0</v>
      </c>
      <c r="Z315" s="63">
        <v>-2715780</v>
      </c>
      <c r="AB315" s="189"/>
    </row>
    <row r="316" spans="1:28" ht="12.75" x14ac:dyDescent="0.2">
      <c r="A316" s="90">
        <v>309</v>
      </c>
      <c r="B316" s="129" t="s">
        <v>463</v>
      </c>
      <c r="C316" s="198" t="s">
        <v>742</v>
      </c>
      <c r="D316" s="131" t="s">
        <v>751</v>
      </c>
      <c r="E316" s="132" t="s">
        <v>462</v>
      </c>
      <c r="F316" s="63">
        <v>-6012826</v>
      </c>
      <c r="G316" s="63">
        <v>8573901</v>
      </c>
      <c r="H316" s="63">
        <v>0</v>
      </c>
      <c r="I316" s="63">
        <v>-20000</v>
      </c>
      <c r="J316" s="63">
        <v>7180000</v>
      </c>
      <c r="K316" s="63">
        <v>-400000</v>
      </c>
      <c r="L316" s="63">
        <v>15333901</v>
      </c>
      <c r="M316" s="63">
        <v>0</v>
      </c>
      <c r="N316" s="63">
        <v>0</v>
      </c>
      <c r="O316" s="63">
        <v>374820</v>
      </c>
      <c r="P316" s="63">
        <v>374820</v>
      </c>
      <c r="Q316" s="63">
        <v>-4898866</v>
      </c>
      <c r="R316" s="63">
        <v>-5759475</v>
      </c>
      <c r="S316" s="63">
        <v>-1151896</v>
      </c>
      <c r="T316" s="63">
        <v>-4607581</v>
      </c>
      <c r="U316" s="63">
        <v>-84735</v>
      </c>
      <c r="V316" s="63">
        <v>-16000</v>
      </c>
      <c r="W316" s="63">
        <v>0</v>
      </c>
      <c r="X316" s="63">
        <v>-16518553</v>
      </c>
      <c r="Y316" s="63">
        <v>0</v>
      </c>
      <c r="Z316" s="63">
        <v>-6822658</v>
      </c>
      <c r="AB316" s="189"/>
    </row>
    <row r="317" spans="1:28" ht="12.75" x14ac:dyDescent="0.2">
      <c r="A317" s="90">
        <v>310</v>
      </c>
      <c r="B317" s="129" t="s">
        <v>465</v>
      </c>
      <c r="C317" s="198" t="s">
        <v>754</v>
      </c>
      <c r="D317" s="131" t="s">
        <v>748</v>
      </c>
      <c r="E317" s="132" t="s">
        <v>464</v>
      </c>
      <c r="F317" s="63">
        <v>-209651390.60100031</v>
      </c>
      <c r="G317" s="63">
        <v>1766549762</v>
      </c>
      <c r="H317" s="63">
        <v>0</v>
      </c>
      <c r="I317" s="63">
        <v>0</v>
      </c>
      <c r="J317" s="63">
        <v>0</v>
      </c>
      <c r="K317" s="63">
        <v>-9731027</v>
      </c>
      <c r="L317" s="63">
        <v>1756818735</v>
      </c>
      <c r="M317" s="63">
        <v>0</v>
      </c>
      <c r="N317" s="63">
        <v>0</v>
      </c>
      <c r="O317" s="63">
        <v>531764</v>
      </c>
      <c r="P317" s="63">
        <v>531764</v>
      </c>
      <c r="Q317" s="63">
        <v>-35021950</v>
      </c>
      <c r="R317" s="63">
        <v>-903242352</v>
      </c>
      <c r="S317" s="63">
        <v>-361296941</v>
      </c>
      <c r="T317" s="63">
        <v>-541945412</v>
      </c>
      <c r="U317" s="63">
        <v>-3129174</v>
      </c>
      <c r="V317" s="63">
        <v>0</v>
      </c>
      <c r="W317" s="63">
        <v>0</v>
      </c>
      <c r="X317" s="63">
        <v>-1844635829</v>
      </c>
      <c r="Y317" s="63">
        <v>0</v>
      </c>
      <c r="Z317" s="63">
        <v>-296936720.60100031</v>
      </c>
      <c r="AB317" s="189"/>
    </row>
    <row r="318" spans="1:28" ht="12.75" x14ac:dyDescent="0.2">
      <c r="A318" s="90">
        <v>311</v>
      </c>
      <c r="B318" s="129" t="s">
        <v>466</v>
      </c>
      <c r="C318" s="198" t="s">
        <v>742</v>
      </c>
      <c r="D318" s="131" t="s">
        <v>751</v>
      </c>
      <c r="E318" s="132" t="s">
        <v>526</v>
      </c>
      <c r="F318" s="63">
        <v>1380592</v>
      </c>
      <c r="G318" s="63">
        <v>17320978</v>
      </c>
      <c r="H318" s="63">
        <v>0</v>
      </c>
      <c r="I318" s="63">
        <v>-1039259</v>
      </c>
      <c r="J318" s="63">
        <v>523209</v>
      </c>
      <c r="K318" s="63">
        <v>-1588449</v>
      </c>
      <c r="L318" s="63">
        <v>15216479</v>
      </c>
      <c r="M318" s="63">
        <v>17780</v>
      </c>
      <c r="N318" s="63">
        <v>0</v>
      </c>
      <c r="O318" s="63">
        <v>0</v>
      </c>
      <c r="P318" s="63">
        <v>17780</v>
      </c>
      <c r="Q318" s="63">
        <v>0</v>
      </c>
      <c r="R318" s="63">
        <v>-7706586</v>
      </c>
      <c r="S318" s="63">
        <v>-1541317</v>
      </c>
      <c r="T318" s="63">
        <v>-6165269</v>
      </c>
      <c r="U318" s="63">
        <v>-107702</v>
      </c>
      <c r="V318" s="63">
        <v>0</v>
      </c>
      <c r="W318" s="63">
        <v>-602432</v>
      </c>
      <c r="X318" s="63">
        <v>-16123306</v>
      </c>
      <c r="Y318" s="63">
        <v>0</v>
      </c>
      <c r="Z318" s="63">
        <v>491545</v>
      </c>
      <c r="AB318" s="189"/>
    </row>
    <row r="319" spans="1:28" ht="12.75" x14ac:dyDescent="0.2">
      <c r="A319" s="90">
        <v>312</v>
      </c>
      <c r="B319" s="133" t="s">
        <v>468</v>
      </c>
      <c r="C319" s="199" t="s">
        <v>749</v>
      </c>
      <c r="D319" s="135" t="s">
        <v>744</v>
      </c>
      <c r="E319" s="136" t="s">
        <v>467</v>
      </c>
      <c r="F319" s="63">
        <v>-11761248</v>
      </c>
      <c r="G319" s="63">
        <v>79455048</v>
      </c>
      <c r="H319" s="63">
        <v>0</v>
      </c>
      <c r="I319" s="63">
        <v>-500000</v>
      </c>
      <c r="J319" s="63">
        <v>1000000</v>
      </c>
      <c r="K319" s="63">
        <v>0</v>
      </c>
      <c r="L319" s="63">
        <v>79955048</v>
      </c>
      <c r="M319" s="63">
        <v>0</v>
      </c>
      <c r="N319" s="63">
        <v>0</v>
      </c>
      <c r="O319" s="63">
        <v>7068561</v>
      </c>
      <c r="P319" s="63">
        <v>7068561</v>
      </c>
      <c r="Q319" s="63">
        <v>0</v>
      </c>
      <c r="R319" s="63">
        <v>-40601340</v>
      </c>
      <c r="S319" s="63">
        <v>-812067</v>
      </c>
      <c r="T319" s="63">
        <v>-39789313</v>
      </c>
      <c r="U319" s="63">
        <v>0</v>
      </c>
      <c r="V319" s="63">
        <v>0</v>
      </c>
      <c r="W319" s="63">
        <v>0</v>
      </c>
      <c r="X319" s="63">
        <v>-81202720</v>
      </c>
      <c r="Y319" s="63">
        <v>0</v>
      </c>
      <c r="Z319" s="63">
        <v>-5940359</v>
      </c>
      <c r="AB319" s="189"/>
    </row>
    <row r="320" spans="1:28" ht="12.75" x14ac:dyDescent="0.2">
      <c r="A320" s="90">
        <v>313</v>
      </c>
      <c r="B320" s="129" t="s">
        <v>470</v>
      </c>
      <c r="C320" s="198" t="s">
        <v>501</v>
      </c>
      <c r="D320" s="131" t="s">
        <v>751</v>
      </c>
      <c r="E320" s="132" t="s">
        <v>469</v>
      </c>
      <c r="F320" s="63">
        <v>-8443125</v>
      </c>
      <c r="G320" s="63">
        <v>144010155</v>
      </c>
      <c r="H320" s="63">
        <v>0</v>
      </c>
      <c r="I320" s="63">
        <v>-1247297</v>
      </c>
      <c r="J320" s="63">
        <v>3455589</v>
      </c>
      <c r="K320" s="63">
        <v>-5115546</v>
      </c>
      <c r="L320" s="63">
        <v>141102901</v>
      </c>
      <c r="M320" s="63">
        <v>92870</v>
      </c>
      <c r="N320" s="63">
        <v>0</v>
      </c>
      <c r="O320" s="63">
        <v>1131891</v>
      </c>
      <c r="P320" s="63">
        <v>1224761</v>
      </c>
      <c r="Q320" s="63">
        <v>-304278</v>
      </c>
      <c r="R320" s="63">
        <v>-69930792</v>
      </c>
      <c r="S320" s="63">
        <v>-1398616</v>
      </c>
      <c r="T320" s="63">
        <v>-68532176</v>
      </c>
      <c r="U320" s="63">
        <v>-1062066</v>
      </c>
      <c r="V320" s="63">
        <v>0</v>
      </c>
      <c r="W320" s="63">
        <v>0</v>
      </c>
      <c r="X320" s="63">
        <v>-141227928</v>
      </c>
      <c r="Y320" s="63">
        <v>0</v>
      </c>
      <c r="Z320" s="63">
        <v>-7343391</v>
      </c>
      <c r="AB320" s="189"/>
    </row>
    <row r="321" spans="1:28" ht="12.75" x14ac:dyDescent="0.2">
      <c r="A321" s="90">
        <v>314</v>
      </c>
      <c r="B321" s="129" t="s">
        <v>472</v>
      </c>
      <c r="C321" s="198" t="s">
        <v>742</v>
      </c>
      <c r="D321" s="131" t="s">
        <v>743</v>
      </c>
      <c r="E321" s="132" t="s">
        <v>471</v>
      </c>
      <c r="F321" s="63">
        <v>80694</v>
      </c>
      <c r="G321" s="63">
        <v>56361558</v>
      </c>
      <c r="H321" s="63">
        <v>-97133</v>
      </c>
      <c r="I321" s="63">
        <v>-150000</v>
      </c>
      <c r="J321" s="63">
        <v>1113289</v>
      </c>
      <c r="K321" s="63">
        <v>-2580085</v>
      </c>
      <c r="L321" s="63">
        <v>54647629</v>
      </c>
      <c r="M321" s="63">
        <v>6611</v>
      </c>
      <c r="N321" s="63">
        <v>0</v>
      </c>
      <c r="O321" s="63">
        <v>0</v>
      </c>
      <c r="P321" s="63">
        <v>6611</v>
      </c>
      <c r="Q321" s="63">
        <v>-15005</v>
      </c>
      <c r="R321" s="63">
        <v>-30385109</v>
      </c>
      <c r="S321" s="63">
        <v>-6077021</v>
      </c>
      <c r="T321" s="63">
        <v>-24308087</v>
      </c>
      <c r="U321" s="63">
        <v>-492414</v>
      </c>
      <c r="V321" s="63">
        <v>0</v>
      </c>
      <c r="W321" s="63">
        <v>0</v>
      </c>
      <c r="X321" s="63">
        <v>-61277636</v>
      </c>
      <c r="Y321" s="63">
        <v>0</v>
      </c>
      <c r="Z321" s="63">
        <v>-6542702</v>
      </c>
      <c r="AB321" s="189"/>
    </row>
    <row r="322" spans="1:28" ht="12.75" x14ac:dyDescent="0.2">
      <c r="A322" s="90">
        <v>315</v>
      </c>
      <c r="B322" s="129" t="s">
        <v>473</v>
      </c>
      <c r="C322" s="198" t="s">
        <v>501</v>
      </c>
      <c r="D322" s="131" t="s">
        <v>743</v>
      </c>
      <c r="E322" s="132" t="s">
        <v>509</v>
      </c>
      <c r="F322" s="63">
        <v>1045203</v>
      </c>
      <c r="G322" s="63">
        <v>80074033</v>
      </c>
      <c r="H322" s="63">
        <v>0</v>
      </c>
      <c r="I322" s="63">
        <v>0</v>
      </c>
      <c r="J322" s="63">
        <v>0</v>
      </c>
      <c r="K322" s="63">
        <v>439001</v>
      </c>
      <c r="L322" s="63">
        <v>80513034</v>
      </c>
      <c r="M322" s="63">
        <v>155245</v>
      </c>
      <c r="N322" s="63">
        <v>0</v>
      </c>
      <c r="O322" s="63">
        <v>0</v>
      </c>
      <c r="P322" s="63">
        <v>155245</v>
      </c>
      <c r="Q322" s="63">
        <v>-167253</v>
      </c>
      <c r="R322" s="63">
        <v>-39030589</v>
      </c>
      <c r="S322" s="63">
        <v>-780612</v>
      </c>
      <c r="T322" s="63">
        <v>-38249977</v>
      </c>
      <c r="U322" s="63">
        <v>-7296</v>
      </c>
      <c r="V322" s="63">
        <v>-246447</v>
      </c>
      <c r="W322" s="63">
        <v>-3340377</v>
      </c>
      <c r="X322" s="63">
        <v>-81822551</v>
      </c>
      <c r="Y322" s="63">
        <v>500000</v>
      </c>
      <c r="Z322" s="63">
        <v>390931</v>
      </c>
      <c r="AB322" s="189" t="s">
        <v>768</v>
      </c>
    </row>
    <row r="323" spans="1:28" ht="12.75" x14ac:dyDescent="0.2">
      <c r="A323" s="90">
        <v>316</v>
      </c>
      <c r="B323" s="129" t="s">
        <v>475</v>
      </c>
      <c r="C323" s="198" t="s">
        <v>749</v>
      </c>
      <c r="D323" s="131" t="s">
        <v>744</v>
      </c>
      <c r="E323" s="132" t="s">
        <v>474</v>
      </c>
      <c r="F323" s="63">
        <v>-4709909</v>
      </c>
      <c r="G323" s="63">
        <v>69739000</v>
      </c>
      <c r="H323" s="63">
        <v>0</v>
      </c>
      <c r="I323" s="63">
        <v>-2103219</v>
      </c>
      <c r="J323" s="63">
        <v>288106</v>
      </c>
      <c r="K323" s="63">
        <v>-205479</v>
      </c>
      <c r="L323" s="63">
        <v>67718408</v>
      </c>
      <c r="M323" s="63">
        <v>0</v>
      </c>
      <c r="N323" s="63">
        <v>0</v>
      </c>
      <c r="O323" s="63">
        <v>907409</v>
      </c>
      <c r="P323" s="63">
        <v>907409</v>
      </c>
      <c r="Q323" s="63">
        <v>0</v>
      </c>
      <c r="R323" s="63">
        <v>-34398524</v>
      </c>
      <c r="S323" s="63">
        <v>-687971</v>
      </c>
      <c r="T323" s="63">
        <v>-33710555</v>
      </c>
      <c r="U323" s="63">
        <v>-386486</v>
      </c>
      <c r="V323" s="63">
        <v>0</v>
      </c>
      <c r="W323" s="63">
        <v>0</v>
      </c>
      <c r="X323" s="63">
        <v>-69183536</v>
      </c>
      <c r="Y323" s="63">
        <v>0</v>
      </c>
      <c r="Z323" s="63">
        <v>-5267628</v>
      </c>
      <c r="AB323" s="189"/>
    </row>
    <row r="324" spans="1:28" ht="12.75" x14ac:dyDescent="0.2">
      <c r="A324" s="90">
        <v>317</v>
      </c>
      <c r="B324" s="129" t="s">
        <v>477</v>
      </c>
      <c r="C324" s="198" t="s">
        <v>742</v>
      </c>
      <c r="D324" s="131" t="s">
        <v>743</v>
      </c>
      <c r="E324" s="132" t="s">
        <v>476</v>
      </c>
      <c r="F324" s="63">
        <v>-4215397</v>
      </c>
      <c r="G324" s="63">
        <v>48246575</v>
      </c>
      <c r="H324" s="63">
        <v>-187845</v>
      </c>
      <c r="I324" s="63">
        <v>-168000</v>
      </c>
      <c r="J324" s="63">
        <v>1000000</v>
      </c>
      <c r="K324" s="63">
        <v>-2000000</v>
      </c>
      <c r="L324" s="63">
        <v>46890730</v>
      </c>
      <c r="M324" s="63">
        <v>0</v>
      </c>
      <c r="N324" s="63">
        <v>0</v>
      </c>
      <c r="O324" s="63">
        <v>3477116</v>
      </c>
      <c r="P324" s="63">
        <v>3477116</v>
      </c>
      <c r="Q324" s="63">
        <v>0</v>
      </c>
      <c r="R324" s="63">
        <v>-22869948</v>
      </c>
      <c r="S324" s="63">
        <v>-4573990</v>
      </c>
      <c r="T324" s="63">
        <v>-18295959</v>
      </c>
      <c r="U324" s="63">
        <v>-136159</v>
      </c>
      <c r="V324" s="63">
        <v>0</v>
      </c>
      <c r="W324" s="63">
        <v>0</v>
      </c>
      <c r="X324" s="63">
        <v>-45876056</v>
      </c>
      <c r="Y324" s="63">
        <v>0</v>
      </c>
      <c r="Z324" s="63">
        <v>276393</v>
      </c>
      <c r="AB324" s="189"/>
    </row>
    <row r="325" spans="1:28" ht="12.75" x14ac:dyDescent="0.2">
      <c r="A325" s="90">
        <v>318</v>
      </c>
      <c r="B325" s="129" t="s">
        <v>478</v>
      </c>
      <c r="C325" s="198" t="s">
        <v>501</v>
      </c>
      <c r="D325" s="131" t="s">
        <v>743</v>
      </c>
      <c r="E325" s="132" t="s">
        <v>510</v>
      </c>
      <c r="F325" s="63">
        <v>-142000</v>
      </c>
      <c r="G325" s="63">
        <v>56867824</v>
      </c>
      <c r="H325" s="63">
        <v>0</v>
      </c>
      <c r="I325" s="63">
        <v>100000</v>
      </c>
      <c r="J325" s="63">
        <v>1200000</v>
      </c>
      <c r="K325" s="63">
        <v>-581000</v>
      </c>
      <c r="L325" s="63">
        <v>57586824</v>
      </c>
      <c r="M325" s="63">
        <v>0</v>
      </c>
      <c r="N325" s="63">
        <v>0</v>
      </c>
      <c r="O325" s="63">
        <v>0</v>
      </c>
      <c r="P325" s="63">
        <v>0</v>
      </c>
      <c r="Q325" s="63">
        <v>0</v>
      </c>
      <c r="R325" s="63">
        <v>-28793412</v>
      </c>
      <c r="S325" s="63">
        <v>-575868</v>
      </c>
      <c r="T325" s="63">
        <v>-28217544</v>
      </c>
      <c r="U325" s="63">
        <v>0</v>
      </c>
      <c r="V325" s="63">
        <v>0</v>
      </c>
      <c r="W325" s="63">
        <v>-2768590</v>
      </c>
      <c r="X325" s="63">
        <v>-60355414</v>
      </c>
      <c r="Y325" s="63">
        <v>0</v>
      </c>
      <c r="Z325" s="63">
        <v>-2910590</v>
      </c>
      <c r="AB325" s="189"/>
    </row>
    <row r="326" spans="1:28" ht="12.75" x14ac:dyDescent="0.2">
      <c r="A326" s="90">
        <v>319</v>
      </c>
      <c r="B326" s="129" t="s">
        <v>480</v>
      </c>
      <c r="C326" s="198" t="s">
        <v>749</v>
      </c>
      <c r="D326" s="131" t="s">
        <v>752</v>
      </c>
      <c r="E326" s="132" t="s">
        <v>479</v>
      </c>
      <c r="F326" s="63">
        <v>-7830060</v>
      </c>
      <c r="G326" s="63">
        <v>76017959</v>
      </c>
      <c r="H326" s="63">
        <v>0</v>
      </c>
      <c r="I326" s="63">
        <v>-2090991</v>
      </c>
      <c r="J326" s="63">
        <v>1327139</v>
      </c>
      <c r="K326" s="63">
        <v>-1685546</v>
      </c>
      <c r="L326" s="63">
        <v>73568561</v>
      </c>
      <c r="M326" s="63">
        <v>0</v>
      </c>
      <c r="N326" s="63">
        <v>0</v>
      </c>
      <c r="O326" s="63">
        <v>1866384</v>
      </c>
      <c r="P326" s="63">
        <v>1866384</v>
      </c>
      <c r="Q326" s="63">
        <v>0</v>
      </c>
      <c r="R326" s="63">
        <v>-37989432</v>
      </c>
      <c r="S326" s="63">
        <v>-761373</v>
      </c>
      <c r="T326" s="63">
        <v>-37386459</v>
      </c>
      <c r="U326" s="63">
        <v>-346763</v>
      </c>
      <c r="V326" s="63">
        <v>-379272</v>
      </c>
      <c r="W326" s="63">
        <v>0</v>
      </c>
      <c r="X326" s="63">
        <v>-76863299</v>
      </c>
      <c r="Y326" s="63">
        <v>0</v>
      </c>
      <c r="Z326" s="63">
        <v>-9258414</v>
      </c>
      <c r="AB326" s="189"/>
    </row>
    <row r="327" spans="1:28" ht="12.75" x14ac:dyDescent="0.2">
      <c r="A327" s="90">
        <v>320</v>
      </c>
      <c r="B327" s="129" t="s">
        <v>482</v>
      </c>
      <c r="C327" s="198" t="s">
        <v>742</v>
      </c>
      <c r="D327" s="131" t="s">
        <v>752</v>
      </c>
      <c r="E327" s="132" t="s">
        <v>481</v>
      </c>
      <c r="F327" s="63">
        <v>-7466137</v>
      </c>
      <c r="G327" s="63">
        <v>37778753</v>
      </c>
      <c r="H327" s="63">
        <v>-560213</v>
      </c>
      <c r="I327" s="63">
        <v>0</v>
      </c>
      <c r="J327" s="63">
        <v>3090262</v>
      </c>
      <c r="K327" s="63">
        <v>-148368</v>
      </c>
      <c r="L327" s="63">
        <v>40160434</v>
      </c>
      <c r="M327" s="63">
        <v>0</v>
      </c>
      <c r="N327" s="63">
        <v>0</v>
      </c>
      <c r="O327" s="63">
        <v>3283243</v>
      </c>
      <c r="P327" s="63">
        <v>3283243</v>
      </c>
      <c r="Q327" s="63">
        <v>0</v>
      </c>
      <c r="R327" s="63">
        <v>-20257197</v>
      </c>
      <c r="S327" s="63">
        <v>-4051439</v>
      </c>
      <c r="T327" s="63">
        <v>-16205758</v>
      </c>
      <c r="U327" s="63">
        <v>0</v>
      </c>
      <c r="V327" s="63">
        <v>0</v>
      </c>
      <c r="W327" s="63">
        <v>0</v>
      </c>
      <c r="X327" s="63">
        <v>-40514394</v>
      </c>
      <c r="Y327" s="63">
        <v>310505</v>
      </c>
      <c r="Z327" s="63">
        <v>-4226349</v>
      </c>
      <c r="AB327" s="189" t="s">
        <v>768</v>
      </c>
    </row>
    <row r="328" spans="1:28" ht="12.75" x14ac:dyDescent="0.2">
      <c r="A328" s="90">
        <v>321</v>
      </c>
      <c r="B328" s="129" t="s">
        <v>484</v>
      </c>
      <c r="C328" s="198" t="s">
        <v>742</v>
      </c>
      <c r="D328" s="131" t="s">
        <v>743</v>
      </c>
      <c r="E328" s="132" t="s">
        <v>483</v>
      </c>
      <c r="F328" s="63">
        <v>-1096021</v>
      </c>
      <c r="G328" s="63">
        <v>31882694</v>
      </c>
      <c r="H328" s="63">
        <v>0</v>
      </c>
      <c r="I328" s="63">
        <v>-106136</v>
      </c>
      <c r="J328" s="63">
        <v>0</v>
      </c>
      <c r="K328" s="63">
        <v>-843502</v>
      </c>
      <c r="L328" s="63">
        <v>30933056</v>
      </c>
      <c r="M328" s="63">
        <v>0</v>
      </c>
      <c r="N328" s="63">
        <v>0</v>
      </c>
      <c r="O328" s="63">
        <v>494540</v>
      </c>
      <c r="P328" s="63">
        <v>494540</v>
      </c>
      <c r="Q328" s="63">
        <v>-1865</v>
      </c>
      <c r="R328" s="63">
        <v>-15251099</v>
      </c>
      <c r="S328" s="63">
        <v>-3050220</v>
      </c>
      <c r="T328" s="63">
        <v>-12333121</v>
      </c>
      <c r="U328" s="63">
        <v>0</v>
      </c>
      <c r="V328" s="63">
        <v>-132241</v>
      </c>
      <c r="W328" s="63">
        <v>0</v>
      </c>
      <c r="X328" s="63">
        <v>-30768546</v>
      </c>
      <c r="Y328" s="63">
        <v>0</v>
      </c>
      <c r="Z328" s="63">
        <v>-436971</v>
      </c>
      <c r="AB328" s="189"/>
    </row>
    <row r="329" spans="1:28" ht="12.75" x14ac:dyDescent="0.2">
      <c r="A329" s="90">
        <v>322</v>
      </c>
      <c r="B329" s="129" t="s">
        <v>486</v>
      </c>
      <c r="C329" s="198" t="s">
        <v>742</v>
      </c>
      <c r="D329" s="131" t="s">
        <v>752</v>
      </c>
      <c r="E329" s="132" t="s">
        <v>485</v>
      </c>
      <c r="F329" s="63">
        <v>-6404000</v>
      </c>
      <c r="G329" s="63">
        <v>35933805</v>
      </c>
      <c r="H329" s="63">
        <v>-365493</v>
      </c>
      <c r="I329" s="63">
        <v>0</v>
      </c>
      <c r="J329" s="63">
        <v>3500000</v>
      </c>
      <c r="K329" s="63">
        <v>-80173</v>
      </c>
      <c r="L329" s="63">
        <v>38988139</v>
      </c>
      <c r="M329" s="63">
        <v>0</v>
      </c>
      <c r="N329" s="63">
        <v>0</v>
      </c>
      <c r="O329" s="63">
        <v>2188288</v>
      </c>
      <c r="P329" s="63">
        <v>2188288</v>
      </c>
      <c r="Q329" s="63">
        <v>0</v>
      </c>
      <c r="R329" s="63">
        <v>-19274981</v>
      </c>
      <c r="S329" s="63">
        <v>-3854997</v>
      </c>
      <c r="T329" s="63">
        <v>-15419984</v>
      </c>
      <c r="U329" s="63">
        <v>-223485</v>
      </c>
      <c r="V329" s="63">
        <v>0</v>
      </c>
      <c r="W329" s="63">
        <v>0</v>
      </c>
      <c r="X329" s="63">
        <v>-38773447</v>
      </c>
      <c r="Y329" s="63">
        <v>275253</v>
      </c>
      <c r="Z329" s="63">
        <v>-3725767</v>
      </c>
      <c r="AB329" s="189" t="s">
        <v>768</v>
      </c>
    </row>
    <row r="330" spans="1:28" ht="12.75" x14ac:dyDescent="0.2">
      <c r="A330" s="90">
        <v>323</v>
      </c>
      <c r="B330" s="129" t="s">
        <v>488</v>
      </c>
      <c r="C330" s="198" t="s">
        <v>742</v>
      </c>
      <c r="D330" s="131" t="s">
        <v>743</v>
      </c>
      <c r="E330" s="132" t="s">
        <v>487</v>
      </c>
      <c r="F330" s="63">
        <v>6849000</v>
      </c>
      <c r="G330" s="63">
        <v>73324000</v>
      </c>
      <c r="H330" s="63">
        <v>0</v>
      </c>
      <c r="I330" s="63">
        <v>0</v>
      </c>
      <c r="J330" s="63">
        <v>611000</v>
      </c>
      <c r="K330" s="63">
        <v>-1573440</v>
      </c>
      <c r="L330" s="63">
        <v>72361560</v>
      </c>
      <c r="M330" s="63">
        <v>0</v>
      </c>
      <c r="N330" s="63">
        <v>0</v>
      </c>
      <c r="O330" s="63">
        <v>0</v>
      </c>
      <c r="P330" s="63">
        <v>0</v>
      </c>
      <c r="Q330" s="63">
        <v>0</v>
      </c>
      <c r="R330" s="63">
        <v>-41867566</v>
      </c>
      <c r="S330" s="63">
        <v>-33737493</v>
      </c>
      <c r="T330" s="63">
        <v>-7536163</v>
      </c>
      <c r="U330" s="63">
        <v>-837351</v>
      </c>
      <c r="V330" s="63">
        <v>0</v>
      </c>
      <c r="W330" s="63">
        <v>0</v>
      </c>
      <c r="X330" s="63">
        <v>-83978573</v>
      </c>
      <c r="Y330" s="63">
        <v>0</v>
      </c>
      <c r="Z330" s="63">
        <v>-4768013</v>
      </c>
      <c r="AB330" s="189"/>
    </row>
    <row r="331" spans="1:28" ht="12.75" x14ac:dyDescent="0.2">
      <c r="A331" s="90">
        <v>324</v>
      </c>
      <c r="B331" s="129" t="s">
        <v>490</v>
      </c>
      <c r="C331" s="198" t="s">
        <v>742</v>
      </c>
      <c r="D331" s="131" t="s">
        <v>744</v>
      </c>
      <c r="E331" s="132" t="s">
        <v>489</v>
      </c>
      <c r="F331" s="63">
        <v>711995</v>
      </c>
      <c r="G331" s="63">
        <v>26390897</v>
      </c>
      <c r="H331" s="63">
        <v>-175000</v>
      </c>
      <c r="I331" s="63">
        <v>-47686</v>
      </c>
      <c r="J331" s="63">
        <v>0</v>
      </c>
      <c r="K331" s="63">
        <v>-830431</v>
      </c>
      <c r="L331" s="63">
        <v>25337780</v>
      </c>
      <c r="M331" s="63">
        <v>370387</v>
      </c>
      <c r="N331" s="63">
        <v>0</v>
      </c>
      <c r="O331" s="63">
        <v>0</v>
      </c>
      <c r="P331" s="63">
        <v>370387</v>
      </c>
      <c r="Q331" s="63">
        <v>0</v>
      </c>
      <c r="R331" s="63">
        <v>-13237798</v>
      </c>
      <c r="S331" s="63">
        <v>-2647560</v>
      </c>
      <c r="T331" s="63">
        <v>-10590239</v>
      </c>
      <c r="U331" s="63">
        <v>-153550</v>
      </c>
      <c r="V331" s="63">
        <v>0</v>
      </c>
      <c r="W331" s="63">
        <v>-769278</v>
      </c>
      <c r="X331" s="63">
        <v>-27398425</v>
      </c>
      <c r="Y331" s="63">
        <v>0</v>
      </c>
      <c r="Z331" s="63">
        <v>-978263</v>
      </c>
      <c r="AB331" s="189"/>
    </row>
    <row r="332" spans="1:28" ht="12.75" x14ac:dyDescent="0.2">
      <c r="A332" s="90">
        <v>325</v>
      </c>
      <c r="B332" s="129" t="s">
        <v>492</v>
      </c>
      <c r="C332" s="198" t="s">
        <v>742</v>
      </c>
      <c r="D332" s="131" t="s">
        <v>752</v>
      </c>
      <c r="E332" s="132" t="s">
        <v>491</v>
      </c>
      <c r="F332" s="63">
        <v>-4508054</v>
      </c>
      <c r="G332" s="63">
        <v>27833242</v>
      </c>
      <c r="H332" s="63">
        <v>-239634</v>
      </c>
      <c r="I332" s="63">
        <v>0</v>
      </c>
      <c r="J332" s="63">
        <v>874000</v>
      </c>
      <c r="K332" s="63">
        <v>-758612</v>
      </c>
      <c r="L332" s="63">
        <v>27708996</v>
      </c>
      <c r="M332" s="63">
        <v>0</v>
      </c>
      <c r="N332" s="63">
        <v>0</v>
      </c>
      <c r="O332" s="63">
        <v>2469006</v>
      </c>
      <c r="P332" s="63">
        <v>2469006</v>
      </c>
      <c r="Q332" s="63">
        <v>-222971</v>
      </c>
      <c r="R332" s="63">
        <v>-14546272</v>
      </c>
      <c r="S332" s="63">
        <v>-2909254</v>
      </c>
      <c r="T332" s="63">
        <v>-11637018</v>
      </c>
      <c r="U332" s="63">
        <v>-135893</v>
      </c>
      <c r="V332" s="63">
        <v>0</v>
      </c>
      <c r="W332" s="63">
        <v>0</v>
      </c>
      <c r="X332" s="63">
        <v>-29451408</v>
      </c>
      <c r="Y332" s="63">
        <v>0</v>
      </c>
      <c r="Z332" s="63">
        <v>-3781460</v>
      </c>
      <c r="AB332" s="189"/>
    </row>
    <row r="333" spans="1:28" ht="13.5" thickBot="1" x14ac:dyDescent="0.25">
      <c r="A333" s="90">
        <v>326</v>
      </c>
      <c r="B333" s="129" t="s">
        <v>493</v>
      </c>
      <c r="C333" s="198" t="s">
        <v>501</v>
      </c>
      <c r="D333" s="131" t="s">
        <v>750</v>
      </c>
      <c r="E333" s="132" t="s">
        <v>544</v>
      </c>
      <c r="F333" s="63">
        <v>-5000035</v>
      </c>
      <c r="G333" s="63">
        <v>104434796</v>
      </c>
      <c r="H333" s="63">
        <v>-727807</v>
      </c>
      <c r="I333" s="63">
        <v>-321722</v>
      </c>
      <c r="J333" s="63">
        <v>2557200</v>
      </c>
      <c r="K333" s="63">
        <v>-1585901</v>
      </c>
      <c r="L333" s="63">
        <v>104356566</v>
      </c>
      <c r="M333" s="63">
        <v>95681</v>
      </c>
      <c r="N333" s="63">
        <v>0</v>
      </c>
      <c r="O333" s="63">
        <v>0</v>
      </c>
      <c r="P333" s="63">
        <v>95681</v>
      </c>
      <c r="Q333" s="63">
        <v>-41094</v>
      </c>
      <c r="R333" s="63">
        <v>-50561025</v>
      </c>
      <c r="S333" s="63">
        <v>-1011220</v>
      </c>
      <c r="T333" s="63">
        <v>-49549804</v>
      </c>
      <c r="U333" s="63">
        <v>-295442</v>
      </c>
      <c r="V333" s="63">
        <v>0</v>
      </c>
      <c r="W333" s="63">
        <v>-677627</v>
      </c>
      <c r="X333" s="63">
        <v>-102136212</v>
      </c>
      <c r="Y333" s="63">
        <v>2684000</v>
      </c>
      <c r="Z333" s="63">
        <v>0</v>
      </c>
      <c r="AB333" s="189" t="s">
        <v>768</v>
      </c>
    </row>
    <row r="334" spans="1:28" s="193" customFormat="1" ht="13.5" thickBot="1" x14ac:dyDescent="0.25">
      <c r="A334" s="201">
        <v>327</v>
      </c>
      <c r="B334" s="194"/>
      <c r="C334" s="194"/>
      <c r="D334" s="195"/>
      <c r="E334" s="191" t="s">
        <v>738</v>
      </c>
      <c r="F334" s="192">
        <v>-1417783189.6010003</v>
      </c>
      <c r="G334" s="192">
        <v>23537417652</v>
      </c>
      <c r="H334" s="192">
        <v>-50292038</v>
      </c>
      <c r="I334" s="192">
        <v>-172018627</v>
      </c>
      <c r="J334" s="192">
        <v>562745063</v>
      </c>
      <c r="K334" s="192">
        <v>-844332263</v>
      </c>
      <c r="L334" s="192">
        <v>23033519787</v>
      </c>
      <c r="M334" s="192">
        <v>28976999</v>
      </c>
      <c r="N334" s="192">
        <v>8959612</v>
      </c>
      <c r="O334" s="192">
        <v>671244578</v>
      </c>
      <c r="P334" s="192">
        <v>709181189</v>
      </c>
      <c r="Q334" s="192">
        <v>-146542784</v>
      </c>
      <c r="R334" s="192">
        <v>-11542029516</v>
      </c>
      <c r="S334" s="192">
        <v>-2318464423</v>
      </c>
      <c r="T334" s="192">
        <v>-9250255232</v>
      </c>
      <c r="U334" s="192">
        <v>-140932676</v>
      </c>
      <c r="V334" s="192">
        <v>-29450874</v>
      </c>
      <c r="W334" s="192">
        <v>-221778410</v>
      </c>
      <c r="X334" s="192">
        <v>-23649453915</v>
      </c>
      <c r="Y334" s="192">
        <v>61720047.5</v>
      </c>
      <c r="Z334" s="192">
        <v>-1262816081.1010003</v>
      </c>
      <c r="AB334" s="190" t="s">
        <v>768</v>
      </c>
    </row>
    <row r="335" spans="1:28" x14ac:dyDescent="0.2">
      <c r="D335" s="137"/>
      <c r="E335" s="138"/>
    </row>
    <row r="336" spans="1:28" x14ac:dyDescent="0.2">
      <c r="D336" s="137"/>
      <c r="E336" s="138" t="s">
        <v>810</v>
      </c>
    </row>
    <row r="337" spans="4:5" x14ac:dyDescent="0.2">
      <c r="D337" s="137"/>
      <c r="E337" s="138"/>
    </row>
    <row r="338" spans="4:5" x14ac:dyDescent="0.2">
      <c r="D338" s="137"/>
      <c r="E338" s="138"/>
    </row>
    <row r="339" spans="4:5" x14ac:dyDescent="0.2">
      <c r="D339" s="137"/>
      <c r="E339" s="138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8"/>
  <sheetViews>
    <sheetView workbookViewId="0"/>
  </sheetViews>
  <sheetFormatPr defaultRowHeight="12.75" x14ac:dyDescent="0.2"/>
  <cols>
    <col min="1" max="1" width="27.5703125" style="139" bestFit="1" customWidth="1"/>
    <col min="2" max="2" width="9.140625" style="216"/>
    <col min="3" max="3" width="23.28515625" style="216" bestFit="1" customWidth="1"/>
    <col min="4" max="4" width="9.140625" style="216"/>
    <col min="5" max="5" width="33" style="216" bestFit="1" customWidth="1"/>
    <col min="6" max="6" width="8.7109375" style="216" bestFit="1" customWidth="1"/>
    <col min="7" max="8" width="35" style="216" bestFit="1" customWidth="1"/>
    <col min="9" max="9" width="7.5703125" style="216" bestFit="1" customWidth="1"/>
    <col min="10" max="10" width="11.28515625" style="216" bestFit="1" customWidth="1"/>
    <col min="11" max="11" width="7.28515625" style="216" bestFit="1" customWidth="1"/>
    <col min="12" max="13" width="11.85546875" style="216" bestFit="1" customWidth="1"/>
    <col min="14" max="14" width="9" style="216" bestFit="1" customWidth="1"/>
    <col min="15" max="16384" width="9.140625" style="139"/>
  </cols>
  <sheetData>
    <row r="1" spans="1:14" ht="15.75" x14ac:dyDescent="0.25">
      <c r="A1" s="230" t="s">
        <v>603</v>
      </c>
      <c r="C1" s="206"/>
      <c r="D1" s="207"/>
      <c r="E1" s="208"/>
      <c r="F1" s="212"/>
      <c r="G1" s="222"/>
      <c r="H1" s="222"/>
      <c r="I1" s="223"/>
      <c r="J1" s="224"/>
      <c r="K1" s="206"/>
      <c r="L1" s="209"/>
      <c r="M1" s="209"/>
      <c r="N1" s="225"/>
    </row>
    <row r="2" spans="1:14" ht="15.75" x14ac:dyDescent="0.25">
      <c r="A2" s="230" t="s">
        <v>605</v>
      </c>
      <c r="C2" s="206"/>
      <c r="D2" s="207"/>
      <c r="E2" s="208"/>
      <c r="F2" s="212"/>
      <c r="G2" s="222"/>
      <c r="H2" s="222"/>
      <c r="I2" s="223"/>
      <c r="J2" s="224"/>
      <c r="K2" s="206"/>
      <c r="L2" s="209"/>
      <c r="M2" s="209"/>
      <c r="N2" s="225"/>
    </row>
    <row r="3" spans="1:14" ht="15.75" x14ac:dyDescent="0.25">
      <c r="A3" s="230" t="s">
        <v>607</v>
      </c>
      <c r="C3" s="206"/>
      <c r="D3" s="207"/>
      <c r="E3" s="208"/>
      <c r="F3" s="212"/>
      <c r="G3" s="222"/>
      <c r="H3" s="222"/>
      <c r="I3" s="223"/>
      <c r="J3" s="224"/>
      <c r="K3" s="206"/>
      <c r="L3" s="209"/>
      <c r="M3" s="209"/>
      <c r="N3" s="225"/>
    </row>
    <row r="4" spans="1:14" ht="15.75" x14ac:dyDescent="0.25">
      <c r="A4" s="230" t="s">
        <v>609</v>
      </c>
      <c r="C4" s="206"/>
      <c r="D4" s="207"/>
      <c r="E4" s="208"/>
      <c r="F4" s="212"/>
      <c r="G4" s="222"/>
      <c r="H4" s="222"/>
      <c r="I4" s="223"/>
      <c r="J4" s="224"/>
      <c r="K4" s="206"/>
      <c r="L4" s="209"/>
      <c r="M4" s="209"/>
      <c r="N4" s="225"/>
    </row>
    <row r="5" spans="1:14" ht="15.75" x14ac:dyDescent="0.25">
      <c r="A5" s="230" t="s">
        <v>611</v>
      </c>
      <c r="C5" s="206"/>
      <c r="D5" s="207"/>
      <c r="E5" s="208"/>
      <c r="F5" s="231"/>
      <c r="G5" s="232"/>
      <c r="H5" s="232"/>
      <c r="I5" s="223"/>
      <c r="J5" s="224"/>
      <c r="K5" s="206"/>
      <c r="L5" s="209"/>
      <c r="M5" s="209"/>
      <c r="N5" s="225"/>
    </row>
    <row r="6" spans="1:14" ht="15.75" x14ac:dyDescent="0.25">
      <c r="A6" s="230" t="s">
        <v>613</v>
      </c>
      <c r="C6" s="206"/>
      <c r="D6" s="207"/>
      <c r="E6" s="208"/>
      <c r="F6" s="212"/>
      <c r="G6" s="222"/>
      <c r="H6" s="222"/>
      <c r="I6" s="223"/>
      <c r="J6" s="224"/>
      <c r="K6" s="206"/>
      <c r="L6" s="209"/>
      <c r="M6" s="209"/>
      <c r="N6" s="225"/>
    </row>
    <row r="7" spans="1:14" ht="15.75" x14ac:dyDescent="0.25">
      <c r="A7" s="230" t="s">
        <v>615</v>
      </c>
      <c r="C7" s="206"/>
      <c r="D7" s="207"/>
      <c r="E7" s="208"/>
      <c r="F7" s="212"/>
      <c r="G7" s="222"/>
      <c r="H7" s="222"/>
      <c r="I7" s="223"/>
      <c r="J7" s="224"/>
      <c r="K7" s="206"/>
      <c r="L7" s="209"/>
      <c r="M7" s="209"/>
      <c r="N7" s="225"/>
    </row>
    <row r="8" spans="1:14" ht="15.75" x14ac:dyDescent="0.25">
      <c r="A8" s="230" t="s">
        <v>617</v>
      </c>
      <c r="C8" s="206"/>
      <c r="D8" s="207"/>
      <c r="E8" s="208"/>
      <c r="F8" s="212"/>
      <c r="G8" s="222"/>
      <c r="H8" s="222"/>
      <c r="I8" s="223"/>
      <c r="J8" s="224"/>
      <c r="K8" s="206"/>
      <c r="L8" s="209"/>
      <c r="M8" s="209"/>
      <c r="N8" s="225"/>
    </row>
    <row r="9" spans="1:14" ht="15.75" x14ac:dyDescent="0.25">
      <c r="A9" s="230" t="s">
        <v>554</v>
      </c>
      <c r="C9" s="206"/>
      <c r="D9" s="207"/>
      <c r="E9" s="206"/>
      <c r="F9" s="212"/>
      <c r="G9" s="222"/>
      <c r="H9" s="222"/>
      <c r="I9" s="223"/>
      <c r="J9" s="224"/>
      <c r="K9" s="228"/>
      <c r="L9" s="209"/>
      <c r="M9" s="209"/>
      <c r="N9" s="229"/>
    </row>
    <row r="10" spans="1:14" ht="15.75" x14ac:dyDescent="0.25">
      <c r="A10" s="230" t="s">
        <v>620</v>
      </c>
      <c r="C10" s="206"/>
      <c r="D10" s="207"/>
      <c r="E10" s="206"/>
      <c r="F10" s="212"/>
      <c r="G10" s="222"/>
      <c r="H10" s="222"/>
      <c r="I10" s="223"/>
      <c r="J10" s="224"/>
      <c r="K10" s="228"/>
      <c r="L10" s="209"/>
      <c r="M10" s="209"/>
      <c r="N10" s="229"/>
    </row>
    <row r="11" spans="1:14" ht="15.75" x14ac:dyDescent="0.25">
      <c r="A11" s="230" t="s">
        <v>622</v>
      </c>
      <c r="C11" s="206"/>
      <c r="D11" s="207"/>
      <c r="E11" s="208"/>
      <c r="F11" s="212"/>
      <c r="G11" s="233"/>
      <c r="H11" s="233"/>
      <c r="I11" s="223"/>
      <c r="J11" s="224"/>
      <c r="K11" s="228"/>
      <c r="L11" s="210"/>
      <c r="M11" s="210"/>
      <c r="N11" s="229"/>
    </row>
    <row r="12" spans="1:14" ht="15.75" x14ac:dyDescent="0.25">
      <c r="A12" s="230" t="s">
        <v>624</v>
      </c>
      <c r="C12" s="206"/>
      <c r="D12" s="207"/>
      <c r="E12" s="208"/>
      <c r="F12" s="212"/>
      <c r="G12" s="222"/>
      <c r="H12" s="222"/>
      <c r="I12" s="223"/>
      <c r="J12" s="224"/>
      <c r="K12" s="206"/>
      <c r="L12" s="209"/>
      <c r="M12" s="209"/>
      <c r="N12" s="225"/>
    </row>
    <row r="13" spans="1:14" ht="15.75" x14ac:dyDescent="0.25">
      <c r="A13" s="230" t="s">
        <v>626</v>
      </c>
      <c r="C13" s="206"/>
      <c r="D13" s="207"/>
      <c r="E13" s="208"/>
      <c r="F13" s="212"/>
      <c r="G13" s="222"/>
      <c r="H13" s="222"/>
      <c r="I13" s="223"/>
      <c r="J13" s="224"/>
      <c r="K13" s="206"/>
      <c r="L13" s="209"/>
      <c r="M13" s="209"/>
      <c r="N13" s="225"/>
    </row>
    <row r="14" spans="1:14" ht="15.75" x14ac:dyDescent="0.25">
      <c r="A14" s="230" t="s">
        <v>628</v>
      </c>
      <c r="C14" s="206"/>
      <c r="D14" s="207"/>
      <c r="E14" s="208"/>
      <c r="F14" s="212"/>
      <c r="G14" s="222"/>
      <c r="H14" s="222"/>
      <c r="I14" s="223"/>
      <c r="J14" s="224"/>
      <c r="K14" s="206"/>
      <c r="L14" s="209"/>
      <c r="M14" s="209"/>
      <c r="N14" s="225"/>
    </row>
    <row r="15" spans="1:14" ht="15.75" x14ac:dyDescent="0.25">
      <c r="A15" s="230" t="s">
        <v>630</v>
      </c>
      <c r="C15" s="206"/>
      <c r="D15" s="207"/>
      <c r="E15" s="208"/>
      <c r="F15" s="212"/>
      <c r="G15" s="222"/>
      <c r="H15" s="222"/>
      <c r="I15" s="223"/>
      <c r="J15" s="224"/>
      <c r="K15" s="206"/>
      <c r="L15" s="209"/>
      <c r="M15" s="209"/>
      <c r="N15" s="225"/>
    </row>
    <row r="16" spans="1:14" ht="15.75" x14ac:dyDescent="0.25">
      <c r="A16" s="230" t="s">
        <v>632</v>
      </c>
      <c r="C16" s="206"/>
      <c r="D16" s="207"/>
      <c r="E16" s="208"/>
      <c r="F16" s="212"/>
      <c r="G16" s="233"/>
      <c r="H16" s="233"/>
      <c r="I16" s="223"/>
      <c r="J16" s="224"/>
      <c r="K16" s="228"/>
      <c r="L16" s="210"/>
      <c r="M16" s="210"/>
      <c r="N16" s="229"/>
    </row>
    <row r="17" spans="1:14" ht="15.75" x14ac:dyDescent="0.25">
      <c r="A17" s="230" t="s">
        <v>634</v>
      </c>
      <c r="C17" s="206"/>
      <c r="D17" s="207"/>
      <c r="E17" s="208"/>
      <c r="F17" s="212"/>
      <c r="G17" s="222"/>
      <c r="H17" s="222"/>
      <c r="I17" s="223"/>
      <c r="J17" s="224"/>
      <c r="K17" s="228"/>
      <c r="L17" s="211"/>
      <c r="M17" s="211"/>
      <c r="N17" s="229"/>
    </row>
    <row r="18" spans="1:14" ht="15.75" x14ac:dyDescent="0.25">
      <c r="A18" s="230" t="s">
        <v>636</v>
      </c>
      <c r="C18" s="206"/>
      <c r="D18" s="207"/>
      <c r="E18" s="206"/>
      <c r="F18" s="212"/>
      <c r="G18" s="222"/>
      <c r="H18" s="222"/>
      <c r="I18" s="223"/>
      <c r="J18" s="224"/>
      <c r="K18" s="228"/>
      <c r="L18" s="209"/>
      <c r="M18" s="209"/>
      <c r="N18" s="229"/>
    </row>
    <row r="19" spans="1:14" ht="15.75" x14ac:dyDescent="0.25">
      <c r="A19" s="230" t="s">
        <v>638</v>
      </c>
      <c r="C19" s="206"/>
      <c r="D19" s="207"/>
      <c r="E19" s="208"/>
      <c r="F19" s="212"/>
      <c r="G19" s="233"/>
      <c r="H19" s="233"/>
      <c r="I19" s="223"/>
      <c r="J19" s="224"/>
      <c r="K19" s="228"/>
      <c r="L19" s="210"/>
      <c r="M19" s="210"/>
      <c r="N19" s="229"/>
    </row>
    <row r="20" spans="1:14" ht="15.75" x14ac:dyDescent="0.25">
      <c r="A20" s="230" t="s">
        <v>640</v>
      </c>
      <c r="C20" s="206"/>
      <c r="D20" s="207"/>
      <c r="E20" s="208"/>
      <c r="F20" s="212"/>
      <c r="G20" s="222"/>
      <c r="H20" s="222"/>
      <c r="I20" s="223"/>
      <c r="J20" s="224"/>
      <c r="K20" s="206"/>
      <c r="L20" s="209"/>
      <c r="M20" s="209"/>
      <c r="N20" s="225"/>
    </row>
    <row r="21" spans="1:14" ht="15.75" x14ac:dyDescent="0.25">
      <c r="A21" s="230" t="s">
        <v>538</v>
      </c>
      <c r="C21" s="206"/>
      <c r="D21" s="207"/>
      <c r="E21" s="208"/>
      <c r="F21" s="212"/>
      <c r="G21" s="222"/>
      <c r="H21" s="222"/>
      <c r="I21" s="223"/>
      <c r="J21" s="224"/>
      <c r="K21" s="228"/>
      <c r="L21" s="209"/>
      <c r="M21" s="209"/>
      <c r="N21" s="229"/>
    </row>
    <row r="22" spans="1:14" ht="15.75" x14ac:dyDescent="0.25">
      <c r="A22" s="230" t="s">
        <v>539</v>
      </c>
      <c r="C22" s="206"/>
      <c r="D22" s="207"/>
      <c r="E22" s="208"/>
      <c r="F22" s="212"/>
      <c r="G22" s="222"/>
      <c r="H22" s="222"/>
      <c r="I22" s="223"/>
      <c r="J22" s="224"/>
      <c r="K22" s="228"/>
      <c r="L22" s="209"/>
      <c r="M22" s="209"/>
      <c r="N22" s="229"/>
    </row>
    <row r="23" spans="1:14" ht="15.75" x14ac:dyDescent="0.25">
      <c r="A23" s="230" t="s">
        <v>644</v>
      </c>
      <c r="C23" s="206"/>
      <c r="D23" s="207"/>
      <c r="E23" s="208"/>
      <c r="F23" s="212"/>
      <c r="G23" s="222"/>
      <c r="H23" s="222"/>
      <c r="I23" s="223"/>
      <c r="J23" s="224"/>
      <c r="K23" s="206"/>
      <c r="L23" s="209"/>
      <c r="M23" s="209"/>
      <c r="N23" s="225"/>
    </row>
    <row r="24" spans="1:14" ht="15.75" x14ac:dyDescent="0.25">
      <c r="A24" s="230" t="s">
        <v>646</v>
      </c>
      <c r="C24" s="206"/>
      <c r="D24" s="207"/>
      <c r="E24" s="208"/>
      <c r="F24" s="212"/>
      <c r="G24" s="222"/>
      <c r="H24" s="222"/>
      <c r="I24" s="223"/>
      <c r="J24" s="224"/>
      <c r="K24" s="228"/>
      <c r="L24" s="209"/>
      <c r="M24" s="209"/>
      <c r="N24" s="229"/>
    </row>
    <row r="25" spans="1:14" ht="15.75" x14ac:dyDescent="0.25">
      <c r="A25" s="230" t="s">
        <v>648</v>
      </c>
      <c r="C25" s="206"/>
      <c r="D25" s="207"/>
      <c r="E25" s="208"/>
      <c r="F25" s="212"/>
      <c r="G25" s="222"/>
      <c r="H25" s="222"/>
      <c r="I25" s="223"/>
      <c r="J25" s="224"/>
      <c r="K25" s="206"/>
      <c r="L25" s="209"/>
      <c r="M25" s="209"/>
      <c r="N25" s="225"/>
    </row>
    <row r="26" spans="1:14" ht="15.75" x14ac:dyDescent="0.25">
      <c r="A26" s="230" t="s">
        <v>525</v>
      </c>
      <c r="C26" s="206"/>
      <c r="D26" s="207"/>
      <c r="E26" s="208"/>
      <c r="F26" s="212"/>
      <c r="G26" s="222"/>
      <c r="H26" s="222"/>
      <c r="I26" s="223"/>
      <c r="J26" s="224"/>
      <c r="K26" s="228"/>
      <c r="L26" s="209"/>
      <c r="M26" s="209"/>
      <c r="N26" s="229"/>
    </row>
    <row r="27" spans="1:14" ht="15.75" x14ac:dyDescent="0.25">
      <c r="A27" s="230" t="s">
        <v>505</v>
      </c>
      <c r="C27" s="206"/>
      <c r="D27" s="207"/>
      <c r="E27" s="208"/>
      <c r="F27" s="212"/>
      <c r="G27" s="222"/>
      <c r="H27" s="222"/>
      <c r="I27" s="223"/>
      <c r="J27" s="224"/>
      <c r="K27" s="228"/>
      <c r="L27" s="211"/>
      <c r="M27" s="211"/>
      <c r="N27" s="229"/>
    </row>
    <row r="28" spans="1:14" ht="15.75" x14ac:dyDescent="0.25">
      <c r="A28" s="230" t="s">
        <v>652</v>
      </c>
      <c r="C28" s="206"/>
      <c r="D28" s="207"/>
      <c r="E28" s="208"/>
      <c r="F28" s="231"/>
      <c r="G28" s="232"/>
      <c r="H28" s="232"/>
      <c r="I28" s="223"/>
      <c r="J28" s="224"/>
      <c r="K28" s="228"/>
      <c r="L28" s="209"/>
      <c r="M28" s="209"/>
      <c r="N28" s="229"/>
    </row>
    <row r="29" spans="1:14" ht="15.75" x14ac:dyDescent="0.25">
      <c r="A29" s="230" t="s">
        <v>654</v>
      </c>
      <c r="C29" s="206"/>
      <c r="D29" s="207"/>
      <c r="E29" s="208"/>
      <c r="F29" s="212"/>
      <c r="G29" s="222"/>
      <c r="H29" s="222"/>
      <c r="I29" s="223"/>
      <c r="J29" s="224"/>
      <c r="K29" s="206"/>
      <c r="L29" s="209"/>
      <c r="M29" s="209"/>
      <c r="N29" s="225"/>
    </row>
    <row r="30" spans="1:14" ht="15.75" x14ac:dyDescent="0.25">
      <c r="A30" s="230" t="s">
        <v>656</v>
      </c>
      <c r="C30" s="206"/>
      <c r="D30" s="207"/>
      <c r="E30" s="208"/>
      <c r="F30" s="212"/>
      <c r="G30" s="222"/>
      <c r="H30" s="222"/>
      <c r="I30" s="223"/>
      <c r="J30" s="224"/>
      <c r="K30" s="206"/>
      <c r="L30" s="209"/>
      <c r="M30" s="209"/>
      <c r="N30" s="225"/>
    </row>
    <row r="31" spans="1:14" ht="15.75" x14ac:dyDescent="0.25">
      <c r="A31" s="230" t="s">
        <v>658</v>
      </c>
      <c r="C31" s="206"/>
      <c r="D31" s="207"/>
      <c r="E31" s="206"/>
      <c r="F31" s="212"/>
      <c r="G31" s="222"/>
      <c r="H31" s="222"/>
      <c r="I31" s="223"/>
      <c r="J31" s="224"/>
      <c r="K31" s="228"/>
      <c r="L31" s="209"/>
      <c r="M31" s="209"/>
      <c r="N31" s="229"/>
    </row>
    <row r="32" spans="1:14" ht="15.75" x14ac:dyDescent="0.25">
      <c r="A32" s="230" t="s">
        <v>660</v>
      </c>
      <c r="C32" s="206"/>
      <c r="D32" s="207"/>
      <c r="E32" s="208"/>
      <c r="F32" s="212"/>
      <c r="G32" s="222"/>
      <c r="H32" s="222"/>
      <c r="I32" s="223"/>
      <c r="J32" s="224"/>
      <c r="K32" s="206"/>
      <c r="L32" s="209"/>
      <c r="M32" s="209"/>
      <c r="N32" s="225"/>
    </row>
    <row r="33" spans="1:14" ht="15.75" x14ac:dyDescent="0.25">
      <c r="A33" s="230" t="s">
        <v>753</v>
      </c>
      <c r="C33" s="206"/>
      <c r="D33" s="207"/>
      <c r="E33" s="208"/>
      <c r="F33" s="212"/>
      <c r="G33" s="222"/>
      <c r="H33" s="222"/>
      <c r="I33" s="223"/>
      <c r="J33" s="224"/>
      <c r="K33" s="228"/>
      <c r="L33" s="209"/>
      <c r="M33" s="209"/>
      <c r="N33" s="229"/>
    </row>
    <row r="34" spans="1:14" ht="15.75" x14ac:dyDescent="0.25">
      <c r="A34" s="230" t="s">
        <v>663</v>
      </c>
      <c r="C34" s="206"/>
      <c r="D34" s="207"/>
      <c r="E34" s="208"/>
      <c r="F34" s="212"/>
      <c r="G34" s="233"/>
      <c r="H34" s="233"/>
      <c r="I34" s="223"/>
      <c r="J34" s="224"/>
      <c r="K34" s="228"/>
      <c r="L34" s="210"/>
      <c r="M34" s="210"/>
      <c r="N34" s="229"/>
    </row>
    <row r="35" spans="1:14" ht="15.75" x14ac:dyDescent="0.25">
      <c r="A35" s="230" t="s">
        <v>665</v>
      </c>
      <c r="C35" s="206"/>
      <c r="D35" s="207"/>
      <c r="E35" s="208"/>
      <c r="F35" s="212"/>
      <c r="G35" s="222"/>
      <c r="H35" s="222"/>
      <c r="I35" s="223"/>
      <c r="J35" s="224"/>
      <c r="K35" s="206"/>
      <c r="L35" s="209"/>
      <c r="M35" s="209"/>
      <c r="N35" s="225"/>
    </row>
    <row r="36" spans="1:14" ht="15.75" x14ac:dyDescent="0.25">
      <c r="A36" s="230" t="s">
        <v>667</v>
      </c>
      <c r="C36" s="206"/>
      <c r="D36" s="207"/>
      <c r="E36" s="206"/>
      <c r="F36" s="212"/>
      <c r="G36" s="222"/>
      <c r="H36" s="222"/>
      <c r="I36" s="223"/>
      <c r="J36" s="224"/>
      <c r="K36" s="228"/>
      <c r="L36" s="209"/>
      <c r="M36" s="209"/>
      <c r="N36" s="229"/>
    </row>
    <row r="37" spans="1:14" ht="15.75" x14ac:dyDescent="0.25">
      <c r="A37" s="230" t="s">
        <v>669</v>
      </c>
      <c r="C37" s="206"/>
      <c r="D37" s="207"/>
      <c r="E37" s="208"/>
      <c r="F37" s="212"/>
      <c r="G37" s="222"/>
      <c r="H37" s="222"/>
      <c r="I37" s="223"/>
      <c r="J37" s="224"/>
      <c r="K37" s="206"/>
      <c r="L37" s="209"/>
      <c r="M37" s="209"/>
      <c r="N37" s="225"/>
    </row>
    <row r="38" spans="1:14" ht="15.75" x14ac:dyDescent="0.25">
      <c r="A38" s="230" t="s">
        <v>671</v>
      </c>
      <c r="C38" s="206"/>
      <c r="D38" s="207"/>
      <c r="E38" s="208"/>
      <c r="F38" s="212"/>
      <c r="G38" s="222"/>
      <c r="H38" s="222"/>
      <c r="I38" s="223"/>
      <c r="J38" s="224"/>
      <c r="K38" s="206"/>
      <c r="L38" s="209"/>
      <c r="M38" s="209"/>
      <c r="N38" s="225"/>
    </row>
    <row r="39" spans="1:14" ht="15.75" x14ac:dyDescent="0.25">
      <c r="A39" s="230" t="s">
        <v>673</v>
      </c>
      <c r="C39" s="206"/>
      <c r="D39" s="207"/>
      <c r="E39" s="208"/>
      <c r="F39" s="212"/>
      <c r="G39" s="233"/>
      <c r="H39" s="233"/>
      <c r="I39" s="223"/>
      <c r="J39" s="224"/>
      <c r="K39" s="206"/>
      <c r="L39" s="210"/>
      <c r="M39" s="210"/>
      <c r="N39" s="225"/>
    </row>
    <row r="40" spans="1:14" ht="15.75" x14ac:dyDescent="0.25">
      <c r="A40" s="230" t="s">
        <v>675</v>
      </c>
      <c r="C40" s="206"/>
      <c r="D40" s="207"/>
      <c r="E40" s="208"/>
      <c r="F40" s="212"/>
      <c r="G40" s="222"/>
      <c r="H40" s="222"/>
      <c r="I40" s="223"/>
      <c r="J40" s="224"/>
      <c r="K40" s="206"/>
      <c r="L40" s="209"/>
      <c r="M40" s="209"/>
      <c r="N40" s="225"/>
    </row>
    <row r="41" spans="1:14" ht="15.75" x14ac:dyDescent="0.25">
      <c r="A41" s="230" t="s">
        <v>677</v>
      </c>
      <c r="C41" s="206"/>
      <c r="D41" s="207"/>
      <c r="E41" s="208"/>
      <c r="F41" s="212"/>
      <c r="G41" s="222"/>
      <c r="H41" s="222"/>
      <c r="I41" s="223"/>
      <c r="J41" s="224"/>
      <c r="K41" s="228"/>
      <c r="L41" s="209"/>
      <c r="M41" s="209"/>
      <c r="N41" s="229"/>
    </row>
    <row r="42" spans="1:14" ht="15.75" x14ac:dyDescent="0.25">
      <c r="A42" s="230" t="s">
        <v>679</v>
      </c>
      <c r="C42" s="206"/>
      <c r="D42" s="207"/>
      <c r="E42" s="208"/>
      <c r="F42" s="212"/>
      <c r="G42" s="222"/>
      <c r="H42" s="222"/>
      <c r="I42" s="223"/>
      <c r="J42" s="224"/>
      <c r="K42" s="228"/>
      <c r="L42" s="209"/>
      <c r="M42" s="209"/>
      <c r="N42" s="229"/>
    </row>
    <row r="43" spans="1:14" ht="15.75" x14ac:dyDescent="0.25">
      <c r="A43" s="230" t="s">
        <v>681</v>
      </c>
      <c r="C43" s="206"/>
      <c r="D43" s="207"/>
      <c r="E43" s="208"/>
      <c r="F43" s="212"/>
      <c r="G43" s="222"/>
      <c r="H43" s="222"/>
      <c r="I43" s="223"/>
      <c r="J43" s="224"/>
      <c r="K43" s="206"/>
      <c r="L43" s="209"/>
      <c r="M43" s="209"/>
      <c r="N43" s="225"/>
    </row>
    <row r="44" spans="1:14" ht="15.75" x14ac:dyDescent="0.25">
      <c r="A44" s="230" t="s">
        <v>683</v>
      </c>
      <c r="C44" s="206"/>
      <c r="D44" s="207"/>
      <c r="E44" s="206"/>
      <c r="F44" s="212"/>
      <c r="G44" s="222"/>
      <c r="H44" s="222"/>
      <c r="I44" s="223"/>
      <c r="J44" s="224"/>
      <c r="K44" s="228"/>
      <c r="L44" s="209"/>
      <c r="M44" s="209"/>
      <c r="N44" s="229"/>
    </row>
    <row r="45" spans="1:14" ht="15.75" x14ac:dyDescent="0.25">
      <c r="A45" s="230" t="s">
        <v>685</v>
      </c>
      <c r="C45" s="206"/>
      <c r="D45" s="207"/>
      <c r="E45" s="208"/>
      <c r="F45" s="212"/>
      <c r="G45" s="222"/>
      <c r="H45" s="222"/>
      <c r="I45" s="223"/>
      <c r="J45" s="224"/>
      <c r="K45" s="206"/>
      <c r="L45" s="209"/>
      <c r="M45" s="209"/>
      <c r="N45" s="225"/>
    </row>
    <row r="46" spans="1:14" ht="15.75" x14ac:dyDescent="0.25">
      <c r="A46" s="230" t="s">
        <v>687</v>
      </c>
      <c r="C46" s="206"/>
      <c r="D46" s="207"/>
      <c r="E46" s="208"/>
      <c r="F46" s="212"/>
      <c r="G46" s="222"/>
      <c r="H46" s="222"/>
      <c r="I46" s="223"/>
      <c r="J46" s="224"/>
      <c r="K46" s="206"/>
      <c r="L46" s="209"/>
      <c r="M46" s="209"/>
      <c r="N46" s="225"/>
    </row>
    <row r="47" spans="1:14" ht="15.75" x14ac:dyDescent="0.25">
      <c r="A47" s="230" t="s">
        <v>689</v>
      </c>
      <c r="C47" s="206"/>
      <c r="D47" s="207"/>
      <c r="E47" s="208"/>
      <c r="F47" s="212"/>
      <c r="G47" s="222"/>
      <c r="H47" s="222"/>
      <c r="I47" s="223"/>
      <c r="J47" s="224"/>
      <c r="K47" s="206"/>
      <c r="L47" s="209"/>
      <c r="M47" s="209"/>
      <c r="N47" s="225"/>
    </row>
    <row r="48" spans="1:14" ht="15.75" x14ac:dyDescent="0.25">
      <c r="A48" s="230" t="s">
        <v>691</v>
      </c>
      <c r="C48" s="206"/>
      <c r="D48" s="207"/>
      <c r="E48" s="208"/>
      <c r="F48" s="212"/>
      <c r="G48" s="222"/>
      <c r="H48" s="222"/>
      <c r="I48" s="223"/>
      <c r="J48" s="224"/>
      <c r="K48" s="206"/>
      <c r="L48" s="209"/>
      <c r="M48" s="209"/>
      <c r="N48" s="225"/>
    </row>
    <row r="49" spans="1:14" ht="15.75" x14ac:dyDescent="0.25">
      <c r="A49" s="230" t="s">
        <v>693</v>
      </c>
      <c r="C49" s="206"/>
      <c r="D49" s="207"/>
      <c r="E49" s="208"/>
      <c r="F49" s="212"/>
      <c r="G49" s="222"/>
      <c r="H49" s="222"/>
      <c r="I49" s="223"/>
      <c r="J49" s="224"/>
      <c r="K49" s="228"/>
      <c r="L49" s="211"/>
      <c r="M49" s="211"/>
      <c r="N49" s="229"/>
    </row>
    <row r="50" spans="1:14" ht="15.75" x14ac:dyDescent="0.25">
      <c r="A50" s="230" t="s">
        <v>695</v>
      </c>
      <c r="C50" s="206"/>
      <c r="D50" s="207"/>
      <c r="E50" s="208"/>
      <c r="F50" s="212"/>
      <c r="G50" s="222"/>
      <c r="H50" s="222"/>
      <c r="I50" s="223"/>
      <c r="J50" s="224"/>
      <c r="K50" s="206"/>
      <c r="L50" s="209"/>
      <c r="M50" s="209"/>
      <c r="N50" s="225"/>
    </row>
    <row r="51" spans="1:14" ht="15.75" x14ac:dyDescent="0.25">
      <c r="A51" s="230" t="s">
        <v>697</v>
      </c>
      <c r="C51" s="206"/>
      <c r="D51" s="207"/>
      <c r="E51" s="208"/>
      <c r="F51" s="212"/>
      <c r="G51" s="222"/>
      <c r="H51" s="222"/>
      <c r="I51" s="223"/>
      <c r="J51" s="224"/>
      <c r="K51" s="206"/>
      <c r="L51" s="209"/>
      <c r="M51" s="209"/>
      <c r="N51" s="225"/>
    </row>
    <row r="52" spans="1:14" ht="15.75" x14ac:dyDescent="0.25">
      <c r="A52" s="230" t="s">
        <v>699</v>
      </c>
      <c r="C52" s="206"/>
      <c r="D52" s="207"/>
      <c r="E52" s="208"/>
      <c r="F52" s="212"/>
      <c r="G52" s="222"/>
      <c r="H52" s="222"/>
      <c r="I52" s="223"/>
      <c r="J52" s="224"/>
      <c r="K52" s="206"/>
      <c r="L52" s="209"/>
      <c r="M52" s="209"/>
      <c r="N52" s="225"/>
    </row>
    <row r="53" spans="1:14" ht="15.75" x14ac:dyDescent="0.25">
      <c r="A53" s="230" t="s">
        <v>701</v>
      </c>
      <c r="C53" s="206"/>
      <c r="D53" s="207"/>
      <c r="E53" s="208"/>
      <c r="F53" s="212"/>
      <c r="G53" s="222"/>
      <c r="H53" s="222"/>
      <c r="I53" s="223"/>
      <c r="J53" s="224"/>
      <c r="K53" s="206"/>
      <c r="L53" s="209"/>
      <c r="M53" s="209"/>
      <c r="N53" s="225"/>
    </row>
    <row r="54" spans="1:14" ht="15.75" x14ac:dyDescent="0.25">
      <c r="A54" s="230" t="s">
        <v>703</v>
      </c>
      <c r="C54" s="206"/>
      <c r="D54" s="207"/>
      <c r="E54" s="208"/>
      <c r="F54" s="212"/>
      <c r="G54" s="222"/>
      <c r="H54" s="222"/>
      <c r="I54" s="223"/>
      <c r="J54" s="224"/>
      <c r="K54" s="228"/>
      <c r="L54" s="209"/>
      <c r="M54" s="209"/>
      <c r="N54" s="229"/>
    </row>
    <row r="55" spans="1:14" ht="15.75" x14ac:dyDescent="0.25">
      <c r="A55" s="230" t="s">
        <v>515</v>
      </c>
      <c r="C55" s="206"/>
      <c r="D55" s="207"/>
      <c r="E55" s="208"/>
      <c r="F55" s="212"/>
      <c r="G55" s="222"/>
      <c r="H55" s="222"/>
      <c r="I55" s="223"/>
      <c r="J55" s="224"/>
      <c r="K55" s="228"/>
      <c r="L55" s="209"/>
      <c r="M55" s="209"/>
      <c r="N55" s="229"/>
    </row>
    <row r="56" spans="1:14" ht="15.75" x14ac:dyDescent="0.25">
      <c r="A56" s="230" t="s">
        <v>706</v>
      </c>
      <c r="C56" s="206"/>
      <c r="D56" s="207"/>
      <c r="E56" s="208"/>
      <c r="F56" s="212"/>
      <c r="G56" s="233"/>
      <c r="H56" s="233"/>
      <c r="I56" s="223"/>
      <c r="J56" s="224"/>
      <c r="K56" s="206"/>
      <c r="L56" s="210"/>
      <c r="M56" s="210"/>
      <c r="N56" s="225"/>
    </row>
    <row r="57" spans="1:14" ht="15.75" x14ac:dyDescent="0.25">
      <c r="A57" s="230" t="s">
        <v>708</v>
      </c>
      <c r="C57" s="206"/>
      <c r="D57" s="207"/>
      <c r="E57" s="208"/>
      <c r="F57" s="212"/>
      <c r="G57" s="222"/>
      <c r="H57" s="222"/>
      <c r="I57" s="223"/>
      <c r="J57" s="224"/>
      <c r="K57" s="206"/>
      <c r="L57" s="209"/>
      <c r="M57" s="209"/>
      <c r="N57" s="225"/>
    </row>
    <row r="58" spans="1:14" ht="15.75" x14ac:dyDescent="0.25">
      <c r="A58" s="230" t="s">
        <v>710</v>
      </c>
      <c r="C58" s="206"/>
      <c r="D58" s="207"/>
      <c r="E58" s="208"/>
      <c r="F58" s="212"/>
      <c r="G58" s="222"/>
      <c r="H58" s="222"/>
      <c r="I58" s="223"/>
      <c r="J58" s="224"/>
      <c r="K58" s="206"/>
      <c r="L58" s="209"/>
      <c r="M58" s="209"/>
      <c r="N58" s="225"/>
    </row>
    <row r="59" spans="1:14" ht="15.75" x14ac:dyDescent="0.25">
      <c r="A59" s="230" t="s">
        <v>712</v>
      </c>
      <c r="C59" s="206"/>
      <c r="D59" s="207"/>
      <c r="E59" s="208"/>
      <c r="F59" s="212"/>
      <c r="G59" s="222"/>
      <c r="H59" s="222"/>
      <c r="I59" s="223"/>
      <c r="J59" s="224"/>
      <c r="K59" s="206"/>
      <c r="L59" s="209"/>
      <c r="M59" s="209"/>
      <c r="N59" s="225"/>
    </row>
    <row r="60" spans="1:14" ht="15.75" x14ac:dyDescent="0.25">
      <c r="A60" s="230" t="s">
        <v>714</v>
      </c>
      <c r="C60" s="206"/>
      <c r="D60" s="207"/>
      <c r="E60" s="208"/>
      <c r="F60" s="212"/>
      <c r="G60" s="222"/>
      <c r="H60" s="222"/>
      <c r="I60" s="223"/>
      <c r="J60" s="224"/>
      <c r="K60" s="206"/>
      <c r="L60" s="209"/>
      <c r="M60" s="209"/>
      <c r="N60" s="225"/>
    </row>
    <row r="61" spans="1:14" ht="15.75" x14ac:dyDescent="0.25">
      <c r="A61" s="230" t="s">
        <v>716</v>
      </c>
      <c r="C61" s="206"/>
      <c r="D61" s="207"/>
      <c r="E61" s="206"/>
      <c r="F61" s="212"/>
      <c r="G61" s="222"/>
      <c r="H61" s="222"/>
      <c r="I61" s="223"/>
      <c r="J61" s="224"/>
      <c r="K61" s="228"/>
      <c r="L61" s="209"/>
      <c r="M61" s="209"/>
      <c r="N61" s="225"/>
    </row>
    <row r="62" spans="1:14" ht="15.75" x14ac:dyDescent="0.25">
      <c r="A62" s="230" t="s">
        <v>1</v>
      </c>
      <c r="C62" s="206"/>
      <c r="D62" s="207"/>
      <c r="E62" s="208"/>
      <c r="F62" s="212"/>
      <c r="G62" s="222"/>
      <c r="H62" s="222"/>
      <c r="I62" s="223"/>
      <c r="J62" s="224"/>
      <c r="K62" s="206"/>
      <c r="L62" s="209"/>
      <c r="M62" s="209"/>
      <c r="N62" s="225"/>
    </row>
    <row r="63" spans="1:14" ht="15.75" x14ac:dyDescent="0.25">
      <c r="A63" s="230" t="s">
        <v>3</v>
      </c>
      <c r="C63" s="206"/>
      <c r="D63" s="207"/>
      <c r="E63" s="208"/>
      <c r="F63" s="212"/>
      <c r="G63" s="222"/>
      <c r="H63" s="222"/>
      <c r="I63" s="223"/>
      <c r="J63" s="224"/>
      <c r="K63" s="206"/>
      <c r="L63" s="209"/>
      <c r="M63" s="209"/>
      <c r="N63" s="225"/>
    </row>
    <row r="64" spans="1:14" ht="15.75" x14ac:dyDescent="0.25">
      <c r="A64" s="230" t="s">
        <v>5</v>
      </c>
      <c r="C64" s="206"/>
      <c r="D64" s="207"/>
      <c r="E64" s="208"/>
      <c r="F64" s="212"/>
      <c r="G64" s="222"/>
      <c r="H64" s="222"/>
      <c r="I64" s="223"/>
      <c r="J64" s="224"/>
      <c r="K64" s="206"/>
      <c r="L64" s="209"/>
      <c r="M64" s="209"/>
      <c r="N64" s="225"/>
    </row>
    <row r="65" spans="1:14" ht="15.75" x14ac:dyDescent="0.25">
      <c r="A65" s="230" t="s">
        <v>7</v>
      </c>
      <c r="C65" s="206"/>
      <c r="D65" s="207"/>
      <c r="E65" s="208"/>
      <c r="F65" s="212"/>
      <c r="G65" s="233"/>
      <c r="H65" s="233"/>
      <c r="I65" s="223"/>
      <c r="J65" s="224"/>
      <c r="K65" s="228"/>
      <c r="L65" s="210"/>
      <c r="M65" s="210"/>
      <c r="N65" s="229"/>
    </row>
    <row r="66" spans="1:14" ht="15.75" x14ac:dyDescent="0.25">
      <c r="A66" s="230" t="s">
        <v>9</v>
      </c>
      <c r="C66" s="206"/>
      <c r="D66" s="207"/>
      <c r="E66" s="208"/>
      <c r="F66" s="212"/>
      <c r="G66" s="222"/>
      <c r="H66" s="222"/>
      <c r="I66" s="223"/>
      <c r="J66" s="224"/>
      <c r="K66" s="206"/>
      <c r="L66" s="209"/>
      <c r="M66" s="209"/>
      <c r="N66" s="225"/>
    </row>
    <row r="67" spans="1:14" ht="15.75" x14ac:dyDescent="0.25">
      <c r="A67" s="230" t="s">
        <v>11</v>
      </c>
      <c r="C67" s="206"/>
      <c r="D67" s="207"/>
      <c r="E67" s="208"/>
      <c r="F67" s="231"/>
      <c r="G67" s="232"/>
      <c r="H67" s="232"/>
      <c r="I67" s="223"/>
      <c r="J67" s="224"/>
      <c r="K67" s="228"/>
      <c r="L67" s="209"/>
      <c r="M67" s="209"/>
      <c r="N67" s="229"/>
    </row>
    <row r="68" spans="1:14" ht="15.75" x14ac:dyDescent="0.25">
      <c r="A68" s="230" t="s">
        <v>13</v>
      </c>
      <c r="C68" s="206"/>
      <c r="D68" s="207"/>
      <c r="E68" s="208"/>
      <c r="F68" s="212"/>
      <c r="G68" s="222"/>
      <c r="H68" s="222"/>
      <c r="I68" s="223"/>
      <c r="J68" s="224"/>
      <c r="K68" s="206"/>
      <c r="L68" s="209"/>
      <c r="M68" s="209"/>
      <c r="N68" s="225"/>
    </row>
    <row r="69" spans="1:14" ht="15.75" x14ac:dyDescent="0.25">
      <c r="A69" s="230" t="s">
        <v>15</v>
      </c>
      <c r="C69" s="206"/>
      <c r="D69" s="207"/>
      <c r="E69" s="208"/>
      <c r="F69" s="212"/>
      <c r="G69" s="222"/>
      <c r="H69" s="222"/>
      <c r="I69" s="223"/>
      <c r="J69" s="224"/>
      <c r="K69" s="206"/>
      <c r="L69" s="209"/>
      <c r="M69" s="209"/>
      <c r="N69" s="225"/>
    </row>
    <row r="70" spans="1:14" ht="15.75" x14ac:dyDescent="0.25">
      <c r="A70" s="230" t="s">
        <v>17</v>
      </c>
      <c r="C70" s="206"/>
      <c r="D70" s="207"/>
      <c r="E70" s="206"/>
      <c r="F70" s="212"/>
      <c r="G70" s="222"/>
      <c r="H70" s="222"/>
      <c r="I70" s="223"/>
      <c r="J70" s="224"/>
      <c r="K70" s="228"/>
      <c r="L70" s="209"/>
      <c r="M70" s="209"/>
      <c r="N70" s="229"/>
    </row>
    <row r="71" spans="1:14" ht="15.75" x14ac:dyDescent="0.25">
      <c r="A71" s="230" t="s">
        <v>19</v>
      </c>
      <c r="C71" s="206"/>
      <c r="D71" s="207"/>
      <c r="E71" s="208"/>
      <c r="F71" s="212"/>
      <c r="G71" s="222"/>
      <c r="H71" s="222"/>
      <c r="I71" s="223"/>
      <c r="J71" s="224"/>
      <c r="K71" s="206"/>
      <c r="L71" s="209"/>
      <c r="M71" s="209"/>
      <c r="N71" s="225"/>
    </row>
    <row r="72" spans="1:14" ht="15.75" x14ac:dyDescent="0.25">
      <c r="A72" s="230" t="s">
        <v>527</v>
      </c>
      <c r="C72" s="206"/>
      <c r="D72" s="207"/>
      <c r="E72" s="208"/>
      <c r="F72" s="212"/>
      <c r="G72" s="222"/>
      <c r="H72" s="222"/>
      <c r="I72" s="223"/>
      <c r="J72" s="224"/>
      <c r="K72" s="228"/>
      <c r="L72" s="209"/>
      <c r="M72" s="209"/>
      <c r="N72" s="229"/>
    </row>
    <row r="73" spans="1:14" ht="15.75" x14ac:dyDescent="0.25">
      <c r="A73" s="230" t="s">
        <v>23</v>
      </c>
      <c r="C73" s="206"/>
      <c r="D73" s="207"/>
      <c r="E73" s="208"/>
      <c r="F73" s="212"/>
      <c r="G73" s="222"/>
      <c r="H73" s="222"/>
      <c r="I73" s="223"/>
      <c r="J73" s="224"/>
      <c r="K73" s="206"/>
      <c r="L73" s="209"/>
      <c r="M73" s="209"/>
      <c r="N73" s="225"/>
    </row>
    <row r="74" spans="1:14" ht="15.75" x14ac:dyDescent="0.25">
      <c r="A74" s="230" t="s">
        <v>25</v>
      </c>
      <c r="C74" s="206"/>
      <c r="D74" s="207"/>
      <c r="E74" s="208"/>
      <c r="F74" s="212"/>
      <c r="G74" s="222"/>
      <c r="H74" s="222"/>
      <c r="I74" s="223"/>
      <c r="J74" s="224"/>
      <c r="K74" s="206"/>
      <c r="L74" s="209"/>
      <c r="M74" s="209"/>
      <c r="N74" s="225"/>
    </row>
    <row r="75" spans="1:14" ht="15.75" x14ac:dyDescent="0.25">
      <c r="A75" s="230" t="s">
        <v>520</v>
      </c>
      <c r="C75" s="206"/>
      <c r="D75" s="207"/>
      <c r="E75" s="208"/>
      <c r="F75" s="212"/>
      <c r="G75" s="233"/>
      <c r="H75" s="222"/>
      <c r="I75" s="223"/>
      <c r="J75" s="224"/>
      <c r="K75" s="228"/>
      <c r="L75" s="210"/>
      <c r="M75" s="209"/>
      <c r="N75" s="229"/>
    </row>
    <row r="76" spans="1:14" ht="15.75" x14ac:dyDescent="0.25">
      <c r="A76" s="230" t="s">
        <v>28</v>
      </c>
      <c r="C76" s="206"/>
      <c r="D76" s="207"/>
      <c r="E76" s="208"/>
      <c r="F76" s="212"/>
      <c r="G76" s="222"/>
      <c r="H76" s="222"/>
      <c r="I76" s="223"/>
      <c r="J76" s="224"/>
      <c r="K76" s="206"/>
      <c r="L76" s="209"/>
      <c r="M76" s="209"/>
      <c r="N76" s="225"/>
    </row>
    <row r="77" spans="1:14" ht="15.75" x14ac:dyDescent="0.25">
      <c r="A77" s="230" t="s">
        <v>30</v>
      </c>
      <c r="C77" s="206"/>
      <c r="D77" s="207"/>
      <c r="E77" s="208"/>
      <c r="F77" s="231"/>
      <c r="G77" s="232"/>
      <c r="H77" s="232"/>
      <c r="I77" s="223"/>
      <c r="J77" s="224"/>
      <c r="K77" s="228"/>
      <c r="L77" s="209"/>
      <c r="M77" s="209"/>
      <c r="N77" s="229"/>
    </row>
    <row r="78" spans="1:14" ht="15.75" x14ac:dyDescent="0.25">
      <c r="A78" s="230" t="s">
        <v>38</v>
      </c>
      <c r="C78" s="206"/>
      <c r="D78" s="207"/>
      <c r="E78" s="208"/>
      <c r="F78" s="212"/>
      <c r="G78" s="222"/>
      <c r="H78" s="222"/>
      <c r="I78" s="223"/>
      <c r="J78" s="224"/>
      <c r="K78" s="206"/>
      <c r="L78" s="209"/>
      <c r="M78" s="209"/>
      <c r="N78" s="225"/>
    </row>
    <row r="79" spans="1:14" ht="15.75" x14ac:dyDescent="0.25">
      <c r="A79" s="230" t="s">
        <v>40</v>
      </c>
      <c r="C79" s="206"/>
      <c r="D79" s="207"/>
      <c r="E79" s="208"/>
      <c r="F79" s="212"/>
      <c r="G79" s="222"/>
      <c r="H79" s="222"/>
      <c r="I79" s="223"/>
      <c r="J79" s="224"/>
      <c r="K79" s="228"/>
      <c r="L79" s="209"/>
      <c r="M79" s="209"/>
      <c r="N79" s="229"/>
    </row>
    <row r="80" spans="1:14" ht="15.75" x14ac:dyDescent="0.25">
      <c r="A80" s="230" t="s">
        <v>42</v>
      </c>
      <c r="C80" s="206"/>
      <c r="D80" s="207"/>
      <c r="E80" s="208"/>
      <c r="F80" s="212"/>
      <c r="G80" s="222"/>
      <c r="H80" s="222"/>
      <c r="I80" s="223"/>
      <c r="J80" s="224"/>
      <c r="K80" s="228"/>
      <c r="L80" s="209"/>
      <c r="M80" s="209"/>
      <c r="N80" s="229"/>
    </row>
    <row r="81" spans="1:14" ht="15.75" x14ac:dyDescent="0.25">
      <c r="A81" s="230" t="s">
        <v>44</v>
      </c>
      <c r="C81" s="206"/>
      <c r="D81" s="207"/>
      <c r="E81" s="206"/>
      <c r="F81" s="212"/>
      <c r="G81" s="222"/>
      <c r="H81" s="222"/>
      <c r="I81" s="223"/>
      <c r="J81" s="224"/>
      <c r="K81" s="228"/>
      <c r="L81" s="209"/>
      <c r="M81" s="209"/>
      <c r="N81" s="229"/>
    </row>
    <row r="82" spans="1:14" ht="15.75" x14ac:dyDescent="0.25">
      <c r="A82" s="230" t="s">
        <v>46</v>
      </c>
      <c r="C82" s="206"/>
      <c r="D82" s="207"/>
      <c r="E82" s="208"/>
      <c r="F82" s="212"/>
      <c r="G82" s="222"/>
      <c r="H82" s="222"/>
      <c r="I82" s="223"/>
      <c r="J82" s="224"/>
      <c r="K82" s="206"/>
      <c r="L82" s="209"/>
      <c r="M82" s="209"/>
      <c r="N82" s="225"/>
    </row>
    <row r="83" spans="1:14" ht="15.75" x14ac:dyDescent="0.25">
      <c r="A83" s="230" t="s">
        <v>48</v>
      </c>
      <c r="C83" s="206"/>
      <c r="D83" s="207"/>
      <c r="E83" s="213"/>
      <c r="F83" s="212"/>
      <c r="G83" s="222"/>
      <c r="H83" s="222"/>
      <c r="I83" s="223"/>
      <c r="J83" s="224"/>
      <c r="K83" s="206"/>
      <c r="L83" s="209"/>
      <c r="M83" s="209"/>
      <c r="N83" s="225"/>
    </row>
    <row r="84" spans="1:14" ht="15.75" x14ac:dyDescent="0.25">
      <c r="A84" s="230" t="s">
        <v>50</v>
      </c>
      <c r="C84" s="206"/>
      <c r="D84" s="207"/>
      <c r="E84" s="208"/>
      <c r="F84" s="212"/>
      <c r="G84" s="222"/>
      <c r="H84" s="222"/>
      <c r="I84" s="223"/>
      <c r="J84" s="224"/>
      <c r="K84" s="206"/>
      <c r="L84" s="209"/>
      <c r="M84" s="209"/>
      <c r="N84" s="225"/>
    </row>
    <row r="85" spans="1:14" ht="15.75" x14ac:dyDescent="0.25">
      <c r="A85" s="230" t="s">
        <v>52</v>
      </c>
      <c r="C85" s="206"/>
      <c r="D85" s="207"/>
      <c r="E85" s="208"/>
      <c r="F85" s="212"/>
      <c r="G85" s="222"/>
      <c r="H85" s="222"/>
      <c r="I85" s="223"/>
      <c r="J85" s="224"/>
      <c r="K85" s="206"/>
      <c r="L85" s="209"/>
      <c r="M85" s="209"/>
      <c r="N85" s="225"/>
    </row>
    <row r="86" spans="1:14" ht="15.75" x14ac:dyDescent="0.25">
      <c r="A86" s="230" t="s">
        <v>54</v>
      </c>
      <c r="C86" s="206"/>
      <c r="D86" s="207"/>
      <c r="E86" s="208"/>
      <c r="F86" s="212"/>
      <c r="G86" s="222"/>
      <c r="H86" s="222"/>
      <c r="I86" s="223"/>
      <c r="J86" s="224"/>
      <c r="K86" s="206"/>
      <c r="L86" s="209"/>
      <c r="M86" s="209"/>
      <c r="N86" s="225"/>
    </row>
    <row r="87" spans="1:14" ht="15.75" x14ac:dyDescent="0.25">
      <c r="A87" s="230" t="s">
        <v>56</v>
      </c>
      <c r="C87" s="206"/>
      <c r="D87" s="207"/>
      <c r="E87" s="208"/>
      <c r="F87" s="212"/>
      <c r="G87" s="222"/>
      <c r="H87" s="222"/>
      <c r="I87" s="223"/>
      <c r="J87" s="224"/>
      <c r="K87" s="206"/>
      <c r="L87" s="209"/>
      <c r="M87" s="209"/>
      <c r="N87" s="225"/>
    </row>
    <row r="88" spans="1:14" ht="15.75" x14ac:dyDescent="0.25">
      <c r="A88" s="230" t="s">
        <v>58</v>
      </c>
      <c r="C88" s="206"/>
      <c r="D88" s="207"/>
      <c r="E88" s="208"/>
      <c r="F88" s="212"/>
      <c r="G88" s="222"/>
      <c r="H88" s="222"/>
      <c r="I88" s="223"/>
      <c r="J88" s="224"/>
      <c r="K88" s="206"/>
      <c r="L88" s="209"/>
      <c r="M88" s="209"/>
      <c r="N88" s="225"/>
    </row>
    <row r="89" spans="1:14" ht="15.75" x14ac:dyDescent="0.25">
      <c r="A89" s="230" t="s">
        <v>533</v>
      </c>
      <c r="C89" s="206"/>
      <c r="D89" s="207"/>
      <c r="E89" s="208"/>
      <c r="F89" s="212"/>
      <c r="G89" s="233"/>
      <c r="H89" s="233"/>
      <c r="I89" s="223"/>
      <c r="J89" s="224"/>
      <c r="K89" s="228"/>
      <c r="L89" s="210"/>
      <c r="M89" s="210"/>
      <c r="N89" s="229"/>
    </row>
    <row r="90" spans="1:14" ht="15.75" x14ac:dyDescent="0.25">
      <c r="A90" s="230" t="s">
        <v>61</v>
      </c>
      <c r="C90" s="206"/>
      <c r="D90" s="207"/>
      <c r="E90" s="208"/>
      <c r="F90" s="212"/>
      <c r="G90" s="222"/>
      <c r="H90" s="222"/>
      <c r="I90" s="223"/>
      <c r="J90" s="224"/>
      <c r="K90" s="206"/>
      <c r="L90" s="209"/>
      <c r="M90" s="209"/>
      <c r="N90" s="225"/>
    </row>
    <row r="91" spans="1:14" ht="15.75" x14ac:dyDescent="0.25">
      <c r="A91" s="230" t="s">
        <v>63</v>
      </c>
      <c r="C91" s="206"/>
      <c r="D91" s="207"/>
      <c r="E91" s="208"/>
      <c r="F91" s="212"/>
      <c r="G91" s="222"/>
      <c r="H91" s="222"/>
      <c r="I91" s="223"/>
      <c r="J91" s="224"/>
      <c r="K91" s="206"/>
      <c r="L91" s="209"/>
      <c r="M91" s="209"/>
      <c r="N91" s="225"/>
    </row>
    <row r="92" spans="1:14" ht="15.75" x14ac:dyDescent="0.25">
      <c r="A92" s="230" t="s">
        <v>65</v>
      </c>
      <c r="C92" s="206"/>
      <c r="D92" s="207"/>
      <c r="E92" s="208"/>
      <c r="F92" s="212"/>
      <c r="G92" s="222"/>
      <c r="H92" s="222"/>
      <c r="I92" s="223"/>
      <c r="J92" s="224"/>
      <c r="K92" s="206"/>
      <c r="L92" s="209"/>
      <c r="M92" s="209"/>
      <c r="N92" s="225"/>
    </row>
    <row r="93" spans="1:14" ht="15.75" x14ac:dyDescent="0.25">
      <c r="A93" s="230" t="s">
        <v>67</v>
      </c>
      <c r="C93" s="206"/>
      <c r="D93" s="207"/>
      <c r="E93" s="208"/>
      <c r="F93" s="212"/>
      <c r="G93" s="222"/>
      <c r="H93" s="222"/>
      <c r="I93" s="223"/>
      <c r="J93" s="224"/>
      <c r="K93" s="206"/>
      <c r="L93" s="209"/>
      <c r="M93" s="209"/>
      <c r="N93" s="225"/>
    </row>
    <row r="94" spans="1:14" ht="15.75" x14ac:dyDescent="0.25">
      <c r="A94" s="230" t="s">
        <v>69</v>
      </c>
      <c r="C94" s="206"/>
      <c r="D94" s="207"/>
      <c r="E94" s="208"/>
      <c r="F94" s="231"/>
      <c r="G94" s="232"/>
      <c r="H94" s="232"/>
      <c r="I94" s="223"/>
      <c r="J94" s="224"/>
      <c r="K94" s="206"/>
      <c r="L94" s="209"/>
      <c r="M94" s="209"/>
      <c r="N94" s="225"/>
    </row>
    <row r="95" spans="1:14" ht="15.75" x14ac:dyDescent="0.25">
      <c r="A95" s="230" t="s">
        <v>71</v>
      </c>
      <c r="C95" s="206"/>
      <c r="D95" s="207"/>
      <c r="E95" s="206"/>
      <c r="F95" s="212"/>
      <c r="G95" s="222"/>
      <c r="H95" s="222"/>
      <c r="I95" s="223"/>
      <c r="J95" s="224"/>
      <c r="K95" s="228"/>
      <c r="L95" s="209"/>
      <c r="M95" s="209"/>
      <c r="N95" s="229"/>
    </row>
    <row r="96" spans="1:14" ht="15.75" x14ac:dyDescent="0.25">
      <c r="A96" s="230" t="s">
        <v>73</v>
      </c>
      <c r="C96" s="206"/>
      <c r="D96" s="207"/>
      <c r="E96" s="208"/>
      <c r="F96" s="212"/>
      <c r="G96" s="222"/>
      <c r="H96" s="222"/>
      <c r="I96" s="223"/>
      <c r="J96" s="224"/>
      <c r="K96" s="206"/>
      <c r="L96" s="209"/>
      <c r="M96" s="209"/>
      <c r="N96" s="225"/>
    </row>
    <row r="97" spans="1:14" ht="15.75" x14ac:dyDescent="0.25">
      <c r="A97" s="230" t="s">
        <v>756</v>
      </c>
      <c r="C97" s="206"/>
      <c r="D97" s="207"/>
      <c r="E97" s="208"/>
      <c r="F97" s="212"/>
      <c r="G97" s="222"/>
      <c r="H97" s="222"/>
      <c r="I97" s="223"/>
      <c r="J97" s="224"/>
      <c r="K97" s="206"/>
      <c r="L97" s="209"/>
      <c r="M97" s="209"/>
      <c r="N97" s="225"/>
    </row>
    <row r="98" spans="1:14" ht="15.75" x14ac:dyDescent="0.25">
      <c r="A98" s="230" t="s">
        <v>76</v>
      </c>
      <c r="C98" s="206"/>
      <c r="D98" s="207"/>
      <c r="E98" s="208"/>
      <c r="F98" s="212"/>
      <c r="G98" s="222"/>
      <c r="H98" s="222"/>
      <c r="I98" s="223"/>
      <c r="J98" s="224"/>
      <c r="K98" s="206"/>
      <c r="L98" s="209"/>
      <c r="M98" s="209"/>
      <c r="N98" s="225"/>
    </row>
    <row r="99" spans="1:14" ht="15.75" x14ac:dyDescent="0.25">
      <c r="A99" s="230" t="s">
        <v>78</v>
      </c>
      <c r="C99" s="206"/>
      <c r="D99" s="207"/>
      <c r="E99" s="208"/>
      <c r="F99" s="212"/>
      <c r="G99" s="222"/>
      <c r="H99" s="222"/>
      <c r="I99" s="223"/>
      <c r="J99" s="224"/>
      <c r="K99" s="206"/>
      <c r="L99" s="209"/>
      <c r="M99" s="209"/>
      <c r="N99" s="225"/>
    </row>
    <row r="100" spans="1:14" ht="15.75" x14ac:dyDescent="0.25">
      <c r="A100" s="230" t="s">
        <v>80</v>
      </c>
      <c r="C100" s="206"/>
      <c r="D100" s="207"/>
      <c r="E100" s="208"/>
      <c r="F100" s="212"/>
      <c r="G100" s="233"/>
      <c r="H100" s="233"/>
      <c r="I100" s="223"/>
      <c r="J100" s="224"/>
      <c r="K100" s="206"/>
      <c r="L100" s="210"/>
      <c r="M100" s="210"/>
      <c r="N100" s="225"/>
    </row>
    <row r="101" spans="1:14" ht="15.75" x14ac:dyDescent="0.25">
      <c r="A101" s="230" t="s">
        <v>82</v>
      </c>
      <c r="C101" s="206"/>
      <c r="D101" s="207"/>
      <c r="E101" s="208"/>
      <c r="F101" s="212"/>
      <c r="G101" s="222"/>
      <c r="H101" s="222"/>
      <c r="I101" s="223"/>
      <c r="J101" s="224"/>
      <c r="K101" s="206"/>
      <c r="L101" s="209"/>
      <c r="M101" s="209"/>
      <c r="N101" s="225"/>
    </row>
    <row r="102" spans="1:14" ht="15.75" x14ac:dyDescent="0.25">
      <c r="A102" s="230" t="s">
        <v>84</v>
      </c>
      <c r="C102" s="206"/>
      <c r="D102" s="207"/>
      <c r="E102" s="208"/>
      <c r="F102" s="212"/>
      <c r="G102" s="222"/>
      <c r="H102" s="222"/>
      <c r="I102" s="223"/>
      <c r="J102" s="224"/>
      <c r="K102" s="206"/>
      <c r="L102" s="209"/>
      <c r="M102" s="209"/>
      <c r="N102" s="225"/>
    </row>
    <row r="103" spans="1:14" ht="15.75" x14ac:dyDescent="0.25">
      <c r="A103" s="230" t="s">
        <v>86</v>
      </c>
      <c r="C103" s="206"/>
      <c r="D103" s="207"/>
      <c r="E103" s="208"/>
      <c r="F103" s="212"/>
      <c r="G103" s="222"/>
      <c r="H103" s="222"/>
      <c r="I103" s="223"/>
      <c r="J103" s="224"/>
      <c r="K103" s="206"/>
      <c r="L103" s="209"/>
      <c r="M103" s="209"/>
      <c r="N103" s="225"/>
    </row>
    <row r="104" spans="1:14" ht="15.75" x14ac:dyDescent="0.25">
      <c r="A104" s="230" t="s">
        <v>88</v>
      </c>
      <c r="C104" s="206"/>
      <c r="D104" s="207"/>
      <c r="E104" s="208"/>
      <c r="F104" s="212"/>
      <c r="G104" s="233"/>
      <c r="H104" s="233"/>
      <c r="I104" s="223"/>
      <c r="J104" s="224"/>
      <c r="K104" s="206"/>
      <c r="L104" s="210"/>
      <c r="M104" s="210"/>
      <c r="N104" s="225"/>
    </row>
    <row r="105" spans="1:14" ht="15.75" x14ac:dyDescent="0.25">
      <c r="A105" s="230" t="s">
        <v>90</v>
      </c>
      <c r="C105" s="206"/>
      <c r="D105" s="207"/>
      <c r="E105" s="208"/>
      <c r="F105" s="212"/>
      <c r="G105" s="233"/>
      <c r="H105" s="233"/>
      <c r="I105" s="223"/>
      <c r="J105" s="224"/>
      <c r="K105" s="228"/>
      <c r="L105" s="210"/>
      <c r="M105" s="210"/>
      <c r="N105" s="229"/>
    </row>
    <row r="106" spans="1:14" ht="15.75" x14ac:dyDescent="0.25">
      <c r="A106" s="230" t="s">
        <v>92</v>
      </c>
      <c r="C106" s="206"/>
      <c r="D106" s="207"/>
      <c r="E106" s="208"/>
      <c r="F106" s="231"/>
      <c r="G106" s="232"/>
      <c r="H106" s="232"/>
      <c r="I106" s="223"/>
      <c r="J106" s="224"/>
      <c r="K106" s="206"/>
      <c r="L106" s="209"/>
      <c r="M106" s="209"/>
      <c r="N106" s="225"/>
    </row>
    <row r="107" spans="1:14" ht="15.75" x14ac:dyDescent="0.25">
      <c r="A107" s="230" t="s">
        <v>94</v>
      </c>
      <c r="C107" s="206"/>
      <c r="D107" s="207"/>
      <c r="E107" s="208"/>
      <c r="F107" s="212"/>
      <c r="G107" s="222"/>
      <c r="H107" s="222"/>
      <c r="I107" s="223"/>
      <c r="J107" s="224"/>
      <c r="K107" s="206"/>
      <c r="L107" s="209"/>
      <c r="M107" s="209"/>
      <c r="N107" s="225"/>
    </row>
    <row r="108" spans="1:14" ht="15.75" x14ac:dyDescent="0.25">
      <c r="A108" s="230" t="s">
        <v>96</v>
      </c>
      <c r="C108" s="206"/>
      <c r="D108" s="207"/>
      <c r="E108" s="208"/>
      <c r="F108" s="212"/>
      <c r="G108" s="233"/>
      <c r="H108" s="233"/>
      <c r="I108" s="223"/>
      <c r="J108" s="224"/>
      <c r="K108" s="206"/>
      <c r="L108" s="210"/>
      <c r="M108" s="210"/>
      <c r="N108" s="225"/>
    </row>
    <row r="109" spans="1:14" ht="15.75" x14ac:dyDescent="0.25">
      <c r="A109" s="230" t="s">
        <v>98</v>
      </c>
      <c r="C109" s="206"/>
      <c r="D109" s="207"/>
      <c r="E109" s="208"/>
      <c r="F109" s="212"/>
      <c r="G109" s="222"/>
      <c r="H109" s="222"/>
      <c r="I109" s="223"/>
      <c r="J109" s="224"/>
      <c r="K109" s="206"/>
      <c r="L109" s="209"/>
      <c r="M109" s="209"/>
      <c r="N109" s="225"/>
    </row>
    <row r="110" spans="1:14" ht="15.75" x14ac:dyDescent="0.25">
      <c r="A110" s="230" t="s">
        <v>100</v>
      </c>
      <c r="C110" s="206"/>
      <c r="D110" s="207"/>
      <c r="E110" s="208"/>
      <c r="F110" s="212"/>
      <c r="G110" s="233"/>
      <c r="H110" s="233"/>
      <c r="I110" s="223"/>
      <c r="J110" s="224"/>
      <c r="K110" s="206"/>
      <c r="L110" s="210"/>
      <c r="M110" s="210"/>
      <c r="N110" s="225"/>
    </row>
    <row r="111" spans="1:14" ht="15.75" x14ac:dyDescent="0.25">
      <c r="A111" s="230" t="s">
        <v>102</v>
      </c>
      <c r="C111" s="206"/>
      <c r="D111" s="207"/>
      <c r="E111" s="206"/>
      <c r="F111" s="212"/>
      <c r="G111" s="222"/>
      <c r="H111" s="222"/>
      <c r="I111" s="223"/>
      <c r="J111" s="224"/>
      <c r="K111" s="228"/>
      <c r="L111" s="209"/>
      <c r="M111" s="209"/>
      <c r="N111" s="229"/>
    </row>
    <row r="112" spans="1:14" ht="15.75" x14ac:dyDescent="0.25">
      <c r="A112" s="230" t="s">
        <v>104</v>
      </c>
      <c r="C112" s="206"/>
      <c r="D112" s="207"/>
      <c r="E112" s="208"/>
      <c r="F112" s="212"/>
      <c r="G112" s="222"/>
      <c r="H112" s="222"/>
      <c r="I112" s="223"/>
      <c r="J112" s="224"/>
      <c r="K112" s="206"/>
      <c r="L112" s="209"/>
      <c r="M112" s="209"/>
      <c r="N112" s="225"/>
    </row>
    <row r="113" spans="1:14" ht="15.75" x14ac:dyDescent="0.25">
      <c r="A113" s="230" t="s">
        <v>106</v>
      </c>
      <c r="C113" s="206"/>
      <c r="D113" s="207"/>
      <c r="E113" s="206"/>
      <c r="F113" s="212"/>
      <c r="G113" s="222"/>
      <c r="H113" s="222"/>
      <c r="I113" s="223"/>
      <c r="J113" s="224"/>
      <c r="K113" s="228"/>
      <c r="L113" s="209"/>
      <c r="M113" s="209"/>
      <c r="N113" s="229"/>
    </row>
    <row r="114" spans="1:14" ht="15.75" x14ac:dyDescent="0.25">
      <c r="A114" s="230" t="s">
        <v>513</v>
      </c>
      <c r="C114" s="206"/>
      <c r="D114" s="207"/>
      <c r="E114" s="208"/>
      <c r="F114" s="212"/>
      <c r="G114" s="233"/>
      <c r="H114" s="233"/>
      <c r="I114" s="223"/>
      <c r="J114" s="224"/>
      <c r="K114" s="228"/>
      <c r="L114" s="210"/>
      <c r="M114" s="210"/>
      <c r="N114" s="229"/>
    </row>
    <row r="115" spans="1:14" ht="15.75" x14ac:dyDescent="0.25">
      <c r="A115" s="230" t="s">
        <v>109</v>
      </c>
      <c r="C115" s="206"/>
      <c r="D115" s="207"/>
      <c r="E115" s="208"/>
      <c r="F115" s="212"/>
      <c r="G115" s="222"/>
      <c r="H115" s="222"/>
      <c r="I115" s="223"/>
      <c r="J115" s="224"/>
      <c r="K115" s="206"/>
      <c r="L115" s="209"/>
      <c r="M115" s="209"/>
      <c r="N115" s="225"/>
    </row>
    <row r="116" spans="1:14" ht="15.75" x14ac:dyDescent="0.25">
      <c r="A116" s="230" t="s">
        <v>552</v>
      </c>
      <c r="C116" s="206"/>
      <c r="D116" s="207"/>
      <c r="E116" s="206"/>
      <c r="F116" s="212"/>
      <c r="G116" s="222"/>
      <c r="H116" s="222"/>
      <c r="I116" s="223"/>
      <c r="J116" s="224"/>
      <c r="K116" s="228"/>
      <c r="L116" s="209"/>
      <c r="M116" s="209"/>
      <c r="N116" s="229"/>
    </row>
    <row r="117" spans="1:14" ht="15.75" x14ac:dyDescent="0.25">
      <c r="A117" s="230" t="s">
        <v>112</v>
      </c>
      <c r="C117" s="206"/>
      <c r="D117" s="207"/>
      <c r="E117" s="208"/>
      <c r="F117" s="212"/>
      <c r="G117" s="222"/>
      <c r="H117" s="222"/>
      <c r="I117" s="223"/>
      <c r="J117" s="224"/>
      <c r="K117" s="206"/>
      <c r="L117" s="209"/>
      <c r="M117" s="209"/>
      <c r="N117" s="225"/>
    </row>
    <row r="118" spans="1:14" ht="15.75" x14ac:dyDescent="0.25">
      <c r="A118" s="230" t="s">
        <v>114</v>
      </c>
      <c r="C118" s="206"/>
      <c r="D118" s="207"/>
      <c r="E118" s="206"/>
      <c r="F118" s="212"/>
      <c r="G118" s="222"/>
      <c r="H118" s="222"/>
      <c r="I118" s="223"/>
      <c r="J118" s="224"/>
      <c r="K118" s="228"/>
      <c r="L118" s="209"/>
      <c r="M118" s="209"/>
      <c r="N118" s="229"/>
    </row>
    <row r="119" spans="1:14" ht="15.75" x14ac:dyDescent="0.25">
      <c r="A119" s="230" t="s">
        <v>116</v>
      </c>
      <c r="C119" s="206"/>
      <c r="D119" s="207"/>
      <c r="E119" s="208"/>
      <c r="F119" s="212"/>
      <c r="G119" s="233"/>
      <c r="H119" s="233"/>
      <c r="I119" s="223"/>
      <c r="J119" s="224"/>
      <c r="K119" s="206"/>
      <c r="L119" s="210"/>
      <c r="M119" s="210"/>
      <c r="N119" s="225"/>
    </row>
    <row r="120" spans="1:14" ht="15.75" x14ac:dyDescent="0.25">
      <c r="A120" s="230" t="s">
        <v>118</v>
      </c>
      <c r="C120" s="206"/>
      <c r="D120" s="207"/>
      <c r="E120" s="208"/>
      <c r="F120" s="212"/>
      <c r="G120" s="222"/>
      <c r="H120" s="222"/>
      <c r="I120" s="223"/>
      <c r="J120" s="224"/>
      <c r="K120" s="206"/>
      <c r="L120" s="209"/>
      <c r="M120" s="209"/>
      <c r="N120" s="225"/>
    </row>
    <row r="121" spans="1:14" ht="15.75" x14ac:dyDescent="0.25">
      <c r="A121" s="230" t="s">
        <v>120</v>
      </c>
      <c r="C121" s="206"/>
      <c r="D121" s="207"/>
      <c r="E121" s="206"/>
      <c r="F121" s="212"/>
      <c r="G121" s="222"/>
      <c r="H121" s="222"/>
      <c r="I121" s="223"/>
      <c r="J121" s="224"/>
      <c r="K121" s="228"/>
      <c r="L121" s="209"/>
      <c r="M121" s="209"/>
      <c r="N121" s="229"/>
    </row>
    <row r="122" spans="1:14" ht="15.75" x14ac:dyDescent="0.25">
      <c r="A122" s="230" t="s">
        <v>122</v>
      </c>
      <c r="C122" s="206"/>
      <c r="D122" s="207"/>
      <c r="E122" s="208"/>
      <c r="F122" s="212"/>
      <c r="G122" s="222"/>
      <c r="H122" s="222"/>
      <c r="I122" s="223"/>
      <c r="J122" s="224"/>
      <c r="K122" s="206"/>
      <c r="L122" s="209"/>
      <c r="M122" s="209"/>
      <c r="N122" s="225"/>
    </row>
    <row r="123" spans="1:14" ht="15.75" x14ac:dyDescent="0.25">
      <c r="A123" s="230" t="s">
        <v>516</v>
      </c>
      <c r="C123" s="206"/>
      <c r="D123" s="207"/>
      <c r="E123" s="208"/>
      <c r="F123" s="212"/>
      <c r="G123" s="233"/>
      <c r="H123" s="233"/>
      <c r="I123" s="223"/>
      <c r="J123" s="224"/>
      <c r="K123" s="228"/>
      <c r="L123" s="210"/>
      <c r="M123" s="210"/>
      <c r="N123" s="229"/>
    </row>
    <row r="124" spans="1:14" ht="15.75" x14ac:dyDescent="0.25">
      <c r="A124" s="230" t="s">
        <v>125</v>
      </c>
      <c r="C124" s="206"/>
      <c r="D124" s="207"/>
      <c r="E124" s="208"/>
      <c r="F124" s="212"/>
      <c r="G124" s="222"/>
      <c r="H124" s="222"/>
      <c r="I124" s="223"/>
      <c r="J124" s="224"/>
      <c r="K124" s="206"/>
      <c r="L124" s="209"/>
      <c r="M124" s="209"/>
      <c r="N124" s="225"/>
    </row>
    <row r="125" spans="1:14" ht="15.75" x14ac:dyDescent="0.25">
      <c r="A125" s="230" t="s">
        <v>127</v>
      </c>
      <c r="C125" s="206"/>
      <c r="D125" s="207"/>
      <c r="E125" s="208"/>
      <c r="F125" s="212"/>
      <c r="G125" s="222"/>
      <c r="H125" s="222"/>
      <c r="I125" s="223"/>
      <c r="J125" s="224"/>
      <c r="K125" s="206"/>
      <c r="L125" s="209"/>
      <c r="M125" s="209"/>
      <c r="N125" s="225"/>
    </row>
    <row r="126" spans="1:14" ht="15.75" x14ac:dyDescent="0.25">
      <c r="A126" s="230" t="s">
        <v>129</v>
      </c>
      <c r="C126" s="206"/>
      <c r="D126" s="207"/>
      <c r="E126" s="206"/>
      <c r="F126" s="212"/>
      <c r="G126" s="222"/>
      <c r="H126" s="222"/>
      <c r="I126" s="223"/>
      <c r="J126" s="224"/>
      <c r="K126" s="228"/>
      <c r="L126" s="209"/>
      <c r="M126" s="209"/>
      <c r="N126" s="229"/>
    </row>
    <row r="127" spans="1:14" ht="15.75" x14ac:dyDescent="0.25">
      <c r="A127" s="230" t="s">
        <v>532</v>
      </c>
      <c r="C127" s="206"/>
      <c r="D127" s="207"/>
      <c r="E127" s="208"/>
      <c r="F127" s="212"/>
      <c r="G127" s="233"/>
      <c r="H127" s="233"/>
      <c r="I127" s="223"/>
      <c r="J127" s="224"/>
      <c r="K127" s="228"/>
      <c r="L127" s="210"/>
      <c r="M127" s="210"/>
      <c r="N127" s="229"/>
    </row>
    <row r="128" spans="1:14" ht="15.75" x14ac:dyDescent="0.25">
      <c r="A128" s="230" t="s">
        <v>132</v>
      </c>
      <c r="C128" s="206"/>
      <c r="D128" s="207"/>
      <c r="E128" s="208"/>
      <c r="F128" s="212"/>
      <c r="G128" s="222"/>
      <c r="H128" s="222"/>
      <c r="I128" s="223"/>
      <c r="J128" s="224"/>
      <c r="K128" s="206"/>
      <c r="L128" s="209"/>
      <c r="M128" s="209"/>
      <c r="N128" s="225"/>
    </row>
    <row r="129" spans="1:14" ht="15.75" x14ac:dyDescent="0.25">
      <c r="A129" s="230" t="s">
        <v>134</v>
      </c>
      <c r="C129" s="206"/>
      <c r="D129" s="207"/>
      <c r="E129" s="208"/>
      <c r="F129" s="212"/>
      <c r="G129" s="222"/>
      <c r="H129" s="222"/>
      <c r="I129" s="223"/>
      <c r="J129" s="224"/>
      <c r="K129" s="206"/>
      <c r="L129" s="209"/>
      <c r="M129" s="209"/>
      <c r="N129" s="225"/>
    </row>
    <row r="130" spans="1:14" ht="15.75" x14ac:dyDescent="0.25">
      <c r="A130" s="230" t="s">
        <v>136</v>
      </c>
      <c r="C130" s="206"/>
      <c r="D130" s="207"/>
      <c r="E130" s="206"/>
      <c r="F130" s="212"/>
      <c r="G130" s="222"/>
      <c r="H130" s="222"/>
      <c r="I130" s="223"/>
      <c r="J130" s="224"/>
      <c r="K130" s="228"/>
      <c r="L130" s="209"/>
      <c r="M130" s="209"/>
      <c r="N130" s="229"/>
    </row>
    <row r="131" spans="1:14" ht="15.75" x14ac:dyDescent="0.25">
      <c r="A131" s="230" t="s">
        <v>542</v>
      </c>
      <c r="C131" s="206"/>
      <c r="D131" s="207"/>
      <c r="E131" s="208"/>
      <c r="F131" s="212"/>
      <c r="G131" s="233"/>
      <c r="H131" s="233"/>
      <c r="I131" s="223"/>
      <c r="J131" s="224"/>
      <c r="K131" s="206"/>
      <c r="L131" s="210"/>
      <c r="M131" s="210"/>
      <c r="N131" s="225"/>
    </row>
    <row r="132" spans="1:14" ht="15.75" x14ac:dyDescent="0.25">
      <c r="A132" s="230" t="s">
        <v>139</v>
      </c>
      <c r="C132" s="206"/>
      <c r="D132" s="207"/>
      <c r="E132" s="208"/>
      <c r="F132" s="212"/>
      <c r="G132" s="222"/>
      <c r="H132" s="222"/>
      <c r="I132" s="223"/>
      <c r="J132" s="224"/>
      <c r="K132" s="206"/>
      <c r="L132" s="209"/>
      <c r="M132" s="209"/>
      <c r="N132" s="225"/>
    </row>
    <row r="133" spans="1:14" ht="15.75" x14ac:dyDescent="0.25">
      <c r="A133" s="230" t="s">
        <v>141</v>
      </c>
      <c r="C133" s="206"/>
      <c r="D133" s="207"/>
      <c r="E133" s="206"/>
      <c r="F133" s="212"/>
      <c r="G133" s="222"/>
      <c r="H133" s="222"/>
      <c r="I133" s="223"/>
      <c r="J133" s="224"/>
      <c r="K133" s="228"/>
      <c r="L133" s="209"/>
      <c r="M133" s="209"/>
      <c r="N133" s="229"/>
    </row>
    <row r="134" spans="1:14" ht="15.75" x14ac:dyDescent="0.25">
      <c r="A134" s="230" t="s">
        <v>765</v>
      </c>
      <c r="C134" s="206"/>
      <c r="D134" s="207"/>
      <c r="E134" s="208"/>
      <c r="F134" s="212"/>
      <c r="G134" s="233"/>
      <c r="H134" s="233"/>
      <c r="I134" s="223"/>
      <c r="J134" s="224"/>
      <c r="K134" s="206"/>
      <c r="L134" s="210"/>
      <c r="M134" s="210"/>
      <c r="N134" s="225"/>
    </row>
    <row r="135" spans="1:14" ht="15.75" x14ac:dyDescent="0.25">
      <c r="A135" s="230" t="s">
        <v>144</v>
      </c>
      <c r="C135" s="206"/>
      <c r="D135" s="207"/>
      <c r="E135" s="208"/>
      <c r="F135" s="212"/>
      <c r="G135" s="222"/>
      <c r="H135" s="222"/>
      <c r="I135" s="223"/>
      <c r="J135" s="224"/>
      <c r="K135" s="206"/>
      <c r="L135" s="209"/>
      <c r="M135" s="209"/>
      <c r="N135" s="225"/>
    </row>
    <row r="136" spans="1:14" ht="15.75" x14ac:dyDescent="0.25">
      <c r="A136" s="230" t="s">
        <v>146</v>
      </c>
      <c r="C136" s="206"/>
      <c r="D136" s="207"/>
      <c r="E136" s="208"/>
      <c r="F136" s="212"/>
      <c r="G136" s="222"/>
      <c r="H136" s="222"/>
      <c r="I136" s="223"/>
      <c r="J136" s="224"/>
      <c r="K136" s="206"/>
      <c r="L136" s="209"/>
      <c r="M136" s="209"/>
      <c r="N136" s="225"/>
    </row>
    <row r="137" spans="1:14" ht="15.75" x14ac:dyDescent="0.25">
      <c r="A137" s="230" t="s">
        <v>757</v>
      </c>
      <c r="C137" s="206"/>
      <c r="D137" s="207"/>
      <c r="E137" s="208"/>
      <c r="F137" s="212"/>
      <c r="G137" s="222"/>
      <c r="H137" s="222"/>
      <c r="I137" s="223"/>
      <c r="J137" s="224"/>
      <c r="K137" s="228"/>
      <c r="L137" s="209"/>
      <c r="M137" s="209"/>
      <c r="N137" s="229"/>
    </row>
    <row r="138" spans="1:14" ht="15.75" x14ac:dyDescent="0.25">
      <c r="A138" s="230" t="s">
        <v>149</v>
      </c>
      <c r="C138" s="206"/>
      <c r="D138" s="207"/>
      <c r="E138" s="208"/>
      <c r="F138" s="212"/>
      <c r="G138" s="222"/>
      <c r="H138" s="222"/>
      <c r="I138" s="223"/>
      <c r="J138" s="224"/>
      <c r="K138" s="228"/>
      <c r="L138" s="209"/>
      <c r="M138" s="209"/>
      <c r="N138" s="229"/>
    </row>
    <row r="139" spans="1:14" ht="15.75" x14ac:dyDescent="0.25">
      <c r="A139" s="230" t="s">
        <v>151</v>
      </c>
      <c r="C139" s="206"/>
      <c r="D139" s="207"/>
      <c r="E139" s="206"/>
      <c r="F139" s="212"/>
      <c r="G139" s="222"/>
      <c r="H139" s="222"/>
      <c r="I139" s="223"/>
      <c r="J139" s="224"/>
      <c r="K139" s="228"/>
      <c r="L139" s="209"/>
      <c r="M139" s="209"/>
      <c r="N139" s="229"/>
    </row>
    <row r="140" spans="1:14" ht="15.75" x14ac:dyDescent="0.25">
      <c r="A140" s="230" t="s">
        <v>553</v>
      </c>
      <c r="C140" s="206"/>
      <c r="D140" s="207"/>
      <c r="E140" s="206"/>
      <c r="F140" s="212"/>
      <c r="G140" s="222"/>
      <c r="H140" s="222"/>
      <c r="I140" s="223"/>
      <c r="J140" s="224"/>
      <c r="K140" s="228"/>
      <c r="L140" s="209"/>
      <c r="M140" s="209"/>
      <c r="N140" s="229"/>
    </row>
    <row r="141" spans="1:14" ht="15.75" x14ac:dyDescent="0.25">
      <c r="A141" s="230" t="s">
        <v>154</v>
      </c>
      <c r="C141" s="206"/>
      <c r="D141" s="207"/>
      <c r="E141" s="208"/>
      <c r="F141" s="212"/>
      <c r="G141" s="222"/>
      <c r="H141" s="222"/>
      <c r="I141" s="223"/>
      <c r="J141" s="224"/>
      <c r="K141" s="206"/>
      <c r="L141" s="209"/>
      <c r="M141" s="209"/>
      <c r="N141" s="225"/>
    </row>
    <row r="142" spans="1:14" ht="15.75" x14ac:dyDescent="0.25">
      <c r="A142" s="230" t="s">
        <v>758</v>
      </c>
      <c r="C142" s="206"/>
      <c r="D142" s="207"/>
      <c r="E142" s="208"/>
      <c r="F142" s="231"/>
      <c r="G142" s="232"/>
      <c r="H142" s="232"/>
      <c r="I142" s="223"/>
      <c r="J142" s="224"/>
      <c r="K142" s="206"/>
      <c r="L142" s="209"/>
      <c r="M142" s="209"/>
      <c r="N142" s="225"/>
    </row>
    <row r="143" spans="1:14" ht="15.75" x14ac:dyDescent="0.25">
      <c r="A143" s="230" t="s">
        <v>759</v>
      </c>
      <c r="C143" s="206"/>
      <c r="D143" s="207"/>
      <c r="E143" s="208"/>
      <c r="F143" s="212"/>
      <c r="G143" s="233"/>
      <c r="H143" s="233"/>
      <c r="I143" s="223"/>
      <c r="J143" s="224"/>
      <c r="K143" s="228"/>
      <c r="L143" s="210"/>
      <c r="M143" s="210"/>
      <c r="N143" s="229"/>
    </row>
    <row r="144" spans="1:14" ht="15.75" x14ac:dyDescent="0.25">
      <c r="A144" s="230" t="s">
        <v>158</v>
      </c>
      <c r="C144" s="206"/>
      <c r="D144" s="207"/>
      <c r="E144" s="206"/>
      <c r="F144" s="212"/>
      <c r="G144" s="222"/>
      <c r="H144" s="222"/>
      <c r="I144" s="223"/>
      <c r="J144" s="224"/>
      <c r="K144" s="228"/>
      <c r="L144" s="209"/>
      <c r="M144" s="209"/>
      <c r="N144" s="229"/>
    </row>
    <row r="145" spans="1:14" ht="15.75" x14ac:dyDescent="0.25">
      <c r="A145" s="230" t="s">
        <v>160</v>
      </c>
      <c r="C145" s="206"/>
      <c r="D145" s="207"/>
      <c r="E145" s="208"/>
      <c r="F145" s="212"/>
      <c r="G145" s="222"/>
      <c r="H145" s="222"/>
      <c r="I145" s="223"/>
      <c r="J145" s="224"/>
      <c r="K145" s="228"/>
      <c r="L145" s="209"/>
      <c r="M145" s="209"/>
      <c r="N145" s="229"/>
    </row>
    <row r="146" spans="1:14" ht="15.75" x14ac:dyDescent="0.25">
      <c r="A146" s="230" t="s">
        <v>162</v>
      </c>
      <c r="C146" s="206"/>
      <c r="D146" s="207"/>
      <c r="E146" s="208"/>
      <c r="F146" s="212"/>
      <c r="G146" s="222"/>
      <c r="H146" s="222"/>
      <c r="I146" s="223"/>
      <c r="J146" s="224"/>
      <c r="K146" s="228"/>
      <c r="L146" s="209"/>
      <c r="M146" s="209"/>
      <c r="N146" s="229"/>
    </row>
    <row r="147" spans="1:14" ht="15.75" x14ac:dyDescent="0.25">
      <c r="A147" s="230" t="s">
        <v>164</v>
      </c>
      <c r="C147" s="206"/>
      <c r="D147" s="207"/>
      <c r="E147" s="206"/>
      <c r="F147" s="212"/>
      <c r="G147" s="222"/>
      <c r="H147" s="222"/>
      <c r="I147" s="223"/>
      <c r="J147" s="224"/>
      <c r="K147" s="228"/>
      <c r="L147" s="209"/>
      <c r="M147" s="209"/>
      <c r="N147" s="229"/>
    </row>
    <row r="148" spans="1:14" ht="15.75" x14ac:dyDescent="0.25">
      <c r="A148" s="230" t="s">
        <v>166</v>
      </c>
      <c r="C148" s="206"/>
      <c r="D148" s="207"/>
      <c r="E148" s="208"/>
      <c r="F148" s="212"/>
      <c r="G148" s="222"/>
      <c r="H148" s="222"/>
      <c r="I148" s="223"/>
      <c r="J148" s="224"/>
      <c r="K148" s="206"/>
      <c r="L148" s="209"/>
      <c r="M148" s="209"/>
      <c r="N148" s="225"/>
    </row>
    <row r="149" spans="1:14" ht="15.75" x14ac:dyDescent="0.25">
      <c r="A149" s="230" t="s">
        <v>168</v>
      </c>
      <c r="C149" s="206"/>
      <c r="D149" s="207"/>
      <c r="E149" s="208"/>
      <c r="F149" s="212"/>
      <c r="G149" s="233"/>
      <c r="H149" s="233"/>
      <c r="I149" s="223"/>
      <c r="J149" s="224"/>
      <c r="K149" s="228"/>
      <c r="L149" s="210"/>
      <c r="M149" s="210"/>
      <c r="N149" s="229"/>
    </row>
    <row r="150" spans="1:14" ht="15.75" x14ac:dyDescent="0.25">
      <c r="A150" s="230" t="s">
        <v>540</v>
      </c>
      <c r="C150" s="206"/>
      <c r="D150" s="207"/>
      <c r="E150" s="208"/>
      <c r="F150" s="212"/>
      <c r="G150" s="222"/>
      <c r="H150" s="222"/>
      <c r="I150" s="223"/>
      <c r="J150" s="224"/>
      <c r="K150" s="228"/>
      <c r="L150" s="209"/>
      <c r="M150" s="209"/>
      <c r="N150" s="229"/>
    </row>
    <row r="151" spans="1:14" ht="15.75" x14ac:dyDescent="0.25">
      <c r="A151" s="230" t="s">
        <v>171</v>
      </c>
      <c r="C151" s="206"/>
      <c r="D151" s="207"/>
      <c r="E151" s="208"/>
      <c r="F151" s="212"/>
      <c r="G151" s="222"/>
      <c r="H151" s="222"/>
      <c r="I151" s="223"/>
      <c r="J151" s="224"/>
      <c r="K151" s="206"/>
      <c r="L151" s="209"/>
      <c r="M151" s="209"/>
      <c r="N151" s="225"/>
    </row>
    <row r="152" spans="1:14" ht="15.75" x14ac:dyDescent="0.25">
      <c r="A152" s="230" t="s">
        <v>173</v>
      </c>
      <c r="C152" s="206"/>
      <c r="D152" s="207"/>
      <c r="E152" s="206"/>
      <c r="F152" s="212"/>
      <c r="G152" s="222"/>
      <c r="H152" s="222"/>
      <c r="I152" s="223"/>
      <c r="J152" s="224"/>
      <c r="K152" s="228"/>
      <c r="L152" s="209"/>
      <c r="M152" s="209"/>
      <c r="N152" s="229"/>
    </row>
    <row r="153" spans="1:14" ht="15.75" x14ac:dyDescent="0.25">
      <c r="A153" s="230" t="s">
        <v>175</v>
      </c>
      <c r="C153" s="206"/>
      <c r="D153" s="207"/>
      <c r="E153" s="208"/>
      <c r="F153" s="212"/>
      <c r="G153" s="222"/>
      <c r="H153" s="222"/>
      <c r="I153" s="223"/>
      <c r="J153" s="224"/>
      <c r="K153" s="206"/>
      <c r="L153" s="209"/>
      <c r="M153" s="209"/>
      <c r="N153" s="225"/>
    </row>
    <row r="154" spans="1:14" ht="15.75" x14ac:dyDescent="0.25">
      <c r="A154" s="230" t="s">
        <v>177</v>
      </c>
      <c r="C154" s="206"/>
      <c r="D154" s="207"/>
      <c r="E154" s="208"/>
      <c r="F154" s="212"/>
      <c r="G154" s="222"/>
      <c r="H154" s="222"/>
      <c r="I154" s="223"/>
      <c r="J154" s="224"/>
      <c r="K154" s="206"/>
      <c r="L154" s="209"/>
      <c r="M154" s="209"/>
      <c r="N154" s="225"/>
    </row>
    <row r="155" spans="1:14" ht="15.75" x14ac:dyDescent="0.25">
      <c r="A155" s="230" t="s">
        <v>179</v>
      </c>
      <c r="C155" s="206"/>
      <c r="D155" s="207"/>
      <c r="E155" s="208"/>
      <c r="F155" s="212"/>
      <c r="G155" s="233"/>
      <c r="H155" s="233"/>
      <c r="I155" s="223"/>
      <c r="J155" s="224"/>
      <c r="K155" s="228"/>
      <c r="L155" s="210"/>
      <c r="M155" s="210"/>
      <c r="N155" s="229"/>
    </row>
    <row r="156" spans="1:14" ht="15.75" x14ac:dyDescent="0.25">
      <c r="A156" s="230" t="s">
        <v>504</v>
      </c>
      <c r="C156" s="206"/>
      <c r="D156" s="207"/>
      <c r="E156" s="208"/>
      <c r="F156" s="212"/>
      <c r="G156" s="222"/>
      <c r="H156" s="222"/>
      <c r="I156" s="223"/>
      <c r="J156" s="224"/>
      <c r="K156" s="228"/>
      <c r="L156" s="211"/>
      <c r="M156" s="211"/>
      <c r="N156" s="229"/>
    </row>
    <row r="157" spans="1:14" ht="15.75" x14ac:dyDescent="0.25">
      <c r="A157" s="230" t="s">
        <v>182</v>
      </c>
      <c r="C157" s="206"/>
      <c r="D157" s="207"/>
      <c r="E157" s="208"/>
      <c r="F157" s="212"/>
      <c r="G157" s="222"/>
      <c r="H157" s="222"/>
      <c r="I157" s="223"/>
      <c r="J157" s="224"/>
      <c r="K157" s="206"/>
      <c r="L157" s="209"/>
      <c r="M157" s="209"/>
      <c r="N157" s="225"/>
    </row>
    <row r="158" spans="1:14" ht="15.75" x14ac:dyDescent="0.25">
      <c r="A158" s="230" t="s">
        <v>184</v>
      </c>
      <c r="C158" s="206"/>
      <c r="D158" s="207"/>
      <c r="E158" s="208"/>
      <c r="F158" s="212"/>
      <c r="G158" s="222"/>
      <c r="H158" s="222"/>
      <c r="I158" s="223"/>
      <c r="J158" s="224"/>
      <c r="K158" s="206"/>
      <c r="L158" s="209"/>
      <c r="M158" s="209"/>
      <c r="N158" s="225"/>
    </row>
    <row r="159" spans="1:14" ht="15.75" x14ac:dyDescent="0.25">
      <c r="A159" s="230" t="s">
        <v>766</v>
      </c>
      <c r="C159" s="206"/>
      <c r="D159" s="207"/>
      <c r="E159" s="208"/>
      <c r="F159" s="212"/>
      <c r="G159" s="222"/>
      <c r="H159" s="222"/>
      <c r="I159" s="223"/>
      <c r="J159" s="224"/>
      <c r="K159" s="206"/>
      <c r="L159" s="209"/>
      <c r="M159" s="209"/>
      <c r="N159" s="225"/>
    </row>
    <row r="160" spans="1:14" ht="15.75" x14ac:dyDescent="0.25">
      <c r="A160" s="230" t="s">
        <v>187</v>
      </c>
      <c r="C160" s="206"/>
      <c r="D160" s="207"/>
      <c r="E160" s="208"/>
      <c r="F160" s="212"/>
      <c r="G160" s="233"/>
      <c r="H160" s="233"/>
      <c r="I160" s="223"/>
      <c r="J160" s="224"/>
      <c r="K160" s="228"/>
      <c r="L160" s="210"/>
      <c r="M160" s="210"/>
      <c r="N160" s="229"/>
    </row>
    <row r="161" spans="1:14" ht="15.75" x14ac:dyDescent="0.25">
      <c r="A161" s="230" t="s">
        <v>189</v>
      </c>
      <c r="C161" s="206"/>
      <c r="D161" s="207"/>
      <c r="E161" s="208"/>
      <c r="F161" s="212"/>
      <c r="G161" s="222"/>
      <c r="H161" s="222"/>
      <c r="I161" s="223"/>
      <c r="J161" s="224"/>
      <c r="K161" s="206"/>
      <c r="L161" s="209"/>
      <c r="M161" s="209"/>
      <c r="N161" s="225"/>
    </row>
    <row r="162" spans="1:14" ht="15.75" x14ac:dyDescent="0.25">
      <c r="A162" s="230" t="s">
        <v>536</v>
      </c>
      <c r="C162" s="206"/>
      <c r="D162" s="207"/>
      <c r="E162" s="208"/>
      <c r="F162" s="212"/>
      <c r="G162" s="222"/>
      <c r="H162" s="222"/>
      <c r="I162" s="223"/>
      <c r="J162" s="224"/>
      <c r="K162" s="228"/>
      <c r="L162" s="209"/>
      <c r="M162" s="209"/>
      <c r="N162" s="229"/>
    </row>
    <row r="163" spans="1:14" ht="15.75" x14ac:dyDescent="0.25">
      <c r="A163" s="230" t="s">
        <v>192</v>
      </c>
      <c r="C163" s="206"/>
      <c r="D163" s="207"/>
      <c r="E163" s="208"/>
      <c r="F163" s="231"/>
      <c r="G163" s="232"/>
      <c r="H163" s="232"/>
      <c r="I163" s="223"/>
      <c r="J163" s="224"/>
      <c r="K163" s="206"/>
      <c r="L163" s="209"/>
      <c r="M163" s="209"/>
      <c r="N163" s="225"/>
    </row>
    <row r="164" spans="1:14" ht="15.75" x14ac:dyDescent="0.25">
      <c r="A164" s="230" t="s">
        <v>194</v>
      </c>
      <c r="C164" s="206"/>
      <c r="D164" s="207"/>
      <c r="E164" s="208"/>
      <c r="F164" s="212"/>
      <c r="G164" s="222"/>
      <c r="H164" s="222"/>
      <c r="I164" s="223"/>
      <c r="J164" s="224"/>
      <c r="K164" s="206"/>
      <c r="L164" s="209"/>
      <c r="M164" s="209"/>
      <c r="N164" s="225"/>
    </row>
    <row r="165" spans="1:14" ht="15.75" x14ac:dyDescent="0.25">
      <c r="A165" s="230" t="s">
        <v>196</v>
      </c>
      <c r="C165" s="206"/>
      <c r="D165" s="207"/>
      <c r="E165" s="206"/>
      <c r="F165" s="212"/>
      <c r="G165" s="222"/>
      <c r="H165" s="222"/>
      <c r="I165" s="223"/>
      <c r="J165" s="224"/>
      <c r="K165" s="228"/>
      <c r="L165" s="209"/>
      <c r="M165" s="209"/>
      <c r="N165" s="229"/>
    </row>
    <row r="166" spans="1:14" ht="15.75" x14ac:dyDescent="0.25">
      <c r="A166" s="230" t="s">
        <v>198</v>
      </c>
      <c r="C166" s="206"/>
      <c r="D166" s="207"/>
      <c r="E166" s="208"/>
      <c r="F166" s="212"/>
      <c r="G166" s="222"/>
      <c r="H166" s="222"/>
      <c r="I166" s="223"/>
      <c r="J166" s="224"/>
      <c r="K166" s="206"/>
      <c r="L166" s="209"/>
      <c r="M166" s="209"/>
      <c r="N166" s="225"/>
    </row>
    <row r="167" spans="1:14" ht="15.75" x14ac:dyDescent="0.25">
      <c r="A167" s="230" t="s">
        <v>200</v>
      </c>
      <c r="C167" s="206"/>
      <c r="D167" s="207"/>
      <c r="E167" s="208"/>
      <c r="F167" s="212"/>
      <c r="G167" s="222"/>
      <c r="H167" s="222"/>
      <c r="I167" s="223"/>
      <c r="J167" s="224"/>
      <c r="K167" s="206"/>
      <c r="L167" s="209"/>
      <c r="M167" s="209"/>
      <c r="N167" s="225"/>
    </row>
    <row r="168" spans="1:14" ht="15.75" x14ac:dyDescent="0.25">
      <c r="A168" s="230" t="s">
        <v>202</v>
      </c>
      <c r="C168" s="206"/>
      <c r="D168" s="207"/>
      <c r="E168" s="208"/>
      <c r="F168" s="212"/>
      <c r="G168" s="222"/>
      <c r="H168" s="222"/>
      <c r="I168" s="223"/>
      <c r="J168" s="224"/>
      <c r="K168" s="206"/>
      <c r="L168" s="209"/>
      <c r="M168" s="209"/>
      <c r="N168" s="225"/>
    </row>
    <row r="169" spans="1:14" ht="15.75" x14ac:dyDescent="0.25">
      <c r="A169" s="230" t="s">
        <v>517</v>
      </c>
      <c r="C169" s="206"/>
      <c r="D169" s="207"/>
      <c r="E169" s="208"/>
      <c r="F169" s="212"/>
      <c r="G169" s="233"/>
      <c r="H169" s="233"/>
      <c r="I169" s="223"/>
      <c r="J169" s="224"/>
      <c r="K169" s="228"/>
      <c r="L169" s="210"/>
      <c r="M169" s="210"/>
      <c r="N169" s="229"/>
    </row>
    <row r="170" spans="1:14" ht="15.75" x14ac:dyDescent="0.25">
      <c r="A170" s="230" t="s">
        <v>511</v>
      </c>
      <c r="C170" s="206"/>
      <c r="D170" s="207"/>
      <c r="E170" s="208"/>
      <c r="F170" s="212"/>
      <c r="G170" s="222"/>
      <c r="H170" s="222"/>
      <c r="I170" s="223"/>
      <c r="J170" s="224"/>
      <c r="K170" s="228"/>
      <c r="L170" s="211"/>
      <c r="M170" s="211"/>
      <c r="N170" s="229"/>
    </row>
    <row r="171" spans="1:14" ht="15.75" x14ac:dyDescent="0.25">
      <c r="A171" s="230" t="s">
        <v>206</v>
      </c>
      <c r="C171" s="206"/>
      <c r="D171" s="207"/>
      <c r="E171" s="208"/>
      <c r="F171" s="212"/>
      <c r="G171" s="222"/>
      <c r="H171" s="222"/>
      <c r="I171" s="223"/>
      <c r="J171" s="224"/>
      <c r="K171" s="206"/>
      <c r="L171" s="209"/>
      <c r="M171" s="209"/>
      <c r="N171" s="225"/>
    </row>
    <row r="172" spans="1:14" ht="15.75" x14ac:dyDescent="0.25">
      <c r="A172" s="230" t="s">
        <v>208</v>
      </c>
      <c r="C172" s="206"/>
      <c r="D172" s="207"/>
      <c r="E172" s="208"/>
      <c r="F172" s="212"/>
      <c r="G172" s="222"/>
      <c r="H172" s="222"/>
      <c r="I172" s="223"/>
      <c r="J172" s="224"/>
      <c r="K172" s="206"/>
      <c r="L172" s="209"/>
      <c r="M172" s="209"/>
      <c r="N172" s="225"/>
    </row>
    <row r="173" spans="1:14" ht="15.75" x14ac:dyDescent="0.25">
      <c r="A173" s="230" t="s">
        <v>546</v>
      </c>
      <c r="C173" s="206"/>
      <c r="D173" s="207"/>
      <c r="E173" s="208"/>
      <c r="F173" s="212"/>
      <c r="G173" s="222"/>
      <c r="H173" s="222"/>
      <c r="I173" s="223"/>
      <c r="J173" s="224"/>
      <c r="K173" s="206"/>
      <c r="L173" s="209"/>
      <c r="M173" s="209"/>
      <c r="N173" s="225"/>
    </row>
    <row r="174" spans="1:14" ht="15.75" x14ac:dyDescent="0.25">
      <c r="A174" s="230" t="s">
        <v>760</v>
      </c>
      <c r="C174" s="206"/>
      <c r="D174" s="207"/>
      <c r="E174" s="208"/>
      <c r="F174" s="212"/>
      <c r="G174" s="222"/>
      <c r="H174" s="222"/>
      <c r="I174" s="223"/>
      <c r="J174" s="224"/>
      <c r="K174" s="206"/>
      <c r="L174" s="209"/>
      <c r="M174" s="209"/>
      <c r="N174" s="225"/>
    </row>
    <row r="175" spans="1:14" ht="15.75" x14ac:dyDescent="0.25">
      <c r="A175" s="230" t="s">
        <v>212</v>
      </c>
      <c r="C175" s="206"/>
      <c r="D175" s="207"/>
      <c r="E175" s="208"/>
      <c r="F175" s="212"/>
      <c r="G175" s="233"/>
      <c r="H175" s="233"/>
      <c r="I175" s="223"/>
      <c r="J175" s="224"/>
      <c r="K175" s="228"/>
      <c r="L175" s="210"/>
      <c r="M175" s="210"/>
      <c r="N175" s="229"/>
    </row>
    <row r="176" spans="1:14" ht="15.75" x14ac:dyDescent="0.25">
      <c r="A176" s="230" t="s">
        <v>214</v>
      </c>
      <c r="C176" s="206"/>
      <c r="D176" s="207"/>
      <c r="E176" s="206"/>
      <c r="F176" s="212"/>
      <c r="G176" s="233"/>
      <c r="H176" s="233"/>
      <c r="I176" s="223"/>
      <c r="J176" s="224"/>
      <c r="K176" s="228"/>
      <c r="L176" s="210"/>
      <c r="M176" s="210"/>
      <c r="N176" s="229"/>
    </row>
    <row r="177" spans="1:14" ht="15.75" x14ac:dyDescent="0.25">
      <c r="A177" s="230" t="s">
        <v>216</v>
      </c>
      <c r="C177" s="206"/>
      <c r="D177" s="207"/>
      <c r="E177" s="208"/>
      <c r="F177" s="212"/>
      <c r="G177" s="222"/>
      <c r="H177" s="222"/>
      <c r="I177" s="223"/>
      <c r="J177" s="224"/>
      <c r="K177" s="206"/>
      <c r="L177" s="209"/>
      <c r="M177" s="209"/>
      <c r="N177" s="225"/>
    </row>
    <row r="178" spans="1:14" ht="15.75" x14ac:dyDescent="0.25">
      <c r="A178" s="230" t="s">
        <v>218</v>
      </c>
      <c r="C178" s="206"/>
      <c r="D178" s="207"/>
      <c r="E178" s="208"/>
      <c r="F178" s="212"/>
      <c r="G178" s="222"/>
      <c r="H178" s="222"/>
      <c r="I178" s="223"/>
      <c r="J178" s="224"/>
      <c r="K178" s="206"/>
      <c r="L178" s="209"/>
      <c r="M178" s="209"/>
      <c r="N178" s="225"/>
    </row>
    <row r="179" spans="1:14" ht="15.75" x14ac:dyDescent="0.25">
      <c r="A179" s="230" t="s">
        <v>220</v>
      </c>
      <c r="C179" s="206"/>
      <c r="D179" s="207"/>
      <c r="E179" s="208"/>
      <c r="F179" s="212"/>
      <c r="G179" s="222"/>
      <c r="H179" s="222"/>
      <c r="I179" s="223"/>
      <c r="J179" s="224"/>
      <c r="K179" s="206"/>
      <c r="L179" s="209"/>
      <c r="M179" s="209"/>
      <c r="N179" s="225"/>
    </row>
    <row r="180" spans="1:14" ht="15.75" x14ac:dyDescent="0.25">
      <c r="A180" s="230" t="s">
        <v>534</v>
      </c>
      <c r="C180" s="206"/>
      <c r="D180" s="207"/>
      <c r="E180" s="208"/>
      <c r="F180" s="212"/>
      <c r="G180" s="233"/>
      <c r="H180" s="233"/>
      <c r="I180" s="223"/>
      <c r="J180" s="224"/>
      <c r="K180" s="228"/>
      <c r="L180" s="210"/>
      <c r="M180" s="210"/>
      <c r="N180" s="229"/>
    </row>
    <row r="181" spans="1:14" ht="15.75" x14ac:dyDescent="0.25">
      <c r="A181" s="230" t="s">
        <v>223</v>
      </c>
      <c r="C181" s="206"/>
      <c r="D181" s="207"/>
      <c r="E181" s="208"/>
      <c r="F181" s="212"/>
      <c r="G181" s="222"/>
      <c r="H181" s="222"/>
      <c r="I181" s="223"/>
      <c r="J181" s="224"/>
      <c r="K181" s="206"/>
      <c r="L181" s="209"/>
      <c r="M181" s="209"/>
      <c r="N181" s="225"/>
    </row>
    <row r="182" spans="1:14" ht="15.75" x14ac:dyDescent="0.25">
      <c r="A182" s="230" t="s">
        <v>225</v>
      </c>
      <c r="C182" s="206"/>
      <c r="D182" s="207"/>
      <c r="E182" s="208"/>
      <c r="F182" s="212"/>
      <c r="G182" s="222"/>
      <c r="H182" s="222"/>
      <c r="I182" s="223"/>
      <c r="J182" s="224"/>
      <c r="K182" s="206"/>
      <c r="L182" s="209"/>
      <c r="M182" s="209"/>
      <c r="N182" s="225"/>
    </row>
    <row r="183" spans="1:14" ht="15.75" x14ac:dyDescent="0.25">
      <c r="A183" s="230" t="s">
        <v>535</v>
      </c>
      <c r="C183" s="206"/>
      <c r="D183" s="207"/>
      <c r="E183" s="208"/>
      <c r="F183" s="212"/>
      <c r="G183" s="233"/>
      <c r="H183" s="233"/>
      <c r="I183" s="223"/>
      <c r="J183" s="224"/>
      <c r="K183" s="228"/>
      <c r="L183" s="210"/>
      <c r="M183" s="210"/>
      <c r="N183" s="229"/>
    </row>
    <row r="184" spans="1:14" ht="15.75" x14ac:dyDescent="0.25">
      <c r="A184" s="230" t="s">
        <v>228</v>
      </c>
      <c r="C184" s="206"/>
      <c r="D184" s="207"/>
      <c r="E184" s="208"/>
      <c r="F184" s="212"/>
      <c r="G184" s="222"/>
      <c r="H184" s="222"/>
      <c r="I184" s="223"/>
      <c r="J184" s="224"/>
      <c r="K184" s="206"/>
      <c r="L184" s="209"/>
      <c r="M184" s="209"/>
      <c r="N184" s="225"/>
    </row>
    <row r="185" spans="1:14" ht="15.75" x14ac:dyDescent="0.25">
      <c r="A185" s="230" t="s">
        <v>503</v>
      </c>
      <c r="C185" s="206"/>
      <c r="D185" s="207"/>
      <c r="E185" s="208"/>
      <c r="F185" s="212"/>
      <c r="G185" s="233"/>
      <c r="H185" s="233"/>
      <c r="I185" s="223"/>
      <c r="J185" s="224"/>
      <c r="K185" s="228"/>
      <c r="L185" s="210"/>
      <c r="M185" s="210"/>
      <c r="N185" s="229"/>
    </row>
    <row r="186" spans="1:14" ht="15.75" x14ac:dyDescent="0.25">
      <c r="A186" s="230" t="s">
        <v>231</v>
      </c>
      <c r="C186" s="206"/>
      <c r="D186" s="207"/>
      <c r="E186" s="208"/>
      <c r="F186" s="212"/>
      <c r="G186" s="233"/>
      <c r="H186" s="233"/>
      <c r="I186" s="223"/>
      <c r="J186" s="224"/>
      <c r="K186" s="228"/>
      <c r="L186" s="210"/>
      <c r="M186" s="210"/>
      <c r="N186" s="229"/>
    </row>
    <row r="187" spans="1:14" ht="15.75" x14ac:dyDescent="0.25">
      <c r="A187" s="230" t="s">
        <v>233</v>
      </c>
      <c r="C187" s="206"/>
      <c r="D187" s="207"/>
      <c r="E187" s="208"/>
      <c r="F187" s="212"/>
      <c r="G187" s="222"/>
      <c r="H187" s="222"/>
      <c r="I187" s="223"/>
      <c r="J187" s="224"/>
      <c r="K187" s="206"/>
      <c r="L187" s="209"/>
      <c r="M187" s="209"/>
      <c r="N187" s="225"/>
    </row>
    <row r="188" spans="1:14" ht="15.75" x14ac:dyDescent="0.25">
      <c r="A188" s="230" t="s">
        <v>244</v>
      </c>
      <c r="C188" s="206"/>
      <c r="D188" s="207"/>
      <c r="E188" s="208"/>
      <c r="F188" s="212"/>
      <c r="G188" s="222"/>
      <c r="H188" s="222"/>
      <c r="I188" s="223"/>
      <c r="J188" s="224"/>
      <c r="K188" s="206"/>
      <c r="L188" s="209"/>
      <c r="M188" s="209"/>
      <c r="N188" s="225"/>
    </row>
    <row r="189" spans="1:14" ht="15.75" x14ac:dyDescent="0.25">
      <c r="A189" s="230" t="s">
        <v>246</v>
      </c>
      <c r="C189" s="206"/>
      <c r="D189" s="207"/>
      <c r="E189" s="208"/>
      <c r="F189" s="212"/>
      <c r="G189" s="233"/>
      <c r="H189" s="233"/>
      <c r="I189" s="223"/>
      <c r="J189" s="224"/>
      <c r="K189" s="206"/>
      <c r="L189" s="210"/>
      <c r="M189" s="210"/>
      <c r="N189" s="225"/>
    </row>
    <row r="190" spans="1:14" ht="15.75" x14ac:dyDescent="0.25">
      <c r="A190" s="230" t="s">
        <v>248</v>
      </c>
      <c r="C190" s="206"/>
      <c r="D190" s="207"/>
      <c r="E190" s="208"/>
      <c r="F190" s="212"/>
      <c r="G190" s="233"/>
      <c r="H190" s="233"/>
      <c r="I190" s="223"/>
      <c r="J190" s="224"/>
      <c r="K190" s="228"/>
      <c r="L190" s="210"/>
      <c r="M190" s="210"/>
      <c r="N190" s="229"/>
    </row>
    <row r="191" spans="1:14" ht="15.75" x14ac:dyDescent="0.25">
      <c r="A191" s="230" t="s">
        <v>250</v>
      </c>
      <c r="C191" s="206"/>
      <c r="D191" s="207"/>
      <c r="E191" s="208"/>
      <c r="F191" s="212"/>
      <c r="G191" s="222"/>
      <c r="H191" s="222"/>
      <c r="I191" s="223"/>
      <c r="J191" s="224"/>
      <c r="K191" s="206"/>
      <c r="L191" s="209"/>
      <c r="M191" s="209"/>
      <c r="N191" s="225"/>
    </row>
    <row r="192" spans="1:14" ht="15.75" x14ac:dyDescent="0.25">
      <c r="A192" s="230" t="s">
        <v>545</v>
      </c>
      <c r="C192" s="206"/>
      <c r="D192" s="207"/>
      <c r="E192" s="208"/>
      <c r="F192" s="212"/>
      <c r="G192" s="233"/>
      <c r="H192" s="233"/>
      <c r="I192" s="223"/>
      <c r="J192" s="224"/>
      <c r="K192" s="228"/>
      <c r="L192" s="210"/>
      <c r="M192" s="210"/>
      <c r="N192" s="229"/>
    </row>
    <row r="193" spans="1:14" ht="15.75" x14ac:dyDescent="0.25">
      <c r="A193" s="230" t="s">
        <v>550</v>
      </c>
      <c r="C193" s="206"/>
      <c r="D193" s="207"/>
      <c r="E193" s="208"/>
      <c r="F193" s="212"/>
      <c r="G193" s="222"/>
      <c r="H193" s="222"/>
      <c r="I193" s="223"/>
      <c r="J193" s="224"/>
      <c r="K193" s="206"/>
      <c r="L193" s="209"/>
      <c r="M193" s="209"/>
      <c r="N193" s="225"/>
    </row>
    <row r="194" spans="1:14" ht="15.75" x14ac:dyDescent="0.25">
      <c r="A194" s="230" t="s">
        <v>543</v>
      </c>
      <c r="C194" s="206"/>
      <c r="D194" s="207"/>
      <c r="E194" s="208"/>
      <c r="F194" s="212"/>
      <c r="G194" s="222"/>
      <c r="H194" s="222"/>
      <c r="I194" s="223"/>
      <c r="J194" s="224"/>
      <c r="K194" s="206"/>
      <c r="L194" s="209"/>
      <c r="M194" s="209"/>
      <c r="N194" s="225"/>
    </row>
    <row r="195" spans="1:14" ht="15.75" x14ac:dyDescent="0.25">
      <c r="A195" s="230" t="s">
        <v>255</v>
      </c>
      <c r="C195" s="206"/>
      <c r="D195" s="207"/>
      <c r="E195" s="208"/>
      <c r="F195" s="231"/>
      <c r="G195" s="232"/>
      <c r="H195" s="232"/>
      <c r="I195" s="223"/>
      <c r="J195" s="224"/>
      <c r="K195" s="228"/>
      <c r="L195" s="209"/>
      <c r="M195" s="209"/>
      <c r="N195" s="229"/>
    </row>
    <row r="196" spans="1:14" ht="15.75" x14ac:dyDescent="0.25">
      <c r="A196" s="230" t="s">
        <v>257</v>
      </c>
      <c r="C196" s="206"/>
      <c r="D196" s="207"/>
      <c r="E196" s="208"/>
      <c r="F196" s="212"/>
      <c r="G196" s="222"/>
      <c r="H196" s="222"/>
      <c r="I196" s="223"/>
      <c r="J196" s="224"/>
      <c r="K196" s="206"/>
      <c r="L196" s="209"/>
      <c r="M196" s="209"/>
      <c r="N196" s="225"/>
    </row>
    <row r="197" spans="1:14" ht="15.75" x14ac:dyDescent="0.25">
      <c r="A197" s="230" t="s">
        <v>259</v>
      </c>
      <c r="C197" s="206"/>
      <c r="D197" s="207"/>
      <c r="E197" s="208"/>
      <c r="F197" s="212"/>
      <c r="G197" s="222"/>
      <c r="H197" s="222"/>
      <c r="I197" s="223"/>
      <c r="J197" s="224"/>
      <c r="K197" s="206"/>
      <c r="L197" s="209"/>
      <c r="M197" s="209"/>
      <c r="N197" s="225"/>
    </row>
    <row r="198" spans="1:14" ht="15.75" x14ac:dyDescent="0.25">
      <c r="A198" s="230" t="s">
        <v>512</v>
      </c>
      <c r="C198" s="206"/>
      <c r="D198" s="207"/>
      <c r="E198" s="208"/>
      <c r="F198" s="212"/>
      <c r="G198" s="222"/>
      <c r="H198" s="222"/>
      <c r="I198" s="223"/>
      <c r="J198" s="224"/>
      <c r="K198" s="228"/>
      <c r="L198" s="209"/>
      <c r="M198" s="209"/>
      <c r="N198" s="229"/>
    </row>
    <row r="199" spans="1:14" ht="15.75" x14ac:dyDescent="0.25">
      <c r="A199" s="230" t="s">
        <v>522</v>
      </c>
      <c r="C199" s="206"/>
      <c r="D199" s="207"/>
      <c r="E199" s="208"/>
      <c r="F199" s="212"/>
      <c r="G199" s="222"/>
      <c r="H199" s="222"/>
      <c r="I199" s="223"/>
      <c r="J199" s="224"/>
      <c r="K199" s="228"/>
      <c r="L199" s="209"/>
      <c r="M199" s="209"/>
      <c r="N199" s="229"/>
    </row>
    <row r="200" spans="1:14" ht="15.75" x14ac:dyDescent="0.25">
      <c r="A200" s="230" t="s">
        <v>524</v>
      </c>
      <c r="C200" s="206"/>
      <c r="D200" s="207"/>
      <c r="E200" s="208"/>
      <c r="F200" s="212"/>
      <c r="G200" s="222"/>
      <c r="H200" s="222"/>
      <c r="I200" s="223"/>
      <c r="J200" s="224"/>
      <c r="K200" s="228"/>
      <c r="L200" s="209"/>
      <c r="M200" s="209"/>
      <c r="N200" s="229"/>
    </row>
    <row r="201" spans="1:14" ht="15.75" x14ac:dyDescent="0.25">
      <c r="A201" s="230" t="s">
        <v>530</v>
      </c>
      <c r="C201" s="206"/>
      <c r="D201" s="207"/>
      <c r="E201" s="208"/>
      <c r="F201" s="212"/>
      <c r="G201" s="222"/>
      <c r="H201" s="222"/>
      <c r="I201" s="223"/>
      <c r="J201" s="224"/>
      <c r="K201" s="228"/>
      <c r="L201" s="209"/>
      <c r="M201" s="209"/>
      <c r="N201" s="229"/>
    </row>
    <row r="202" spans="1:14" ht="15.75" x14ac:dyDescent="0.25">
      <c r="A202" s="230" t="s">
        <v>265</v>
      </c>
      <c r="C202" s="206"/>
      <c r="D202" s="207"/>
      <c r="E202" s="208"/>
      <c r="F202" s="212"/>
      <c r="G202" s="222"/>
      <c r="H202" s="222"/>
      <c r="I202" s="223"/>
      <c r="J202" s="224"/>
      <c r="K202" s="206"/>
      <c r="L202" s="209"/>
      <c r="M202" s="209"/>
      <c r="N202" s="225"/>
    </row>
    <row r="203" spans="1:14" ht="15.75" x14ac:dyDescent="0.25">
      <c r="A203" s="230" t="s">
        <v>267</v>
      </c>
      <c r="C203" s="206"/>
      <c r="D203" s="207"/>
      <c r="E203" s="208"/>
      <c r="F203" s="212"/>
      <c r="G203" s="222"/>
      <c r="H203" s="222"/>
      <c r="I203" s="223"/>
      <c r="J203" s="224"/>
      <c r="K203" s="206"/>
      <c r="L203" s="209"/>
      <c r="M203" s="209"/>
      <c r="N203" s="225"/>
    </row>
    <row r="204" spans="1:14" ht="15.75" x14ac:dyDescent="0.25">
      <c r="A204" s="230" t="s">
        <v>507</v>
      </c>
      <c r="C204" s="206"/>
      <c r="D204" s="207"/>
      <c r="E204" s="208"/>
      <c r="F204" s="212"/>
      <c r="G204" s="222"/>
      <c r="H204" s="222"/>
      <c r="I204" s="223"/>
      <c r="J204" s="224"/>
      <c r="K204" s="228"/>
      <c r="L204" s="211"/>
      <c r="M204" s="211"/>
      <c r="N204" s="229"/>
    </row>
    <row r="205" spans="1:14" ht="15.75" x14ac:dyDescent="0.25">
      <c r="A205" s="230" t="s">
        <v>270</v>
      </c>
      <c r="C205" s="206"/>
      <c r="D205" s="207"/>
      <c r="E205" s="206"/>
      <c r="F205" s="212"/>
      <c r="G205" s="222"/>
      <c r="H205" s="222"/>
      <c r="I205" s="223"/>
      <c r="J205" s="224"/>
      <c r="K205" s="228"/>
      <c r="L205" s="209"/>
      <c r="M205" s="209"/>
      <c r="N205" s="229"/>
    </row>
    <row r="206" spans="1:14" ht="15.75" x14ac:dyDescent="0.25">
      <c r="A206" s="230" t="s">
        <v>518</v>
      </c>
      <c r="C206" s="206"/>
      <c r="D206" s="207"/>
      <c r="E206" s="208"/>
      <c r="F206" s="212"/>
      <c r="G206" s="233"/>
      <c r="H206" s="233"/>
      <c r="I206" s="223"/>
      <c r="J206" s="224"/>
      <c r="K206" s="228"/>
      <c r="L206" s="210"/>
      <c r="M206" s="210"/>
      <c r="N206" s="229"/>
    </row>
    <row r="207" spans="1:14" ht="15.75" x14ac:dyDescent="0.25">
      <c r="A207" s="230" t="s">
        <v>273</v>
      </c>
      <c r="C207" s="206"/>
      <c r="D207" s="207"/>
      <c r="E207" s="208"/>
      <c r="F207" s="212"/>
      <c r="G207" s="222"/>
      <c r="H207" s="222"/>
      <c r="I207" s="223"/>
      <c r="J207" s="224"/>
      <c r="K207" s="206"/>
      <c r="L207" s="209"/>
      <c r="M207" s="209"/>
      <c r="N207" s="225"/>
    </row>
    <row r="208" spans="1:14" ht="15.75" x14ac:dyDescent="0.25">
      <c r="A208" s="230" t="s">
        <v>549</v>
      </c>
      <c r="C208" s="206"/>
      <c r="D208" s="207"/>
      <c r="E208" s="208"/>
      <c r="F208" s="212"/>
      <c r="G208" s="222"/>
      <c r="H208" s="222"/>
      <c r="I208" s="223"/>
      <c r="J208" s="224"/>
      <c r="K208" s="228"/>
      <c r="L208" s="209"/>
      <c r="M208" s="209"/>
      <c r="N208" s="229"/>
    </row>
    <row r="209" spans="1:14" ht="15.75" x14ac:dyDescent="0.25">
      <c r="A209" s="230" t="s">
        <v>276</v>
      </c>
      <c r="C209" s="206"/>
      <c r="D209" s="207"/>
      <c r="E209" s="208"/>
      <c r="F209" s="212"/>
      <c r="G209" s="222"/>
      <c r="H209" s="222"/>
      <c r="I209" s="223"/>
      <c r="J209" s="224"/>
      <c r="K209" s="206"/>
      <c r="L209" s="209"/>
      <c r="M209" s="209"/>
      <c r="N209" s="225"/>
    </row>
    <row r="210" spans="1:14" ht="15.75" x14ac:dyDescent="0.25">
      <c r="A210" s="230" t="s">
        <v>278</v>
      </c>
      <c r="C210" s="206"/>
      <c r="D210" s="207"/>
      <c r="E210" s="208"/>
      <c r="F210" s="234"/>
      <c r="G210" s="222"/>
      <c r="H210" s="222"/>
      <c r="I210" s="223"/>
      <c r="J210" s="224"/>
      <c r="K210" s="206"/>
      <c r="L210" s="214"/>
      <c r="M210" s="214"/>
      <c r="N210" s="225"/>
    </row>
    <row r="211" spans="1:14" ht="15.75" x14ac:dyDescent="0.25">
      <c r="A211" s="230" t="s">
        <v>280</v>
      </c>
      <c r="C211" s="206"/>
      <c r="D211" s="207"/>
      <c r="E211" s="208"/>
      <c r="F211" s="212"/>
      <c r="G211" s="222"/>
      <c r="H211" s="222"/>
      <c r="I211" s="223"/>
      <c r="J211" s="224"/>
      <c r="K211" s="206"/>
      <c r="L211" s="209"/>
      <c r="M211" s="209"/>
      <c r="N211" s="225"/>
    </row>
    <row r="212" spans="1:14" ht="15.75" x14ac:dyDescent="0.25">
      <c r="A212" s="230" t="s">
        <v>282</v>
      </c>
      <c r="C212" s="206"/>
      <c r="D212" s="207"/>
      <c r="E212" s="208"/>
      <c r="F212" s="212"/>
      <c r="G212" s="233"/>
      <c r="H212" s="233"/>
      <c r="I212" s="223"/>
      <c r="J212" s="224"/>
      <c r="K212" s="228"/>
      <c r="L212" s="210"/>
      <c r="M212" s="210"/>
      <c r="N212" s="229"/>
    </row>
    <row r="213" spans="1:14" ht="15.75" x14ac:dyDescent="0.25">
      <c r="A213" s="230" t="s">
        <v>284</v>
      </c>
      <c r="C213" s="206"/>
      <c r="D213" s="207"/>
      <c r="E213" s="208"/>
      <c r="F213" s="212"/>
      <c r="G213" s="222"/>
      <c r="H213" s="222"/>
      <c r="I213" s="223"/>
      <c r="J213" s="224"/>
      <c r="K213" s="206"/>
      <c r="L213" s="209"/>
      <c r="M213" s="209"/>
      <c r="N213" s="225"/>
    </row>
    <row r="214" spans="1:14" ht="15.75" x14ac:dyDescent="0.25">
      <c r="A214" s="230" t="s">
        <v>286</v>
      </c>
      <c r="C214" s="206"/>
      <c r="D214" s="207"/>
      <c r="E214" s="208"/>
      <c r="F214" s="212"/>
      <c r="G214" s="222"/>
      <c r="H214" s="222"/>
      <c r="I214" s="223"/>
      <c r="J214" s="224"/>
      <c r="K214" s="206"/>
      <c r="L214" s="209"/>
      <c r="M214" s="209"/>
      <c r="N214" s="225"/>
    </row>
    <row r="215" spans="1:14" ht="15.75" x14ac:dyDescent="0.25">
      <c r="A215" s="230" t="s">
        <v>288</v>
      </c>
      <c r="C215" s="206"/>
      <c r="D215" s="207"/>
      <c r="E215" s="208"/>
      <c r="F215" s="212"/>
      <c r="G215" s="222"/>
      <c r="H215" s="222"/>
      <c r="I215" s="223"/>
      <c r="J215" s="224"/>
      <c r="K215" s="206"/>
      <c r="L215" s="209"/>
      <c r="M215" s="209"/>
      <c r="N215" s="225"/>
    </row>
    <row r="216" spans="1:14" ht="15.75" x14ac:dyDescent="0.25">
      <c r="A216" s="230" t="s">
        <v>290</v>
      </c>
      <c r="C216" s="206"/>
      <c r="D216" s="207"/>
      <c r="E216" s="208"/>
      <c r="F216" s="212"/>
      <c r="G216" s="222"/>
      <c r="H216" s="222"/>
      <c r="I216" s="223"/>
      <c r="J216" s="224"/>
      <c r="K216" s="206"/>
      <c r="L216" s="209"/>
      <c r="M216" s="209"/>
      <c r="N216" s="225"/>
    </row>
    <row r="217" spans="1:14" ht="15.75" x14ac:dyDescent="0.25">
      <c r="A217" s="230" t="s">
        <v>292</v>
      </c>
      <c r="C217" s="206"/>
      <c r="D217" s="207"/>
      <c r="E217" s="208"/>
      <c r="F217" s="212"/>
      <c r="G217" s="222"/>
      <c r="H217" s="222"/>
      <c r="I217" s="223"/>
      <c r="J217" s="224"/>
      <c r="K217" s="228"/>
      <c r="L217" s="209"/>
      <c r="M217" s="209"/>
      <c r="N217" s="229"/>
    </row>
    <row r="218" spans="1:14" ht="15.75" x14ac:dyDescent="0.25">
      <c r="A218" s="230" t="s">
        <v>294</v>
      </c>
      <c r="C218" s="206"/>
      <c r="D218" s="207"/>
      <c r="E218" s="208"/>
      <c r="F218" s="212"/>
      <c r="G218" s="222"/>
      <c r="H218" s="222"/>
      <c r="I218" s="223"/>
      <c r="J218" s="224"/>
      <c r="K218" s="206"/>
      <c r="L218" s="209"/>
      <c r="M218" s="209"/>
      <c r="N218" s="225"/>
    </row>
    <row r="219" spans="1:14" ht="15.75" x14ac:dyDescent="0.25">
      <c r="A219" s="230" t="s">
        <v>296</v>
      </c>
      <c r="C219" s="206"/>
      <c r="D219" s="207"/>
      <c r="E219" s="208"/>
      <c r="F219" s="212"/>
      <c r="G219" s="222"/>
      <c r="H219" s="222"/>
      <c r="I219" s="223"/>
      <c r="J219" s="224"/>
      <c r="K219" s="228"/>
      <c r="L219" s="209"/>
      <c r="M219" s="209"/>
      <c r="N219" s="229"/>
    </row>
    <row r="220" spans="1:14" ht="15.75" x14ac:dyDescent="0.25">
      <c r="A220" s="230" t="s">
        <v>298</v>
      </c>
      <c r="C220" s="206"/>
      <c r="D220" s="207"/>
      <c r="E220" s="208"/>
      <c r="F220" s="212"/>
      <c r="G220" s="222"/>
      <c r="H220" s="222"/>
      <c r="I220" s="223"/>
      <c r="J220" s="224"/>
      <c r="K220" s="228"/>
      <c r="L220" s="209"/>
      <c r="M220" s="209"/>
      <c r="N220" s="229"/>
    </row>
    <row r="221" spans="1:14" ht="15.75" x14ac:dyDescent="0.25">
      <c r="A221" s="230" t="s">
        <v>541</v>
      </c>
      <c r="C221" s="206"/>
      <c r="D221" s="207"/>
      <c r="E221" s="208"/>
      <c r="F221" s="212"/>
      <c r="G221" s="222"/>
      <c r="H221" s="222"/>
      <c r="I221" s="223"/>
      <c r="J221" s="224"/>
      <c r="K221" s="206"/>
      <c r="L221" s="209"/>
      <c r="M221" s="209"/>
      <c r="N221" s="225"/>
    </row>
    <row r="222" spans="1:14" ht="15.75" x14ac:dyDescent="0.25">
      <c r="A222" s="230" t="s">
        <v>301</v>
      </c>
      <c r="C222" s="206"/>
      <c r="D222" s="207"/>
      <c r="E222" s="208"/>
      <c r="F222" s="212"/>
      <c r="G222" s="222"/>
      <c r="H222" s="222"/>
      <c r="I222" s="223"/>
      <c r="J222" s="224"/>
      <c r="K222" s="206"/>
      <c r="L222" s="209"/>
      <c r="M222" s="209"/>
      <c r="N222" s="225"/>
    </row>
    <row r="223" spans="1:14" ht="15.75" x14ac:dyDescent="0.25">
      <c r="A223" s="230" t="s">
        <v>303</v>
      </c>
      <c r="C223" s="206"/>
      <c r="D223" s="207"/>
      <c r="E223" s="208"/>
      <c r="F223" s="212"/>
      <c r="G223" s="222"/>
      <c r="H223" s="222"/>
      <c r="I223" s="223"/>
      <c r="J223" s="224"/>
      <c r="K223" s="228"/>
      <c r="L223" s="209"/>
      <c r="M223" s="209"/>
      <c r="N223" s="229"/>
    </row>
    <row r="224" spans="1:14" ht="15.75" x14ac:dyDescent="0.25">
      <c r="A224" s="230" t="s">
        <v>305</v>
      </c>
      <c r="C224" s="206"/>
      <c r="D224" s="207"/>
      <c r="E224" s="208"/>
      <c r="F224" s="212"/>
      <c r="G224" s="222"/>
      <c r="H224" s="222"/>
      <c r="I224" s="223"/>
      <c r="J224" s="224"/>
      <c r="K224" s="206"/>
      <c r="L224" s="209"/>
      <c r="M224" s="209"/>
      <c r="N224" s="225"/>
    </row>
    <row r="225" spans="1:14" ht="15.75" x14ac:dyDescent="0.25">
      <c r="A225" s="230" t="s">
        <v>307</v>
      </c>
      <c r="C225" s="206"/>
      <c r="D225" s="207"/>
      <c r="E225" s="208"/>
      <c r="F225" s="212"/>
      <c r="G225" s="222"/>
      <c r="H225" s="222"/>
      <c r="I225" s="223"/>
      <c r="J225" s="224"/>
      <c r="K225" s="206"/>
      <c r="L225" s="209"/>
      <c r="M225" s="209"/>
      <c r="N225" s="225"/>
    </row>
    <row r="226" spans="1:14" ht="15.75" x14ac:dyDescent="0.25">
      <c r="A226" s="230" t="s">
        <v>309</v>
      </c>
      <c r="C226" s="206"/>
      <c r="D226" s="207"/>
      <c r="E226" s="208"/>
      <c r="F226" s="212"/>
      <c r="G226" s="233"/>
      <c r="H226" s="233"/>
      <c r="I226" s="223"/>
      <c r="J226" s="224"/>
      <c r="K226" s="228"/>
      <c r="L226" s="210"/>
      <c r="M226" s="210"/>
      <c r="N226" s="229"/>
    </row>
    <row r="227" spans="1:14" ht="15.75" x14ac:dyDescent="0.25">
      <c r="A227" s="230" t="s">
        <v>311</v>
      </c>
      <c r="C227" s="206"/>
      <c r="D227" s="207"/>
      <c r="E227" s="208"/>
      <c r="F227" s="212"/>
      <c r="G227" s="222"/>
      <c r="H227" s="222"/>
      <c r="I227" s="223"/>
      <c r="J227" s="224"/>
      <c r="K227" s="206"/>
      <c r="L227" s="209"/>
      <c r="M227" s="209"/>
      <c r="N227" s="225"/>
    </row>
    <row r="228" spans="1:14" ht="15.75" x14ac:dyDescent="0.25">
      <c r="A228" s="230" t="s">
        <v>313</v>
      </c>
      <c r="C228" s="206"/>
      <c r="D228" s="207"/>
      <c r="E228" s="208"/>
      <c r="F228" s="212"/>
      <c r="G228" s="222"/>
      <c r="H228" s="222"/>
      <c r="I228" s="223"/>
      <c r="J228" s="224"/>
      <c r="K228" s="228"/>
      <c r="L228" s="209"/>
      <c r="M228" s="209"/>
      <c r="N228" s="229"/>
    </row>
    <row r="229" spans="1:14" ht="15.75" x14ac:dyDescent="0.25">
      <c r="A229" s="230" t="s">
        <v>315</v>
      </c>
      <c r="C229" s="206"/>
      <c r="D229" s="207"/>
      <c r="E229" s="208"/>
      <c r="F229" s="212"/>
      <c r="G229" s="222"/>
      <c r="H229" s="222"/>
      <c r="I229" s="223"/>
      <c r="J229" s="224"/>
      <c r="K229" s="228"/>
      <c r="L229" s="211"/>
      <c r="M229" s="211"/>
      <c r="N229" s="229"/>
    </row>
    <row r="230" spans="1:14" ht="15.75" x14ac:dyDescent="0.25">
      <c r="A230" s="230" t="s">
        <v>317</v>
      </c>
      <c r="C230" s="206"/>
      <c r="D230" s="207"/>
      <c r="E230" s="208"/>
      <c r="F230" s="212"/>
      <c r="G230" s="222"/>
      <c r="H230" s="222"/>
      <c r="I230" s="223"/>
      <c r="J230" s="224"/>
      <c r="K230" s="228"/>
      <c r="L230" s="209"/>
      <c r="M230" s="209"/>
      <c r="N230" s="229"/>
    </row>
    <row r="231" spans="1:14" ht="15.75" x14ac:dyDescent="0.25">
      <c r="A231" s="230" t="s">
        <v>319</v>
      </c>
      <c r="C231" s="206"/>
      <c r="D231" s="207"/>
      <c r="E231" s="208"/>
      <c r="F231" s="212"/>
      <c r="G231" s="222"/>
      <c r="H231" s="222"/>
      <c r="I231" s="223"/>
      <c r="J231" s="224"/>
      <c r="K231" s="206"/>
      <c r="L231" s="209"/>
      <c r="M231" s="209"/>
      <c r="N231" s="225"/>
    </row>
    <row r="232" spans="1:14" ht="15.75" x14ac:dyDescent="0.25">
      <c r="A232" s="230" t="s">
        <v>321</v>
      </c>
      <c r="C232" s="206"/>
      <c r="D232" s="207"/>
      <c r="E232" s="208"/>
      <c r="F232" s="212"/>
      <c r="G232" s="222"/>
      <c r="H232" s="222"/>
      <c r="I232" s="223"/>
      <c r="J232" s="224"/>
      <c r="K232" s="206"/>
      <c r="L232" s="209"/>
      <c r="M232" s="209"/>
      <c r="N232" s="225"/>
    </row>
    <row r="233" spans="1:14" ht="15.75" x14ac:dyDescent="0.25">
      <c r="A233" s="230" t="s">
        <v>508</v>
      </c>
      <c r="C233" s="206"/>
      <c r="D233" s="207"/>
      <c r="E233" s="208"/>
      <c r="F233" s="212"/>
      <c r="G233" s="222"/>
      <c r="H233" s="222"/>
      <c r="I233" s="223"/>
      <c r="J233" s="224"/>
      <c r="K233" s="206"/>
      <c r="L233" s="209"/>
      <c r="M233" s="209"/>
      <c r="N233" s="225"/>
    </row>
    <row r="234" spans="1:14" ht="15.75" x14ac:dyDescent="0.25">
      <c r="A234" s="230" t="s">
        <v>324</v>
      </c>
      <c r="C234" s="206"/>
      <c r="D234" s="207"/>
      <c r="E234" s="208"/>
      <c r="F234" s="212"/>
      <c r="G234" s="233"/>
      <c r="H234" s="233"/>
      <c r="I234" s="223"/>
      <c r="J234" s="224"/>
      <c r="K234" s="228"/>
      <c r="L234" s="210"/>
      <c r="M234" s="210"/>
      <c r="N234" s="229"/>
    </row>
    <row r="235" spans="1:14" ht="15.75" x14ac:dyDescent="0.25">
      <c r="A235" s="230" t="s">
        <v>326</v>
      </c>
      <c r="C235" s="206"/>
      <c r="D235" s="207"/>
      <c r="E235" s="208"/>
      <c r="F235" s="212"/>
      <c r="G235" s="222"/>
      <c r="H235" s="222"/>
      <c r="I235" s="223"/>
      <c r="J235" s="224"/>
      <c r="K235" s="206"/>
      <c r="L235" s="209"/>
      <c r="M235" s="209"/>
      <c r="N235" s="225"/>
    </row>
    <row r="236" spans="1:14" ht="15.75" x14ac:dyDescent="0.25">
      <c r="A236" s="230" t="s">
        <v>328</v>
      </c>
      <c r="C236" s="206"/>
      <c r="D236" s="207"/>
      <c r="E236" s="208"/>
      <c r="F236" s="212"/>
      <c r="G236" s="222"/>
      <c r="H236" s="222"/>
      <c r="I236" s="223"/>
      <c r="J236" s="224"/>
      <c r="K236" s="206"/>
      <c r="L236" s="209"/>
      <c r="M236" s="209"/>
      <c r="N236" s="225"/>
    </row>
    <row r="237" spans="1:14" ht="15.75" x14ac:dyDescent="0.25">
      <c r="A237" s="230" t="s">
        <v>330</v>
      </c>
      <c r="C237" s="206"/>
      <c r="D237" s="207"/>
      <c r="E237" s="208"/>
      <c r="F237" s="212"/>
      <c r="G237" s="222"/>
      <c r="H237" s="222"/>
      <c r="I237" s="223"/>
      <c r="J237" s="224"/>
      <c r="K237" s="206"/>
      <c r="L237" s="209"/>
      <c r="M237" s="209"/>
      <c r="N237" s="225"/>
    </row>
    <row r="238" spans="1:14" ht="15.75" x14ac:dyDescent="0.25">
      <c r="A238" s="230" t="s">
        <v>502</v>
      </c>
      <c r="C238" s="206"/>
      <c r="D238" s="207"/>
      <c r="E238" s="208"/>
      <c r="F238" s="212"/>
      <c r="G238" s="222"/>
      <c r="H238" s="222"/>
      <c r="I238" s="223"/>
      <c r="J238" s="224"/>
      <c r="K238" s="206"/>
      <c r="L238" s="209"/>
      <c r="M238" s="209"/>
      <c r="N238" s="225"/>
    </row>
    <row r="239" spans="1:14" ht="15.75" x14ac:dyDescent="0.25">
      <c r="A239" s="230" t="s">
        <v>333</v>
      </c>
      <c r="C239" s="206"/>
      <c r="D239" s="207"/>
      <c r="E239" s="208"/>
      <c r="F239" s="212"/>
      <c r="G239" s="222"/>
      <c r="H239" s="222"/>
      <c r="I239" s="223"/>
      <c r="J239" s="224"/>
      <c r="K239" s="206"/>
      <c r="L239" s="209"/>
      <c r="M239" s="209"/>
      <c r="N239" s="225"/>
    </row>
    <row r="240" spans="1:14" ht="15.75" x14ac:dyDescent="0.25">
      <c r="A240" s="230" t="s">
        <v>335</v>
      </c>
      <c r="C240" s="206"/>
      <c r="D240" s="207"/>
      <c r="E240" s="208"/>
      <c r="F240" s="231"/>
      <c r="G240" s="232"/>
      <c r="H240" s="232"/>
      <c r="I240" s="223"/>
      <c r="J240" s="224"/>
      <c r="K240" s="206"/>
      <c r="L240" s="209"/>
      <c r="M240" s="209"/>
      <c r="N240" s="225"/>
    </row>
    <row r="241" spans="1:14" ht="15.75" x14ac:dyDescent="0.25">
      <c r="A241" s="230" t="s">
        <v>337</v>
      </c>
      <c r="C241" s="206"/>
      <c r="D241" s="207"/>
      <c r="E241" s="208"/>
      <c r="F241" s="212"/>
      <c r="G241" s="222"/>
      <c r="H241" s="222"/>
      <c r="I241" s="223"/>
      <c r="J241" s="224"/>
      <c r="K241" s="206"/>
      <c r="L241" s="209"/>
      <c r="M241" s="209"/>
      <c r="N241" s="225"/>
    </row>
    <row r="242" spans="1:14" ht="15.75" x14ac:dyDescent="0.25">
      <c r="A242" s="230" t="s">
        <v>339</v>
      </c>
      <c r="C242" s="206"/>
      <c r="D242" s="207"/>
      <c r="E242" s="208"/>
      <c r="F242" s="212"/>
      <c r="G242" s="222"/>
      <c r="H242" s="222"/>
      <c r="I242" s="223"/>
      <c r="J242" s="224"/>
      <c r="K242" s="206"/>
      <c r="L242" s="209"/>
      <c r="M242" s="209"/>
      <c r="N242" s="225"/>
    </row>
    <row r="243" spans="1:14" ht="15.75" x14ac:dyDescent="0.25">
      <c r="A243" s="230" t="s">
        <v>341</v>
      </c>
      <c r="C243" s="206"/>
      <c r="D243" s="207"/>
      <c r="E243" s="208"/>
      <c r="F243" s="212"/>
      <c r="G243" s="222"/>
      <c r="H243" s="222"/>
      <c r="I243" s="223"/>
      <c r="J243" s="224"/>
      <c r="K243" s="206"/>
      <c r="L243" s="209"/>
      <c r="M243" s="209"/>
      <c r="N243" s="225"/>
    </row>
    <row r="244" spans="1:14" ht="15.75" x14ac:dyDescent="0.25">
      <c r="A244" s="230" t="s">
        <v>343</v>
      </c>
      <c r="C244" s="206"/>
      <c r="D244" s="207"/>
      <c r="E244" s="208"/>
      <c r="F244" s="212"/>
      <c r="G244" s="233"/>
      <c r="H244" s="233"/>
      <c r="I244" s="223"/>
      <c r="J244" s="224"/>
      <c r="K244" s="206"/>
      <c r="L244" s="210"/>
      <c r="M244" s="210"/>
      <c r="N244" s="225"/>
    </row>
    <row r="245" spans="1:14" ht="15.75" x14ac:dyDescent="0.25">
      <c r="A245" s="230" t="s">
        <v>345</v>
      </c>
      <c r="C245" s="206"/>
      <c r="D245" s="207"/>
      <c r="E245" s="208"/>
      <c r="F245" s="231"/>
      <c r="G245" s="232"/>
      <c r="H245" s="232"/>
      <c r="I245" s="223"/>
      <c r="J245" s="224"/>
      <c r="K245" s="228"/>
      <c r="L245" s="209"/>
      <c r="M245" s="209"/>
      <c r="N245" s="229"/>
    </row>
    <row r="246" spans="1:14" ht="15.75" x14ac:dyDescent="0.25">
      <c r="A246" s="230" t="s">
        <v>347</v>
      </c>
      <c r="C246" s="206"/>
      <c r="D246" s="207"/>
      <c r="E246" s="208"/>
      <c r="F246" s="212"/>
      <c r="G246" s="222"/>
      <c r="H246" s="222"/>
      <c r="I246" s="223"/>
      <c r="J246" s="224"/>
      <c r="K246" s="228"/>
      <c r="L246" s="209"/>
      <c r="M246" s="209"/>
      <c r="N246" s="229"/>
    </row>
    <row r="247" spans="1:14" ht="15.75" x14ac:dyDescent="0.25">
      <c r="A247" s="230" t="s">
        <v>349</v>
      </c>
      <c r="C247" s="206"/>
      <c r="D247" s="207"/>
      <c r="E247" s="208"/>
      <c r="F247" s="212"/>
      <c r="G247" s="222"/>
      <c r="H247" s="222"/>
      <c r="I247" s="223"/>
      <c r="J247" s="224"/>
      <c r="K247" s="228"/>
      <c r="L247" s="209"/>
      <c r="M247" s="209"/>
      <c r="N247" s="229"/>
    </row>
    <row r="248" spans="1:14" ht="15.75" x14ac:dyDescent="0.25">
      <c r="A248" s="230" t="s">
        <v>351</v>
      </c>
      <c r="C248" s="206"/>
      <c r="D248" s="207"/>
      <c r="E248" s="206"/>
      <c r="F248" s="212"/>
      <c r="G248" s="222"/>
      <c r="H248" s="222"/>
      <c r="I248" s="223"/>
      <c r="J248" s="224"/>
      <c r="K248" s="228"/>
      <c r="L248" s="209"/>
      <c r="M248" s="209"/>
      <c r="N248" s="229"/>
    </row>
    <row r="249" spans="1:14" ht="15.75" x14ac:dyDescent="0.25">
      <c r="A249" s="230" t="s">
        <v>353</v>
      </c>
      <c r="C249" s="206"/>
      <c r="D249" s="207"/>
      <c r="E249" s="208"/>
      <c r="F249" s="212"/>
      <c r="G249" s="222"/>
      <c r="H249" s="222"/>
      <c r="I249" s="223"/>
      <c r="J249" s="224"/>
      <c r="K249" s="206"/>
      <c r="L249" s="209"/>
      <c r="M249" s="209"/>
      <c r="N249" s="225"/>
    </row>
    <row r="250" spans="1:14" ht="15.75" x14ac:dyDescent="0.25">
      <c r="A250" s="230" t="s">
        <v>531</v>
      </c>
      <c r="C250" s="206"/>
      <c r="D250" s="207"/>
      <c r="E250" s="208"/>
      <c r="F250" s="212"/>
      <c r="G250" s="222"/>
      <c r="H250" s="222"/>
      <c r="I250" s="223"/>
      <c r="J250" s="224"/>
      <c r="K250" s="206"/>
      <c r="L250" s="209"/>
      <c r="M250" s="209"/>
      <c r="N250" s="225"/>
    </row>
    <row r="251" spans="1:14" ht="15.75" x14ac:dyDescent="0.25">
      <c r="A251" s="230" t="s">
        <v>528</v>
      </c>
      <c r="C251" s="206"/>
      <c r="D251" s="207"/>
      <c r="E251" s="208"/>
      <c r="F251" s="212"/>
      <c r="G251" s="222"/>
      <c r="H251" s="222"/>
      <c r="I251" s="223"/>
      <c r="J251" s="224"/>
      <c r="K251" s="206"/>
      <c r="L251" s="209"/>
      <c r="M251" s="209"/>
      <c r="N251" s="225"/>
    </row>
    <row r="252" spans="1:14" ht="15.75" x14ac:dyDescent="0.25">
      <c r="A252" s="230" t="s">
        <v>357</v>
      </c>
      <c r="C252" s="206"/>
      <c r="D252" s="207"/>
      <c r="E252" s="208"/>
      <c r="F252" s="231"/>
      <c r="G252" s="232"/>
      <c r="H252" s="232"/>
      <c r="I252" s="223"/>
      <c r="J252" s="224"/>
      <c r="K252" s="228"/>
      <c r="L252" s="209"/>
      <c r="M252" s="209"/>
      <c r="N252" s="229"/>
    </row>
    <row r="253" spans="1:14" ht="15.75" x14ac:dyDescent="0.25">
      <c r="A253" s="230" t="s">
        <v>359</v>
      </c>
      <c r="C253" s="206"/>
      <c r="D253" s="207"/>
      <c r="E253" s="208"/>
      <c r="F253" s="231"/>
      <c r="G253" s="232"/>
      <c r="H253" s="232"/>
      <c r="I253" s="223"/>
      <c r="J253" s="224"/>
      <c r="K253" s="206"/>
      <c r="L253" s="209"/>
      <c r="M253" s="209"/>
      <c r="N253" s="225"/>
    </row>
    <row r="254" spans="1:14" ht="15.75" x14ac:dyDescent="0.25">
      <c r="A254" s="230" t="s">
        <v>361</v>
      </c>
      <c r="C254" s="206"/>
      <c r="D254" s="207"/>
      <c r="E254" s="208"/>
      <c r="F254" s="212"/>
      <c r="G254" s="222"/>
      <c r="H254" s="222"/>
      <c r="I254" s="223"/>
      <c r="J254" s="224"/>
      <c r="K254" s="206"/>
      <c r="L254" s="209"/>
      <c r="M254" s="209"/>
      <c r="N254" s="225"/>
    </row>
    <row r="255" spans="1:14" ht="15.75" x14ac:dyDescent="0.25">
      <c r="A255" s="230" t="s">
        <v>363</v>
      </c>
      <c r="C255" s="206"/>
      <c r="D255" s="207"/>
      <c r="E255" s="208"/>
      <c r="F255" s="212"/>
      <c r="G255" s="222"/>
      <c r="H255" s="222"/>
      <c r="I255" s="223"/>
      <c r="J255" s="224"/>
      <c r="K255" s="206"/>
      <c r="L255" s="209"/>
      <c r="M255" s="209"/>
      <c r="N255" s="225"/>
    </row>
    <row r="256" spans="1:14" ht="15.75" x14ac:dyDescent="0.25">
      <c r="A256" s="230" t="s">
        <v>365</v>
      </c>
      <c r="C256" s="206"/>
      <c r="D256" s="207"/>
      <c r="E256" s="208"/>
      <c r="F256" s="212"/>
      <c r="G256" s="233"/>
      <c r="H256" s="233"/>
      <c r="I256" s="223"/>
      <c r="J256" s="224"/>
      <c r="K256" s="228"/>
      <c r="L256" s="210"/>
      <c r="M256" s="215"/>
      <c r="N256" s="229"/>
    </row>
    <row r="257" spans="1:14" ht="15.75" x14ac:dyDescent="0.25">
      <c r="A257" s="230" t="s">
        <v>367</v>
      </c>
      <c r="C257" s="206"/>
      <c r="D257" s="207"/>
      <c r="E257" s="208"/>
      <c r="F257" s="212"/>
      <c r="G257" s="233"/>
      <c r="H257" s="233"/>
      <c r="I257" s="223"/>
      <c r="J257" s="224"/>
      <c r="K257" s="228"/>
      <c r="L257" s="210"/>
      <c r="M257" s="210"/>
      <c r="N257" s="229"/>
    </row>
    <row r="258" spans="1:14" ht="15.75" x14ac:dyDescent="0.25">
      <c r="A258" s="230" t="s">
        <v>369</v>
      </c>
      <c r="C258" s="206"/>
      <c r="D258" s="207"/>
      <c r="E258" s="208"/>
      <c r="F258" s="212"/>
      <c r="G258" s="222"/>
      <c r="H258" s="222"/>
      <c r="I258" s="223"/>
      <c r="J258" s="224"/>
      <c r="K258" s="228"/>
      <c r="L258" s="209"/>
      <c r="M258" s="209"/>
      <c r="N258" s="229"/>
    </row>
    <row r="259" spans="1:14" ht="15.75" x14ac:dyDescent="0.25">
      <c r="A259" s="230" t="s">
        <v>371</v>
      </c>
      <c r="C259" s="206"/>
      <c r="D259" s="207"/>
      <c r="E259" s="208"/>
      <c r="F259" s="212"/>
      <c r="G259" s="222"/>
      <c r="H259" s="222"/>
      <c r="I259" s="223"/>
      <c r="J259" s="224"/>
      <c r="K259" s="206"/>
      <c r="L259" s="209"/>
      <c r="M259" s="209"/>
      <c r="N259" s="225"/>
    </row>
    <row r="260" spans="1:14" ht="15.75" x14ac:dyDescent="0.25">
      <c r="A260" s="230" t="s">
        <v>373</v>
      </c>
      <c r="C260" s="206"/>
      <c r="D260" s="207"/>
      <c r="E260" s="208"/>
      <c r="F260" s="212"/>
      <c r="G260" s="222"/>
      <c r="H260" s="222"/>
      <c r="I260" s="223"/>
      <c r="J260" s="224"/>
      <c r="K260" s="206"/>
      <c r="L260" s="209"/>
      <c r="M260" s="209"/>
      <c r="N260" s="225"/>
    </row>
    <row r="261" spans="1:14" ht="15.75" x14ac:dyDescent="0.25">
      <c r="A261" s="230" t="s">
        <v>519</v>
      </c>
      <c r="C261" s="206"/>
      <c r="D261" s="207"/>
      <c r="E261" s="208"/>
      <c r="F261" s="212"/>
      <c r="G261" s="222"/>
      <c r="H261" s="222"/>
      <c r="I261" s="223"/>
      <c r="J261" s="224"/>
      <c r="K261" s="206"/>
      <c r="L261" s="209"/>
      <c r="M261" s="209"/>
      <c r="N261" s="225"/>
    </row>
    <row r="262" spans="1:14" ht="15.75" x14ac:dyDescent="0.25">
      <c r="A262" s="230" t="s">
        <v>548</v>
      </c>
      <c r="C262" s="206"/>
      <c r="D262" s="207"/>
      <c r="E262" s="208"/>
      <c r="F262" s="212"/>
      <c r="G262" s="233"/>
      <c r="H262" s="233"/>
      <c r="I262" s="223"/>
      <c r="J262" s="224"/>
      <c r="K262" s="228"/>
      <c r="L262" s="210"/>
      <c r="M262" s="210"/>
      <c r="N262" s="229"/>
    </row>
    <row r="263" spans="1:14" ht="15.75" x14ac:dyDescent="0.25">
      <c r="A263" s="230" t="s">
        <v>377</v>
      </c>
      <c r="C263" s="206"/>
      <c r="D263" s="207"/>
      <c r="E263" s="208"/>
      <c r="F263" s="212"/>
      <c r="G263" s="222"/>
      <c r="H263" s="222"/>
      <c r="I263" s="223"/>
      <c r="J263" s="224"/>
      <c r="K263" s="206"/>
      <c r="L263" s="209"/>
      <c r="M263" s="209"/>
      <c r="N263" s="225"/>
    </row>
    <row r="264" spans="1:14" ht="15.75" x14ac:dyDescent="0.25">
      <c r="A264" s="230" t="s">
        <v>379</v>
      </c>
      <c r="C264" s="206"/>
      <c r="D264" s="207"/>
      <c r="E264" s="206"/>
      <c r="F264" s="212"/>
      <c r="G264" s="222"/>
      <c r="H264" s="222"/>
      <c r="I264" s="223"/>
      <c r="J264" s="224"/>
      <c r="K264" s="228"/>
      <c r="L264" s="209"/>
      <c r="M264" s="209"/>
      <c r="N264" s="229"/>
    </row>
    <row r="265" spans="1:14" ht="15.75" x14ac:dyDescent="0.25">
      <c r="A265" s="230" t="s">
        <v>381</v>
      </c>
      <c r="C265" s="206"/>
      <c r="D265" s="207"/>
      <c r="E265" s="208"/>
      <c r="F265" s="212"/>
      <c r="G265" s="222"/>
      <c r="H265" s="222"/>
      <c r="I265" s="223"/>
      <c r="J265" s="224"/>
      <c r="K265" s="206"/>
      <c r="L265" s="209"/>
      <c r="M265" s="209"/>
      <c r="N265" s="225"/>
    </row>
    <row r="266" spans="1:14" ht="15.75" x14ac:dyDescent="0.25">
      <c r="A266" s="230" t="s">
        <v>383</v>
      </c>
      <c r="C266" s="206"/>
      <c r="D266" s="207"/>
      <c r="E266" s="208"/>
      <c r="F266" s="212"/>
      <c r="G266" s="222"/>
      <c r="H266" s="222"/>
      <c r="I266" s="223"/>
      <c r="J266" s="224"/>
      <c r="K266" s="228"/>
      <c r="L266" s="209"/>
      <c r="M266" s="209"/>
      <c r="N266" s="229"/>
    </row>
    <row r="267" spans="1:14" ht="15.75" x14ac:dyDescent="0.25">
      <c r="A267" s="230" t="s">
        <v>385</v>
      </c>
      <c r="C267" s="206"/>
      <c r="D267" s="207"/>
      <c r="E267" s="208"/>
      <c r="F267" s="212"/>
      <c r="G267" s="222"/>
      <c r="H267" s="222"/>
      <c r="I267" s="223"/>
      <c r="J267" s="224"/>
      <c r="K267" s="228"/>
      <c r="L267" s="209"/>
      <c r="M267" s="209"/>
      <c r="N267" s="229"/>
    </row>
    <row r="268" spans="1:14" ht="15.75" x14ac:dyDescent="0.25">
      <c r="A268" s="230" t="s">
        <v>387</v>
      </c>
      <c r="C268" s="206"/>
      <c r="D268" s="207"/>
      <c r="E268" s="208"/>
      <c r="F268" s="212"/>
      <c r="G268" s="222"/>
      <c r="H268" s="222"/>
      <c r="I268" s="223"/>
      <c r="J268" s="224"/>
      <c r="K268" s="206"/>
      <c r="L268" s="209"/>
      <c r="M268" s="209"/>
      <c r="N268" s="225"/>
    </row>
    <row r="269" spans="1:14" ht="15.75" x14ac:dyDescent="0.25">
      <c r="A269" s="230" t="s">
        <v>389</v>
      </c>
      <c r="C269" s="206"/>
      <c r="D269" s="207"/>
      <c r="E269" s="208"/>
      <c r="F269" s="212"/>
      <c r="G269" s="222"/>
      <c r="H269" s="222"/>
      <c r="I269" s="223"/>
      <c r="J269" s="224"/>
      <c r="K269" s="206"/>
      <c r="L269" s="209"/>
      <c r="M269" s="209"/>
      <c r="N269" s="225"/>
    </row>
    <row r="270" spans="1:14" ht="15.75" x14ac:dyDescent="0.25">
      <c r="A270" s="230" t="s">
        <v>551</v>
      </c>
      <c r="C270" s="206"/>
      <c r="D270" s="207"/>
      <c r="E270" s="208"/>
      <c r="F270" s="212"/>
      <c r="G270" s="222"/>
      <c r="H270" s="222"/>
      <c r="I270" s="223"/>
      <c r="J270" s="224"/>
      <c r="K270" s="206"/>
      <c r="L270" s="209"/>
      <c r="M270" s="209"/>
      <c r="N270" s="225"/>
    </row>
    <row r="271" spans="1:14" ht="15.75" x14ac:dyDescent="0.25">
      <c r="A271" s="230" t="s">
        <v>392</v>
      </c>
      <c r="C271" s="206"/>
      <c r="D271" s="207"/>
      <c r="E271" s="208"/>
      <c r="F271" s="212"/>
      <c r="G271" s="222"/>
      <c r="H271" s="222"/>
      <c r="I271" s="223"/>
      <c r="J271" s="224"/>
      <c r="K271" s="206"/>
      <c r="L271" s="209"/>
      <c r="M271" s="209"/>
      <c r="N271" s="225"/>
    </row>
    <row r="272" spans="1:14" ht="15.75" x14ac:dyDescent="0.25">
      <c r="A272" s="230" t="s">
        <v>394</v>
      </c>
      <c r="C272" s="206"/>
      <c r="D272" s="207"/>
      <c r="E272" s="208"/>
      <c r="F272" s="212"/>
      <c r="G272" s="222"/>
      <c r="H272" s="222"/>
      <c r="I272" s="223"/>
      <c r="J272" s="224"/>
      <c r="K272" s="228"/>
      <c r="L272" s="209"/>
      <c r="M272" s="209"/>
      <c r="N272" s="229"/>
    </row>
    <row r="273" spans="1:14" ht="15.75" x14ac:dyDescent="0.25">
      <c r="A273" s="230" t="s">
        <v>396</v>
      </c>
      <c r="C273" s="206"/>
      <c r="D273" s="207"/>
      <c r="E273" s="208"/>
      <c r="F273" s="212"/>
      <c r="G273" s="222"/>
      <c r="H273" s="222"/>
      <c r="I273" s="223"/>
      <c r="J273" s="224"/>
      <c r="K273" s="206"/>
      <c r="L273" s="209"/>
      <c r="M273" s="209"/>
      <c r="N273" s="225"/>
    </row>
    <row r="274" spans="1:14" ht="15.75" x14ac:dyDescent="0.25">
      <c r="A274" s="230" t="s">
        <v>398</v>
      </c>
      <c r="C274" s="206"/>
      <c r="D274" s="207"/>
      <c r="E274" s="208"/>
      <c r="F274" s="212"/>
      <c r="G274" s="222"/>
      <c r="H274" s="222"/>
      <c r="I274" s="223"/>
      <c r="J274" s="224"/>
      <c r="K274" s="206"/>
      <c r="L274" s="209"/>
      <c r="M274" s="209"/>
      <c r="N274" s="225"/>
    </row>
    <row r="275" spans="1:14" ht="15.75" x14ac:dyDescent="0.25">
      <c r="A275" s="230" t="s">
        <v>400</v>
      </c>
      <c r="C275" s="206"/>
      <c r="D275" s="207"/>
      <c r="E275" s="208"/>
      <c r="F275" s="212"/>
      <c r="G275" s="222"/>
      <c r="H275" s="222"/>
      <c r="I275" s="223"/>
      <c r="J275" s="224"/>
      <c r="K275" s="206"/>
      <c r="L275" s="209"/>
      <c r="M275" s="209"/>
      <c r="N275" s="225"/>
    </row>
    <row r="276" spans="1:14" ht="15.75" x14ac:dyDescent="0.25">
      <c r="A276" s="230" t="s">
        <v>547</v>
      </c>
      <c r="C276" s="206"/>
      <c r="D276" s="207"/>
      <c r="E276" s="208"/>
      <c r="F276" s="212"/>
      <c r="G276" s="222"/>
      <c r="H276" s="222"/>
      <c r="I276" s="223"/>
      <c r="J276" s="224"/>
      <c r="K276" s="206"/>
      <c r="L276" s="209"/>
      <c r="M276" s="209"/>
      <c r="N276" s="225"/>
    </row>
    <row r="277" spans="1:14" ht="15.75" x14ac:dyDescent="0.25">
      <c r="A277" s="230" t="s">
        <v>403</v>
      </c>
      <c r="C277" s="206"/>
      <c r="D277" s="207"/>
      <c r="E277" s="208"/>
      <c r="F277" s="212"/>
      <c r="G277" s="222"/>
      <c r="H277" s="222"/>
      <c r="I277" s="223"/>
      <c r="J277" s="224"/>
      <c r="K277" s="206"/>
      <c r="L277" s="209"/>
      <c r="M277" s="209"/>
      <c r="N277" s="225"/>
    </row>
    <row r="278" spans="1:14" ht="15.75" x14ac:dyDescent="0.25">
      <c r="A278" s="230" t="s">
        <v>405</v>
      </c>
      <c r="C278" s="206"/>
      <c r="D278" s="207"/>
      <c r="E278" s="208"/>
      <c r="F278" s="212"/>
      <c r="G278" s="222"/>
      <c r="H278" s="222"/>
      <c r="I278" s="223"/>
      <c r="J278" s="224"/>
      <c r="K278" s="228"/>
      <c r="L278" s="209"/>
      <c r="M278" s="209"/>
      <c r="N278" s="229"/>
    </row>
    <row r="279" spans="1:14" ht="15.75" x14ac:dyDescent="0.25">
      <c r="A279" s="230" t="s">
        <v>407</v>
      </c>
      <c r="C279" s="206"/>
      <c r="D279" s="207"/>
      <c r="E279" s="208"/>
      <c r="F279" s="212"/>
      <c r="G279" s="222"/>
      <c r="H279" s="222"/>
      <c r="I279" s="223"/>
      <c r="J279" s="224"/>
      <c r="K279" s="206"/>
      <c r="L279" s="209"/>
      <c r="M279" s="209"/>
      <c r="N279" s="225"/>
    </row>
    <row r="280" spans="1:14" ht="15.75" x14ac:dyDescent="0.25">
      <c r="A280" s="230" t="s">
        <v>409</v>
      </c>
      <c r="C280" s="206"/>
      <c r="D280" s="207"/>
      <c r="E280" s="208"/>
      <c r="F280" s="212"/>
      <c r="G280" s="222"/>
      <c r="H280" s="222"/>
      <c r="I280" s="223"/>
      <c r="J280" s="224"/>
      <c r="K280" s="228"/>
      <c r="L280" s="209"/>
      <c r="M280" s="209"/>
      <c r="N280" s="229"/>
    </row>
    <row r="281" spans="1:14" ht="15.75" x14ac:dyDescent="0.25">
      <c r="A281" s="230" t="s">
        <v>411</v>
      </c>
      <c r="C281" s="206"/>
      <c r="D281" s="207"/>
      <c r="E281" s="208"/>
      <c r="F281" s="212"/>
      <c r="G281" s="222"/>
      <c r="H281" s="222"/>
      <c r="I281" s="223"/>
      <c r="J281" s="224"/>
      <c r="K281" s="206"/>
      <c r="L281" s="209"/>
      <c r="M281" s="209"/>
      <c r="N281" s="225"/>
    </row>
    <row r="282" spans="1:14" ht="15.75" x14ac:dyDescent="0.25">
      <c r="A282" s="230" t="s">
        <v>529</v>
      </c>
      <c r="C282" s="206"/>
      <c r="D282" s="207"/>
      <c r="E282" s="206"/>
      <c r="F282" s="212"/>
      <c r="G282" s="222"/>
      <c r="H282" s="222"/>
      <c r="I282" s="223"/>
      <c r="J282" s="224"/>
      <c r="K282" s="228"/>
      <c r="L282" s="209"/>
      <c r="M282" s="209"/>
      <c r="N282" s="229"/>
    </row>
    <row r="283" spans="1:14" ht="15.75" x14ac:dyDescent="0.25">
      <c r="A283" s="230" t="s">
        <v>537</v>
      </c>
      <c r="C283" s="206"/>
      <c r="D283" s="207"/>
      <c r="E283" s="208"/>
      <c r="F283" s="212"/>
      <c r="G283" s="222"/>
      <c r="H283" s="222"/>
      <c r="I283" s="223"/>
      <c r="J283" s="224"/>
      <c r="K283" s="228"/>
      <c r="L283" s="209"/>
      <c r="M283" s="209"/>
      <c r="N283" s="229"/>
    </row>
    <row r="284" spans="1:14" ht="15.75" x14ac:dyDescent="0.25">
      <c r="A284" s="230" t="s">
        <v>523</v>
      </c>
      <c r="C284" s="206"/>
      <c r="D284" s="207"/>
      <c r="E284" s="208"/>
      <c r="F284" s="212"/>
      <c r="G284" s="222"/>
      <c r="H284" s="222"/>
      <c r="I284" s="223"/>
      <c r="J284" s="224"/>
      <c r="K284" s="206"/>
      <c r="L284" s="209"/>
      <c r="M284" s="209"/>
      <c r="N284" s="225"/>
    </row>
    <row r="285" spans="1:14" ht="15.75" x14ac:dyDescent="0.25">
      <c r="A285" s="230" t="s">
        <v>416</v>
      </c>
      <c r="C285" s="206"/>
      <c r="D285" s="207"/>
      <c r="E285" s="208"/>
      <c r="F285" s="212"/>
      <c r="G285" s="222"/>
      <c r="H285" s="222"/>
      <c r="I285" s="223"/>
      <c r="J285" s="224"/>
      <c r="K285" s="206"/>
      <c r="L285" s="209"/>
      <c r="M285" s="209"/>
      <c r="N285" s="225"/>
    </row>
    <row r="286" spans="1:14" ht="15.75" x14ac:dyDescent="0.25">
      <c r="A286" s="230" t="s">
        <v>418</v>
      </c>
      <c r="C286" s="206"/>
      <c r="D286" s="207"/>
      <c r="E286" s="208"/>
      <c r="F286" s="212"/>
      <c r="G286" s="233"/>
      <c r="H286" s="233"/>
      <c r="I286" s="223"/>
      <c r="J286" s="224"/>
      <c r="K286" s="206"/>
      <c r="L286" s="210"/>
      <c r="M286" s="210"/>
      <c r="N286" s="225"/>
    </row>
    <row r="287" spans="1:14" ht="15.75" x14ac:dyDescent="0.25">
      <c r="A287" s="230" t="s">
        <v>420</v>
      </c>
      <c r="C287" s="206"/>
      <c r="D287" s="207"/>
      <c r="E287" s="208"/>
      <c r="F287" s="231"/>
      <c r="G287" s="232"/>
      <c r="H287" s="232"/>
      <c r="I287" s="223"/>
      <c r="J287" s="224"/>
      <c r="K287" s="228"/>
      <c r="L287" s="209"/>
      <c r="M287" s="209"/>
      <c r="N287" s="229"/>
    </row>
    <row r="288" spans="1:14" ht="15.75" x14ac:dyDescent="0.25">
      <c r="A288" s="230" t="s">
        <v>422</v>
      </c>
      <c r="C288" s="206"/>
      <c r="D288" s="207"/>
      <c r="E288" s="208"/>
      <c r="F288" s="212"/>
      <c r="G288" s="233"/>
      <c r="H288" s="233"/>
      <c r="I288" s="223"/>
      <c r="J288" s="224"/>
      <c r="K288" s="228"/>
      <c r="L288" s="210"/>
      <c r="M288" s="210"/>
      <c r="N288" s="229"/>
    </row>
    <row r="289" spans="1:14" ht="15.75" x14ac:dyDescent="0.25">
      <c r="A289" s="230" t="s">
        <v>424</v>
      </c>
      <c r="C289" s="206"/>
      <c r="D289" s="207"/>
      <c r="E289" s="206"/>
      <c r="F289" s="212"/>
      <c r="G289" s="222"/>
      <c r="H289" s="222"/>
      <c r="I289" s="223"/>
      <c r="J289" s="224"/>
      <c r="K289" s="206"/>
      <c r="L289" s="209"/>
      <c r="M289" s="209"/>
      <c r="N289" s="229"/>
    </row>
    <row r="290" spans="1:14" ht="15.75" x14ac:dyDescent="0.25">
      <c r="A290" s="230" t="s">
        <v>426</v>
      </c>
      <c r="C290" s="206"/>
      <c r="D290" s="207"/>
      <c r="E290" s="206"/>
      <c r="F290" s="212"/>
      <c r="G290" s="222"/>
      <c r="H290" s="222"/>
      <c r="I290" s="223"/>
      <c r="J290" s="224"/>
      <c r="K290" s="228"/>
      <c r="L290" s="209"/>
      <c r="M290" s="209"/>
      <c r="N290" s="229"/>
    </row>
    <row r="291" spans="1:14" ht="15.75" x14ac:dyDescent="0.25">
      <c r="A291" s="230" t="s">
        <v>428</v>
      </c>
      <c r="C291" s="206"/>
      <c r="D291" s="207"/>
      <c r="E291" s="208"/>
      <c r="F291" s="212"/>
      <c r="G291" s="222"/>
      <c r="H291" s="222"/>
      <c r="I291" s="223"/>
      <c r="J291" s="224"/>
      <c r="K291" s="228"/>
      <c r="L291" s="209"/>
      <c r="M291" s="209"/>
      <c r="N291" s="229"/>
    </row>
    <row r="292" spans="1:14" ht="15.75" x14ac:dyDescent="0.25">
      <c r="A292" s="230" t="s">
        <v>430</v>
      </c>
      <c r="C292" s="206"/>
      <c r="D292" s="207"/>
      <c r="E292" s="208"/>
      <c r="F292" s="212"/>
      <c r="G292" s="222"/>
      <c r="H292" s="222"/>
      <c r="I292" s="223"/>
      <c r="J292" s="224"/>
      <c r="K292" s="206"/>
      <c r="L292" s="209"/>
      <c r="M292" s="209"/>
      <c r="N292" s="225"/>
    </row>
    <row r="293" spans="1:14" ht="15.75" x14ac:dyDescent="0.25">
      <c r="A293" s="230" t="s">
        <v>432</v>
      </c>
      <c r="C293" s="206"/>
      <c r="D293" s="207"/>
      <c r="E293" s="208"/>
      <c r="F293" s="212"/>
      <c r="G293" s="222"/>
      <c r="H293" s="222"/>
      <c r="I293" s="223"/>
      <c r="J293" s="224"/>
      <c r="K293" s="206"/>
      <c r="L293" s="209"/>
      <c r="M293" s="209"/>
      <c r="N293" s="225"/>
    </row>
    <row r="294" spans="1:14" ht="15.75" x14ac:dyDescent="0.25">
      <c r="A294" s="230" t="s">
        <v>434</v>
      </c>
      <c r="C294" s="206"/>
      <c r="D294" s="207"/>
      <c r="E294" s="208"/>
      <c r="F294" s="212"/>
      <c r="G294" s="233"/>
      <c r="H294" s="233"/>
      <c r="I294" s="223"/>
      <c r="J294" s="224"/>
      <c r="K294" s="206"/>
      <c r="L294" s="210"/>
      <c r="M294" s="210"/>
      <c r="N294" s="225"/>
    </row>
    <row r="295" spans="1:14" ht="15.75" x14ac:dyDescent="0.25">
      <c r="A295" s="230" t="s">
        <v>514</v>
      </c>
      <c r="C295" s="206"/>
      <c r="D295" s="207"/>
      <c r="E295" s="208"/>
      <c r="F295" s="212"/>
      <c r="G295" s="222"/>
      <c r="H295" s="222"/>
      <c r="I295" s="223"/>
      <c r="J295" s="224"/>
      <c r="K295" s="206"/>
      <c r="L295" s="209"/>
      <c r="M295" s="209"/>
      <c r="N295" s="225"/>
    </row>
    <row r="296" spans="1:14" ht="15.75" x14ac:dyDescent="0.25">
      <c r="A296" s="230" t="s">
        <v>437</v>
      </c>
      <c r="C296" s="206"/>
      <c r="D296" s="207"/>
      <c r="E296" s="208"/>
      <c r="F296" s="212"/>
      <c r="G296" s="222"/>
      <c r="H296" s="222"/>
      <c r="I296" s="223"/>
      <c r="J296" s="224"/>
      <c r="K296" s="206"/>
      <c r="L296" s="209"/>
      <c r="M296" s="209"/>
      <c r="N296" s="225"/>
    </row>
    <row r="297" spans="1:14" ht="15.75" x14ac:dyDescent="0.25">
      <c r="A297" s="230" t="s">
        <v>439</v>
      </c>
      <c r="C297" s="206"/>
      <c r="D297" s="207"/>
      <c r="E297" s="208"/>
      <c r="F297" s="212"/>
      <c r="G297" s="222"/>
      <c r="H297" s="222"/>
      <c r="I297" s="223"/>
      <c r="J297" s="224"/>
      <c r="K297" s="206"/>
      <c r="L297" s="209"/>
      <c r="M297" s="209"/>
      <c r="N297" s="225"/>
    </row>
    <row r="298" spans="1:14" ht="15.75" x14ac:dyDescent="0.25">
      <c r="A298" s="230" t="s">
        <v>441</v>
      </c>
      <c r="C298" s="206"/>
      <c r="D298" s="207"/>
      <c r="E298" s="208"/>
      <c r="F298" s="212"/>
      <c r="G298" s="222"/>
      <c r="H298" s="222"/>
      <c r="I298" s="223"/>
      <c r="J298" s="224"/>
      <c r="K298" s="206"/>
      <c r="L298" s="209"/>
      <c r="M298" s="209"/>
      <c r="N298" s="225"/>
    </row>
    <row r="299" spans="1:14" ht="15.75" x14ac:dyDescent="0.25">
      <c r="A299" s="230" t="s">
        <v>443</v>
      </c>
      <c r="C299" s="206"/>
      <c r="D299" s="207"/>
      <c r="E299" s="208"/>
      <c r="F299" s="212"/>
      <c r="G299" s="222"/>
      <c r="H299" s="222"/>
      <c r="I299" s="223"/>
      <c r="J299" s="224"/>
      <c r="K299" s="228"/>
      <c r="L299" s="211"/>
      <c r="M299" s="211"/>
      <c r="N299" s="229"/>
    </row>
    <row r="300" spans="1:14" ht="15.75" x14ac:dyDescent="0.25">
      <c r="A300" s="230" t="s">
        <v>445</v>
      </c>
      <c r="C300" s="206"/>
      <c r="D300" s="207"/>
      <c r="E300" s="208"/>
      <c r="F300" s="212"/>
      <c r="G300" s="222"/>
      <c r="H300" s="222"/>
      <c r="I300" s="223"/>
      <c r="J300" s="224"/>
      <c r="K300" s="206"/>
      <c r="L300" s="209"/>
      <c r="M300" s="209"/>
      <c r="N300" s="225"/>
    </row>
    <row r="301" spans="1:14" ht="15.75" x14ac:dyDescent="0.25">
      <c r="A301" s="230" t="s">
        <v>447</v>
      </c>
      <c r="C301" s="206"/>
      <c r="D301" s="207"/>
      <c r="E301" s="208"/>
      <c r="F301" s="212"/>
      <c r="G301" s="222"/>
      <c r="H301" s="222"/>
      <c r="I301" s="223"/>
      <c r="J301" s="224"/>
      <c r="K301" s="206"/>
      <c r="L301" s="209"/>
      <c r="M301" s="209"/>
      <c r="N301" s="225"/>
    </row>
    <row r="302" spans="1:14" ht="15.75" x14ac:dyDescent="0.25">
      <c r="A302" s="230" t="s">
        <v>449</v>
      </c>
      <c r="C302" s="206"/>
      <c r="D302" s="207"/>
      <c r="E302" s="208"/>
      <c r="F302" s="212"/>
      <c r="G302" s="222"/>
      <c r="H302" s="222"/>
      <c r="I302" s="223"/>
      <c r="J302" s="224"/>
      <c r="K302" s="206"/>
      <c r="L302" s="209"/>
      <c r="M302" s="209"/>
      <c r="N302" s="225"/>
    </row>
    <row r="303" spans="1:14" ht="15.75" x14ac:dyDescent="0.25">
      <c r="A303" s="230" t="s">
        <v>506</v>
      </c>
      <c r="C303" s="206"/>
      <c r="D303" s="207"/>
      <c r="E303" s="208"/>
      <c r="F303" s="212"/>
      <c r="G303" s="222"/>
      <c r="H303" s="222"/>
      <c r="I303" s="223"/>
      <c r="J303" s="224"/>
      <c r="K303" s="206"/>
      <c r="L303" s="209"/>
      <c r="M303" s="209"/>
      <c r="N303" s="225"/>
    </row>
    <row r="304" spans="1:14" ht="15.75" x14ac:dyDescent="0.25">
      <c r="A304" s="230" t="s">
        <v>452</v>
      </c>
      <c r="C304" s="206"/>
      <c r="D304" s="207"/>
      <c r="E304" s="208"/>
      <c r="F304" s="231"/>
      <c r="G304" s="232"/>
      <c r="H304" s="232"/>
      <c r="I304" s="223"/>
      <c r="J304" s="224"/>
      <c r="K304" s="206"/>
      <c r="L304" s="209"/>
      <c r="M304" s="209"/>
      <c r="N304" s="225"/>
    </row>
    <row r="305" spans="1:14" ht="15.75" x14ac:dyDescent="0.25">
      <c r="A305" s="230" t="s">
        <v>454</v>
      </c>
      <c r="C305" s="206"/>
      <c r="D305" s="207"/>
      <c r="E305" s="208"/>
      <c r="F305" s="212"/>
      <c r="G305" s="222"/>
      <c r="H305" s="222"/>
      <c r="I305" s="223"/>
      <c r="J305" s="224"/>
      <c r="K305" s="206"/>
      <c r="L305" s="209"/>
      <c r="M305" s="209"/>
      <c r="N305" s="225"/>
    </row>
    <row r="306" spans="1:14" ht="15.75" x14ac:dyDescent="0.25">
      <c r="A306" s="230" t="s">
        <v>456</v>
      </c>
      <c r="C306" s="206"/>
      <c r="D306" s="207"/>
      <c r="E306" s="206"/>
      <c r="F306" s="212"/>
      <c r="G306" s="222"/>
      <c r="H306" s="222"/>
      <c r="I306" s="223"/>
      <c r="J306" s="224"/>
      <c r="K306" s="228"/>
      <c r="L306" s="209"/>
      <c r="M306" s="209"/>
      <c r="N306" s="229"/>
    </row>
    <row r="307" spans="1:14" ht="15.75" x14ac:dyDescent="0.25">
      <c r="A307" s="230" t="s">
        <v>458</v>
      </c>
      <c r="C307" s="206"/>
      <c r="D307" s="207"/>
      <c r="E307" s="208"/>
      <c r="F307" s="212"/>
      <c r="G307" s="222"/>
      <c r="H307" s="222"/>
      <c r="I307" s="223"/>
      <c r="J307" s="224"/>
      <c r="K307" s="206"/>
      <c r="L307" s="209"/>
      <c r="M307" s="209"/>
      <c r="N307" s="225"/>
    </row>
    <row r="308" spans="1:14" ht="15.75" x14ac:dyDescent="0.25">
      <c r="A308" s="230" t="s">
        <v>460</v>
      </c>
      <c r="C308" s="206"/>
      <c r="D308" s="207"/>
      <c r="E308" s="208"/>
      <c r="F308" s="212"/>
      <c r="G308" s="222"/>
      <c r="H308" s="222"/>
      <c r="I308" s="223"/>
      <c r="J308" s="224"/>
      <c r="K308" s="228"/>
      <c r="L308" s="209"/>
      <c r="M308" s="209"/>
      <c r="N308" s="229"/>
    </row>
    <row r="309" spans="1:14" ht="15.75" x14ac:dyDescent="0.25">
      <c r="A309" s="230" t="s">
        <v>462</v>
      </c>
      <c r="C309" s="206"/>
      <c r="D309" s="207"/>
      <c r="E309" s="208"/>
      <c r="F309" s="212"/>
      <c r="G309" s="222"/>
      <c r="H309" s="222"/>
      <c r="I309" s="223"/>
      <c r="J309" s="224"/>
      <c r="K309" s="228"/>
      <c r="L309" s="209"/>
      <c r="M309" s="209"/>
      <c r="N309" s="229"/>
    </row>
    <row r="310" spans="1:14" ht="15.75" x14ac:dyDescent="0.25">
      <c r="A310" s="230" t="s">
        <v>464</v>
      </c>
      <c r="C310" s="206"/>
      <c r="D310" s="207"/>
      <c r="E310" s="208"/>
      <c r="F310" s="212"/>
      <c r="G310" s="222"/>
      <c r="H310" s="222"/>
      <c r="I310" s="223"/>
      <c r="J310" s="224"/>
      <c r="K310" s="206"/>
      <c r="L310" s="209"/>
      <c r="M310" s="209"/>
      <c r="N310" s="225"/>
    </row>
    <row r="311" spans="1:14" ht="15.75" x14ac:dyDescent="0.25">
      <c r="A311" s="230" t="s">
        <v>526</v>
      </c>
      <c r="C311" s="206"/>
      <c r="D311" s="207"/>
      <c r="E311" s="208"/>
      <c r="F311" s="212"/>
      <c r="G311" s="222"/>
      <c r="H311" s="222"/>
      <c r="I311" s="223"/>
      <c r="J311" s="224"/>
      <c r="K311" s="228"/>
      <c r="L311" s="211"/>
      <c r="M311" s="211"/>
      <c r="N311" s="229"/>
    </row>
    <row r="312" spans="1:14" ht="15.75" x14ac:dyDescent="0.25">
      <c r="A312" s="230" t="s">
        <v>467</v>
      </c>
      <c r="C312" s="206"/>
      <c r="D312" s="207"/>
      <c r="E312" s="208"/>
      <c r="F312" s="212"/>
      <c r="G312" s="233"/>
      <c r="H312" s="233"/>
      <c r="I312" s="223"/>
      <c r="J312" s="224"/>
      <c r="K312" s="228"/>
      <c r="L312" s="210"/>
      <c r="M312" s="210"/>
      <c r="N312" s="229"/>
    </row>
    <row r="313" spans="1:14" ht="15.75" x14ac:dyDescent="0.25">
      <c r="A313" s="230" t="s">
        <v>469</v>
      </c>
      <c r="C313" s="206"/>
      <c r="D313" s="207"/>
      <c r="E313" s="208"/>
      <c r="F313" s="212"/>
      <c r="G313" s="222"/>
      <c r="H313" s="222"/>
      <c r="I313" s="223"/>
      <c r="J313" s="224"/>
      <c r="K313" s="206"/>
      <c r="L313" s="209"/>
      <c r="M313" s="209"/>
      <c r="N313" s="225"/>
    </row>
    <row r="314" spans="1:14" ht="15.75" x14ac:dyDescent="0.25">
      <c r="A314" s="230" t="s">
        <v>471</v>
      </c>
      <c r="C314" s="206"/>
      <c r="D314" s="207"/>
      <c r="E314" s="208"/>
      <c r="F314" s="212"/>
      <c r="G314" s="222"/>
      <c r="H314" s="222"/>
      <c r="I314" s="223"/>
      <c r="J314" s="224"/>
      <c r="K314" s="228"/>
      <c r="L314" s="211"/>
      <c r="M314" s="211"/>
      <c r="N314" s="229"/>
    </row>
    <row r="315" spans="1:14" ht="15.75" x14ac:dyDescent="0.25">
      <c r="A315" s="230" t="s">
        <v>509</v>
      </c>
      <c r="C315" s="206"/>
      <c r="D315" s="207"/>
      <c r="E315" s="208"/>
      <c r="F315" s="212"/>
      <c r="G315" s="233"/>
      <c r="H315" s="233"/>
      <c r="I315" s="223"/>
      <c r="J315" s="224"/>
      <c r="K315" s="228"/>
      <c r="L315" s="210"/>
      <c r="M315" s="210"/>
      <c r="N315" s="229"/>
    </row>
    <row r="316" spans="1:14" ht="15.75" x14ac:dyDescent="0.25">
      <c r="A316" s="230" t="s">
        <v>474</v>
      </c>
      <c r="C316" s="206"/>
      <c r="D316" s="207"/>
      <c r="E316" s="208"/>
      <c r="F316" s="212"/>
      <c r="G316" s="222"/>
      <c r="H316" s="222"/>
      <c r="I316" s="223"/>
      <c r="J316" s="224"/>
      <c r="K316" s="206"/>
      <c r="L316" s="209"/>
      <c r="M316" s="209"/>
      <c r="N316" s="225"/>
    </row>
    <row r="317" spans="1:14" ht="15.75" x14ac:dyDescent="0.25">
      <c r="A317" s="230" t="s">
        <v>476</v>
      </c>
      <c r="C317" s="206"/>
      <c r="D317" s="207"/>
      <c r="E317" s="208"/>
      <c r="F317" s="212"/>
      <c r="G317" s="222"/>
      <c r="H317" s="222"/>
      <c r="I317" s="223"/>
      <c r="J317" s="224"/>
      <c r="K317" s="206"/>
      <c r="L317" s="209"/>
      <c r="M317" s="209"/>
      <c r="N317" s="225"/>
    </row>
    <row r="318" spans="1:14" ht="15.75" x14ac:dyDescent="0.25">
      <c r="A318" s="230" t="s">
        <v>510</v>
      </c>
      <c r="C318" s="206"/>
      <c r="D318" s="207"/>
      <c r="E318" s="208"/>
      <c r="F318" s="212"/>
      <c r="G318" s="222"/>
      <c r="H318" s="222"/>
      <c r="I318" s="223"/>
      <c r="J318" s="224"/>
      <c r="K318" s="206"/>
      <c r="L318" s="209"/>
      <c r="M318" s="209"/>
      <c r="N318" s="225"/>
    </row>
    <row r="319" spans="1:14" ht="15.75" x14ac:dyDescent="0.25">
      <c r="A319" s="230" t="s">
        <v>479</v>
      </c>
      <c r="C319" s="206"/>
      <c r="D319" s="207"/>
      <c r="E319" s="208"/>
      <c r="F319" s="212"/>
      <c r="G319" s="222"/>
      <c r="H319" s="222"/>
      <c r="I319" s="223"/>
      <c r="J319" s="224"/>
      <c r="K319" s="206"/>
      <c r="L319" s="209"/>
      <c r="M319" s="209"/>
      <c r="N319" s="225"/>
    </row>
    <row r="320" spans="1:14" ht="15.75" x14ac:dyDescent="0.25">
      <c r="A320" s="230" t="s">
        <v>481</v>
      </c>
      <c r="C320" s="206"/>
      <c r="D320" s="207"/>
      <c r="E320" s="208"/>
      <c r="F320" s="212"/>
      <c r="G320" s="222"/>
      <c r="H320" s="222"/>
      <c r="I320" s="223"/>
      <c r="J320" s="224"/>
      <c r="K320" s="206"/>
      <c r="L320" s="209"/>
      <c r="M320" s="209"/>
      <c r="N320" s="225"/>
    </row>
    <row r="321" spans="1:14" ht="15.75" x14ac:dyDescent="0.25">
      <c r="A321" s="230" t="s">
        <v>483</v>
      </c>
      <c r="C321" s="206"/>
      <c r="D321" s="207"/>
      <c r="E321" s="208"/>
      <c r="F321" s="212"/>
      <c r="G321" s="222"/>
      <c r="H321" s="222"/>
      <c r="I321" s="223"/>
      <c r="J321" s="224"/>
      <c r="K321" s="206"/>
      <c r="L321" s="214"/>
      <c r="M321" s="214"/>
      <c r="N321" s="225"/>
    </row>
    <row r="322" spans="1:14" ht="15.75" x14ac:dyDescent="0.25">
      <c r="A322" s="230" t="s">
        <v>485</v>
      </c>
      <c r="C322" s="206"/>
      <c r="D322" s="207"/>
      <c r="E322" s="208"/>
      <c r="F322" s="226"/>
      <c r="G322" s="227"/>
      <c r="H322" s="227"/>
      <c r="I322" s="223"/>
      <c r="J322" s="224"/>
      <c r="K322" s="228"/>
      <c r="L322" s="209"/>
      <c r="M322" s="209"/>
      <c r="N322" s="229"/>
    </row>
    <row r="323" spans="1:14" x14ac:dyDescent="0.2">
      <c r="A323" s="230" t="s">
        <v>487</v>
      </c>
    </row>
    <row r="324" spans="1:14" x14ac:dyDescent="0.2">
      <c r="A324" s="230" t="s">
        <v>489</v>
      </c>
    </row>
    <row r="325" spans="1:14" x14ac:dyDescent="0.2">
      <c r="A325" s="230" t="s">
        <v>491</v>
      </c>
    </row>
    <row r="326" spans="1:14" x14ac:dyDescent="0.2">
      <c r="A326" s="230" t="s">
        <v>544</v>
      </c>
    </row>
    <row r="327" spans="1:14" x14ac:dyDescent="0.2">
      <c r="A327" s="140" t="s">
        <v>738</v>
      </c>
    </row>
    <row r="328" spans="1:14" ht="15.75" x14ac:dyDescent="0.25">
      <c r="F328" s="217"/>
      <c r="G328" s="748"/>
      <c r="H328" s="748"/>
      <c r="I328" s="218"/>
      <c r="J328" s="219"/>
      <c r="K328" s="220"/>
      <c r="L328" s="749"/>
      <c r="M328" s="749"/>
      <c r="N328" s="221"/>
    </row>
  </sheetData>
  <mergeCells count="2">
    <mergeCell ref="G328:H328"/>
    <mergeCell ref="L328:M32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3337B4A1-B59B-49AD-8322-ECC115FF774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12</vt:i4>
      </vt:variant>
    </vt:vector>
  </HeadingPairs>
  <TitlesOfParts>
    <vt:vector size="21" baseType="lpstr">
      <vt:lpstr>Part 1</vt:lpstr>
      <vt:lpstr>Part 2</vt:lpstr>
      <vt:lpstr>Part 3</vt:lpstr>
      <vt:lpstr>Part 4</vt:lpstr>
      <vt:lpstr>Datasheet1</vt:lpstr>
      <vt:lpstr>Datasheet2</vt:lpstr>
      <vt:lpstr>Datasheet3</vt:lpstr>
      <vt:lpstr>Datasheet4</vt:lpstr>
      <vt:lpstr>Sheet1</vt:lpstr>
      <vt:lpstr>Part1</vt:lpstr>
      <vt:lpstr>Datasheet1!Part2</vt:lpstr>
      <vt:lpstr>Part2</vt:lpstr>
      <vt:lpstr>Datasheet4!Part3</vt:lpstr>
      <vt:lpstr>Part3</vt:lpstr>
      <vt:lpstr>Part4</vt:lpstr>
      <vt:lpstr>'Part 1'!Print_Area</vt:lpstr>
      <vt:lpstr>'Part 2'!Print_Area</vt:lpstr>
      <vt:lpstr>'Part 3'!Print_Area</vt:lpstr>
      <vt:lpstr>'Part 4'!Print_Area</vt:lpstr>
      <vt:lpstr>'Part 1'!Print_Titles</vt:lpstr>
      <vt:lpstr>'Part 2'!Print_Titles</vt:lpstr>
    </vt:vector>
  </TitlesOfParts>
  <Company>DCLG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JFarrar</dc:creator>
  <cp:lastModifiedBy>John Farrar</cp:lastModifiedBy>
  <cp:lastPrinted>2016-02-11T11:52:20Z</cp:lastPrinted>
  <dcterms:created xsi:type="dcterms:W3CDTF">2013-07-12T16:47:25Z</dcterms:created>
  <dcterms:modified xsi:type="dcterms:W3CDTF">2016-02-16T15:13:59Z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56d0bead-daee-470c-aba9-00a739dd09a9</vt:lpwstr>
  </property>
  <property fmtid="{D5CDD505-2E9C-101B-9397-08002B2CF9AE}" pid="3" name="bjSaver">
    <vt:lpwstr>XePHT1A/4MVOnNF8mnysHX9hPqgb2QQL</vt:lpwstr>
  </property>
  <property fmtid="{D5CDD505-2E9C-101B-9397-08002B2CF9AE}" pid="4" name="bjDocumentSecurityLabel">
    <vt:lpwstr>No Marking</vt:lpwstr>
  </property>
</Properties>
</file>